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Section 32\"/>
    </mc:Choice>
  </mc:AlternateContent>
  <bookViews>
    <workbookView xWindow="0" yWindow="0" windowWidth="28800" windowHeight="11730" activeTab="10"/>
  </bookViews>
  <sheets>
    <sheet name="Summary" sheetId="1" r:id="rId1"/>
    <sheet name="Table1" sheetId="2" r:id="rId2"/>
    <sheet name="Table2 Pg1" sheetId="3" r:id="rId3"/>
    <sheet name="Table2 Pg2" sheetId="10" r:id="rId4"/>
    <sheet name="Table Summary" sheetId="4" r:id="rId5"/>
    <sheet name="Table 3,1" sheetId="5" r:id="rId6"/>
    <sheet name="Table 3,2" sheetId="6" r:id="rId7"/>
    <sheet name="Table 3,3" sheetId="7" r:id="rId8"/>
    <sheet name="Table 3,4" sheetId="8" r:id="rId9"/>
    <sheet name="Table 4" sheetId="9" r:id="rId10"/>
    <sheet name="Table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xlnm.Print_Area" localSheetId="0">Summary!$A:$AI</definedName>
    <definedName name="_xlnm.Print_Area" localSheetId="5">'Table 3,1'!$A$1:$EO$357</definedName>
    <definedName name="_xlnm.Print_Area" localSheetId="7">'Table 3,3'!$D$1:$EP$190</definedName>
    <definedName name="_xlnm.Print_Area" localSheetId="8">'Table 3,4'!$A$1:$EQ$47</definedName>
    <definedName name="_xlnm.Print_Area" localSheetId="9">'Table 4'!$A$1:$AI$108</definedName>
    <definedName name="_xlnm.Print_Area" localSheetId="1">Table1!$A$1:$AJ$154</definedName>
    <definedName name="_xlnm.Print_Area" localSheetId="2">'Table2 Pg1'!$A$1:$BW$82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65" i="11" l="1"/>
  <c r="S65" i="11"/>
  <c r="AG49" i="11"/>
  <c r="S49" i="11"/>
  <c r="AG48" i="11"/>
  <c r="S48" i="11"/>
  <c r="AG47" i="11"/>
  <c r="S47" i="11"/>
  <c r="AG46" i="11"/>
  <c r="S46" i="11"/>
  <c r="AG45" i="11"/>
  <c r="S45" i="11"/>
  <c r="AG44" i="11"/>
  <c r="S44" i="11"/>
  <c r="AG43" i="11"/>
  <c r="S43" i="11"/>
  <c r="AG42" i="11"/>
  <c r="S42" i="11"/>
  <c r="AG41" i="11"/>
  <c r="AG40" i="11" s="1"/>
  <c r="S41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85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AG6" i="11" s="1"/>
  <c r="S10" i="11"/>
  <c r="AG9" i="11"/>
  <c r="S9" i="11"/>
  <c r="AG8" i="11"/>
  <c r="S8" i="11"/>
  <c r="AG7" i="11"/>
  <c r="S7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BV76" i="10"/>
  <c r="BQ76" i="10"/>
  <c r="BL76" i="10"/>
  <c r="BG76" i="10"/>
  <c r="BB76" i="10"/>
  <c r="AW76" i="10"/>
  <c r="AR76" i="10"/>
  <c r="AM76" i="10"/>
  <c r="AH76" i="10"/>
  <c r="AC76" i="10"/>
  <c r="BV75" i="10"/>
  <c r="BQ75" i="10"/>
  <c r="BL75" i="10"/>
  <c r="BG75" i="10"/>
  <c r="BB75" i="10"/>
  <c r="AW75" i="10"/>
  <c r="AR75" i="10"/>
  <c r="AM75" i="10"/>
  <c r="AH75" i="10"/>
  <c r="AC75" i="10"/>
  <c r="BX74" i="10"/>
  <c r="BV74" i="10"/>
  <c r="BQ74" i="10"/>
  <c r="BL74" i="10"/>
  <c r="BG74" i="10"/>
  <c r="BB74" i="10"/>
  <c r="AW74" i="10"/>
  <c r="AR74" i="10"/>
  <c r="AM74" i="10"/>
  <c r="AH74" i="10"/>
  <c r="AC74" i="10"/>
  <c r="AX73" i="10"/>
  <c r="AX77" i="10" s="1"/>
  <c r="BX72" i="10"/>
  <c r="BU71" i="10"/>
  <c r="BT71" i="10"/>
  <c r="BS71" i="10"/>
  <c r="BR71" i="10"/>
  <c r="N71" i="10"/>
  <c r="BX70" i="10"/>
  <c r="BX69" i="10"/>
  <c r="BP68" i="10"/>
  <c r="BO68" i="10"/>
  <c r="BN68" i="10"/>
  <c r="BM68" i="10"/>
  <c r="AF68" i="10"/>
  <c r="H68" i="10"/>
  <c r="G68" i="10"/>
  <c r="F68" i="10"/>
  <c r="BU67" i="10"/>
  <c r="BT67" i="10"/>
  <c r="BS67" i="10"/>
  <c r="BR67" i="10"/>
  <c r="BV67" i="10" s="1"/>
  <c r="BX67" i="10" s="1"/>
  <c r="BQ67" i="10"/>
  <c r="BL67" i="10"/>
  <c r="BG67" i="10"/>
  <c r="BB67" i="10"/>
  <c r="AW67" i="10"/>
  <c r="AR67" i="10"/>
  <c r="AM67" i="10"/>
  <c r="AH67" i="10"/>
  <c r="AC67" i="10"/>
  <c r="X67" i="10"/>
  <c r="S67" i="10"/>
  <c r="N67" i="10"/>
  <c r="I67" i="10"/>
  <c r="BU66" i="10"/>
  <c r="BT66" i="10"/>
  <c r="BS66" i="10"/>
  <c r="BR66" i="10"/>
  <c r="BQ66" i="10"/>
  <c r="BL66" i="10"/>
  <c r="BG66" i="10"/>
  <c r="BB66" i="10"/>
  <c r="AW66" i="10"/>
  <c r="AR66" i="10"/>
  <c r="AM66" i="10"/>
  <c r="AH66" i="10"/>
  <c r="AC66" i="10"/>
  <c r="X66" i="10"/>
  <c r="S66" i="10"/>
  <c r="N66" i="10"/>
  <c r="I66" i="10"/>
  <c r="BU65" i="10"/>
  <c r="BT65" i="10"/>
  <c r="BS65" i="10"/>
  <c r="BR65" i="10"/>
  <c r="BQ65" i="10"/>
  <c r="BL65" i="10"/>
  <c r="BG65" i="10"/>
  <c r="BB65" i="10"/>
  <c r="AW65" i="10"/>
  <c r="AR65" i="10"/>
  <c r="AM65" i="10"/>
  <c r="AH65" i="10"/>
  <c r="AC65" i="10"/>
  <c r="X65" i="10"/>
  <c r="S65" i="10"/>
  <c r="N65" i="10"/>
  <c r="I65" i="10"/>
  <c r="BU64" i="10"/>
  <c r="BT64" i="10"/>
  <c r="BS64" i="10"/>
  <c r="BR64" i="10"/>
  <c r="BQ64" i="10"/>
  <c r="BL64" i="10"/>
  <c r="BG64" i="10"/>
  <c r="BB64" i="10"/>
  <c r="AW64" i="10"/>
  <c r="AR64" i="10"/>
  <c r="AM64" i="10"/>
  <c r="AH64" i="10"/>
  <c r="AC64" i="10"/>
  <c r="X64" i="10"/>
  <c r="S64" i="10"/>
  <c r="N64" i="10"/>
  <c r="I64" i="10"/>
  <c r="BU63" i="10"/>
  <c r="BT63" i="10"/>
  <c r="BS63" i="10"/>
  <c r="BR63" i="10"/>
  <c r="BV63" i="10" s="1"/>
  <c r="BQ63" i="10"/>
  <c r="BL63" i="10"/>
  <c r="BG63" i="10"/>
  <c r="BB63" i="10"/>
  <c r="AW63" i="10"/>
  <c r="AR63" i="10"/>
  <c r="AM63" i="10"/>
  <c r="AH63" i="10"/>
  <c r="AC63" i="10"/>
  <c r="X63" i="10"/>
  <c r="S63" i="10"/>
  <c r="N63" i="10"/>
  <c r="I63" i="10"/>
  <c r="BU62" i="10"/>
  <c r="BT62" i="10"/>
  <c r="BS62" i="10"/>
  <c r="BR62" i="10"/>
  <c r="BQ62" i="10"/>
  <c r="BL62" i="10"/>
  <c r="BG62" i="10"/>
  <c r="BB62" i="10"/>
  <c r="AW62" i="10"/>
  <c r="AR62" i="10"/>
  <c r="AM62" i="10"/>
  <c r="AH62" i="10"/>
  <c r="I62" i="10"/>
  <c r="BU61" i="10"/>
  <c r="BT61" i="10"/>
  <c r="BS61" i="10"/>
  <c r="BR61" i="10"/>
  <c r="BQ61" i="10"/>
  <c r="BL61" i="10"/>
  <c r="BG61" i="10"/>
  <c r="BB61" i="10"/>
  <c r="AW61" i="10"/>
  <c r="AR61" i="10"/>
  <c r="AM61" i="10"/>
  <c r="AH61" i="10"/>
  <c r="AC61" i="10"/>
  <c r="X61" i="10"/>
  <c r="S61" i="10"/>
  <c r="N61" i="10"/>
  <c r="I61" i="10"/>
  <c r="BU60" i="10"/>
  <c r="BT60" i="10"/>
  <c r="BS60" i="10"/>
  <c r="BR60" i="10"/>
  <c r="BQ60" i="10"/>
  <c r="BL60" i="10"/>
  <c r="BG60" i="10"/>
  <c r="BB60" i="10"/>
  <c r="AW60" i="10"/>
  <c r="AR60" i="10"/>
  <c r="AM60" i="10"/>
  <c r="AH60" i="10"/>
  <c r="AC60" i="10"/>
  <c r="X60" i="10"/>
  <c r="S60" i="10"/>
  <c r="N60" i="10"/>
  <c r="I60" i="10"/>
  <c r="BU59" i="10"/>
  <c r="BT59" i="10"/>
  <c r="BS59" i="10"/>
  <c r="BR59" i="10"/>
  <c r="BV59" i="10" s="1"/>
  <c r="BQ59" i="10"/>
  <c r="BL59" i="10"/>
  <c r="BG59" i="10"/>
  <c r="BB59" i="10"/>
  <c r="AW59" i="10"/>
  <c r="AR59" i="10"/>
  <c r="AM59" i="10"/>
  <c r="AH59" i="10"/>
  <c r="AC59" i="10"/>
  <c r="X59" i="10"/>
  <c r="S59" i="10"/>
  <c r="N59" i="10"/>
  <c r="I59" i="10"/>
  <c r="BU58" i="10"/>
  <c r="BT58" i="10"/>
  <c r="BS58" i="10"/>
  <c r="BR58" i="10"/>
  <c r="BQ58" i="10"/>
  <c r="BL58" i="10"/>
  <c r="BG58" i="10"/>
  <c r="BB58" i="10"/>
  <c r="AW58" i="10"/>
  <c r="AR58" i="10"/>
  <c r="AM58" i="10"/>
  <c r="AH58" i="10"/>
  <c r="AC58" i="10"/>
  <c r="X58" i="10"/>
  <c r="S58" i="10"/>
  <c r="N58" i="10"/>
  <c r="I58" i="10"/>
  <c r="BT57" i="10"/>
  <c r="BS57" i="10"/>
  <c r="BR57" i="10"/>
  <c r="BQ57" i="10"/>
  <c r="BL57" i="10"/>
  <c r="BG57" i="10"/>
  <c r="BB57" i="10"/>
  <c r="AW57" i="10"/>
  <c r="AR57" i="10"/>
  <c r="AM57" i="10"/>
  <c r="AH57" i="10"/>
  <c r="AC57" i="10"/>
  <c r="X57" i="10"/>
  <c r="R57" i="10"/>
  <c r="S57" i="10" s="1"/>
  <c r="M57" i="10"/>
  <c r="I57" i="10"/>
  <c r="BU56" i="10"/>
  <c r="BT56" i="10"/>
  <c r="BS56" i="10"/>
  <c r="BR56" i="10"/>
  <c r="BQ56" i="10"/>
  <c r="BL56" i="10"/>
  <c r="BG56" i="10"/>
  <c r="BB56" i="10"/>
  <c r="AW56" i="10"/>
  <c r="AR56" i="10"/>
  <c r="AM56" i="10"/>
  <c r="AH56" i="10"/>
  <c r="AC56" i="10"/>
  <c r="X56" i="10"/>
  <c r="S56" i="10"/>
  <c r="N56" i="10"/>
  <c r="I56" i="10"/>
  <c r="BU55" i="10"/>
  <c r="BT55" i="10"/>
  <c r="BS55" i="10"/>
  <c r="BR55" i="10"/>
  <c r="BQ55" i="10"/>
  <c r="BL55" i="10"/>
  <c r="BG55" i="10"/>
  <c r="BB55" i="10"/>
  <c r="AW55" i="10"/>
  <c r="AR55" i="10"/>
  <c r="AM55" i="10"/>
  <c r="AH55" i="10"/>
  <c r="AC55" i="10"/>
  <c r="X55" i="10"/>
  <c r="S55" i="10"/>
  <c r="N55" i="10"/>
  <c r="I55" i="10"/>
  <c r="BU54" i="10"/>
  <c r="BT54" i="10"/>
  <c r="BS54" i="10"/>
  <c r="BR54" i="10"/>
  <c r="BV54" i="10" s="1"/>
  <c r="BX54" i="10" s="1"/>
  <c r="BQ54" i="10"/>
  <c r="BL54" i="10"/>
  <c r="BG54" i="10"/>
  <c r="BB54" i="10"/>
  <c r="AW54" i="10"/>
  <c r="AR54" i="10"/>
  <c r="AM54" i="10"/>
  <c r="AH54" i="10"/>
  <c r="AC54" i="10"/>
  <c r="X54" i="10"/>
  <c r="S54" i="10"/>
  <c r="N54" i="10"/>
  <c r="I54" i="10"/>
  <c r="BU53" i="10"/>
  <c r="BU52" i="10" s="1"/>
  <c r="BT53" i="10"/>
  <c r="BS53" i="10"/>
  <c r="BR53" i="10"/>
  <c r="BQ53" i="10"/>
  <c r="BQ52" i="10" s="1"/>
  <c r="BL53" i="10"/>
  <c r="BG53" i="10"/>
  <c r="BG52" i="10" s="1"/>
  <c r="BG68" i="10" s="1"/>
  <c r="BB53" i="10"/>
  <c r="AW53" i="10"/>
  <c r="AW52" i="10" s="1"/>
  <c r="AR53" i="10"/>
  <c r="AM53" i="10"/>
  <c r="AH53" i="10"/>
  <c r="AC53" i="10"/>
  <c r="AC52" i="10" s="1"/>
  <c r="X53" i="10"/>
  <c r="S53" i="10"/>
  <c r="S52" i="10" s="1"/>
  <c r="N53" i="10"/>
  <c r="I53" i="10"/>
  <c r="I52" i="10" s="1"/>
  <c r="BT52" i="10"/>
  <c r="BS52" i="10"/>
  <c r="BL52" i="10"/>
  <c r="BK52" i="10"/>
  <c r="BK68" i="10" s="1"/>
  <c r="BJ52" i="10"/>
  <c r="BJ68" i="10" s="1"/>
  <c r="BI52" i="10"/>
  <c r="BI68" i="10" s="1"/>
  <c r="BH52" i="10"/>
  <c r="BH68" i="10" s="1"/>
  <c r="BF52" i="10"/>
  <c r="BF68" i="10" s="1"/>
  <c r="BE52" i="10"/>
  <c r="BE68" i="10" s="1"/>
  <c r="BD52" i="10"/>
  <c r="BD68" i="10" s="1"/>
  <c r="BC52" i="10"/>
  <c r="BC68" i="10" s="1"/>
  <c r="BA52" i="10"/>
  <c r="BA68" i="10" s="1"/>
  <c r="AZ52" i="10"/>
  <c r="AZ68" i="10" s="1"/>
  <c r="AY52" i="10"/>
  <c r="AY68" i="10" s="1"/>
  <c r="AX52" i="10"/>
  <c r="AX68" i="10" s="1"/>
  <c r="AV52" i="10"/>
  <c r="AV68" i="10" s="1"/>
  <c r="AU52" i="10"/>
  <c r="AU68" i="10" s="1"/>
  <c r="AT52" i="10"/>
  <c r="AT68" i="10" s="1"/>
  <c r="AS52" i="10"/>
  <c r="AS68" i="10" s="1"/>
  <c r="AR52" i="10"/>
  <c r="AQ52" i="10"/>
  <c r="AQ68" i="10" s="1"/>
  <c r="AQ73" i="10" s="1"/>
  <c r="AQ77" i="10" s="1"/>
  <c r="AP52" i="10"/>
  <c r="AP68" i="10" s="1"/>
  <c r="AO52" i="10"/>
  <c r="AO68" i="10" s="1"/>
  <c r="AN52" i="10"/>
  <c r="AN68" i="10" s="1"/>
  <c r="AM52" i="10"/>
  <c r="AL52" i="10"/>
  <c r="AL68" i="10" s="1"/>
  <c r="AK52" i="10"/>
  <c r="AK68" i="10" s="1"/>
  <c r="AJ52" i="10"/>
  <c r="AJ68" i="10" s="1"/>
  <c r="AI52" i="10"/>
  <c r="AI68" i="10" s="1"/>
  <c r="AI73" i="10" s="1"/>
  <c r="AI77" i="10" s="1"/>
  <c r="AG52" i="10"/>
  <c r="AG68" i="10" s="1"/>
  <c r="AF52" i="10"/>
  <c r="AE52" i="10"/>
  <c r="AE68" i="10" s="1"/>
  <c r="AD52" i="10"/>
  <c r="AD68" i="10" s="1"/>
  <c r="AB52" i="10"/>
  <c r="AB68" i="10" s="1"/>
  <c r="AA52" i="10"/>
  <c r="AA68" i="10" s="1"/>
  <c r="Z52" i="10"/>
  <c r="Z68" i="10" s="1"/>
  <c r="Y52" i="10"/>
  <c r="Y68" i="10" s="1"/>
  <c r="X52" i="10"/>
  <c r="W52" i="10"/>
  <c r="W68" i="10" s="1"/>
  <c r="V52" i="10"/>
  <c r="V68" i="10" s="1"/>
  <c r="U52" i="10"/>
  <c r="U68" i="10" s="1"/>
  <c r="T52" i="10"/>
  <c r="T68" i="10" s="1"/>
  <c r="R52" i="10"/>
  <c r="Q52" i="10"/>
  <c r="Q68" i="10" s="1"/>
  <c r="P52" i="10"/>
  <c r="P68" i="10" s="1"/>
  <c r="O52" i="10"/>
  <c r="O68" i="10" s="1"/>
  <c r="M52" i="10"/>
  <c r="M68" i="10" s="1"/>
  <c r="L52" i="10"/>
  <c r="L68" i="10" s="1"/>
  <c r="K52" i="10"/>
  <c r="K68" i="10" s="1"/>
  <c r="J52" i="10"/>
  <c r="J68" i="10" s="1"/>
  <c r="E52" i="10"/>
  <c r="E68" i="10" s="1"/>
  <c r="BU51" i="10"/>
  <c r="BT51" i="10"/>
  <c r="BS51" i="10"/>
  <c r="BR51" i="10"/>
  <c r="BQ51" i="10"/>
  <c r="BL51" i="10"/>
  <c r="BG51" i="10"/>
  <c r="BB51" i="10"/>
  <c r="AW51" i="10"/>
  <c r="AR51" i="10"/>
  <c r="AM51" i="10"/>
  <c r="AH51" i="10"/>
  <c r="AC51" i="10"/>
  <c r="X51" i="10"/>
  <c r="S51" i="10"/>
  <c r="N51" i="10"/>
  <c r="I51" i="10"/>
  <c r="BU50" i="10"/>
  <c r="BT50" i="10"/>
  <c r="BS50" i="10"/>
  <c r="BR50" i="10"/>
  <c r="BV50" i="10" s="1"/>
  <c r="BX50" i="10" s="1"/>
  <c r="BQ50" i="10"/>
  <c r="BL50" i="10"/>
  <c r="BG50" i="10"/>
  <c r="BB50" i="10"/>
  <c r="AW50" i="10"/>
  <c r="AR50" i="10"/>
  <c r="AM50" i="10"/>
  <c r="AH50" i="10"/>
  <c r="AC50" i="10"/>
  <c r="X50" i="10"/>
  <c r="S50" i="10"/>
  <c r="N50" i="10"/>
  <c r="I50" i="10"/>
  <c r="BP47" i="10"/>
  <c r="BO47" i="10"/>
  <c r="BN47" i="10"/>
  <c r="BN73" i="10" s="1"/>
  <c r="BN77" i="10" s="1"/>
  <c r="BM47" i="10"/>
  <c r="BM73" i="10" s="1"/>
  <c r="BM77" i="10" s="1"/>
  <c r="BK47" i="10"/>
  <c r="BJ47" i="10"/>
  <c r="BJ73" i="10" s="1"/>
  <c r="BJ77" i="10" s="1"/>
  <c r="BI47" i="10"/>
  <c r="BH47" i="10"/>
  <c r="BF47" i="10"/>
  <c r="BE47" i="10"/>
  <c r="BE73" i="10" s="1"/>
  <c r="BE77" i="10" s="1"/>
  <c r="BD47" i="10"/>
  <c r="BC47" i="10"/>
  <c r="BA47" i="10"/>
  <c r="AZ47" i="10"/>
  <c r="AY47" i="10"/>
  <c r="AX47" i="10"/>
  <c r="AV47" i="10"/>
  <c r="AU47" i="10"/>
  <c r="AT47" i="10"/>
  <c r="AT73" i="10" s="1"/>
  <c r="AT77" i="10" s="1"/>
  <c r="AS47" i="10"/>
  <c r="AS73" i="10" s="1"/>
  <c r="AS77" i="10" s="1"/>
  <c r="AQ47" i="10"/>
  <c r="AP47" i="10"/>
  <c r="AP73" i="10" s="1"/>
  <c r="AP77" i="10" s="1"/>
  <c r="AO47" i="10"/>
  <c r="AO73" i="10" s="1"/>
  <c r="AO77" i="10" s="1"/>
  <c r="AN47" i="10"/>
  <c r="AL47" i="10"/>
  <c r="AL73" i="10" s="1"/>
  <c r="AL77" i="10" s="1"/>
  <c r="AK47" i="10"/>
  <c r="AK73" i="10" s="1"/>
  <c r="AK77" i="10" s="1"/>
  <c r="AJ47" i="10"/>
  <c r="AI47" i="10"/>
  <c r="AG47" i="10"/>
  <c r="AG73" i="10" s="1"/>
  <c r="AG77" i="10" s="1"/>
  <c r="AF47" i="10"/>
  <c r="AE47" i="10"/>
  <c r="AD47" i="10"/>
  <c r="AB47" i="10"/>
  <c r="AA47" i="10"/>
  <c r="Z47" i="10"/>
  <c r="Z73" i="10" s="1"/>
  <c r="Z77" i="10" s="1"/>
  <c r="Y47" i="10"/>
  <c r="W47" i="10"/>
  <c r="V47" i="10"/>
  <c r="V73" i="10" s="1"/>
  <c r="V77" i="10" s="1"/>
  <c r="U47" i="10"/>
  <c r="T47" i="10"/>
  <c r="R47" i="10"/>
  <c r="Q47" i="10"/>
  <c r="Q73" i="10" s="1"/>
  <c r="Q77" i="10" s="1"/>
  <c r="P47" i="10"/>
  <c r="O47" i="10"/>
  <c r="M47" i="10"/>
  <c r="L47" i="10"/>
  <c r="K47" i="10"/>
  <c r="J47" i="10"/>
  <c r="J73" i="10" s="1"/>
  <c r="J77" i="10" s="1"/>
  <c r="H47" i="10"/>
  <c r="H73" i="10" s="1"/>
  <c r="H77" i="10" s="1"/>
  <c r="G47" i="10"/>
  <c r="F47" i="10"/>
  <c r="E47" i="10"/>
  <c r="BU46" i="10"/>
  <c r="BT46" i="10"/>
  <c r="BS46" i="10"/>
  <c r="BR46" i="10"/>
  <c r="BQ46" i="10"/>
  <c r="BL46" i="10"/>
  <c r="BG46" i="10"/>
  <c r="BB46" i="10"/>
  <c r="AW46" i="10"/>
  <c r="AR46" i="10"/>
  <c r="AM46" i="10"/>
  <c r="AH46" i="10"/>
  <c r="AC46" i="10"/>
  <c r="X46" i="10"/>
  <c r="S46" i="10"/>
  <c r="N46" i="10"/>
  <c r="I46" i="10"/>
  <c r="BU45" i="10"/>
  <c r="BT45" i="10"/>
  <c r="BS45" i="10"/>
  <c r="BR45" i="10"/>
  <c r="BQ45" i="10"/>
  <c r="BL45" i="10"/>
  <c r="BG45" i="10"/>
  <c r="BB45" i="10"/>
  <c r="AW45" i="10"/>
  <c r="AR45" i="10"/>
  <c r="AM45" i="10"/>
  <c r="AH45" i="10"/>
  <c r="AC45" i="10"/>
  <c r="X45" i="10"/>
  <c r="S45" i="10"/>
  <c r="N45" i="10"/>
  <c r="I45" i="10"/>
  <c r="BU44" i="10"/>
  <c r="BT44" i="10"/>
  <c r="BS44" i="10"/>
  <c r="BR44" i="10"/>
  <c r="BV44" i="10" s="1"/>
  <c r="BX44" i="10" s="1"/>
  <c r="BQ44" i="10"/>
  <c r="BL44" i="10"/>
  <c r="BG44" i="10"/>
  <c r="BB44" i="10"/>
  <c r="AW44" i="10"/>
  <c r="AR44" i="10"/>
  <c r="AM44" i="10"/>
  <c r="AH44" i="10"/>
  <c r="AC44" i="10"/>
  <c r="X44" i="10"/>
  <c r="S44" i="10"/>
  <c r="N44" i="10"/>
  <c r="I44" i="10"/>
  <c r="BU43" i="10"/>
  <c r="BT43" i="10"/>
  <c r="BS43" i="10"/>
  <c r="BR43" i="10"/>
  <c r="BQ43" i="10"/>
  <c r="BL43" i="10"/>
  <c r="BG43" i="10"/>
  <c r="BB43" i="10"/>
  <c r="AW43" i="10"/>
  <c r="AR43" i="10"/>
  <c r="AM43" i="10"/>
  <c r="AH43" i="10"/>
  <c r="AC43" i="10"/>
  <c r="X43" i="10"/>
  <c r="S43" i="10"/>
  <c r="N43" i="10"/>
  <c r="I43" i="10"/>
  <c r="BU42" i="10"/>
  <c r="BT42" i="10"/>
  <c r="BS42" i="10"/>
  <c r="BR42" i="10"/>
  <c r="BQ42" i="10"/>
  <c r="BL42" i="10"/>
  <c r="BG42" i="10"/>
  <c r="BB42" i="10"/>
  <c r="AW42" i="10"/>
  <c r="AR42" i="10"/>
  <c r="AM42" i="10"/>
  <c r="AH42" i="10"/>
  <c r="AC42" i="10"/>
  <c r="X42" i="10"/>
  <c r="S42" i="10"/>
  <c r="N42" i="10"/>
  <c r="I42" i="10"/>
  <c r="BU41" i="10"/>
  <c r="BT41" i="10"/>
  <c r="BS41" i="10"/>
  <c r="BR41" i="10"/>
  <c r="BQ41" i="10"/>
  <c r="BL41" i="10"/>
  <c r="BG41" i="10"/>
  <c r="BB41" i="10"/>
  <c r="AW41" i="10"/>
  <c r="AR41" i="10"/>
  <c r="AM41" i="10"/>
  <c r="AH41" i="10"/>
  <c r="AC41" i="10"/>
  <c r="X41" i="10"/>
  <c r="S41" i="10"/>
  <c r="N41" i="10"/>
  <c r="I41" i="10"/>
  <c r="BU40" i="10"/>
  <c r="BT40" i="10"/>
  <c r="BS40" i="10"/>
  <c r="BR40" i="10"/>
  <c r="BV40" i="10" s="1"/>
  <c r="BX40" i="10" s="1"/>
  <c r="BQ40" i="10"/>
  <c r="BL40" i="10"/>
  <c r="BG40" i="10"/>
  <c r="BB40" i="10"/>
  <c r="AW40" i="10"/>
  <c r="AR40" i="10"/>
  <c r="AM40" i="10"/>
  <c r="AH40" i="10"/>
  <c r="AC40" i="10"/>
  <c r="X40" i="10"/>
  <c r="S40" i="10"/>
  <c r="N40" i="10"/>
  <c r="I40" i="10"/>
  <c r="BU39" i="10"/>
  <c r="BT39" i="10"/>
  <c r="BS39" i="10"/>
  <c r="BR39" i="10"/>
  <c r="BQ39" i="10"/>
  <c r="BL39" i="10"/>
  <c r="BG39" i="10"/>
  <c r="BB39" i="10"/>
  <c r="AW39" i="10"/>
  <c r="AR39" i="10"/>
  <c r="AM39" i="10"/>
  <c r="AH39" i="10"/>
  <c r="AC39" i="10"/>
  <c r="X39" i="10"/>
  <c r="S39" i="10"/>
  <c r="N39" i="10"/>
  <c r="I39" i="10"/>
  <c r="BU38" i="10"/>
  <c r="BT38" i="10"/>
  <c r="BS38" i="10"/>
  <c r="BR38" i="10"/>
  <c r="BQ38" i="10"/>
  <c r="BL38" i="10"/>
  <c r="BG38" i="10"/>
  <c r="BB38" i="10"/>
  <c r="AW38" i="10"/>
  <c r="AR38" i="10"/>
  <c r="AM38" i="10"/>
  <c r="AH38" i="10"/>
  <c r="AC38" i="10"/>
  <c r="X38" i="10"/>
  <c r="S38" i="10"/>
  <c r="N38" i="10"/>
  <c r="I38" i="10"/>
  <c r="BU37" i="10"/>
  <c r="BT37" i="10"/>
  <c r="BS37" i="10"/>
  <c r="BR37" i="10"/>
  <c r="BQ37" i="10"/>
  <c r="BL37" i="10"/>
  <c r="BG37" i="10"/>
  <c r="BB37" i="10"/>
  <c r="AW37" i="10"/>
  <c r="AR37" i="10"/>
  <c r="AM37" i="10"/>
  <c r="AH37" i="10"/>
  <c r="AC37" i="10"/>
  <c r="X37" i="10"/>
  <c r="S37" i="10"/>
  <c r="N37" i="10"/>
  <c r="I37" i="10"/>
  <c r="BU36" i="10"/>
  <c r="BT36" i="10"/>
  <c r="BS36" i="10"/>
  <c r="BR36" i="10"/>
  <c r="BV36" i="10" s="1"/>
  <c r="BX36" i="10" s="1"/>
  <c r="BQ36" i="10"/>
  <c r="BL36" i="10"/>
  <c r="BG36" i="10"/>
  <c r="BB36" i="10"/>
  <c r="AW36" i="10"/>
  <c r="AR36" i="10"/>
  <c r="AM36" i="10"/>
  <c r="AH36" i="10"/>
  <c r="AC36" i="10"/>
  <c r="X36" i="10"/>
  <c r="S36" i="10"/>
  <c r="N36" i="10"/>
  <c r="I36" i="10"/>
  <c r="BU35" i="10"/>
  <c r="BT35" i="10"/>
  <c r="BS35" i="10"/>
  <c r="BR35" i="10"/>
  <c r="BQ35" i="10"/>
  <c r="BL35" i="10"/>
  <c r="BG35" i="10"/>
  <c r="BB35" i="10"/>
  <c r="AW35" i="10"/>
  <c r="AR35" i="10"/>
  <c r="AM35" i="10"/>
  <c r="AH35" i="10"/>
  <c r="AC35" i="10"/>
  <c r="X35" i="10"/>
  <c r="S35" i="10"/>
  <c r="N35" i="10"/>
  <c r="I35" i="10"/>
  <c r="BU34" i="10"/>
  <c r="BT34" i="10"/>
  <c r="BS34" i="10"/>
  <c r="BR34" i="10"/>
  <c r="BQ34" i="10"/>
  <c r="BL34" i="10"/>
  <c r="BG34" i="10"/>
  <c r="BB34" i="10"/>
  <c r="AW34" i="10"/>
  <c r="AR34" i="10"/>
  <c r="AM34" i="10"/>
  <c r="AH34" i="10"/>
  <c r="AC34" i="10"/>
  <c r="X34" i="10"/>
  <c r="S34" i="10"/>
  <c r="N34" i="10"/>
  <c r="I34" i="10"/>
  <c r="BU33" i="10"/>
  <c r="BT33" i="10"/>
  <c r="BS33" i="10"/>
  <c r="BR33" i="10"/>
  <c r="BQ33" i="10"/>
  <c r="BL33" i="10"/>
  <c r="BG33" i="10"/>
  <c r="BB33" i="10"/>
  <c r="AW33" i="10"/>
  <c r="AR33" i="10"/>
  <c r="AM33" i="10"/>
  <c r="AH33" i="10"/>
  <c r="AC33" i="10"/>
  <c r="X33" i="10"/>
  <c r="S33" i="10"/>
  <c r="N33" i="10"/>
  <c r="I33" i="10"/>
  <c r="BU32" i="10"/>
  <c r="BT32" i="10"/>
  <c r="BS32" i="10"/>
  <c r="BR32" i="10"/>
  <c r="BV32" i="10" s="1"/>
  <c r="BX32" i="10" s="1"/>
  <c r="BQ32" i="10"/>
  <c r="BL32" i="10"/>
  <c r="BG32" i="10"/>
  <c r="BB32" i="10"/>
  <c r="AW32" i="10"/>
  <c r="AR32" i="10"/>
  <c r="AM32" i="10"/>
  <c r="AH32" i="10"/>
  <c r="AC32" i="10"/>
  <c r="X32" i="10"/>
  <c r="S32" i="10"/>
  <c r="N32" i="10"/>
  <c r="I32" i="10"/>
  <c r="BU31" i="10"/>
  <c r="BT31" i="10"/>
  <c r="BS31" i="10"/>
  <c r="BR31" i="10"/>
  <c r="BQ31" i="10"/>
  <c r="BL31" i="10"/>
  <c r="BG31" i="10"/>
  <c r="BB31" i="10"/>
  <c r="AW31" i="10"/>
  <c r="AR31" i="10"/>
  <c r="AM31" i="10"/>
  <c r="AH31" i="10"/>
  <c r="AC31" i="10"/>
  <c r="X31" i="10"/>
  <c r="S31" i="10"/>
  <c r="N31" i="10"/>
  <c r="I31" i="10"/>
  <c r="BU30" i="10"/>
  <c r="BT30" i="10"/>
  <c r="BS30" i="10"/>
  <c r="BR30" i="10"/>
  <c r="BQ30" i="10"/>
  <c r="BL30" i="10"/>
  <c r="BG30" i="10"/>
  <c r="BB30" i="10"/>
  <c r="AW30" i="10"/>
  <c r="AR30" i="10"/>
  <c r="AM30" i="10"/>
  <c r="AH30" i="10"/>
  <c r="AC30" i="10"/>
  <c r="X30" i="10"/>
  <c r="S30" i="10"/>
  <c r="N30" i="10"/>
  <c r="I30" i="10"/>
  <c r="BU29" i="10"/>
  <c r="BT29" i="10"/>
  <c r="BS29" i="10"/>
  <c r="BR29" i="10"/>
  <c r="BQ29" i="10"/>
  <c r="BL29" i="10"/>
  <c r="BG29" i="10"/>
  <c r="BB29" i="10"/>
  <c r="AW29" i="10"/>
  <c r="AR29" i="10"/>
  <c r="AM29" i="10"/>
  <c r="AH29" i="10"/>
  <c r="AC29" i="10"/>
  <c r="X29" i="10"/>
  <c r="S29" i="10"/>
  <c r="N29" i="10"/>
  <c r="I29" i="10"/>
  <c r="BU28" i="10"/>
  <c r="BT28" i="10"/>
  <c r="BS28" i="10"/>
  <c r="BR28" i="10"/>
  <c r="BV28" i="10" s="1"/>
  <c r="BX28" i="10" s="1"/>
  <c r="BQ28" i="10"/>
  <c r="BL28" i="10"/>
  <c r="BG28" i="10"/>
  <c r="BB28" i="10"/>
  <c r="AW28" i="10"/>
  <c r="AR28" i="10"/>
  <c r="AM28" i="10"/>
  <c r="AH28" i="10"/>
  <c r="AC28" i="10"/>
  <c r="X28" i="10"/>
  <c r="S28" i="10"/>
  <c r="N28" i="10"/>
  <c r="I28" i="10"/>
  <c r="BU27" i="10"/>
  <c r="BT27" i="10"/>
  <c r="BS27" i="10"/>
  <c r="BR27" i="10"/>
  <c r="BQ27" i="10"/>
  <c r="BL27" i="10"/>
  <c r="BG27" i="10"/>
  <c r="BB27" i="10"/>
  <c r="AW27" i="10"/>
  <c r="AR27" i="10"/>
  <c r="AM27" i="10"/>
  <c r="AH27" i="10"/>
  <c r="AC27" i="10"/>
  <c r="X27" i="10"/>
  <c r="S27" i="10"/>
  <c r="N27" i="10"/>
  <c r="I27" i="10"/>
  <c r="BU26" i="10"/>
  <c r="BT26" i="10"/>
  <c r="BS26" i="10"/>
  <c r="BR26" i="10"/>
  <c r="BQ26" i="10"/>
  <c r="BL26" i="10"/>
  <c r="BG26" i="10"/>
  <c r="BB26" i="10"/>
  <c r="AW26" i="10"/>
  <c r="AR26" i="10"/>
  <c r="AM26" i="10"/>
  <c r="AH26" i="10"/>
  <c r="AC26" i="10"/>
  <c r="X26" i="10"/>
  <c r="S26" i="10"/>
  <c r="N26" i="10"/>
  <c r="I26" i="10"/>
  <c r="BU25" i="10"/>
  <c r="BT25" i="10"/>
  <c r="BS25" i="10"/>
  <c r="BR25" i="10"/>
  <c r="BQ25" i="10"/>
  <c r="BL25" i="10"/>
  <c r="BG25" i="10"/>
  <c r="BB25" i="10"/>
  <c r="AW25" i="10"/>
  <c r="AR25" i="10"/>
  <c r="AM25" i="10"/>
  <c r="AH25" i="10"/>
  <c r="AC25" i="10"/>
  <c r="X25" i="10"/>
  <c r="S25" i="10"/>
  <c r="N25" i="10"/>
  <c r="I25" i="10"/>
  <c r="BU24" i="10"/>
  <c r="BT24" i="10"/>
  <c r="BS24" i="10"/>
  <c r="BR24" i="10"/>
  <c r="BV24" i="10" s="1"/>
  <c r="BX24" i="10" s="1"/>
  <c r="BQ24" i="10"/>
  <c r="BL24" i="10"/>
  <c r="BG24" i="10"/>
  <c r="BB24" i="10"/>
  <c r="AW24" i="10"/>
  <c r="AR24" i="10"/>
  <c r="AM24" i="10"/>
  <c r="AH24" i="10"/>
  <c r="AC24" i="10"/>
  <c r="X24" i="10"/>
  <c r="S24" i="10"/>
  <c r="N24" i="10"/>
  <c r="I24" i="10"/>
  <c r="BU23" i="10"/>
  <c r="BT23" i="10"/>
  <c r="BS23" i="10"/>
  <c r="BR23" i="10"/>
  <c r="BQ23" i="10"/>
  <c r="BL23" i="10"/>
  <c r="BG23" i="10"/>
  <c r="BB23" i="10"/>
  <c r="AW23" i="10"/>
  <c r="AR23" i="10"/>
  <c r="AM23" i="10"/>
  <c r="AH23" i="10"/>
  <c r="AC23" i="10"/>
  <c r="X23" i="10"/>
  <c r="S23" i="10"/>
  <c r="N23" i="10"/>
  <c r="I23" i="10"/>
  <c r="BU22" i="10"/>
  <c r="BT22" i="10"/>
  <c r="BS22" i="10"/>
  <c r="BR22" i="10"/>
  <c r="BQ22" i="10"/>
  <c r="BL22" i="10"/>
  <c r="BG22" i="10"/>
  <c r="BB22" i="10"/>
  <c r="AW22" i="10"/>
  <c r="AR22" i="10"/>
  <c r="AM22" i="10"/>
  <c r="AH22" i="10"/>
  <c r="AC22" i="10"/>
  <c r="X22" i="10"/>
  <c r="S22" i="10"/>
  <c r="N22" i="10"/>
  <c r="I22" i="10"/>
  <c r="BU21" i="10"/>
  <c r="BT21" i="10"/>
  <c r="BS21" i="10"/>
  <c r="BR21" i="10"/>
  <c r="BQ21" i="10"/>
  <c r="BL21" i="10"/>
  <c r="BG21" i="10"/>
  <c r="BB21" i="10"/>
  <c r="AW21" i="10"/>
  <c r="AR21" i="10"/>
  <c r="AM21" i="10"/>
  <c r="AH21" i="10"/>
  <c r="AC21" i="10"/>
  <c r="X21" i="10"/>
  <c r="S21" i="10"/>
  <c r="N21" i="10"/>
  <c r="I21" i="10"/>
  <c r="BU20" i="10"/>
  <c r="BT20" i="10"/>
  <c r="BS20" i="10"/>
  <c r="BR20" i="10"/>
  <c r="BV20" i="10" s="1"/>
  <c r="BX20" i="10" s="1"/>
  <c r="BQ20" i="10"/>
  <c r="BL20" i="10"/>
  <c r="BG20" i="10"/>
  <c r="BB20" i="10"/>
  <c r="AW20" i="10"/>
  <c r="AR20" i="10"/>
  <c r="AM20" i="10"/>
  <c r="AH20" i="10"/>
  <c r="AC20" i="10"/>
  <c r="X20" i="10"/>
  <c r="S20" i="10"/>
  <c r="N20" i="10"/>
  <c r="I20" i="10"/>
  <c r="BU19" i="10"/>
  <c r="BT19" i="10"/>
  <c r="BS19" i="10"/>
  <c r="BR19" i="10"/>
  <c r="BQ19" i="10"/>
  <c r="BL19" i="10"/>
  <c r="BG19" i="10"/>
  <c r="BB19" i="10"/>
  <c r="AW19" i="10"/>
  <c r="AR19" i="10"/>
  <c r="AM19" i="10"/>
  <c r="AH19" i="10"/>
  <c r="AC19" i="10"/>
  <c r="X19" i="10"/>
  <c r="S19" i="10"/>
  <c r="N19" i="10"/>
  <c r="I19" i="10"/>
  <c r="BU18" i="10"/>
  <c r="BT18" i="10"/>
  <c r="BS18" i="10"/>
  <c r="BR18" i="10"/>
  <c r="BQ18" i="10"/>
  <c r="BL18" i="10"/>
  <c r="BG18" i="10"/>
  <c r="BB18" i="10"/>
  <c r="AW18" i="10"/>
  <c r="AR18" i="10"/>
  <c r="AM18" i="10"/>
  <c r="AH18" i="10"/>
  <c r="AC18" i="10"/>
  <c r="X18" i="10"/>
  <c r="S18" i="10"/>
  <c r="N18" i="10"/>
  <c r="I18" i="10"/>
  <c r="BU17" i="10"/>
  <c r="BT17" i="10"/>
  <c r="BS17" i="10"/>
  <c r="BR17" i="10"/>
  <c r="BQ17" i="10"/>
  <c r="BL17" i="10"/>
  <c r="BG17" i="10"/>
  <c r="BB17" i="10"/>
  <c r="AW17" i="10"/>
  <c r="AR17" i="10"/>
  <c r="AM17" i="10"/>
  <c r="AH17" i="10"/>
  <c r="AC17" i="10"/>
  <c r="X17" i="10"/>
  <c r="S17" i="10"/>
  <c r="N17" i="10"/>
  <c r="I17" i="10"/>
  <c r="BU16" i="10"/>
  <c r="BT16" i="10"/>
  <c r="BS16" i="10"/>
  <c r="BR16" i="10"/>
  <c r="BV16" i="10" s="1"/>
  <c r="BX16" i="10" s="1"/>
  <c r="BQ16" i="10"/>
  <c r="BL16" i="10"/>
  <c r="BG16" i="10"/>
  <c r="BB16" i="10"/>
  <c r="AW16" i="10"/>
  <c r="AR16" i="10"/>
  <c r="AM16" i="10"/>
  <c r="AH16" i="10"/>
  <c r="AC16" i="10"/>
  <c r="X16" i="10"/>
  <c r="S16" i="10"/>
  <c r="N16" i="10"/>
  <c r="I16" i="10"/>
  <c r="BU15" i="10"/>
  <c r="BT15" i="10"/>
  <c r="BS15" i="10"/>
  <c r="BR15" i="10"/>
  <c r="BQ15" i="10"/>
  <c r="BL15" i="10"/>
  <c r="BG15" i="10"/>
  <c r="BB15" i="10"/>
  <c r="AW15" i="10"/>
  <c r="AR15" i="10"/>
  <c r="AM15" i="10"/>
  <c r="AH15" i="10"/>
  <c r="AC15" i="10"/>
  <c r="X15" i="10"/>
  <c r="S15" i="10"/>
  <c r="N15" i="10"/>
  <c r="I15" i="10"/>
  <c r="BU14" i="10"/>
  <c r="BT14" i="10"/>
  <c r="BS14" i="10"/>
  <c r="BR14" i="10"/>
  <c r="BQ14" i="10"/>
  <c r="BL14" i="10"/>
  <c r="BG14" i="10"/>
  <c r="BB14" i="10"/>
  <c r="AW14" i="10"/>
  <c r="AR14" i="10"/>
  <c r="AM14" i="10"/>
  <c r="AH14" i="10"/>
  <c r="AC14" i="10"/>
  <c r="X14" i="10"/>
  <c r="S14" i="10"/>
  <c r="N14" i="10"/>
  <c r="I14" i="10"/>
  <c r="BU13" i="10"/>
  <c r="BT13" i="10"/>
  <c r="BS13" i="10"/>
  <c r="BR13" i="10"/>
  <c r="BQ13" i="10"/>
  <c r="BL13" i="10"/>
  <c r="BG13" i="10"/>
  <c r="BB13" i="10"/>
  <c r="AW13" i="10"/>
  <c r="AR13" i="10"/>
  <c r="AM13" i="10"/>
  <c r="AH13" i="10"/>
  <c r="AC13" i="10"/>
  <c r="X13" i="10"/>
  <c r="S13" i="10"/>
  <c r="N13" i="10"/>
  <c r="I13" i="10"/>
  <c r="BU12" i="10"/>
  <c r="BT12" i="10"/>
  <c r="BS12" i="10"/>
  <c r="BR12" i="10"/>
  <c r="BV12" i="10" s="1"/>
  <c r="BX12" i="10" s="1"/>
  <c r="BQ12" i="10"/>
  <c r="BL12" i="10"/>
  <c r="BG12" i="10"/>
  <c r="BB12" i="10"/>
  <c r="AW12" i="10"/>
  <c r="AR12" i="10"/>
  <c r="AM12" i="10"/>
  <c r="AH12" i="10"/>
  <c r="AC12" i="10"/>
  <c r="X12" i="10"/>
  <c r="S12" i="10"/>
  <c r="N12" i="10"/>
  <c r="I12" i="10"/>
  <c r="BU11" i="10"/>
  <c r="BT11" i="10"/>
  <c r="BS11" i="10"/>
  <c r="BR11" i="10"/>
  <c r="BQ11" i="10"/>
  <c r="BL11" i="10"/>
  <c r="BG11" i="10"/>
  <c r="BB11" i="10"/>
  <c r="AW11" i="10"/>
  <c r="AR11" i="10"/>
  <c r="AM11" i="10"/>
  <c r="AH11" i="10"/>
  <c r="AC11" i="10"/>
  <c r="X11" i="10"/>
  <c r="S11" i="10"/>
  <c r="N11" i="10"/>
  <c r="I11" i="10"/>
  <c r="BU10" i="10"/>
  <c r="BT10" i="10"/>
  <c r="BS10" i="10"/>
  <c r="BR10" i="10"/>
  <c r="BQ10" i="10"/>
  <c r="BL10" i="10"/>
  <c r="BG10" i="10"/>
  <c r="BB10" i="10"/>
  <c r="AW10" i="10"/>
  <c r="AR10" i="10"/>
  <c r="AM10" i="10"/>
  <c r="AH10" i="10"/>
  <c r="AC10" i="10"/>
  <c r="X10" i="10"/>
  <c r="S10" i="10"/>
  <c r="N10" i="10"/>
  <c r="I10" i="10"/>
  <c r="BU9" i="10"/>
  <c r="BT9" i="10"/>
  <c r="BS9" i="10"/>
  <c r="BR9" i="10"/>
  <c r="BQ9" i="10"/>
  <c r="BL9" i="10"/>
  <c r="BG9" i="10"/>
  <c r="BB9" i="10"/>
  <c r="AW9" i="10"/>
  <c r="AR9" i="10"/>
  <c r="AM9" i="10"/>
  <c r="AH9" i="10"/>
  <c r="AC9" i="10"/>
  <c r="X9" i="10"/>
  <c r="S9" i="10"/>
  <c r="N9" i="10"/>
  <c r="I9" i="10"/>
  <c r="BU8" i="10"/>
  <c r="BT8" i="10"/>
  <c r="BS8" i="10"/>
  <c r="BR8" i="10"/>
  <c r="BR47" i="10" s="1"/>
  <c r="BQ8" i="10"/>
  <c r="BL8" i="10"/>
  <c r="BG8" i="10"/>
  <c r="BB8" i="10"/>
  <c r="AW8" i="10"/>
  <c r="AR8" i="10"/>
  <c r="AM8" i="10"/>
  <c r="AH8" i="10"/>
  <c r="AH47" i="10" s="1"/>
  <c r="AC8" i="10"/>
  <c r="X8" i="10"/>
  <c r="S8" i="10"/>
  <c r="N8" i="10"/>
  <c r="I8" i="10"/>
  <c r="BU7" i="10"/>
  <c r="BT7" i="10"/>
  <c r="BS7" i="10"/>
  <c r="BR7" i="10"/>
  <c r="BQ7" i="10"/>
  <c r="BL7" i="10"/>
  <c r="BG7" i="10"/>
  <c r="BB7" i="10"/>
  <c r="AW7" i="10"/>
  <c r="AR7" i="10"/>
  <c r="AM7" i="10"/>
  <c r="AH7" i="10"/>
  <c r="AC7" i="10"/>
  <c r="X7" i="10"/>
  <c r="S7" i="10"/>
  <c r="N7" i="10"/>
  <c r="I7" i="10"/>
  <c r="BX5" i="10"/>
  <c r="S40" i="11" l="1"/>
  <c r="S6" i="11"/>
  <c r="T82" i="11" s="1"/>
  <c r="BV9" i="10"/>
  <c r="BX9" i="10" s="1"/>
  <c r="BV13" i="10"/>
  <c r="BX13" i="10" s="1"/>
  <c r="BV17" i="10"/>
  <c r="BX17" i="10" s="1"/>
  <c r="AE73" i="10"/>
  <c r="AE77" i="10" s="1"/>
  <c r="AR68" i="10"/>
  <c r="BF73" i="10"/>
  <c r="BF77" i="10" s="1"/>
  <c r="BT68" i="10"/>
  <c r="BV55" i="10"/>
  <c r="BX55" i="10" s="1"/>
  <c r="X68" i="10"/>
  <c r="BL68" i="10"/>
  <c r="BV60" i="10"/>
  <c r="G73" i="10"/>
  <c r="G77" i="10" s="1"/>
  <c r="BV71" i="10"/>
  <c r="BX71" i="10" s="1"/>
  <c r="AU73" i="10"/>
  <c r="AU77" i="10" s="1"/>
  <c r="I47" i="10"/>
  <c r="AC47" i="10"/>
  <c r="AW47" i="10"/>
  <c r="AW73" i="10" s="1"/>
  <c r="AW77" i="10" s="1"/>
  <c r="BQ47" i="10"/>
  <c r="BU47" i="10"/>
  <c r="BV10" i="10"/>
  <c r="BX10" i="10" s="1"/>
  <c r="BV14" i="10"/>
  <c r="BX14" i="10" s="1"/>
  <c r="BV18" i="10"/>
  <c r="BX18" i="10" s="1"/>
  <c r="BV22" i="10"/>
  <c r="BX22" i="10" s="1"/>
  <c r="BV26" i="10"/>
  <c r="BX26" i="10" s="1"/>
  <c r="BV30" i="10"/>
  <c r="BX30" i="10" s="1"/>
  <c r="BV34" i="10"/>
  <c r="BX34" i="10" s="1"/>
  <c r="Y73" i="10"/>
  <c r="Y77" i="10" s="1"/>
  <c r="AD73" i="10"/>
  <c r="AD77" i="10" s="1"/>
  <c r="O73" i="10"/>
  <c r="O77" i="10" s="1"/>
  <c r="W73" i="10"/>
  <c r="W77" i="10" s="1"/>
  <c r="AA73" i="10"/>
  <c r="AA77" i="10" s="1"/>
  <c r="BC73" i="10"/>
  <c r="BC77" i="10" s="1"/>
  <c r="BK73" i="10"/>
  <c r="BK77" i="10" s="1"/>
  <c r="BV56" i="10"/>
  <c r="BX56" i="10" s="1"/>
  <c r="BV61" i="10"/>
  <c r="AM68" i="10"/>
  <c r="BS68" i="10"/>
  <c r="BO73" i="10"/>
  <c r="BO77" i="10" s="1"/>
  <c r="N47" i="10"/>
  <c r="BB47" i="10"/>
  <c r="BV7" i="10"/>
  <c r="BV11" i="10"/>
  <c r="BX11" i="10" s="1"/>
  <c r="BV15" i="10"/>
  <c r="BX15" i="10" s="1"/>
  <c r="BV19" i="10"/>
  <c r="BX19" i="10" s="1"/>
  <c r="BV23" i="10"/>
  <c r="BX23" i="10" s="1"/>
  <c r="BV27" i="10"/>
  <c r="BX27" i="10" s="1"/>
  <c r="BV31" i="10"/>
  <c r="BX31" i="10" s="1"/>
  <c r="BV35" i="10"/>
  <c r="BX35" i="10" s="1"/>
  <c r="BV39" i="10"/>
  <c r="BX39" i="10" s="1"/>
  <c r="BV43" i="10"/>
  <c r="BX43" i="10" s="1"/>
  <c r="F73" i="10"/>
  <c r="F77" i="10" s="1"/>
  <c r="P73" i="10"/>
  <c r="P77" i="10" s="1"/>
  <c r="U73" i="10"/>
  <c r="U77" i="10" s="1"/>
  <c r="BD73" i="10"/>
  <c r="BD77" i="10" s="1"/>
  <c r="BI73" i="10"/>
  <c r="BI77" i="10" s="1"/>
  <c r="K73" i="10"/>
  <c r="K77" i="10" s="1"/>
  <c r="AY73" i="10"/>
  <c r="AY77" i="10" s="1"/>
  <c r="BV62" i="10"/>
  <c r="BV66" i="10"/>
  <c r="BX66" i="10" s="1"/>
  <c r="S68" i="10"/>
  <c r="BX7" i="10"/>
  <c r="AV73" i="10"/>
  <c r="AV77" i="10" s="1"/>
  <c r="AZ73" i="10"/>
  <c r="AZ77" i="10" s="1"/>
  <c r="R68" i="10"/>
  <c r="R73" i="10" s="1"/>
  <c r="R77" i="10" s="1"/>
  <c r="BV25" i="10"/>
  <c r="BX25" i="10" s="1"/>
  <c r="BV33" i="10"/>
  <c r="BX33" i="10" s="1"/>
  <c r="BV38" i="10"/>
  <c r="BX38" i="10" s="1"/>
  <c r="BV42" i="10"/>
  <c r="BX42" i="10" s="1"/>
  <c r="BV46" i="10"/>
  <c r="BX46" i="10" s="1"/>
  <c r="E73" i="10"/>
  <c r="E77" i="10" s="1"/>
  <c r="M73" i="10"/>
  <c r="M77" i="10" s="1"/>
  <c r="AN73" i="10"/>
  <c r="AN77" i="10" s="1"/>
  <c r="BA73" i="10"/>
  <c r="BA77" i="10" s="1"/>
  <c r="BV65" i="10"/>
  <c r="BX65" i="10" s="1"/>
  <c r="S47" i="10"/>
  <c r="S73" i="10" s="1"/>
  <c r="S77" i="10" s="1"/>
  <c r="AM47" i="10"/>
  <c r="BG47" i="10"/>
  <c r="BG73" i="10" s="1"/>
  <c r="BG77" i="10" s="1"/>
  <c r="BS47" i="10"/>
  <c r="BS73" i="10" s="1"/>
  <c r="BS77" i="10" s="1"/>
  <c r="AB73" i="10"/>
  <c r="AB77" i="10" s="1"/>
  <c r="AF73" i="10"/>
  <c r="AF77" i="10" s="1"/>
  <c r="AJ73" i="10"/>
  <c r="AJ77" i="10" s="1"/>
  <c r="BP73" i="10"/>
  <c r="BP77" i="10" s="1"/>
  <c r="I68" i="10"/>
  <c r="AC68" i="10"/>
  <c r="AW68" i="10"/>
  <c r="BQ68" i="10"/>
  <c r="BQ73" i="10" s="1"/>
  <c r="BQ77" i="10" s="1"/>
  <c r="BV58" i="10"/>
  <c r="BV8" i="10"/>
  <c r="BX8" i="10" s="1"/>
  <c r="L73" i="10"/>
  <c r="L77" i="10" s="1"/>
  <c r="X47" i="10"/>
  <c r="X73" i="10" s="1"/>
  <c r="X77" i="10" s="1"/>
  <c r="AR47" i="10"/>
  <c r="AR73" i="10" s="1"/>
  <c r="AR77" i="10" s="1"/>
  <c r="BL47" i="10"/>
  <c r="BL73" i="10" s="1"/>
  <c r="BL77" i="10" s="1"/>
  <c r="BT47" i="10"/>
  <c r="BT73" i="10" s="1"/>
  <c r="BT77" i="10" s="1"/>
  <c r="BV21" i="10"/>
  <c r="BX21" i="10" s="1"/>
  <c r="BV29" i="10"/>
  <c r="BX29" i="10" s="1"/>
  <c r="BV37" i="10"/>
  <c r="BX37" i="10" s="1"/>
  <c r="BV41" i="10"/>
  <c r="BX41" i="10" s="1"/>
  <c r="BV45" i="10"/>
  <c r="BX45" i="10" s="1"/>
  <c r="T73" i="10"/>
  <c r="T77" i="10" s="1"/>
  <c r="BH73" i="10"/>
  <c r="BH77" i="10" s="1"/>
  <c r="BV51" i="10"/>
  <c r="BX51" i="10" s="1"/>
  <c r="N52" i="10"/>
  <c r="N68" i="10" s="1"/>
  <c r="N73" i="10" s="1"/>
  <c r="N77" i="10" s="1"/>
  <c r="AH52" i="10"/>
  <c r="AH68" i="10" s="1"/>
  <c r="AH73" i="10" s="1"/>
  <c r="AH77" i="10" s="1"/>
  <c r="BB52" i="10"/>
  <c r="BB68" i="10" s="1"/>
  <c r="BR52" i="10"/>
  <c r="BR68" i="10" s="1"/>
  <c r="BR73" i="10" s="1"/>
  <c r="BR77" i="10" s="1"/>
  <c r="BU57" i="10"/>
  <c r="BV57" i="10" s="1"/>
  <c r="BX57" i="10" s="1"/>
  <c r="BV64" i="10"/>
  <c r="BX64" i="10" s="1"/>
  <c r="BV53" i="10"/>
  <c r="N57" i="10"/>
  <c r="AL102" i="9"/>
  <c r="AK102" i="9"/>
  <c r="AH102" i="9"/>
  <c r="T102" i="9"/>
  <c r="AG101" i="9"/>
  <c r="AF101" i="9"/>
  <c r="AE101" i="9"/>
  <c r="AD101" i="9"/>
  <c r="AC101" i="9"/>
  <c r="AB101" i="9"/>
  <c r="AA101" i="9"/>
  <c r="Z101" i="9"/>
  <c r="Y101" i="9"/>
  <c r="X101" i="9"/>
  <c r="W101" i="9"/>
  <c r="AH101" i="9" s="1"/>
  <c r="AK101" i="9" s="1"/>
  <c r="V101" i="9"/>
  <c r="U101" i="9"/>
  <c r="T101" i="9"/>
  <c r="I101" i="9"/>
  <c r="H101" i="9"/>
  <c r="G101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I100" i="9"/>
  <c r="H100" i="9"/>
  <c r="G100" i="9"/>
  <c r="AG99" i="9"/>
  <c r="AD99" i="9"/>
  <c r="AC99" i="9"/>
  <c r="Z99" i="9"/>
  <c r="Y99" i="9"/>
  <c r="V99" i="9"/>
  <c r="U99" i="9"/>
  <c r="S99" i="9"/>
  <c r="R99" i="9"/>
  <c r="Q99" i="9"/>
  <c r="P99" i="9"/>
  <c r="O99" i="9"/>
  <c r="N99" i="9"/>
  <c r="M99" i="9"/>
  <c r="L99" i="9"/>
  <c r="K99" i="9"/>
  <c r="J99" i="9"/>
  <c r="J91" i="9" s="1"/>
  <c r="J87" i="9" s="1"/>
  <c r="J83" i="9" s="1"/>
  <c r="H99" i="9"/>
  <c r="G99" i="9"/>
  <c r="AK98" i="9"/>
  <c r="AK96" i="9"/>
  <c r="AH96" i="9"/>
  <c r="T96" i="9"/>
  <c r="AF95" i="9"/>
  <c r="AE95" i="9"/>
  <c r="AE93" i="9" s="1"/>
  <c r="AD95" i="9"/>
  <c r="AB95" i="9"/>
  <c r="AA95" i="9"/>
  <c r="AA93" i="9" s="1"/>
  <c r="Z95" i="9"/>
  <c r="X95" i="9"/>
  <c r="W95" i="9"/>
  <c r="V95" i="9"/>
  <c r="U95" i="9"/>
  <c r="T95" i="9"/>
  <c r="S95" i="9"/>
  <c r="R95" i="9"/>
  <c r="Q95" i="9"/>
  <c r="Q93" i="9" s="1"/>
  <c r="P95" i="9"/>
  <c r="O95" i="9"/>
  <c r="N95" i="9"/>
  <c r="M95" i="9"/>
  <c r="M93" i="9" s="1"/>
  <c r="L95" i="9"/>
  <c r="K95" i="9"/>
  <c r="I95" i="9"/>
  <c r="G95" i="9"/>
  <c r="AG94" i="9"/>
  <c r="AE94" i="9"/>
  <c r="AD94" i="9"/>
  <c r="AD93" i="9" s="1"/>
  <c r="AC94" i="9"/>
  <c r="AA94" i="9"/>
  <c r="Z94" i="9"/>
  <c r="Y94" i="9"/>
  <c r="W94" i="9"/>
  <c r="V94" i="9"/>
  <c r="U94" i="9"/>
  <c r="T94" i="9"/>
  <c r="S94" i="9"/>
  <c r="R94" i="9"/>
  <c r="Q94" i="9"/>
  <c r="P94" i="9"/>
  <c r="P93" i="9" s="1"/>
  <c r="P91" i="9" s="1"/>
  <c r="P87" i="9" s="1"/>
  <c r="O94" i="9"/>
  <c r="N94" i="9"/>
  <c r="M94" i="9"/>
  <c r="L94" i="9"/>
  <c r="K94" i="9"/>
  <c r="I94" i="9"/>
  <c r="G94" i="9"/>
  <c r="U93" i="9"/>
  <c r="U91" i="9" s="1"/>
  <c r="U87" i="9" s="1"/>
  <c r="U83" i="9" s="1"/>
  <c r="T93" i="9"/>
  <c r="L93" i="9"/>
  <c r="L91" i="9" s="1"/>
  <c r="L87" i="9" s="1"/>
  <c r="L83" i="9" s="1"/>
  <c r="H93" i="9"/>
  <c r="G93" i="9"/>
  <c r="AD91" i="9"/>
  <c r="G91" i="9"/>
  <c r="G87" i="9" s="1"/>
  <c r="G83" i="9" s="1"/>
  <c r="AD87" i="9"/>
  <c r="AG86" i="9"/>
  <c r="AF86" i="9"/>
  <c r="AE86" i="9"/>
  <c r="AD86" i="9"/>
  <c r="AC86" i="9"/>
  <c r="AB86" i="9"/>
  <c r="AA86" i="9"/>
  <c r="W86" i="9"/>
  <c r="V86" i="9"/>
  <c r="AH86" i="9" s="1"/>
  <c r="AK86" i="9" s="1"/>
  <c r="U86" i="9"/>
  <c r="I86" i="9"/>
  <c r="H86" i="9"/>
  <c r="G86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I85" i="9"/>
  <c r="H85" i="9"/>
  <c r="G85" i="9"/>
  <c r="AG84" i="9"/>
  <c r="AF84" i="9"/>
  <c r="AE84" i="9"/>
  <c r="AD84" i="9"/>
  <c r="AC84" i="9"/>
  <c r="AB84" i="9"/>
  <c r="AA84" i="9"/>
  <c r="Z84" i="9"/>
  <c r="Y84" i="9"/>
  <c r="X84" i="9"/>
  <c r="W84" i="9"/>
  <c r="V84" i="9"/>
  <c r="AH84" i="9" s="1"/>
  <c r="U84" i="9"/>
  <c r="I84" i="9"/>
  <c r="H84" i="9"/>
  <c r="G84" i="9"/>
  <c r="AD83" i="9"/>
  <c r="AL82" i="9"/>
  <c r="AK82" i="9"/>
  <c r="AL81" i="9"/>
  <c r="AK81" i="9"/>
  <c r="AK80" i="9"/>
  <c r="AH80" i="9"/>
  <c r="AL80" i="9" s="1"/>
  <c r="T80" i="9"/>
  <c r="AK79" i="9"/>
  <c r="AH79" i="9"/>
  <c r="AL79" i="9" s="1"/>
  <c r="T79" i="9"/>
  <c r="AL78" i="9"/>
  <c r="AK78" i="9"/>
  <c r="AH77" i="9"/>
  <c r="AL77" i="9" s="1"/>
  <c r="T77" i="9"/>
  <c r="AH76" i="9"/>
  <c r="AL76" i="9" s="1"/>
  <c r="T76" i="9"/>
  <c r="AG75" i="9"/>
  <c r="AF75" i="9"/>
  <c r="AE75" i="9"/>
  <c r="AD75" i="9"/>
  <c r="AC75" i="9"/>
  <c r="AB75" i="9"/>
  <c r="AA75" i="9"/>
  <c r="Z75" i="9"/>
  <c r="Y75" i="9"/>
  <c r="X75" i="9"/>
  <c r="W75" i="9"/>
  <c r="V75" i="9"/>
  <c r="S75" i="9"/>
  <c r="R75" i="9"/>
  <c r="Q75" i="9"/>
  <c r="P75" i="9"/>
  <c r="O75" i="9"/>
  <c r="N75" i="9"/>
  <c r="M75" i="9"/>
  <c r="L75" i="9"/>
  <c r="K75" i="9"/>
  <c r="J75" i="9"/>
  <c r="I75" i="9"/>
  <c r="H75" i="9"/>
  <c r="AL74" i="9"/>
  <c r="AK74" i="9"/>
  <c r="AG73" i="9"/>
  <c r="W73" i="9"/>
  <c r="V73" i="9"/>
  <c r="AH73" i="9" s="1"/>
  <c r="S73" i="9"/>
  <c r="I73" i="9"/>
  <c r="H73" i="9"/>
  <c r="G73" i="9"/>
  <c r="AL72" i="9"/>
  <c r="AG72" i="9"/>
  <c r="W72" i="9"/>
  <c r="AH72" i="9" s="1"/>
  <c r="AK72" i="9" s="1"/>
  <c r="V72" i="9"/>
  <c r="S72" i="9"/>
  <c r="I72" i="9"/>
  <c r="H72" i="9"/>
  <c r="G72" i="9"/>
  <c r="AL71" i="9"/>
  <c r="AK71" i="9"/>
  <c r="AH70" i="9"/>
  <c r="AL70" i="9" s="1"/>
  <c r="AG70" i="9"/>
  <c r="W70" i="9"/>
  <c r="V70" i="9"/>
  <c r="S70" i="9"/>
  <c r="I70" i="9"/>
  <c r="H70" i="9"/>
  <c r="G70" i="9"/>
  <c r="AG69" i="9"/>
  <c r="W69" i="9"/>
  <c r="AH69" i="9" s="1"/>
  <c r="V69" i="9"/>
  <c r="S69" i="9"/>
  <c r="I69" i="9"/>
  <c r="H69" i="9"/>
  <c r="G69" i="9"/>
  <c r="AF68" i="9"/>
  <c r="AE68" i="9"/>
  <c r="AD68" i="9"/>
  <c r="AD59" i="9" s="1"/>
  <c r="AC68" i="9"/>
  <c r="AC59" i="9" s="1"/>
  <c r="AB68" i="9"/>
  <c r="AA68" i="9"/>
  <c r="Z68" i="9"/>
  <c r="Y68" i="9"/>
  <c r="Y59" i="9" s="1"/>
  <c r="X68" i="9"/>
  <c r="W68" i="9"/>
  <c r="V68" i="9"/>
  <c r="R68" i="9"/>
  <c r="Q68" i="9"/>
  <c r="P68" i="9"/>
  <c r="O68" i="9"/>
  <c r="N68" i="9"/>
  <c r="M68" i="9"/>
  <c r="L68" i="9"/>
  <c r="K68" i="9"/>
  <c r="J68" i="9"/>
  <c r="H68" i="9"/>
  <c r="G68" i="9"/>
  <c r="AG66" i="9"/>
  <c r="AF66" i="9"/>
  <c r="AE66" i="9"/>
  <c r="AD66" i="9"/>
  <c r="AC66" i="9"/>
  <c r="AB66" i="9"/>
  <c r="AA66" i="9"/>
  <c r="Z66" i="9"/>
  <c r="Y66" i="9"/>
  <c r="X66" i="9"/>
  <c r="W66" i="9"/>
  <c r="V66" i="9"/>
  <c r="AH66" i="9" s="1"/>
  <c r="AK66" i="9" s="1"/>
  <c r="U66" i="9"/>
  <c r="T66" i="9"/>
  <c r="I66" i="9"/>
  <c r="H66" i="9"/>
  <c r="G66" i="9"/>
  <c r="AG65" i="9"/>
  <c r="AF65" i="9"/>
  <c r="AE65" i="9"/>
  <c r="AD65" i="9"/>
  <c r="AC65" i="9"/>
  <c r="AB65" i="9"/>
  <c r="AA65" i="9"/>
  <c r="Z65" i="9"/>
  <c r="Y65" i="9"/>
  <c r="X65" i="9"/>
  <c r="W65" i="9"/>
  <c r="V65" i="9"/>
  <c r="AH65" i="9" s="1"/>
  <c r="AK65" i="9" s="1"/>
  <c r="U65" i="9"/>
  <c r="T65" i="9"/>
  <c r="I65" i="9"/>
  <c r="H65" i="9"/>
  <c r="G65" i="9"/>
  <c r="AG63" i="9"/>
  <c r="AF63" i="9"/>
  <c r="AE63" i="9"/>
  <c r="AD63" i="9"/>
  <c r="AC63" i="9"/>
  <c r="AB63" i="9"/>
  <c r="AA63" i="9"/>
  <c r="Z63" i="9"/>
  <c r="Y63" i="9"/>
  <c r="X63" i="9"/>
  <c r="W63" i="9"/>
  <c r="V63" i="9"/>
  <c r="AH63" i="9" s="1"/>
  <c r="AK63" i="9" s="1"/>
  <c r="U63" i="9"/>
  <c r="T63" i="9"/>
  <c r="I63" i="9"/>
  <c r="H63" i="9"/>
  <c r="G63" i="9"/>
  <c r="AG62" i="9"/>
  <c r="AF62" i="9"/>
  <c r="AE62" i="9"/>
  <c r="AD62" i="9"/>
  <c r="AC62" i="9"/>
  <c r="AB62" i="9"/>
  <c r="AA62" i="9"/>
  <c r="Z62" i="9"/>
  <c r="Y62" i="9"/>
  <c r="X62" i="9"/>
  <c r="W62" i="9"/>
  <c r="V62" i="9"/>
  <c r="AH62" i="9" s="1"/>
  <c r="U62" i="9"/>
  <c r="T62" i="9"/>
  <c r="I62" i="9"/>
  <c r="H62" i="9"/>
  <c r="G62" i="9"/>
  <c r="AG61" i="9"/>
  <c r="AE61" i="9"/>
  <c r="AD61" i="9"/>
  <c r="AC61" i="9"/>
  <c r="AA61" i="9"/>
  <c r="Z61" i="9"/>
  <c r="Y61" i="9"/>
  <c r="W61" i="9"/>
  <c r="V61" i="9"/>
  <c r="V59" i="9" s="1"/>
  <c r="U61" i="9"/>
  <c r="U59" i="9" s="1"/>
  <c r="S61" i="9"/>
  <c r="R61" i="9"/>
  <c r="Q61" i="9"/>
  <c r="Q59" i="9" s="1"/>
  <c r="P61" i="9"/>
  <c r="O61" i="9"/>
  <c r="N61" i="9"/>
  <c r="M61" i="9"/>
  <c r="L61" i="9"/>
  <c r="K61" i="9"/>
  <c r="J61" i="9"/>
  <c r="I61" i="9"/>
  <c r="H61" i="9"/>
  <c r="G61" i="9"/>
  <c r="Z59" i="9"/>
  <c r="R59" i="9"/>
  <c r="M59" i="9"/>
  <c r="G59" i="9"/>
  <c r="AL58" i="9"/>
  <c r="AK58" i="9"/>
  <c r="AH57" i="9"/>
  <c r="T57" i="9"/>
  <c r="T56" i="9" s="1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S56" i="9"/>
  <c r="R56" i="9"/>
  <c r="Q56" i="9"/>
  <c r="P56" i="9"/>
  <c r="O56" i="9"/>
  <c r="N56" i="9"/>
  <c r="M56" i="9"/>
  <c r="L56" i="9"/>
  <c r="K56" i="9"/>
  <c r="J56" i="9"/>
  <c r="I56" i="9"/>
  <c r="H56" i="9"/>
  <c r="AG54" i="9"/>
  <c r="AF54" i="9"/>
  <c r="AE54" i="9"/>
  <c r="AD54" i="9"/>
  <c r="AC54" i="9"/>
  <c r="AB54" i="9"/>
  <c r="AA54" i="9"/>
  <c r="Z54" i="9"/>
  <c r="Y54" i="9"/>
  <c r="X54" i="9"/>
  <c r="W54" i="9"/>
  <c r="V54" i="9"/>
  <c r="AH54" i="9" s="1"/>
  <c r="U54" i="9"/>
  <c r="I54" i="9"/>
  <c r="H54" i="9"/>
  <c r="G54" i="9"/>
  <c r="AG53" i="9"/>
  <c r="AF53" i="9"/>
  <c r="AE53" i="9"/>
  <c r="AD53" i="9"/>
  <c r="AC53" i="9"/>
  <c r="AB53" i="9"/>
  <c r="AA53" i="9"/>
  <c r="Z53" i="9"/>
  <c r="Y53" i="9"/>
  <c r="X53" i="9"/>
  <c r="W53" i="9"/>
  <c r="V53" i="9"/>
  <c r="AH53" i="9" s="1"/>
  <c r="U53" i="9"/>
  <c r="I53" i="9"/>
  <c r="H53" i="9"/>
  <c r="G53" i="9"/>
  <c r="AG52" i="9"/>
  <c r="AF52" i="9"/>
  <c r="AE52" i="9"/>
  <c r="AD52" i="9"/>
  <c r="AC52" i="9"/>
  <c r="AB52" i="9"/>
  <c r="AA52" i="9"/>
  <c r="AA38" i="9" s="1"/>
  <c r="Z52" i="9"/>
  <c r="Y52" i="9"/>
  <c r="X52" i="9"/>
  <c r="W52" i="9"/>
  <c r="V52" i="9"/>
  <c r="U52" i="9"/>
  <c r="S52" i="9"/>
  <c r="R52" i="9"/>
  <c r="Q52" i="9"/>
  <c r="P52" i="9"/>
  <c r="O52" i="9"/>
  <c r="N52" i="9"/>
  <c r="M52" i="9"/>
  <c r="L52" i="9"/>
  <c r="K52" i="9"/>
  <c r="J52" i="9"/>
  <c r="I52" i="9"/>
  <c r="G52" i="9"/>
  <c r="AG50" i="9"/>
  <c r="AF50" i="9"/>
  <c r="AE50" i="9"/>
  <c r="AD50" i="9"/>
  <c r="AC50" i="9"/>
  <c r="AB50" i="9"/>
  <c r="AA50" i="9"/>
  <c r="Z50" i="9"/>
  <c r="Y50" i="9"/>
  <c r="X50" i="9"/>
  <c r="W50" i="9"/>
  <c r="V50" i="9"/>
  <c r="AH50" i="9" s="1"/>
  <c r="AK50" i="9" s="1"/>
  <c r="U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AG49" i="9"/>
  <c r="AF49" i="9"/>
  <c r="AE49" i="9"/>
  <c r="AD49" i="9"/>
  <c r="AC49" i="9"/>
  <c r="AB49" i="9"/>
  <c r="AA49" i="9"/>
  <c r="Z49" i="9"/>
  <c r="Y49" i="9"/>
  <c r="X49" i="9"/>
  <c r="W49" i="9"/>
  <c r="V49" i="9"/>
  <c r="AH49" i="9" s="1"/>
  <c r="U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AG48" i="9"/>
  <c r="AF48" i="9"/>
  <c r="AE48" i="9"/>
  <c r="AD48" i="9"/>
  <c r="AC48" i="9"/>
  <c r="AB48" i="9"/>
  <c r="AA48" i="9"/>
  <c r="Z48" i="9"/>
  <c r="Y48" i="9"/>
  <c r="X48" i="9"/>
  <c r="W48" i="9"/>
  <c r="V48" i="9"/>
  <c r="AH48" i="9" s="1"/>
  <c r="AK48" i="9" s="1"/>
  <c r="U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AG47" i="9"/>
  <c r="AE47" i="9"/>
  <c r="AD47" i="9"/>
  <c r="AC47" i="9"/>
  <c r="AA47" i="9"/>
  <c r="Z47" i="9"/>
  <c r="Y47" i="9"/>
  <c r="W47" i="9"/>
  <c r="V47" i="9"/>
  <c r="U47" i="9"/>
  <c r="S47" i="9"/>
  <c r="R47" i="9"/>
  <c r="Q47" i="9"/>
  <c r="O47" i="9"/>
  <c r="M47" i="9"/>
  <c r="K47" i="9"/>
  <c r="I47" i="9"/>
  <c r="G47" i="9"/>
  <c r="AL45" i="9"/>
  <c r="AK45" i="9"/>
  <c r="AH45" i="9"/>
  <c r="T45" i="9"/>
  <c r="AG44" i="9"/>
  <c r="AF44" i="9"/>
  <c r="AE44" i="9"/>
  <c r="AD44" i="9"/>
  <c r="AC44" i="9"/>
  <c r="AB44" i="9"/>
  <c r="AA44" i="9"/>
  <c r="Z44" i="9"/>
  <c r="Y44" i="9"/>
  <c r="X44" i="9"/>
  <c r="W44" i="9"/>
  <c r="V44" i="9"/>
  <c r="AH44" i="9" s="1"/>
  <c r="AK44" i="9" s="1"/>
  <c r="U44" i="9"/>
  <c r="T44" i="9"/>
  <c r="I44" i="9"/>
  <c r="H44" i="9"/>
  <c r="G44" i="9"/>
  <c r="AH43" i="9"/>
  <c r="AG42" i="9"/>
  <c r="AF42" i="9"/>
  <c r="AE42" i="9"/>
  <c r="AD42" i="9"/>
  <c r="AC42" i="9"/>
  <c r="AB42" i="9"/>
  <c r="AA42" i="9"/>
  <c r="Z42" i="9"/>
  <c r="Y42" i="9"/>
  <c r="X42" i="9"/>
  <c r="W42" i="9"/>
  <c r="V42" i="9"/>
  <c r="AH42" i="9" s="1"/>
  <c r="U42" i="9"/>
  <c r="U40" i="9" s="1"/>
  <c r="U38" i="9" s="1"/>
  <c r="T42" i="9"/>
  <c r="I42" i="9"/>
  <c r="H42" i="9"/>
  <c r="G42" i="9"/>
  <c r="AG41" i="9"/>
  <c r="AF41" i="9"/>
  <c r="AE41" i="9"/>
  <c r="AD41" i="9"/>
  <c r="AC41" i="9"/>
  <c r="AB41" i="9"/>
  <c r="AA41" i="9"/>
  <c r="Z41" i="9"/>
  <c r="Y41" i="9"/>
  <c r="X41" i="9"/>
  <c r="W41" i="9"/>
  <c r="V41" i="9"/>
  <c r="AH41" i="9" s="1"/>
  <c r="U41" i="9"/>
  <c r="T41" i="9"/>
  <c r="I41" i="9"/>
  <c r="H41" i="9"/>
  <c r="G41" i="9"/>
  <c r="AE40" i="9"/>
  <c r="AE38" i="9" s="1"/>
  <c r="AD40" i="9"/>
  <c r="AA40" i="9"/>
  <c r="Z40" i="9"/>
  <c r="Y40" i="9"/>
  <c r="Y38" i="9" s="1"/>
  <c r="W40" i="9"/>
  <c r="V40" i="9"/>
  <c r="S40" i="9"/>
  <c r="R40" i="9"/>
  <c r="Q40" i="9"/>
  <c r="P40" i="9"/>
  <c r="O40" i="9"/>
  <c r="N40" i="9"/>
  <c r="M40" i="9"/>
  <c r="L40" i="9"/>
  <c r="K40" i="9"/>
  <c r="J40" i="9"/>
  <c r="I40" i="9"/>
  <c r="H40" i="9"/>
  <c r="W38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I36" i="9"/>
  <c r="H36" i="9"/>
  <c r="G36" i="9"/>
  <c r="U31" i="9"/>
  <c r="S31" i="9"/>
  <c r="R31" i="9"/>
  <c r="Q31" i="9"/>
  <c r="P31" i="9"/>
  <c r="O31" i="9"/>
  <c r="N31" i="9"/>
  <c r="M31" i="9"/>
  <c r="L31" i="9"/>
  <c r="K31" i="9"/>
  <c r="J31" i="9"/>
  <c r="I31" i="9"/>
  <c r="AH27" i="9"/>
  <c r="T27" i="9"/>
  <c r="U27" i="9" s="1"/>
  <c r="G27" i="9"/>
  <c r="D27" i="9"/>
  <c r="AL25" i="9"/>
  <c r="AH25" i="9"/>
  <c r="AK25" i="9" s="1"/>
  <c r="T25" i="9"/>
  <c r="G25" i="9"/>
  <c r="D25" i="9"/>
  <c r="AH24" i="9"/>
  <c r="AL24" i="9" s="1"/>
  <c r="T24" i="9"/>
  <c r="G24" i="9"/>
  <c r="D24" i="9"/>
  <c r="AH23" i="9"/>
  <c r="AL23" i="9" s="1"/>
  <c r="T23" i="9"/>
  <c r="G23" i="9"/>
  <c r="D23" i="9"/>
  <c r="AH21" i="9"/>
  <c r="AL21" i="9" s="1"/>
  <c r="I21" i="9"/>
  <c r="H21" i="9"/>
  <c r="G21" i="9"/>
  <c r="AH20" i="9"/>
  <c r="AL20" i="9" s="1"/>
  <c r="T20" i="9"/>
  <c r="I20" i="9"/>
  <c r="H20" i="9"/>
  <c r="G20" i="9"/>
  <c r="AH19" i="9"/>
  <c r="AK19" i="9" s="1"/>
  <c r="I19" i="9"/>
  <c r="G19" i="9"/>
  <c r="AH18" i="9"/>
  <c r="AL18" i="9" s="1"/>
  <c r="I18" i="9"/>
  <c r="H18" i="9"/>
  <c r="G18" i="9"/>
  <c r="AH17" i="9"/>
  <c r="AL17" i="9" s="1"/>
  <c r="T17" i="9"/>
  <c r="I17" i="9"/>
  <c r="H17" i="9"/>
  <c r="G17" i="9"/>
  <c r="AG16" i="9"/>
  <c r="AF16" i="9"/>
  <c r="AE16" i="9"/>
  <c r="AD16" i="9"/>
  <c r="AC16" i="9"/>
  <c r="AB16" i="9"/>
  <c r="AB14" i="9" s="1"/>
  <c r="AA16" i="9"/>
  <c r="Z16" i="9"/>
  <c r="Y16" i="9"/>
  <c r="X16" i="9"/>
  <c r="W16" i="9"/>
  <c r="V16" i="9"/>
  <c r="S16" i="9"/>
  <c r="R16" i="9"/>
  <c r="R14" i="9" s="1"/>
  <c r="Q16" i="9"/>
  <c r="P16" i="9"/>
  <c r="O16" i="9"/>
  <c r="N16" i="9"/>
  <c r="N14" i="9" s="1"/>
  <c r="M16" i="9"/>
  <c r="L16" i="9"/>
  <c r="K16" i="9"/>
  <c r="J16" i="9"/>
  <c r="J14" i="9" s="1"/>
  <c r="H16" i="9"/>
  <c r="G16" i="9"/>
  <c r="X14" i="9"/>
  <c r="S14" i="9"/>
  <c r="P14" i="9"/>
  <c r="O14" i="9"/>
  <c r="L14" i="9"/>
  <c r="K14" i="9"/>
  <c r="G14" i="9"/>
  <c r="AG12" i="9"/>
  <c r="AF12" i="9"/>
  <c r="AE12" i="9"/>
  <c r="AD12" i="9"/>
  <c r="AC12" i="9"/>
  <c r="AB12" i="9"/>
  <c r="AA12" i="9"/>
  <c r="Z12" i="9"/>
  <c r="Y12" i="9"/>
  <c r="X12" i="9"/>
  <c r="W12" i="9"/>
  <c r="V12" i="9"/>
  <c r="V14" i="9" s="1"/>
  <c r="I12" i="9"/>
  <c r="H12" i="9"/>
  <c r="G12" i="9"/>
  <c r="AG10" i="9"/>
  <c r="AF10" i="9"/>
  <c r="AE10" i="9"/>
  <c r="AD10" i="9"/>
  <c r="AC10" i="9"/>
  <c r="AB10" i="9"/>
  <c r="AA10" i="9"/>
  <c r="Z10" i="9"/>
  <c r="Y10" i="9"/>
  <c r="X10" i="9"/>
  <c r="W10" i="9"/>
  <c r="W31" i="9" s="1"/>
  <c r="V10" i="9"/>
  <c r="V31" i="9" s="1"/>
  <c r="T10" i="9"/>
  <c r="I10" i="9"/>
  <c r="H10" i="9"/>
  <c r="G10" i="9"/>
  <c r="G31" i="9" s="1"/>
  <c r="U7" i="9"/>
  <c r="G7" i="9"/>
  <c r="BT81" i="8"/>
  <c r="BS81" i="8"/>
  <c r="BR81" i="8"/>
  <c r="BQ81" i="8"/>
  <c r="BO81" i="8"/>
  <c r="BN81" i="8"/>
  <c r="BM81" i="8"/>
  <c r="BL81" i="8"/>
  <c r="BJ81" i="8"/>
  <c r="BI81" i="8"/>
  <c r="BH81" i="8"/>
  <c r="BG81" i="8"/>
  <c r="BE81" i="8"/>
  <c r="BD81" i="8"/>
  <c r="BC81" i="8"/>
  <c r="BB81" i="8"/>
  <c r="AZ81" i="8"/>
  <c r="AY81" i="8"/>
  <c r="AX81" i="8"/>
  <c r="AW81" i="8"/>
  <c r="AU81" i="8"/>
  <c r="AT81" i="8"/>
  <c r="AS81" i="8"/>
  <c r="AR81" i="8"/>
  <c r="AP81" i="8"/>
  <c r="AO81" i="8"/>
  <c r="AN81" i="8"/>
  <c r="AM81" i="8"/>
  <c r="AK81" i="8"/>
  <c r="AJ81" i="8"/>
  <c r="AI81" i="8"/>
  <c r="AH81" i="8"/>
  <c r="AF81" i="8"/>
  <c r="AE81" i="8"/>
  <c r="AD81" i="8"/>
  <c r="AC81" i="8"/>
  <c r="AA81" i="8"/>
  <c r="Z81" i="8"/>
  <c r="Y81" i="8"/>
  <c r="X81" i="8"/>
  <c r="V81" i="8"/>
  <c r="U81" i="8"/>
  <c r="T81" i="8"/>
  <c r="S81" i="8"/>
  <c r="Q81" i="8"/>
  <c r="P81" i="8"/>
  <c r="O81" i="8"/>
  <c r="N81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BT79" i="8"/>
  <c r="BS79" i="8"/>
  <c r="BR79" i="8"/>
  <c r="BQ79" i="8"/>
  <c r="BP79" i="8"/>
  <c r="BO79" i="8"/>
  <c r="BN79" i="8"/>
  <c r="BM79" i="8"/>
  <c r="BL79" i="8"/>
  <c r="BJ79" i="8"/>
  <c r="BI79" i="8"/>
  <c r="BH79" i="8"/>
  <c r="BG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P79" i="8"/>
  <c r="AO79" i="8"/>
  <c r="AN79" i="8"/>
  <c r="AM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V79" i="8"/>
  <c r="U79" i="8"/>
  <c r="T79" i="8"/>
  <c r="S79" i="8"/>
  <c r="Q79" i="8"/>
  <c r="P79" i="8"/>
  <c r="O79" i="8"/>
  <c r="N79" i="8"/>
  <c r="M79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BT73" i="8"/>
  <c r="BS73" i="8"/>
  <c r="BR73" i="8"/>
  <c r="BQ73" i="8"/>
  <c r="BO73" i="8"/>
  <c r="BN73" i="8"/>
  <c r="BM73" i="8"/>
  <c r="BL73" i="8"/>
  <c r="BJ73" i="8"/>
  <c r="BI73" i="8"/>
  <c r="BH73" i="8"/>
  <c r="BG73" i="8"/>
  <c r="BE73" i="8"/>
  <c r="BD73" i="8"/>
  <c r="BC73" i="8"/>
  <c r="BB73" i="8"/>
  <c r="AZ73" i="8"/>
  <c r="AY73" i="8"/>
  <c r="AX73" i="8"/>
  <c r="AW73" i="8"/>
  <c r="AU73" i="8"/>
  <c r="AT73" i="8"/>
  <c r="AS73" i="8"/>
  <c r="AR73" i="8"/>
  <c r="AP73" i="8"/>
  <c r="AO73" i="8"/>
  <c r="AN73" i="8"/>
  <c r="AM73" i="8"/>
  <c r="AK73" i="8"/>
  <c r="AJ73" i="8"/>
  <c r="AI73" i="8"/>
  <c r="AH73" i="8"/>
  <c r="AF73" i="8"/>
  <c r="AE73" i="8"/>
  <c r="AD73" i="8"/>
  <c r="AC73" i="8"/>
  <c r="AA73" i="8"/>
  <c r="Z73" i="8"/>
  <c r="Y73" i="8"/>
  <c r="X73" i="8"/>
  <c r="V73" i="8"/>
  <c r="U73" i="8"/>
  <c r="T73" i="8"/>
  <c r="S73" i="8"/>
  <c r="Q73" i="8"/>
  <c r="P73" i="8"/>
  <c r="O73" i="8"/>
  <c r="N73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BT68" i="8"/>
  <c r="BS68" i="8"/>
  <c r="BR68" i="8"/>
  <c r="BQ68" i="8"/>
  <c r="BO68" i="8"/>
  <c r="BN68" i="8"/>
  <c r="BM68" i="8"/>
  <c r="BL68" i="8"/>
  <c r="BJ68" i="8"/>
  <c r="BI68" i="8"/>
  <c r="BH68" i="8"/>
  <c r="BG68" i="8"/>
  <c r="BE68" i="8"/>
  <c r="BD68" i="8"/>
  <c r="BC68" i="8"/>
  <c r="BB68" i="8"/>
  <c r="AZ68" i="8"/>
  <c r="AY68" i="8"/>
  <c r="AX68" i="8"/>
  <c r="AW68" i="8"/>
  <c r="AU68" i="8"/>
  <c r="AT68" i="8"/>
  <c r="AS68" i="8"/>
  <c r="AR68" i="8"/>
  <c r="AP68" i="8"/>
  <c r="AO68" i="8"/>
  <c r="AN68" i="8"/>
  <c r="AM68" i="8"/>
  <c r="AK68" i="8"/>
  <c r="AJ68" i="8"/>
  <c r="AI68" i="8"/>
  <c r="AH68" i="8"/>
  <c r="AF68" i="8"/>
  <c r="AE68" i="8"/>
  <c r="AD68" i="8"/>
  <c r="AC68" i="8"/>
  <c r="AA68" i="8"/>
  <c r="Z68" i="8"/>
  <c r="Y68" i="8"/>
  <c r="X68" i="8"/>
  <c r="V68" i="8"/>
  <c r="U68" i="8"/>
  <c r="T68" i="8"/>
  <c r="S68" i="8"/>
  <c r="Q68" i="8"/>
  <c r="P68" i="8"/>
  <c r="O68" i="8"/>
  <c r="N68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BT58" i="8"/>
  <c r="BS58" i="8"/>
  <c r="BR58" i="8"/>
  <c r="BQ58" i="8"/>
  <c r="BO58" i="8"/>
  <c r="BN58" i="8"/>
  <c r="BM58" i="8"/>
  <c r="BL58" i="8"/>
  <c r="BJ58" i="8"/>
  <c r="BI58" i="8"/>
  <c r="BH58" i="8"/>
  <c r="BG58" i="8"/>
  <c r="BE58" i="8"/>
  <c r="BD58" i="8"/>
  <c r="BC58" i="8"/>
  <c r="BB58" i="8"/>
  <c r="AZ58" i="8"/>
  <c r="AY58" i="8"/>
  <c r="AX58" i="8"/>
  <c r="AW58" i="8"/>
  <c r="AU58" i="8"/>
  <c r="AT58" i="8"/>
  <c r="AS58" i="8"/>
  <c r="AR58" i="8"/>
  <c r="AP58" i="8"/>
  <c r="AO58" i="8"/>
  <c r="AN58" i="8"/>
  <c r="AM58" i="8"/>
  <c r="AK58" i="8"/>
  <c r="AJ58" i="8"/>
  <c r="AI58" i="8"/>
  <c r="AH58" i="8"/>
  <c r="AF58" i="8"/>
  <c r="AE58" i="8"/>
  <c r="AD58" i="8"/>
  <c r="AC58" i="8"/>
  <c r="AA58" i="8"/>
  <c r="Z58" i="8"/>
  <c r="Y58" i="8"/>
  <c r="X58" i="8"/>
  <c r="V58" i="8"/>
  <c r="U58" i="8"/>
  <c r="T58" i="8"/>
  <c r="S58" i="8"/>
  <c r="Q58" i="8"/>
  <c r="P58" i="8"/>
  <c r="O58" i="8"/>
  <c r="N58" i="8"/>
  <c r="M58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BT56" i="8"/>
  <c r="BS56" i="8"/>
  <c r="BR56" i="8"/>
  <c r="BQ56" i="8"/>
  <c r="BP56" i="8"/>
  <c r="BO56" i="8"/>
  <c r="BN56" i="8"/>
  <c r="BM56" i="8"/>
  <c r="BL56" i="8"/>
  <c r="BJ56" i="8"/>
  <c r="BI56" i="8"/>
  <c r="BH56" i="8"/>
  <c r="BG56" i="8"/>
  <c r="BE56" i="8"/>
  <c r="BD56" i="8"/>
  <c r="BC56" i="8"/>
  <c r="BB56" i="8"/>
  <c r="AZ56" i="8"/>
  <c r="AY56" i="8"/>
  <c r="AX56" i="8"/>
  <c r="AW56" i="8"/>
  <c r="AV56" i="8"/>
  <c r="AU56" i="8"/>
  <c r="AT56" i="8"/>
  <c r="AS56" i="8"/>
  <c r="AR56" i="8"/>
  <c r="AP56" i="8"/>
  <c r="AO56" i="8"/>
  <c r="AN56" i="8"/>
  <c r="AM56" i="8"/>
  <c r="AK56" i="8"/>
  <c r="AJ56" i="8"/>
  <c r="AI56" i="8"/>
  <c r="AH56" i="8"/>
  <c r="AF56" i="8"/>
  <c r="AE56" i="8"/>
  <c r="AD56" i="8"/>
  <c r="AC56" i="8"/>
  <c r="AB56" i="8"/>
  <c r="AA56" i="8"/>
  <c r="Z56" i="8"/>
  <c r="Y56" i="8"/>
  <c r="X56" i="8"/>
  <c r="V56" i="8"/>
  <c r="U56" i="8"/>
  <c r="T56" i="8"/>
  <c r="S56" i="8"/>
  <c r="Q56" i="8"/>
  <c r="P56" i="8"/>
  <c r="O56" i="8"/>
  <c r="N56" i="8"/>
  <c r="M56" i="8"/>
  <c r="BT55" i="8"/>
  <c r="BS55" i="8"/>
  <c r="BR55" i="8"/>
  <c r="BQ55" i="8"/>
  <c r="BO55" i="8"/>
  <c r="BN55" i="8"/>
  <c r="BM55" i="8"/>
  <c r="BL55" i="8"/>
  <c r="BJ55" i="8"/>
  <c r="BI55" i="8"/>
  <c r="BH55" i="8"/>
  <c r="BG55" i="8"/>
  <c r="BE55" i="8"/>
  <c r="BD55" i="8"/>
  <c r="BC55" i="8"/>
  <c r="BB55" i="8"/>
  <c r="AZ55" i="8"/>
  <c r="AY55" i="8"/>
  <c r="AX55" i="8"/>
  <c r="AW55" i="8"/>
  <c r="AV55" i="8"/>
  <c r="AU55" i="8"/>
  <c r="AT55" i="8"/>
  <c r="AS55" i="8"/>
  <c r="AR55" i="8"/>
  <c r="AP55" i="8"/>
  <c r="AO55" i="8"/>
  <c r="AN55" i="8"/>
  <c r="AM55" i="8"/>
  <c r="AK55" i="8"/>
  <c r="AJ55" i="8"/>
  <c r="AI55" i="8"/>
  <c r="AH55" i="8"/>
  <c r="AF55" i="8"/>
  <c r="AE55" i="8"/>
  <c r="AD55" i="8"/>
  <c r="AC55" i="8"/>
  <c r="AA55" i="8"/>
  <c r="Z55" i="8"/>
  <c r="Y55" i="8"/>
  <c r="X55" i="8"/>
  <c r="V55" i="8"/>
  <c r="U55" i="8"/>
  <c r="T55" i="8"/>
  <c r="S55" i="8"/>
  <c r="Q55" i="8"/>
  <c r="P55" i="8"/>
  <c r="O55" i="8"/>
  <c r="N55" i="8"/>
  <c r="M55" i="8"/>
  <c r="BT54" i="8"/>
  <c r="BS54" i="8"/>
  <c r="BR54" i="8"/>
  <c r="BQ54" i="8"/>
  <c r="BO54" i="8"/>
  <c r="BN54" i="8"/>
  <c r="BM54" i="8"/>
  <c r="BL54" i="8"/>
  <c r="BJ54" i="8"/>
  <c r="BI54" i="8"/>
  <c r="BH54" i="8"/>
  <c r="BG54" i="8"/>
  <c r="BE54" i="8"/>
  <c r="BD54" i="8"/>
  <c r="BC54" i="8"/>
  <c r="BB54" i="8"/>
  <c r="AZ54" i="8"/>
  <c r="AY54" i="8"/>
  <c r="AX54" i="8"/>
  <c r="AW54" i="8"/>
  <c r="AU54" i="8"/>
  <c r="AT54" i="8"/>
  <c r="AS54" i="8"/>
  <c r="AR54" i="8"/>
  <c r="AP54" i="8"/>
  <c r="AO54" i="8"/>
  <c r="AN54" i="8"/>
  <c r="AM54" i="8"/>
  <c r="AK54" i="8"/>
  <c r="AJ54" i="8"/>
  <c r="AI54" i="8"/>
  <c r="AH54" i="8"/>
  <c r="AF54" i="8"/>
  <c r="AE54" i="8"/>
  <c r="AD54" i="8"/>
  <c r="AC54" i="8"/>
  <c r="AA54" i="8"/>
  <c r="Z54" i="8"/>
  <c r="Y54" i="8"/>
  <c r="X54" i="8"/>
  <c r="V54" i="8"/>
  <c r="U54" i="8"/>
  <c r="T54" i="8"/>
  <c r="S54" i="8"/>
  <c r="Q54" i="8"/>
  <c r="P54" i="8"/>
  <c r="O54" i="8"/>
  <c r="N54" i="8"/>
  <c r="BT53" i="8"/>
  <c r="BS53" i="8"/>
  <c r="BR53" i="8"/>
  <c r="BQ53" i="8"/>
  <c r="BO53" i="8"/>
  <c r="BN53" i="8"/>
  <c r="BM53" i="8"/>
  <c r="BL53" i="8"/>
  <c r="BJ53" i="8"/>
  <c r="BI53" i="8"/>
  <c r="BH53" i="8"/>
  <c r="BG53" i="8"/>
  <c r="BE53" i="8"/>
  <c r="BD53" i="8"/>
  <c r="BC53" i="8"/>
  <c r="BB53" i="8"/>
  <c r="AZ53" i="8"/>
  <c r="AY53" i="8"/>
  <c r="AX53" i="8"/>
  <c r="AW53" i="8"/>
  <c r="AU53" i="8"/>
  <c r="AT53" i="8"/>
  <c r="AS53" i="8"/>
  <c r="AR53" i="8"/>
  <c r="AP53" i="8"/>
  <c r="AO53" i="8"/>
  <c r="AN53" i="8"/>
  <c r="AM53" i="8"/>
  <c r="AK53" i="8"/>
  <c r="AJ53" i="8"/>
  <c r="AI53" i="8"/>
  <c r="AH53" i="8"/>
  <c r="AF53" i="8"/>
  <c r="AE53" i="8"/>
  <c r="AD53" i="8"/>
  <c r="AC53" i="8"/>
  <c r="AA53" i="8"/>
  <c r="Z53" i="8"/>
  <c r="Y53" i="8"/>
  <c r="X53" i="8"/>
  <c r="V53" i="8"/>
  <c r="U53" i="8"/>
  <c r="T53" i="8"/>
  <c r="S53" i="8"/>
  <c r="Q53" i="8"/>
  <c r="P53" i="8"/>
  <c r="O53" i="8"/>
  <c r="N53" i="8"/>
  <c r="CJ52" i="8"/>
  <c r="EH38" i="8"/>
  <c r="EC38" i="8"/>
  <c r="BK79" i="8" s="1"/>
  <c r="DX38" i="8"/>
  <c r="BF79" i="8" s="1"/>
  <c r="DS38" i="8"/>
  <c r="DN38" i="8"/>
  <c r="DI38" i="8"/>
  <c r="AQ79" i="8" s="1"/>
  <c r="DD38" i="8"/>
  <c r="AL79" i="8" s="1"/>
  <c r="CY38" i="8"/>
  <c r="CT38" i="8"/>
  <c r="CO38" i="8"/>
  <c r="CJ38" i="8"/>
  <c r="CE38" i="8"/>
  <c r="EM38" i="8" s="1"/>
  <c r="BZ38" i="8"/>
  <c r="BU38" i="8"/>
  <c r="BU79" i="8" s="1"/>
  <c r="R38" i="8"/>
  <c r="R79" i="8" s="1"/>
  <c r="M38" i="8"/>
  <c r="EM34" i="8"/>
  <c r="BU34" i="8"/>
  <c r="EM33" i="8"/>
  <c r="BU33" i="8"/>
  <c r="BU74" i="8" s="1"/>
  <c r="EH32" i="8"/>
  <c r="EC32" i="8"/>
  <c r="BK73" i="8" s="1"/>
  <c r="DX32" i="8"/>
  <c r="DS32" i="8"/>
  <c r="DN32" i="8"/>
  <c r="DI32" i="8"/>
  <c r="AQ73" i="8" s="1"/>
  <c r="DD32" i="8"/>
  <c r="CY32" i="8"/>
  <c r="CT32" i="8"/>
  <c r="CO32" i="8"/>
  <c r="W73" i="8" s="1"/>
  <c r="CJ32" i="8"/>
  <c r="CE32" i="8"/>
  <c r="BZ32" i="8"/>
  <c r="BP32" i="8"/>
  <c r="BP73" i="8" s="1"/>
  <c r="BK32" i="8"/>
  <c r="BF32" i="8"/>
  <c r="BA32" i="8"/>
  <c r="AV32" i="8"/>
  <c r="AV73" i="8" s="1"/>
  <c r="AQ32" i="8"/>
  <c r="AL32" i="8"/>
  <c r="AG32" i="8"/>
  <c r="AB32" i="8"/>
  <c r="AB73" i="8" s="1"/>
  <c r="W32" i="8"/>
  <c r="R32" i="8"/>
  <c r="M32" i="8"/>
  <c r="H32" i="8"/>
  <c r="EM29" i="8"/>
  <c r="BU29" i="8"/>
  <c r="EM28" i="8"/>
  <c r="BU28" i="8"/>
  <c r="BU69" i="8" s="1"/>
  <c r="EH27" i="8"/>
  <c r="EC27" i="8"/>
  <c r="BK68" i="8" s="1"/>
  <c r="DX27" i="8"/>
  <c r="DS27" i="8"/>
  <c r="DN27" i="8"/>
  <c r="DI27" i="8"/>
  <c r="AQ68" i="8" s="1"/>
  <c r="DD27" i="8"/>
  <c r="CY27" i="8"/>
  <c r="CT27" i="8"/>
  <c r="AB68" i="8" s="1"/>
  <c r="CO27" i="8"/>
  <c r="W68" i="8" s="1"/>
  <c r="CJ27" i="8"/>
  <c r="CE27" i="8"/>
  <c r="BZ27" i="8"/>
  <c r="BU27" i="8"/>
  <c r="BP27" i="8"/>
  <c r="BK27" i="8"/>
  <c r="BF27" i="8"/>
  <c r="BF68" i="8" s="1"/>
  <c r="BA27" i="8"/>
  <c r="BA68" i="8" s="1"/>
  <c r="AV27" i="8"/>
  <c r="AQ27" i="8"/>
  <c r="AL27" i="8"/>
  <c r="AL68" i="8" s="1"/>
  <c r="AG27" i="8"/>
  <c r="AG68" i="8" s="1"/>
  <c r="AB27" i="8"/>
  <c r="W27" i="8"/>
  <c r="R27" i="8"/>
  <c r="R68" i="8" s="1"/>
  <c r="M27" i="8"/>
  <c r="M68" i="8" s="1"/>
  <c r="H27" i="8"/>
  <c r="EM25" i="8"/>
  <c r="BU25" i="8"/>
  <c r="EM23" i="8"/>
  <c r="EH23" i="8"/>
  <c r="DX23" i="8"/>
  <c r="BF64" i="8" s="1"/>
  <c r="CY23" i="8"/>
  <c r="AG64" i="8" s="1"/>
  <c r="BU23" i="8"/>
  <c r="BU64" i="8" s="1"/>
  <c r="EM19" i="8"/>
  <c r="EM17" i="8" s="1"/>
  <c r="BU19" i="8"/>
  <c r="EM18" i="8"/>
  <c r="BU18" i="8"/>
  <c r="BU59" i="8" s="1"/>
  <c r="EH17" i="8"/>
  <c r="EC17" i="8"/>
  <c r="DX17" i="8"/>
  <c r="DS17" i="8"/>
  <c r="DN17" i="8"/>
  <c r="DI17" i="8"/>
  <c r="DD17" i="8"/>
  <c r="CY17" i="8"/>
  <c r="CT17" i="8"/>
  <c r="CO17" i="8"/>
  <c r="CJ17" i="8"/>
  <c r="CE17" i="8"/>
  <c r="BZ17" i="8"/>
  <c r="BP17" i="8"/>
  <c r="BK17" i="8"/>
  <c r="BK58" i="8" s="1"/>
  <c r="BF17" i="8"/>
  <c r="BA17" i="8"/>
  <c r="BA58" i="8" s="1"/>
  <c r="AV17" i="8"/>
  <c r="AQ17" i="8"/>
  <c r="AQ58" i="8" s="1"/>
  <c r="AL17" i="8"/>
  <c r="AG17" i="8"/>
  <c r="AG58" i="8" s="1"/>
  <c r="AB17" i="8"/>
  <c r="W17" i="8"/>
  <c r="W58" i="8" s="1"/>
  <c r="R17" i="8"/>
  <c r="M17" i="8"/>
  <c r="H17" i="8"/>
  <c r="EM15" i="8"/>
  <c r="EH15" i="8"/>
  <c r="EC15" i="8"/>
  <c r="DX15" i="8"/>
  <c r="DS15" i="8"/>
  <c r="DS13" i="8" s="1"/>
  <c r="DS12" i="8" s="1"/>
  <c r="DS40" i="8" s="1"/>
  <c r="DN15" i="8"/>
  <c r="DI15" i="8"/>
  <c r="DD15" i="8"/>
  <c r="CY15" i="8"/>
  <c r="CY13" i="8" s="1"/>
  <c r="CY12" i="8" s="1"/>
  <c r="CY40" i="8" s="1"/>
  <c r="CT15" i="8"/>
  <c r="CO15" i="8"/>
  <c r="CJ15" i="8"/>
  <c r="BU15" i="8"/>
  <c r="BU56" i="8" s="1"/>
  <c r="BP15" i="8"/>
  <c r="BK15" i="8"/>
  <c r="BK56" i="8" s="1"/>
  <c r="BF15" i="8"/>
  <c r="BF56" i="8" s="1"/>
  <c r="BA15" i="8"/>
  <c r="BA56" i="8" s="1"/>
  <c r="AV15" i="8"/>
  <c r="AQ15" i="8"/>
  <c r="AQ56" i="8" s="1"/>
  <c r="AL15" i="8"/>
  <c r="AL56" i="8" s="1"/>
  <c r="AG15" i="8"/>
  <c r="AG56" i="8" s="1"/>
  <c r="AB15" i="8"/>
  <c r="W15" i="8"/>
  <c r="W56" i="8" s="1"/>
  <c r="R15" i="8"/>
  <c r="R56" i="8" s="1"/>
  <c r="EM14" i="8"/>
  <c r="EH14" i="8"/>
  <c r="EH13" i="8" s="1"/>
  <c r="EC14" i="8"/>
  <c r="DX14" i="8"/>
  <c r="DX13" i="8" s="1"/>
  <c r="DX12" i="8" s="1"/>
  <c r="DX40" i="8" s="1"/>
  <c r="DS14" i="8"/>
  <c r="DN14" i="8"/>
  <c r="DN13" i="8" s="1"/>
  <c r="DI14" i="8"/>
  <c r="DD14" i="8"/>
  <c r="DD13" i="8" s="1"/>
  <c r="DD12" i="8" s="1"/>
  <c r="DD40" i="8" s="1"/>
  <c r="CY14" i="8"/>
  <c r="CT14" i="8"/>
  <c r="CT13" i="8" s="1"/>
  <c r="CO14" i="8"/>
  <c r="CJ14" i="8"/>
  <c r="CJ13" i="8" s="1"/>
  <c r="CJ12" i="8" s="1"/>
  <c r="CJ40" i="8" s="1"/>
  <c r="BU14" i="8"/>
  <c r="BU55" i="8" s="1"/>
  <c r="BP14" i="8"/>
  <c r="BP13" i="8" s="1"/>
  <c r="BK14" i="8"/>
  <c r="BK55" i="8" s="1"/>
  <c r="BF14" i="8"/>
  <c r="BA14" i="8"/>
  <c r="BA55" i="8" s="1"/>
  <c r="AV14" i="8"/>
  <c r="AQ14" i="8"/>
  <c r="AQ55" i="8" s="1"/>
  <c r="AL14" i="8"/>
  <c r="AG14" i="8"/>
  <c r="AG55" i="8" s="1"/>
  <c r="AB14" i="8"/>
  <c r="AB55" i="8" s="1"/>
  <c r="W14" i="8"/>
  <c r="W55" i="8" s="1"/>
  <c r="R14" i="8"/>
  <c r="EC13" i="8"/>
  <c r="EC12" i="8" s="1"/>
  <c r="DI13" i="8"/>
  <c r="DI12" i="8" s="1"/>
  <c r="DI40" i="8" s="1"/>
  <c r="CO13" i="8"/>
  <c r="CO12" i="8" s="1"/>
  <c r="CE13" i="8"/>
  <c r="BZ13" i="8"/>
  <c r="AV13" i="8"/>
  <c r="AV12" i="8" s="1"/>
  <c r="M13" i="8"/>
  <c r="M54" i="8" s="1"/>
  <c r="H13" i="8"/>
  <c r="H12" i="8"/>
  <c r="BZ9" i="8"/>
  <c r="H9" i="8"/>
  <c r="BZ8" i="8"/>
  <c r="H8" i="8"/>
  <c r="EL186" i="7"/>
  <c r="BT186" i="7"/>
  <c r="BT184" i="7" s="1"/>
  <c r="EL185" i="7"/>
  <c r="BT185" i="7"/>
  <c r="EG184" i="7"/>
  <c r="EB184" i="7"/>
  <c r="DW184" i="7"/>
  <c r="DR184" i="7"/>
  <c r="DM184" i="7"/>
  <c r="DH184" i="7"/>
  <c r="DC184" i="7"/>
  <c r="CX184" i="7"/>
  <c r="CS184" i="7"/>
  <c r="CN184" i="7"/>
  <c r="CI184" i="7"/>
  <c r="CD184" i="7"/>
  <c r="BY184" i="7"/>
  <c r="BO184" i="7"/>
  <c r="BJ184" i="7"/>
  <c r="BE184" i="7"/>
  <c r="AZ184" i="7"/>
  <c r="AU184" i="7"/>
  <c r="AP184" i="7"/>
  <c r="AK184" i="7"/>
  <c r="AF184" i="7"/>
  <c r="AA184" i="7"/>
  <c r="V184" i="7"/>
  <c r="Q184" i="7"/>
  <c r="L184" i="7"/>
  <c r="G184" i="7"/>
  <c r="EL182" i="7"/>
  <c r="BT182" i="7"/>
  <c r="BT180" i="7" s="1"/>
  <c r="EL181" i="7"/>
  <c r="BT181" i="7"/>
  <c r="EG180" i="7"/>
  <c r="EB180" i="7"/>
  <c r="DW180" i="7"/>
  <c r="DR180" i="7"/>
  <c r="DM180" i="7"/>
  <c r="DH180" i="7"/>
  <c r="DC180" i="7"/>
  <c r="CX180" i="7"/>
  <c r="CS180" i="7"/>
  <c r="CN180" i="7"/>
  <c r="CI180" i="7"/>
  <c r="CD180" i="7"/>
  <c r="BY180" i="7"/>
  <c r="BO180" i="7"/>
  <c r="BJ180" i="7"/>
  <c r="BE180" i="7"/>
  <c r="AZ180" i="7"/>
  <c r="AU180" i="7"/>
  <c r="AP180" i="7"/>
  <c r="AK180" i="7"/>
  <c r="AF180" i="7"/>
  <c r="AA180" i="7"/>
  <c r="V180" i="7"/>
  <c r="Q180" i="7"/>
  <c r="L180" i="7"/>
  <c r="G180" i="7"/>
  <c r="EL178" i="7"/>
  <c r="BT178" i="7"/>
  <c r="EL177" i="7"/>
  <c r="BT177" i="7"/>
  <c r="EG176" i="7"/>
  <c r="EB176" i="7"/>
  <c r="DW176" i="7"/>
  <c r="DR176" i="7"/>
  <c r="DM176" i="7"/>
  <c r="DH176" i="7"/>
  <c r="DC176" i="7"/>
  <c r="CX176" i="7"/>
  <c r="CS176" i="7"/>
  <c r="CN176" i="7"/>
  <c r="CI176" i="7"/>
  <c r="CD176" i="7"/>
  <c r="BY176" i="7"/>
  <c r="BO176" i="7"/>
  <c r="BJ176" i="7"/>
  <c r="BE176" i="7"/>
  <c r="AZ176" i="7"/>
  <c r="AU176" i="7"/>
  <c r="AP176" i="7"/>
  <c r="AK176" i="7"/>
  <c r="AF176" i="7"/>
  <c r="AA176" i="7"/>
  <c r="V176" i="7"/>
  <c r="Q176" i="7"/>
  <c r="L176" i="7"/>
  <c r="G176" i="7"/>
  <c r="EL174" i="7"/>
  <c r="BT174" i="7"/>
  <c r="EL173" i="7"/>
  <c r="BT173" i="7"/>
  <c r="EG172" i="7"/>
  <c r="EB172" i="7"/>
  <c r="DW172" i="7"/>
  <c r="DR172" i="7"/>
  <c r="DM172" i="7"/>
  <c r="DH172" i="7"/>
  <c r="DC172" i="7"/>
  <c r="CX172" i="7"/>
  <c r="CS172" i="7"/>
  <c r="CN172" i="7"/>
  <c r="CI172" i="7"/>
  <c r="CD172" i="7"/>
  <c r="BO172" i="7"/>
  <c r="BJ172" i="7"/>
  <c r="BE172" i="7"/>
  <c r="AZ172" i="7"/>
  <c r="AU172" i="7"/>
  <c r="AP172" i="7"/>
  <c r="AK172" i="7"/>
  <c r="AF172" i="7"/>
  <c r="AA172" i="7"/>
  <c r="V172" i="7"/>
  <c r="Q172" i="7"/>
  <c r="L172" i="7"/>
  <c r="EL170" i="7"/>
  <c r="EG170" i="7"/>
  <c r="EB170" i="7"/>
  <c r="DW170" i="7"/>
  <c r="DR170" i="7"/>
  <c r="DM170" i="7"/>
  <c r="DH170" i="7"/>
  <c r="DC170" i="7"/>
  <c r="CX170" i="7"/>
  <c r="CS170" i="7"/>
  <c r="CN170" i="7"/>
  <c r="CI170" i="7"/>
  <c r="CD170" i="7"/>
  <c r="BO170" i="7"/>
  <c r="BJ170" i="7"/>
  <c r="BE170" i="7"/>
  <c r="AZ170" i="7"/>
  <c r="AU170" i="7"/>
  <c r="AP170" i="7"/>
  <c r="AK170" i="7"/>
  <c r="AF170" i="7"/>
  <c r="AA170" i="7"/>
  <c r="V170" i="7"/>
  <c r="Q170" i="7"/>
  <c r="L170" i="7"/>
  <c r="EG169" i="7"/>
  <c r="EB169" i="7"/>
  <c r="DW169" i="7"/>
  <c r="DR169" i="7"/>
  <c r="DM169" i="7"/>
  <c r="DH169" i="7"/>
  <c r="DH168" i="7" s="1"/>
  <c r="DC169" i="7"/>
  <c r="CX169" i="7"/>
  <c r="CS169" i="7"/>
  <c r="CN169" i="7"/>
  <c r="CI169" i="7"/>
  <c r="CD169" i="7"/>
  <c r="BT169" i="7"/>
  <c r="BO169" i="7"/>
  <c r="BJ169" i="7"/>
  <c r="BE169" i="7"/>
  <c r="AZ169" i="7"/>
  <c r="AU169" i="7"/>
  <c r="AP169" i="7"/>
  <c r="AK169" i="7"/>
  <c r="AF169" i="7"/>
  <c r="AA169" i="7"/>
  <c r="V169" i="7"/>
  <c r="Q169" i="7"/>
  <c r="L169" i="7"/>
  <c r="EG168" i="7"/>
  <c r="EB168" i="7"/>
  <c r="EB106" i="7" s="1"/>
  <c r="EB103" i="7" s="1"/>
  <c r="DM168" i="7"/>
  <c r="DM106" i="7" s="1"/>
  <c r="CS168" i="7"/>
  <c r="CN168" i="7"/>
  <c r="CN106" i="7" s="1"/>
  <c r="BO168" i="7"/>
  <c r="AU168" i="7"/>
  <c r="AF168" i="7"/>
  <c r="AA168" i="7"/>
  <c r="EL166" i="7"/>
  <c r="BT166" i="7"/>
  <c r="EL165" i="7"/>
  <c r="BT165" i="7"/>
  <c r="BT157" i="7" s="1"/>
  <c r="EG164" i="7"/>
  <c r="EB164" i="7"/>
  <c r="DW164" i="7"/>
  <c r="DR164" i="7"/>
  <c r="DM164" i="7"/>
  <c r="DH164" i="7"/>
  <c r="DC164" i="7"/>
  <c r="CX164" i="7"/>
  <c r="CS164" i="7"/>
  <c r="CN164" i="7"/>
  <c r="CI164" i="7"/>
  <c r="CD164" i="7"/>
  <c r="BY164" i="7"/>
  <c r="BO164" i="7"/>
  <c r="BJ164" i="7"/>
  <c r="BE164" i="7"/>
  <c r="AZ164" i="7"/>
  <c r="AU164" i="7"/>
  <c r="AP164" i="7"/>
  <c r="AK164" i="7"/>
  <c r="AF164" i="7"/>
  <c r="AA164" i="7"/>
  <c r="V164" i="7"/>
  <c r="Q164" i="7"/>
  <c r="L164" i="7"/>
  <c r="EL162" i="7"/>
  <c r="BT162" i="7"/>
  <c r="EL161" i="7"/>
  <c r="BT161" i="7"/>
  <c r="EL160" i="7"/>
  <c r="EG160" i="7"/>
  <c r="EB160" i="7"/>
  <c r="DW160" i="7"/>
  <c r="DR160" i="7"/>
  <c r="DM160" i="7"/>
  <c r="DH160" i="7"/>
  <c r="DC160" i="7"/>
  <c r="CX160" i="7"/>
  <c r="CS160" i="7"/>
  <c r="CN160" i="7"/>
  <c r="CI160" i="7"/>
  <c r="CD160" i="7"/>
  <c r="BY160" i="7"/>
  <c r="BO160" i="7"/>
  <c r="BJ160" i="7"/>
  <c r="BE160" i="7"/>
  <c r="AZ160" i="7"/>
  <c r="AU160" i="7"/>
  <c r="AP160" i="7"/>
  <c r="AK160" i="7"/>
  <c r="AF160" i="7"/>
  <c r="AA160" i="7"/>
  <c r="V160" i="7"/>
  <c r="Q160" i="7"/>
  <c r="L160" i="7"/>
  <c r="EL158" i="7"/>
  <c r="EG158" i="7"/>
  <c r="EB158" i="7"/>
  <c r="DW158" i="7"/>
  <c r="DW156" i="7" s="1"/>
  <c r="DW105" i="7" s="1"/>
  <c r="DR158" i="7"/>
  <c r="DM158" i="7"/>
  <c r="DC158" i="7"/>
  <c r="CX158" i="7"/>
  <c r="CS158" i="7"/>
  <c r="CN158" i="7"/>
  <c r="CI158" i="7"/>
  <c r="CD158" i="7"/>
  <c r="BO158" i="7"/>
  <c r="BJ158" i="7"/>
  <c r="BE158" i="7"/>
  <c r="AZ158" i="7"/>
  <c r="AU158" i="7"/>
  <c r="AK158" i="7"/>
  <c r="AF158" i="7"/>
  <c r="AA158" i="7"/>
  <c r="V158" i="7"/>
  <c r="Q158" i="7"/>
  <c r="L158" i="7"/>
  <c r="EL157" i="7"/>
  <c r="EG157" i="7"/>
  <c r="EB157" i="7"/>
  <c r="EB156" i="7" s="1"/>
  <c r="EB105" i="7" s="1"/>
  <c r="DW157" i="7"/>
  <c r="DR157" i="7"/>
  <c r="DR156" i="7" s="1"/>
  <c r="DM157" i="7"/>
  <c r="DC157" i="7"/>
  <c r="DC156" i="7" s="1"/>
  <c r="CX157" i="7"/>
  <c r="CS157" i="7"/>
  <c r="CS156" i="7" s="1"/>
  <c r="CS105" i="7" s="1"/>
  <c r="CN157" i="7"/>
  <c r="CI157" i="7"/>
  <c r="CI156" i="7" s="1"/>
  <c r="CD157" i="7"/>
  <c r="BO157" i="7"/>
  <c r="BJ157" i="7"/>
  <c r="BE157" i="7"/>
  <c r="AZ157" i="7"/>
  <c r="AU157" i="7"/>
  <c r="AK157" i="7"/>
  <c r="AF157" i="7"/>
  <c r="AA157" i="7"/>
  <c r="V157" i="7"/>
  <c r="Q157" i="7"/>
  <c r="L157" i="7"/>
  <c r="EG156" i="7"/>
  <c r="EG105" i="7" s="1"/>
  <c r="DM156" i="7"/>
  <c r="DH156" i="7"/>
  <c r="CN156" i="7"/>
  <c r="CN105" i="7" s="1"/>
  <c r="BY156" i="7"/>
  <c r="BO156" i="7"/>
  <c r="BE156" i="7"/>
  <c r="AZ156" i="7"/>
  <c r="AZ105" i="7" s="1"/>
  <c r="AU156" i="7"/>
  <c r="AP156" i="7"/>
  <c r="AK156" i="7"/>
  <c r="AA156" i="7"/>
  <c r="AA105" i="7" s="1"/>
  <c r="G156" i="7"/>
  <c r="EL154" i="7"/>
  <c r="BT154" i="7"/>
  <c r="EL153" i="7"/>
  <c r="BT153" i="7"/>
  <c r="BT152" i="7" s="1"/>
  <c r="EG152" i="7"/>
  <c r="EB152" i="7"/>
  <c r="DW152" i="7"/>
  <c r="DR152" i="7"/>
  <c r="DM152" i="7"/>
  <c r="DH152" i="7"/>
  <c r="DC152" i="7"/>
  <c r="CX152" i="7"/>
  <c r="CS152" i="7"/>
  <c r="CN152" i="7"/>
  <c r="CI152" i="7"/>
  <c r="CD152" i="7"/>
  <c r="BO152" i="7"/>
  <c r="BJ152" i="7"/>
  <c r="BE152" i="7"/>
  <c r="AZ152" i="7"/>
  <c r="AU152" i="7"/>
  <c r="AP152" i="7"/>
  <c r="AK152" i="7"/>
  <c r="AF152" i="7"/>
  <c r="AA152" i="7"/>
  <c r="V152" i="7"/>
  <c r="Q152" i="7"/>
  <c r="L152" i="7"/>
  <c r="G152" i="7"/>
  <c r="EL150" i="7"/>
  <c r="BT150" i="7"/>
  <c r="EL149" i="7"/>
  <c r="BT149" i="7"/>
  <c r="BT148" i="7" s="1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O148" i="7"/>
  <c r="BJ148" i="7"/>
  <c r="BE148" i="7"/>
  <c r="AZ148" i="7"/>
  <c r="AU148" i="7"/>
  <c r="AP148" i="7"/>
  <c r="AK148" i="7"/>
  <c r="AF148" i="7"/>
  <c r="AA148" i="7"/>
  <c r="V148" i="7"/>
  <c r="Q148" i="7"/>
  <c r="L148" i="7"/>
  <c r="G148" i="7"/>
  <c r="EL146" i="7"/>
  <c r="BT146" i="7"/>
  <c r="EL145" i="7"/>
  <c r="BT145" i="7"/>
  <c r="EG144" i="7"/>
  <c r="EB144" i="7"/>
  <c r="DW144" i="7"/>
  <c r="DR144" i="7"/>
  <c r="DM144" i="7"/>
  <c r="DH144" i="7"/>
  <c r="DC144" i="7"/>
  <c r="CX144" i="7"/>
  <c r="CS144" i="7"/>
  <c r="CN144" i="7"/>
  <c r="CI144" i="7"/>
  <c r="CD144" i="7"/>
  <c r="BO144" i="7"/>
  <c r="BJ144" i="7"/>
  <c r="BE144" i="7"/>
  <c r="AZ144" i="7"/>
  <c r="AU144" i="7"/>
  <c r="AP144" i="7"/>
  <c r="AK144" i="7"/>
  <c r="AF144" i="7"/>
  <c r="AA144" i="7"/>
  <c r="V144" i="7"/>
  <c r="Q144" i="7"/>
  <c r="L144" i="7"/>
  <c r="G144" i="7"/>
  <c r="EL142" i="7"/>
  <c r="BT142" i="7"/>
  <c r="EL141" i="7"/>
  <c r="EL140" i="7" s="1"/>
  <c r="BT141" i="7"/>
  <c r="BT140" i="7" s="1"/>
  <c r="EG140" i="7"/>
  <c r="EB140" i="7"/>
  <c r="DW140" i="7"/>
  <c r="DR140" i="7"/>
  <c r="DM140" i="7"/>
  <c r="DH140" i="7"/>
  <c r="DC140" i="7"/>
  <c r="CX140" i="7"/>
  <c r="CS140" i="7"/>
  <c r="CN140" i="7"/>
  <c r="CI140" i="7"/>
  <c r="CD140" i="7"/>
  <c r="BO140" i="7"/>
  <c r="BJ140" i="7"/>
  <c r="BE140" i="7"/>
  <c r="AZ140" i="7"/>
  <c r="AU140" i="7"/>
  <c r="AP140" i="7"/>
  <c r="AK140" i="7"/>
  <c r="AF140" i="7"/>
  <c r="AA140" i="7"/>
  <c r="V140" i="7"/>
  <c r="Q140" i="7"/>
  <c r="L140" i="7"/>
  <c r="G140" i="7"/>
  <c r="EL138" i="7"/>
  <c r="BT138" i="7"/>
  <c r="BT136" i="7" s="1"/>
  <c r="EL137" i="7"/>
  <c r="BT137" i="7"/>
  <c r="EG136" i="7"/>
  <c r="EB136" i="7"/>
  <c r="DW136" i="7"/>
  <c r="DR136" i="7"/>
  <c r="DM136" i="7"/>
  <c r="DH136" i="7"/>
  <c r="DC136" i="7"/>
  <c r="CX136" i="7"/>
  <c r="CS136" i="7"/>
  <c r="CN136" i="7"/>
  <c r="CI136" i="7"/>
  <c r="CD136" i="7"/>
  <c r="BO136" i="7"/>
  <c r="BJ136" i="7"/>
  <c r="BE136" i="7"/>
  <c r="AZ136" i="7"/>
  <c r="AU136" i="7"/>
  <c r="AP136" i="7"/>
  <c r="AK136" i="7"/>
  <c r="AF136" i="7"/>
  <c r="AA136" i="7"/>
  <c r="V136" i="7"/>
  <c r="Q136" i="7"/>
  <c r="L136" i="7"/>
  <c r="G136" i="7"/>
  <c r="EL134" i="7"/>
  <c r="BT134" i="7"/>
  <c r="EL133" i="7"/>
  <c r="BT133" i="7"/>
  <c r="BT132" i="7" s="1"/>
  <c r="EG132" i="7"/>
  <c r="EB132" i="7"/>
  <c r="DW132" i="7"/>
  <c r="DR132" i="7"/>
  <c r="DM132" i="7"/>
  <c r="DH132" i="7"/>
  <c r="DC132" i="7"/>
  <c r="CX132" i="7"/>
  <c r="CS132" i="7"/>
  <c r="CN132" i="7"/>
  <c r="CI132" i="7"/>
  <c r="CD132" i="7"/>
  <c r="BY132" i="7"/>
  <c r="BO132" i="7"/>
  <c r="BJ132" i="7"/>
  <c r="BE132" i="7"/>
  <c r="AZ132" i="7"/>
  <c r="AU132" i="7"/>
  <c r="AP132" i="7"/>
  <c r="AK132" i="7"/>
  <c r="AF132" i="7"/>
  <c r="AA132" i="7"/>
  <c r="V132" i="7"/>
  <c r="Q132" i="7"/>
  <c r="L132" i="7"/>
  <c r="G132" i="7"/>
  <c r="EL130" i="7"/>
  <c r="BT130" i="7"/>
  <c r="BY130" i="7" s="1"/>
  <c r="EL129" i="7"/>
  <c r="EL128" i="7" s="1"/>
  <c r="BT129" i="7"/>
  <c r="BY129" i="7" s="1"/>
  <c r="EG128" i="7"/>
  <c r="EB128" i="7"/>
  <c r="DW128" i="7"/>
  <c r="DR128" i="7"/>
  <c r="DM128" i="7"/>
  <c r="DH128" i="7"/>
  <c r="DC128" i="7"/>
  <c r="CX128" i="7"/>
  <c r="CS128" i="7"/>
  <c r="CN128" i="7"/>
  <c r="CI128" i="7"/>
  <c r="CD128" i="7"/>
  <c r="BT128" i="7"/>
  <c r="BO128" i="7"/>
  <c r="BJ128" i="7"/>
  <c r="BE128" i="7"/>
  <c r="AZ128" i="7"/>
  <c r="AU128" i="7"/>
  <c r="AP128" i="7"/>
  <c r="AK128" i="7"/>
  <c r="AF128" i="7"/>
  <c r="AA128" i="7"/>
  <c r="V128" i="7"/>
  <c r="Q128" i="7"/>
  <c r="L128" i="7"/>
  <c r="EL126" i="7"/>
  <c r="BT126" i="7"/>
  <c r="BY126" i="7" s="1"/>
  <c r="EL125" i="7"/>
  <c r="BT125" i="7"/>
  <c r="BY125" i="7" s="1"/>
  <c r="BY124" i="7" s="1"/>
  <c r="EL124" i="7"/>
  <c r="EG124" i="7"/>
  <c r="EB124" i="7"/>
  <c r="DW124" i="7"/>
  <c r="DR124" i="7"/>
  <c r="DM124" i="7"/>
  <c r="DH124" i="7"/>
  <c r="DC124" i="7"/>
  <c r="CX124" i="7"/>
  <c r="CS124" i="7"/>
  <c r="CN124" i="7"/>
  <c r="CI124" i="7"/>
  <c r="CD124" i="7"/>
  <c r="BO124" i="7"/>
  <c r="BJ124" i="7"/>
  <c r="BE124" i="7"/>
  <c r="AZ124" i="7"/>
  <c r="AU124" i="7"/>
  <c r="AP124" i="7"/>
  <c r="AK124" i="7"/>
  <c r="AF124" i="7"/>
  <c r="AA124" i="7"/>
  <c r="V124" i="7"/>
  <c r="Q124" i="7"/>
  <c r="L124" i="7"/>
  <c r="EL122" i="7"/>
  <c r="BT122" i="7"/>
  <c r="EL121" i="7"/>
  <c r="EL120" i="7" s="1"/>
  <c r="BT121" i="7"/>
  <c r="EG120" i="7"/>
  <c r="EB120" i="7"/>
  <c r="DW120" i="7"/>
  <c r="DR120" i="7"/>
  <c r="DM120" i="7"/>
  <c r="DH120" i="7"/>
  <c r="DC120" i="7"/>
  <c r="CX120" i="7"/>
  <c r="CS120" i="7"/>
  <c r="CN120" i="7"/>
  <c r="CI120" i="7"/>
  <c r="CD120" i="7"/>
  <c r="BY120" i="7"/>
  <c r="BT120" i="7"/>
  <c r="BO120" i="7"/>
  <c r="BJ120" i="7"/>
  <c r="BE120" i="7"/>
  <c r="AZ120" i="7"/>
  <c r="AU120" i="7"/>
  <c r="AP120" i="7"/>
  <c r="AK120" i="7"/>
  <c r="AF120" i="7"/>
  <c r="AA120" i="7"/>
  <c r="V120" i="7"/>
  <c r="Q120" i="7"/>
  <c r="L120" i="7"/>
  <c r="G120" i="7"/>
  <c r="EL118" i="7"/>
  <c r="BT118" i="7"/>
  <c r="EL117" i="7"/>
  <c r="EL116" i="7" s="1"/>
  <c r="BT117" i="7"/>
  <c r="BT116" i="7" s="1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O116" i="7"/>
  <c r="BJ116" i="7"/>
  <c r="BE116" i="7"/>
  <c r="AZ116" i="7"/>
  <c r="AU116" i="7"/>
  <c r="AP116" i="7"/>
  <c r="AK116" i="7"/>
  <c r="AF116" i="7"/>
  <c r="AA116" i="7"/>
  <c r="V116" i="7"/>
  <c r="Q116" i="7"/>
  <c r="L116" i="7"/>
  <c r="G116" i="7"/>
  <c r="EL114" i="7"/>
  <c r="DM114" i="7"/>
  <c r="BT114" i="7"/>
  <c r="EL113" i="7"/>
  <c r="DM113" i="7"/>
  <c r="BT113" i="7"/>
  <c r="BT112" i="7" s="1"/>
  <c r="EL112" i="7"/>
  <c r="EG112" i="7"/>
  <c r="EB112" i="7"/>
  <c r="DW112" i="7"/>
  <c r="DR112" i="7"/>
  <c r="DM112" i="7"/>
  <c r="DH112" i="7"/>
  <c r="DC112" i="7"/>
  <c r="CX112" i="7"/>
  <c r="CS112" i="7"/>
  <c r="CN112" i="7"/>
  <c r="CI112" i="7"/>
  <c r="CD112" i="7"/>
  <c r="BY112" i="7"/>
  <c r="BO112" i="7"/>
  <c r="BJ112" i="7"/>
  <c r="BE112" i="7"/>
  <c r="AZ112" i="7"/>
  <c r="AU112" i="7"/>
  <c r="AP112" i="7"/>
  <c r="AK112" i="7"/>
  <c r="AF112" i="7"/>
  <c r="AA112" i="7"/>
  <c r="V112" i="7"/>
  <c r="Q112" i="7"/>
  <c r="L112" i="7"/>
  <c r="G112" i="7"/>
  <c r="EG110" i="7"/>
  <c r="EB110" i="7"/>
  <c r="DW110" i="7"/>
  <c r="DR110" i="7"/>
  <c r="DM110" i="7"/>
  <c r="DH110" i="7"/>
  <c r="DC110" i="7"/>
  <c r="CX110" i="7"/>
  <c r="CS110" i="7"/>
  <c r="CN110" i="7"/>
  <c r="CI110" i="7"/>
  <c r="CI108" i="7" s="1"/>
  <c r="CI104" i="7" s="1"/>
  <c r="CD110" i="7"/>
  <c r="BJ110" i="7"/>
  <c r="BE110" i="7"/>
  <c r="AZ110" i="7"/>
  <c r="AZ108" i="7" s="1"/>
  <c r="AZ104" i="7" s="1"/>
  <c r="AK110" i="7"/>
  <c r="AF110" i="7"/>
  <c r="AA110" i="7"/>
  <c r="V110" i="7"/>
  <c r="Q110" i="7"/>
  <c r="L110" i="7"/>
  <c r="G110" i="7"/>
  <c r="EG109" i="7"/>
  <c r="EB109" i="7"/>
  <c r="DW109" i="7"/>
  <c r="DR109" i="7"/>
  <c r="DM109" i="7"/>
  <c r="DH109" i="7"/>
  <c r="DC109" i="7"/>
  <c r="CX109" i="7"/>
  <c r="CS109" i="7"/>
  <c r="CS108" i="7" s="1"/>
  <c r="CS104" i="7" s="1"/>
  <c r="CS103" i="7" s="1"/>
  <c r="CN109" i="7"/>
  <c r="CI109" i="7"/>
  <c r="CD109" i="7"/>
  <c r="BJ109" i="7"/>
  <c r="BE109" i="7"/>
  <c r="AZ109" i="7"/>
  <c r="AK109" i="7"/>
  <c r="AK108" i="7" s="1"/>
  <c r="AF109" i="7"/>
  <c r="AA109" i="7"/>
  <c r="V109" i="7"/>
  <c r="Q109" i="7"/>
  <c r="L109" i="7"/>
  <c r="L108" i="7" s="1"/>
  <c r="L104" i="7" s="1"/>
  <c r="G109" i="7"/>
  <c r="EB108" i="7"/>
  <c r="DR108" i="7"/>
  <c r="DR104" i="7" s="1"/>
  <c r="DH108" i="7"/>
  <c r="DH104" i="7" s="1"/>
  <c r="CN108" i="7"/>
  <c r="BY108" i="7"/>
  <c r="BO108" i="7"/>
  <c r="AU108" i="7"/>
  <c r="AP108" i="7"/>
  <c r="G108" i="7"/>
  <c r="G104" i="7" s="1"/>
  <c r="EG106" i="7"/>
  <c r="DH106" i="7"/>
  <c r="CS106" i="7"/>
  <c r="BY106" i="7"/>
  <c r="BO106" i="7"/>
  <c r="AU106" i="7"/>
  <c r="AA106" i="7"/>
  <c r="G106" i="7"/>
  <c r="DR105" i="7"/>
  <c r="DM105" i="7"/>
  <c r="DH105" i="7"/>
  <c r="DC105" i="7"/>
  <c r="CI105" i="7"/>
  <c r="BY105" i="7"/>
  <c r="BO105" i="7"/>
  <c r="BE105" i="7"/>
  <c r="AU105" i="7"/>
  <c r="AP105" i="7"/>
  <c r="AK105" i="7"/>
  <c r="G105" i="7"/>
  <c r="EB104" i="7"/>
  <c r="CN104" i="7"/>
  <c r="BY104" i="7"/>
  <c r="AU104" i="7"/>
  <c r="EL101" i="7"/>
  <c r="BT101" i="7"/>
  <c r="BY101" i="7" s="1"/>
  <c r="EL100" i="7"/>
  <c r="BT100" i="7"/>
  <c r="BY100" i="7" s="1"/>
  <c r="EL99" i="7"/>
  <c r="BY99" i="7"/>
  <c r="BY98" i="7" s="1"/>
  <c r="BT99" i="7"/>
  <c r="EG98" i="7"/>
  <c r="EB98" i="7"/>
  <c r="DW98" i="7"/>
  <c r="DR98" i="7"/>
  <c r="DM98" i="7"/>
  <c r="DH98" i="7"/>
  <c r="DC98" i="7"/>
  <c r="CX98" i="7"/>
  <c r="CS98" i="7"/>
  <c r="CN98" i="7"/>
  <c r="CI98" i="7"/>
  <c r="CD98" i="7"/>
  <c r="BT98" i="7"/>
  <c r="BO98" i="7"/>
  <c r="BJ98" i="7"/>
  <c r="BE98" i="7"/>
  <c r="AZ98" i="7"/>
  <c r="AU98" i="7"/>
  <c r="AP98" i="7"/>
  <c r="AK98" i="7"/>
  <c r="AF98" i="7"/>
  <c r="AA98" i="7"/>
  <c r="V98" i="7"/>
  <c r="Q98" i="7"/>
  <c r="L98" i="7"/>
  <c r="EL96" i="7"/>
  <c r="BT96" i="7"/>
  <c r="BY96" i="7" s="1"/>
  <c r="EL95" i="7"/>
  <c r="BT95" i="7"/>
  <c r="BY95" i="7" s="1"/>
  <c r="EL94" i="7"/>
  <c r="BT94" i="7"/>
  <c r="BY94" i="7" s="1"/>
  <c r="BY93" i="7" s="1"/>
  <c r="EG93" i="7"/>
  <c r="EB93" i="7"/>
  <c r="DW93" i="7"/>
  <c r="DR93" i="7"/>
  <c r="DM93" i="7"/>
  <c r="DH93" i="7"/>
  <c r="DC93" i="7"/>
  <c r="CX93" i="7"/>
  <c r="CS93" i="7"/>
  <c r="CN93" i="7"/>
  <c r="CI93" i="7"/>
  <c r="CD93" i="7"/>
  <c r="BO93" i="7"/>
  <c r="BJ93" i="7"/>
  <c r="BE93" i="7"/>
  <c r="AZ93" i="7"/>
  <c r="AU93" i="7"/>
  <c r="AP93" i="7"/>
  <c r="AK93" i="7"/>
  <c r="AF93" i="7"/>
  <c r="AA93" i="7"/>
  <c r="V93" i="7"/>
  <c r="Q93" i="7"/>
  <c r="L93" i="7"/>
  <c r="EL91" i="7"/>
  <c r="BT91" i="7"/>
  <c r="BY91" i="7" s="1"/>
  <c r="EL90" i="7"/>
  <c r="BT90" i="7"/>
  <c r="BY90" i="7" s="1"/>
  <c r="EL89" i="7"/>
  <c r="BT89" i="7"/>
  <c r="BY89" i="7" s="1"/>
  <c r="EL88" i="7"/>
  <c r="EG88" i="7"/>
  <c r="EB88" i="7"/>
  <c r="DW88" i="7"/>
  <c r="DR88" i="7"/>
  <c r="DM88" i="7"/>
  <c r="DH88" i="7"/>
  <c r="DC88" i="7"/>
  <c r="CX88" i="7"/>
  <c r="CS88" i="7"/>
  <c r="CN88" i="7"/>
  <c r="CI88" i="7"/>
  <c r="CD88" i="7"/>
  <c r="BT88" i="7"/>
  <c r="BO88" i="7"/>
  <c r="BJ88" i="7"/>
  <c r="BE88" i="7"/>
  <c r="AZ88" i="7"/>
  <c r="AU88" i="7"/>
  <c r="AP88" i="7"/>
  <c r="AK88" i="7"/>
  <c r="AF88" i="7"/>
  <c r="AA88" i="7"/>
  <c r="V88" i="7"/>
  <c r="Q88" i="7"/>
  <c r="L88" i="7"/>
  <c r="EL86" i="7"/>
  <c r="BT86" i="7"/>
  <c r="BY86" i="7" s="1"/>
  <c r="EL85" i="7"/>
  <c r="BT85" i="7"/>
  <c r="BY85" i="7" s="1"/>
  <c r="EL84" i="7"/>
  <c r="BT84" i="7"/>
  <c r="EL83" i="7"/>
  <c r="EG83" i="7"/>
  <c r="EB83" i="7"/>
  <c r="DW83" i="7"/>
  <c r="DR83" i="7"/>
  <c r="DM83" i="7"/>
  <c r="DH83" i="7"/>
  <c r="DC83" i="7"/>
  <c r="CX83" i="7"/>
  <c r="CS83" i="7"/>
  <c r="CN83" i="7"/>
  <c r="CI83" i="7"/>
  <c r="CD83" i="7"/>
  <c r="BO83" i="7"/>
  <c r="BJ83" i="7"/>
  <c r="BE83" i="7"/>
  <c r="AZ83" i="7"/>
  <c r="AU83" i="7"/>
  <c r="AP83" i="7"/>
  <c r="AK83" i="7"/>
  <c r="AF83" i="7"/>
  <c r="AA83" i="7"/>
  <c r="V83" i="7"/>
  <c r="Q83" i="7"/>
  <c r="L83" i="7"/>
  <c r="EL81" i="7"/>
  <c r="EL76" i="7" s="1"/>
  <c r="BT81" i="7"/>
  <c r="BT76" i="7" s="1"/>
  <c r="EL80" i="7"/>
  <c r="BY80" i="7"/>
  <c r="BY75" i="7" s="1"/>
  <c r="BT80" i="7"/>
  <c r="BT75" i="7" s="1"/>
  <c r="EL79" i="7"/>
  <c r="BT79" i="7"/>
  <c r="EG78" i="7"/>
  <c r="EB78" i="7"/>
  <c r="DW78" i="7"/>
  <c r="DR78" i="7"/>
  <c r="DM78" i="7"/>
  <c r="DH78" i="7"/>
  <c r="DC78" i="7"/>
  <c r="CX78" i="7"/>
  <c r="CS78" i="7"/>
  <c r="CN78" i="7"/>
  <c r="CI78" i="7"/>
  <c r="CD78" i="7"/>
  <c r="BO78" i="7"/>
  <c r="BJ78" i="7"/>
  <c r="BE78" i="7"/>
  <c r="AZ78" i="7"/>
  <c r="AU78" i="7"/>
  <c r="AP78" i="7"/>
  <c r="AK78" i="7"/>
  <c r="AF78" i="7"/>
  <c r="AA78" i="7"/>
  <c r="V78" i="7"/>
  <c r="Q78" i="7"/>
  <c r="L78" i="7"/>
  <c r="EG76" i="7"/>
  <c r="EB76" i="7"/>
  <c r="DW76" i="7"/>
  <c r="DW73" i="7" s="1"/>
  <c r="DR76" i="7"/>
  <c r="DM76" i="7"/>
  <c r="DH76" i="7"/>
  <c r="DC76" i="7"/>
  <c r="DC73" i="7" s="1"/>
  <c r="CX76" i="7"/>
  <c r="CS76" i="7"/>
  <c r="CN76" i="7"/>
  <c r="CI76" i="7"/>
  <c r="CI73" i="7" s="1"/>
  <c r="CD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EL75" i="7"/>
  <c r="EG75" i="7"/>
  <c r="EB75" i="7"/>
  <c r="EB73" i="7" s="1"/>
  <c r="DW75" i="7"/>
  <c r="DR75" i="7"/>
  <c r="DM75" i="7"/>
  <c r="DH75" i="7"/>
  <c r="DH73" i="7" s="1"/>
  <c r="DC75" i="7"/>
  <c r="CX75" i="7"/>
  <c r="CS75" i="7"/>
  <c r="CN75" i="7"/>
  <c r="CN73" i="7" s="1"/>
  <c r="CI75" i="7"/>
  <c r="CD75" i="7"/>
  <c r="BO75" i="7"/>
  <c r="BJ75" i="7"/>
  <c r="BE75" i="7"/>
  <c r="AZ75" i="7"/>
  <c r="AU75" i="7"/>
  <c r="AP75" i="7"/>
  <c r="AK75" i="7"/>
  <c r="AF75" i="7"/>
  <c r="AA75" i="7"/>
  <c r="V75" i="7"/>
  <c r="Q75" i="7"/>
  <c r="L75" i="7"/>
  <c r="EL74" i="7"/>
  <c r="EG74" i="7"/>
  <c r="EG73" i="7" s="1"/>
  <c r="EB74" i="7"/>
  <c r="DW74" i="7"/>
  <c r="DR74" i="7"/>
  <c r="DM74" i="7"/>
  <c r="DM73" i="7" s="1"/>
  <c r="DH74" i="7"/>
  <c r="DC74" i="7"/>
  <c r="CX74" i="7"/>
  <c r="CS74" i="7"/>
  <c r="CS73" i="7" s="1"/>
  <c r="CN74" i="7"/>
  <c r="CI74" i="7"/>
  <c r="CD74" i="7"/>
  <c r="BO74" i="7"/>
  <c r="BO73" i="7" s="1"/>
  <c r="BJ74" i="7"/>
  <c r="BE74" i="7"/>
  <c r="AZ74" i="7"/>
  <c r="AU74" i="7"/>
  <c r="AU73" i="7" s="1"/>
  <c r="AP74" i="7"/>
  <c r="AK74" i="7"/>
  <c r="AF74" i="7"/>
  <c r="AA74" i="7"/>
  <c r="AA73" i="7" s="1"/>
  <c r="V74" i="7"/>
  <c r="Q74" i="7"/>
  <c r="L74" i="7"/>
  <c r="DR73" i="7"/>
  <c r="DR15" i="7" s="1"/>
  <c r="CX73" i="7"/>
  <c r="CX15" i="7" s="1"/>
  <c r="CD73" i="7"/>
  <c r="AZ73" i="7"/>
  <c r="AF73" i="7"/>
  <c r="L73" i="7"/>
  <c r="L15" i="7" s="1"/>
  <c r="EL71" i="7"/>
  <c r="EL66" i="7" s="1"/>
  <c r="BY71" i="7"/>
  <c r="BY66" i="7" s="1"/>
  <c r="BT71" i="7"/>
  <c r="EL70" i="7"/>
  <c r="EL65" i="7" s="1"/>
  <c r="BY70" i="7"/>
  <c r="BY65" i="7" s="1"/>
  <c r="BT70" i="7"/>
  <c r="EL69" i="7"/>
  <c r="EL64" i="7" s="1"/>
  <c r="BY69" i="7"/>
  <c r="BY64" i="7" s="1"/>
  <c r="BT69" i="7"/>
  <c r="EL68" i="7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T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EG66" i="7"/>
  <c r="EB66" i="7"/>
  <c r="EB63" i="7" s="1"/>
  <c r="EB14" i="7" s="1"/>
  <c r="DW66" i="7"/>
  <c r="DR66" i="7"/>
  <c r="DM66" i="7"/>
  <c r="DH66" i="7"/>
  <c r="DH63" i="7" s="1"/>
  <c r="DH14" i="7" s="1"/>
  <c r="DC66" i="7"/>
  <c r="CX66" i="7"/>
  <c r="CS66" i="7"/>
  <c r="CN66" i="7"/>
  <c r="CN63" i="7" s="1"/>
  <c r="CN14" i="7" s="1"/>
  <c r="CI66" i="7"/>
  <c r="CD66" i="7"/>
  <c r="BT66" i="7"/>
  <c r="BO66" i="7"/>
  <c r="BJ66" i="7"/>
  <c r="BE66" i="7"/>
  <c r="AZ66" i="7"/>
  <c r="AU66" i="7"/>
  <c r="AP66" i="7"/>
  <c r="AK66" i="7"/>
  <c r="AF66" i="7"/>
  <c r="AA66" i="7"/>
  <c r="V66" i="7"/>
  <c r="Q66" i="7"/>
  <c r="L66" i="7"/>
  <c r="EG65" i="7"/>
  <c r="EG63" i="7" s="1"/>
  <c r="EG14" i="7" s="1"/>
  <c r="EB65" i="7"/>
  <c r="DW65" i="7"/>
  <c r="DR65" i="7"/>
  <c r="DM65" i="7"/>
  <c r="DM63" i="7" s="1"/>
  <c r="DM14" i="7" s="1"/>
  <c r="DH65" i="7"/>
  <c r="DC65" i="7"/>
  <c r="CX65" i="7"/>
  <c r="CS65" i="7"/>
  <c r="CS63" i="7" s="1"/>
  <c r="CS14" i="7" s="1"/>
  <c r="CN65" i="7"/>
  <c r="CI65" i="7"/>
  <c r="CD65" i="7"/>
  <c r="BT65" i="7"/>
  <c r="BT63" i="7" s="1"/>
  <c r="BT14" i="7" s="1"/>
  <c r="BO65" i="7"/>
  <c r="BJ65" i="7"/>
  <c r="BE65" i="7"/>
  <c r="AZ65" i="7"/>
  <c r="AU65" i="7"/>
  <c r="AP65" i="7"/>
  <c r="AK65" i="7"/>
  <c r="AF65" i="7"/>
  <c r="AA65" i="7"/>
  <c r="V65" i="7"/>
  <c r="Q65" i="7"/>
  <c r="L65" i="7"/>
  <c r="EG64" i="7"/>
  <c r="EB64" i="7"/>
  <c r="DW64" i="7"/>
  <c r="DR64" i="7"/>
  <c r="DR63" i="7" s="1"/>
  <c r="DR14" i="7" s="1"/>
  <c r="DM64" i="7"/>
  <c r="DH64" i="7"/>
  <c r="DC64" i="7"/>
  <c r="CX64" i="7"/>
  <c r="CX63" i="7" s="1"/>
  <c r="CX14" i="7" s="1"/>
  <c r="CS64" i="7"/>
  <c r="CN64" i="7"/>
  <c r="CI64" i="7"/>
  <c r="CD64" i="7"/>
  <c r="CD63" i="7" s="1"/>
  <c r="CD14" i="7" s="1"/>
  <c r="BT64" i="7"/>
  <c r="BO64" i="7"/>
  <c r="BJ64" i="7"/>
  <c r="BE64" i="7"/>
  <c r="BE63" i="7" s="1"/>
  <c r="BE14" i="7" s="1"/>
  <c r="AZ64" i="7"/>
  <c r="AU64" i="7"/>
  <c r="AP64" i="7"/>
  <c r="AK64" i="7"/>
  <c r="AK63" i="7" s="1"/>
  <c r="AF64" i="7"/>
  <c r="AA64" i="7"/>
  <c r="V64" i="7"/>
  <c r="Q64" i="7"/>
  <c r="Q63" i="7" s="1"/>
  <c r="Q14" i="7" s="1"/>
  <c r="L64" i="7"/>
  <c r="DW63" i="7"/>
  <c r="DC63" i="7"/>
  <c r="DC14" i="7" s="1"/>
  <c r="CI63" i="7"/>
  <c r="BJ63" i="7"/>
  <c r="BJ14" i="7" s="1"/>
  <c r="AP63" i="7"/>
  <c r="AP14" i="7" s="1"/>
  <c r="V63" i="7"/>
  <c r="V14" i="7" s="1"/>
  <c r="G63" i="7"/>
  <c r="EL61" i="7"/>
  <c r="BT61" i="7"/>
  <c r="BY61" i="7" s="1"/>
  <c r="EL60" i="7"/>
  <c r="BY60" i="7"/>
  <c r="BT60" i="7"/>
  <c r="EL59" i="7"/>
  <c r="BY59" i="7"/>
  <c r="BT59" i="7"/>
  <c r="EL58" i="7"/>
  <c r="BT58" i="7"/>
  <c r="EG57" i="7"/>
  <c r="EB57" i="7"/>
  <c r="DW57" i="7"/>
  <c r="DR57" i="7"/>
  <c r="DR18" i="7" s="1"/>
  <c r="DR17" i="7" s="1"/>
  <c r="DR13" i="7" s="1"/>
  <c r="DM57" i="7"/>
  <c r="DH57" i="7"/>
  <c r="DC57" i="7"/>
  <c r="CX57" i="7"/>
  <c r="CX18" i="7" s="1"/>
  <c r="CX17" i="7" s="1"/>
  <c r="CX13" i="7" s="1"/>
  <c r="CS57" i="7"/>
  <c r="CN57" i="7"/>
  <c r="CI57" i="7"/>
  <c r="CD57" i="7"/>
  <c r="CD18" i="7" s="1"/>
  <c r="CD17" i="7" s="1"/>
  <c r="CD13" i="7" s="1"/>
  <c r="BO57" i="7"/>
  <c r="BJ57" i="7"/>
  <c r="BE57" i="7"/>
  <c r="AZ57" i="7"/>
  <c r="AU57" i="7"/>
  <c r="AP57" i="7"/>
  <c r="AK57" i="7"/>
  <c r="AF57" i="7"/>
  <c r="AA57" i="7"/>
  <c r="V57" i="7"/>
  <c r="Q57" i="7"/>
  <c r="L57" i="7"/>
  <c r="EL55" i="7"/>
  <c r="BT55" i="7"/>
  <c r="BY55" i="7" s="1"/>
  <c r="EL54" i="7"/>
  <c r="BT54" i="7"/>
  <c r="BY54" i="7" s="1"/>
  <c r="EL53" i="7"/>
  <c r="BT53" i="7"/>
  <c r="BY53" i="7" s="1"/>
  <c r="EL52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T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EL50" i="7"/>
  <c r="BT50" i="7"/>
  <c r="BY50" i="7" s="1"/>
  <c r="EL49" i="7"/>
  <c r="BT49" i="7"/>
  <c r="BY49" i="7" s="1"/>
  <c r="EL48" i="7"/>
  <c r="BT48" i="7"/>
  <c r="BY48" i="7" s="1"/>
  <c r="EL47" i="7"/>
  <c r="EG47" i="7"/>
  <c r="EB47" i="7"/>
  <c r="DW47" i="7"/>
  <c r="DR47" i="7"/>
  <c r="DM47" i="7"/>
  <c r="DH47" i="7"/>
  <c r="DC47" i="7"/>
  <c r="CX47" i="7"/>
  <c r="CS47" i="7"/>
  <c r="CN47" i="7"/>
  <c r="CI47" i="7"/>
  <c r="CD47" i="7"/>
  <c r="BT47" i="7"/>
  <c r="BO47" i="7"/>
  <c r="BJ47" i="7"/>
  <c r="BE47" i="7"/>
  <c r="AZ47" i="7"/>
  <c r="AU47" i="7"/>
  <c r="AP47" i="7"/>
  <c r="AK47" i="7"/>
  <c r="AF47" i="7"/>
  <c r="AA47" i="7"/>
  <c r="V47" i="7"/>
  <c r="Q47" i="7"/>
  <c r="L47" i="7"/>
  <c r="EL45" i="7"/>
  <c r="BY45" i="7"/>
  <c r="BT45" i="7"/>
  <c r="EL44" i="7"/>
  <c r="BY44" i="7"/>
  <c r="BT44" i="7"/>
  <c r="EL43" i="7"/>
  <c r="BY43" i="7"/>
  <c r="BT43" i="7"/>
  <c r="EL42" i="7"/>
  <c r="EG42" i="7"/>
  <c r="EB42" i="7"/>
  <c r="DW42" i="7"/>
  <c r="DR42" i="7"/>
  <c r="DM42" i="7"/>
  <c r="DH42" i="7"/>
  <c r="DC42" i="7"/>
  <c r="CX42" i="7"/>
  <c r="CS42" i="7"/>
  <c r="CN42" i="7"/>
  <c r="CI42" i="7"/>
  <c r="CD42" i="7"/>
  <c r="BY42" i="7"/>
  <c r="BT42" i="7"/>
  <c r="BO42" i="7"/>
  <c r="BJ42" i="7"/>
  <c r="BE42" i="7"/>
  <c r="AZ42" i="7"/>
  <c r="AU42" i="7"/>
  <c r="AP42" i="7"/>
  <c r="AK42" i="7"/>
  <c r="AF42" i="7"/>
  <c r="AA42" i="7"/>
  <c r="V42" i="7"/>
  <c r="Q42" i="7"/>
  <c r="L42" i="7"/>
  <c r="EL40" i="7"/>
  <c r="BT40" i="7"/>
  <c r="EL39" i="7"/>
  <c r="BT39" i="7"/>
  <c r="BT19" i="7" s="1"/>
  <c r="EL38" i="7"/>
  <c r="EL37" i="7" s="1"/>
  <c r="BT38" i="7"/>
  <c r="BY38" i="7" s="1"/>
  <c r="EG37" i="7"/>
  <c r="EB37" i="7"/>
  <c r="DW37" i="7"/>
  <c r="DR37" i="7"/>
  <c r="DM37" i="7"/>
  <c r="DH37" i="7"/>
  <c r="DC37" i="7"/>
  <c r="CX37" i="7"/>
  <c r="CS37" i="7"/>
  <c r="CN37" i="7"/>
  <c r="CI37" i="7"/>
  <c r="CD37" i="7"/>
  <c r="BT37" i="7"/>
  <c r="BO37" i="7"/>
  <c r="BJ37" i="7"/>
  <c r="BE37" i="7"/>
  <c r="AZ37" i="7"/>
  <c r="AU37" i="7"/>
  <c r="AP37" i="7"/>
  <c r="AK37" i="7"/>
  <c r="AF37" i="7"/>
  <c r="AA37" i="7"/>
  <c r="V37" i="7"/>
  <c r="Q37" i="7"/>
  <c r="L37" i="7"/>
  <c r="EL35" i="7"/>
  <c r="BT35" i="7"/>
  <c r="EL34" i="7"/>
  <c r="BT34" i="7"/>
  <c r="EL33" i="7"/>
  <c r="BT33" i="7"/>
  <c r="BT32" i="7" s="1"/>
  <c r="EG32" i="7"/>
  <c r="EB32" i="7"/>
  <c r="DW32" i="7"/>
  <c r="DR32" i="7"/>
  <c r="DM32" i="7"/>
  <c r="DH32" i="7"/>
  <c r="DC32" i="7"/>
  <c r="CX32" i="7"/>
  <c r="CS32" i="7"/>
  <c r="CN32" i="7"/>
  <c r="CI32" i="7"/>
  <c r="CD32" i="7"/>
  <c r="BY32" i="7"/>
  <c r="BO32" i="7"/>
  <c r="BJ32" i="7"/>
  <c r="BE32" i="7"/>
  <c r="AZ32" i="7"/>
  <c r="AU32" i="7"/>
  <c r="AP32" i="7"/>
  <c r="AK32" i="7"/>
  <c r="AF32" i="7"/>
  <c r="AA32" i="7"/>
  <c r="V32" i="7"/>
  <c r="Q32" i="7"/>
  <c r="L32" i="7"/>
  <c r="EL30" i="7"/>
  <c r="BT30" i="7"/>
  <c r="EL29" i="7"/>
  <c r="BT29" i="7"/>
  <c r="EL28" i="7"/>
  <c r="BT28" i="7"/>
  <c r="EL27" i="7"/>
  <c r="EG27" i="7"/>
  <c r="EB27" i="7"/>
  <c r="DW27" i="7"/>
  <c r="DR27" i="7"/>
  <c r="DM27" i="7"/>
  <c r="DH27" i="7"/>
  <c r="DC27" i="7"/>
  <c r="CX27" i="7"/>
  <c r="CS27" i="7"/>
  <c r="CN27" i="7"/>
  <c r="CI27" i="7"/>
  <c r="CD27" i="7"/>
  <c r="BY27" i="7"/>
  <c r="BO27" i="7"/>
  <c r="BJ27" i="7"/>
  <c r="BE27" i="7"/>
  <c r="AZ27" i="7"/>
  <c r="AU27" i="7"/>
  <c r="AP27" i="7"/>
  <c r="AK27" i="7"/>
  <c r="AF27" i="7"/>
  <c r="AA27" i="7"/>
  <c r="V27" i="7"/>
  <c r="Q27" i="7"/>
  <c r="L27" i="7"/>
  <c r="G27" i="7"/>
  <c r="EL25" i="7"/>
  <c r="BT25" i="7"/>
  <c r="EL24" i="7"/>
  <c r="BT24" i="7"/>
  <c r="EL23" i="7"/>
  <c r="BT23" i="7"/>
  <c r="EG22" i="7"/>
  <c r="EB22" i="7"/>
  <c r="DW22" i="7"/>
  <c r="DR22" i="7"/>
  <c r="DM22" i="7"/>
  <c r="DH22" i="7"/>
  <c r="DC22" i="7"/>
  <c r="CX22" i="7"/>
  <c r="CS22" i="7"/>
  <c r="CN22" i="7"/>
  <c r="CI22" i="7"/>
  <c r="CD22" i="7"/>
  <c r="BY22" i="7"/>
  <c r="BT22" i="7"/>
  <c r="BO22" i="7"/>
  <c r="BJ22" i="7"/>
  <c r="BE22" i="7"/>
  <c r="AZ22" i="7"/>
  <c r="AU22" i="7"/>
  <c r="AP22" i="7"/>
  <c r="AK22" i="7"/>
  <c r="AF22" i="7"/>
  <c r="AA22" i="7"/>
  <c r="V22" i="7"/>
  <c r="Q22" i="7"/>
  <c r="L22" i="7"/>
  <c r="G22" i="7"/>
  <c r="EG20" i="7"/>
  <c r="EB20" i="7"/>
  <c r="DW20" i="7"/>
  <c r="DR20" i="7"/>
  <c r="DM20" i="7"/>
  <c r="DH20" i="7"/>
  <c r="DC20" i="7"/>
  <c r="CX20" i="7"/>
  <c r="CS20" i="7"/>
  <c r="CN20" i="7"/>
  <c r="CI20" i="7"/>
  <c r="CD20" i="7"/>
  <c r="BO20" i="7"/>
  <c r="BJ20" i="7"/>
  <c r="BE20" i="7"/>
  <c r="AZ20" i="7"/>
  <c r="AU20" i="7"/>
  <c r="AP20" i="7"/>
  <c r="AK20" i="7"/>
  <c r="AF20" i="7"/>
  <c r="AA20" i="7"/>
  <c r="V20" i="7"/>
  <c r="Q20" i="7"/>
  <c r="L20" i="7"/>
  <c r="EG19" i="7"/>
  <c r="EB19" i="7"/>
  <c r="DW19" i="7"/>
  <c r="DR19" i="7"/>
  <c r="DM19" i="7"/>
  <c r="DH19" i="7"/>
  <c r="DC19" i="7"/>
  <c r="CX19" i="7"/>
  <c r="CS19" i="7"/>
  <c r="CN19" i="7"/>
  <c r="CI19" i="7"/>
  <c r="CD19" i="7"/>
  <c r="BO19" i="7"/>
  <c r="BO17" i="7" s="1"/>
  <c r="BO13" i="7" s="1"/>
  <c r="BJ19" i="7"/>
  <c r="BE19" i="7"/>
  <c r="AZ19" i="7"/>
  <c r="AU19" i="7"/>
  <c r="AU17" i="7" s="1"/>
  <c r="AU13" i="7" s="1"/>
  <c r="AP19" i="7"/>
  <c r="AK19" i="7"/>
  <c r="AF19" i="7"/>
  <c r="AA19" i="7"/>
  <c r="V19" i="7"/>
  <c r="Q19" i="7"/>
  <c r="L19" i="7"/>
  <c r="EG18" i="7"/>
  <c r="EG17" i="7" s="1"/>
  <c r="EG13" i="7" s="1"/>
  <c r="EB18" i="7"/>
  <c r="DW18" i="7"/>
  <c r="DM18" i="7"/>
  <c r="DH18" i="7"/>
  <c r="DH17" i="7" s="1"/>
  <c r="DH13" i="7" s="1"/>
  <c r="DC18" i="7"/>
  <c r="CS18" i="7"/>
  <c r="CN18" i="7"/>
  <c r="CI18" i="7"/>
  <c r="BO18" i="7"/>
  <c r="AZ18" i="7"/>
  <c r="AU18" i="7"/>
  <c r="AF18" i="7"/>
  <c r="AA18" i="7"/>
  <c r="L18" i="7"/>
  <c r="EB17" i="7"/>
  <c r="EB13" i="7" s="1"/>
  <c r="DW17" i="7"/>
  <c r="DW13" i="7" s="1"/>
  <c r="DC17" i="7"/>
  <c r="DC13" i="7" s="1"/>
  <c r="CN17" i="7"/>
  <c r="CN13" i="7" s="1"/>
  <c r="CI17" i="7"/>
  <c r="CI13" i="7" s="1"/>
  <c r="AZ17" i="7"/>
  <c r="AZ13" i="7" s="1"/>
  <c r="AF17" i="7"/>
  <c r="L17" i="7"/>
  <c r="G17" i="7"/>
  <c r="G13" i="7" s="1"/>
  <c r="EG15" i="7"/>
  <c r="EB15" i="7"/>
  <c r="DW15" i="7"/>
  <c r="DM15" i="7"/>
  <c r="DH15" i="7"/>
  <c r="DC15" i="7"/>
  <c r="CS15" i="7"/>
  <c r="CN15" i="7"/>
  <c r="CI15" i="7"/>
  <c r="CD15" i="7"/>
  <c r="BO15" i="7"/>
  <c r="AZ15" i="7"/>
  <c r="AU15" i="7"/>
  <c r="AF15" i="7"/>
  <c r="AA15" i="7"/>
  <c r="DW14" i="7"/>
  <c r="CI14" i="7"/>
  <c r="AK14" i="7"/>
  <c r="G14" i="7"/>
  <c r="BY9" i="7"/>
  <c r="G9" i="7"/>
  <c r="BY8" i="7"/>
  <c r="G8" i="7"/>
  <c r="M1" i="7"/>
  <c r="EL155" i="6"/>
  <c r="BT155" i="6"/>
  <c r="EL154" i="6"/>
  <c r="BT154" i="6"/>
  <c r="EL153" i="6"/>
  <c r="BT153" i="6"/>
  <c r="BT152" i="6" s="1"/>
  <c r="EG152" i="6"/>
  <c r="EB152" i="6"/>
  <c r="DW152" i="6"/>
  <c r="DR152" i="6"/>
  <c r="DM152" i="6"/>
  <c r="DH152" i="6"/>
  <c r="DC152" i="6"/>
  <c r="CX152" i="6"/>
  <c r="CS152" i="6"/>
  <c r="CN152" i="6"/>
  <c r="CI152" i="6"/>
  <c r="CD152" i="6"/>
  <c r="BY152" i="6"/>
  <c r="BO152" i="6"/>
  <c r="BJ152" i="6"/>
  <c r="BE152" i="6"/>
  <c r="AZ152" i="6"/>
  <c r="AU152" i="6"/>
  <c r="AP152" i="6"/>
  <c r="AK152" i="6"/>
  <c r="AF152" i="6"/>
  <c r="AA152" i="6"/>
  <c r="V152" i="6"/>
  <c r="Q152" i="6"/>
  <c r="L152" i="6"/>
  <c r="G152" i="6"/>
  <c r="EL150" i="6"/>
  <c r="BT150" i="6"/>
  <c r="EL149" i="6"/>
  <c r="BT149" i="6"/>
  <c r="EL148" i="6"/>
  <c r="BT148" i="6"/>
  <c r="EG147" i="6"/>
  <c r="EB147" i="6"/>
  <c r="DW147" i="6"/>
  <c r="DR147" i="6"/>
  <c r="DM147" i="6"/>
  <c r="DH147" i="6"/>
  <c r="DC147" i="6"/>
  <c r="CX147" i="6"/>
  <c r="CS147" i="6"/>
  <c r="CN147" i="6"/>
  <c r="CI147" i="6"/>
  <c r="CD147" i="6"/>
  <c r="BY147" i="6"/>
  <c r="BO147" i="6"/>
  <c r="BJ147" i="6"/>
  <c r="BE147" i="6"/>
  <c r="AZ147" i="6"/>
  <c r="AU147" i="6"/>
  <c r="AP147" i="6"/>
  <c r="AK147" i="6"/>
  <c r="AF147" i="6"/>
  <c r="AA147" i="6"/>
  <c r="V147" i="6"/>
  <c r="Q147" i="6"/>
  <c r="L147" i="6"/>
  <c r="G147" i="6"/>
  <c r="EL145" i="6"/>
  <c r="BT145" i="6"/>
  <c r="EL144" i="6"/>
  <c r="BT144" i="6"/>
  <c r="EL143" i="6"/>
  <c r="BT143" i="6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E142" i="6"/>
  <c r="AZ142" i="6"/>
  <c r="AU142" i="6"/>
  <c r="AP142" i="6"/>
  <c r="AK142" i="6"/>
  <c r="AF142" i="6"/>
  <c r="AA142" i="6"/>
  <c r="V142" i="6"/>
  <c r="Q142" i="6"/>
  <c r="L142" i="6"/>
  <c r="G142" i="6"/>
  <c r="EL140" i="6"/>
  <c r="BT140" i="6"/>
  <c r="EL139" i="6"/>
  <c r="BT139" i="6"/>
  <c r="EL138" i="6"/>
  <c r="BT138" i="6"/>
  <c r="EL137" i="6"/>
  <c r="EG137" i="6"/>
  <c r="EB137" i="6"/>
  <c r="DW137" i="6"/>
  <c r="DR137" i="6"/>
  <c r="DM137" i="6"/>
  <c r="DH137" i="6"/>
  <c r="DC137" i="6"/>
  <c r="CX137" i="6"/>
  <c r="CS137" i="6"/>
  <c r="CN137" i="6"/>
  <c r="CI137" i="6"/>
  <c r="CD137" i="6"/>
  <c r="BY137" i="6"/>
  <c r="BO137" i="6"/>
  <c r="BJ137" i="6"/>
  <c r="BE137" i="6"/>
  <c r="AZ137" i="6"/>
  <c r="AU137" i="6"/>
  <c r="AP137" i="6"/>
  <c r="AK137" i="6"/>
  <c r="AF137" i="6"/>
  <c r="AA137" i="6"/>
  <c r="V137" i="6"/>
  <c r="Q137" i="6"/>
  <c r="L137" i="6"/>
  <c r="G137" i="6"/>
  <c r="EL135" i="6"/>
  <c r="BT135" i="6"/>
  <c r="EL134" i="6"/>
  <c r="BT134" i="6"/>
  <c r="EL133" i="6"/>
  <c r="BT133" i="6"/>
  <c r="EG132" i="6"/>
  <c r="EB132" i="6"/>
  <c r="DW132" i="6"/>
  <c r="DR132" i="6"/>
  <c r="DM132" i="6"/>
  <c r="DH132" i="6"/>
  <c r="DC132" i="6"/>
  <c r="CX132" i="6"/>
  <c r="CS132" i="6"/>
  <c r="CN132" i="6"/>
  <c r="CI132" i="6"/>
  <c r="CD132" i="6"/>
  <c r="BY132" i="6"/>
  <c r="BT132" i="6"/>
  <c r="BO132" i="6"/>
  <c r="BJ132" i="6"/>
  <c r="BE132" i="6"/>
  <c r="AZ132" i="6"/>
  <c r="AU132" i="6"/>
  <c r="AP132" i="6"/>
  <c r="AK132" i="6"/>
  <c r="AF132" i="6"/>
  <c r="AA132" i="6"/>
  <c r="V132" i="6"/>
  <c r="Q132" i="6"/>
  <c r="L132" i="6"/>
  <c r="G132" i="6"/>
  <c r="EL130" i="6"/>
  <c r="BT130" i="6"/>
  <c r="EL129" i="6"/>
  <c r="BT129" i="6"/>
  <c r="EL128" i="6"/>
  <c r="BT128" i="6"/>
  <c r="EG127" i="6"/>
  <c r="EB127" i="6"/>
  <c r="DW127" i="6"/>
  <c r="DR127" i="6"/>
  <c r="DM127" i="6"/>
  <c r="DH127" i="6"/>
  <c r="DC127" i="6"/>
  <c r="CX127" i="6"/>
  <c r="CS127" i="6"/>
  <c r="CN127" i="6"/>
  <c r="CI127" i="6"/>
  <c r="CD127" i="6"/>
  <c r="BY127" i="6"/>
  <c r="BO127" i="6"/>
  <c r="BJ127" i="6"/>
  <c r="BE127" i="6"/>
  <c r="AZ127" i="6"/>
  <c r="AU127" i="6"/>
  <c r="AP127" i="6"/>
  <c r="AK127" i="6"/>
  <c r="AF127" i="6"/>
  <c r="AA127" i="6"/>
  <c r="V127" i="6"/>
  <c r="Q127" i="6"/>
  <c r="L127" i="6"/>
  <c r="G127" i="6"/>
  <c r="EG125" i="6"/>
  <c r="EB125" i="6"/>
  <c r="DW125" i="6"/>
  <c r="DR125" i="6"/>
  <c r="DM125" i="6"/>
  <c r="DH125" i="6"/>
  <c r="DC125" i="6"/>
  <c r="CX125" i="6"/>
  <c r="CS125" i="6"/>
  <c r="CN125" i="6"/>
  <c r="CI125" i="6"/>
  <c r="CD125" i="6"/>
  <c r="BY125" i="6"/>
  <c r="BO125" i="6"/>
  <c r="BJ125" i="6"/>
  <c r="BE125" i="6"/>
  <c r="AZ125" i="6"/>
  <c r="AU125" i="6"/>
  <c r="AP125" i="6"/>
  <c r="AK125" i="6"/>
  <c r="AF125" i="6"/>
  <c r="AA125" i="6"/>
  <c r="V125" i="6"/>
  <c r="Q125" i="6"/>
  <c r="L125" i="6"/>
  <c r="G125" i="6"/>
  <c r="EG124" i="6"/>
  <c r="EB124" i="6"/>
  <c r="DW124" i="6"/>
  <c r="DR124" i="6"/>
  <c r="DM124" i="6"/>
  <c r="DH124" i="6"/>
  <c r="DC124" i="6"/>
  <c r="CX124" i="6"/>
  <c r="CS124" i="6"/>
  <c r="CS122" i="6" s="1"/>
  <c r="CS16" i="6" s="1"/>
  <c r="CN124" i="6"/>
  <c r="CI124" i="6"/>
  <c r="CD124" i="6"/>
  <c r="BY124" i="6"/>
  <c r="BO124" i="6"/>
  <c r="BJ124" i="6"/>
  <c r="BE124" i="6"/>
  <c r="AZ124" i="6"/>
  <c r="AU124" i="6"/>
  <c r="AP124" i="6"/>
  <c r="AK124" i="6"/>
  <c r="AF124" i="6"/>
  <c r="AA124" i="6"/>
  <c r="V124" i="6"/>
  <c r="Q124" i="6"/>
  <c r="L124" i="6"/>
  <c r="G124" i="6"/>
  <c r="EG123" i="6"/>
  <c r="EB123" i="6"/>
  <c r="DW123" i="6"/>
  <c r="DR123" i="6"/>
  <c r="DM123" i="6"/>
  <c r="DH123" i="6"/>
  <c r="DC123" i="6"/>
  <c r="CX123" i="6"/>
  <c r="CS123" i="6"/>
  <c r="CN123" i="6"/>
  <c r="CI123" i="6"/>
  <c r="CD123" i="6"/>
  <c r="BY123" i="6"/>
  <c r="BO123" i="6"/>
  <c r="BJ123" i="6"/>
  <c r="BE123" i="6"/>
  <c r="AZ123" i="6"/>
  <c r="AU123" i="6"/>
  <c r="AP123" i="6"/>
  <c r="AK123" i="6"/>
  <c r="AF123" i="6"/>
  <c r="AA123" i="6"/>
  <c r="V123" i="6"/>
  <c r="Q123" i="6"/>
  <c r="L123" i="6"/>
  <c r="G123" i="6"/>
  <c r="EG122" i="6"/>
  <c r="EG16" i="6" s="1"/>
  <c r="EG12" i="6" s="1"/>
  <c r="DM122" i="6"/>
  <c r="DM16" i="6" s="1"/>
  <c r="AZ122" i="6"/>
  <c r="EL120" i="6"/>
  <c r="BT120" i="6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T119" i="6"/>
  <c r="BO119" i="6"/>
  <c r="BJ119" i="6"/>
  <c r="BE119" i="6"/>
  <c r="AZ119" i="6"/>
  <c r="AU119" i="6"/>
  <c r="AP119" i="6"/>
  <c r="AK119" i="6"/>
  <c r="AF119" i="6"/>
  <c r="AA119" i="6"/>
  <c r="V119" i="6"/>
  <c r="Q119" i="6"/>
  <c r="L119" i="6"/>
  <c r="G119" i="6"/>
  <c r="EL117" i="6"/>
  <c r="BT117" i="6"/>
  <c r="EL116" i="6"/>
  <c r="EG116" i="6"/>
  <c r="EB116" i="6"/>
  <c r="DW116" i="6"/>
  <c r="DR116" i="6"/>
  <c r="DM116" i="6"/>
  <c r="DH116" i="6"/>
  <c r="DC116" i="6"/>
  <c r="CX116" i="6"/>
  <c r="CS116" i="6"/>
  <c r="CN116" i="6"/>
  <c r="CI116" i="6"/>
  <c r="CD116" i="6"/>
  <c r="BY116" i="6"/>
  <c r="BT116" i="6"/>
  <c r="BO116" i="6"/>
  <c r="BJ116" i="6"/>
  <c r="BE116" i="6"/>
  <c r="AZ116" i="6"/>
  <c r="AU116" i="6"/>
  <c r="AP116" i="6"/>
  <c r="AK116" i="6"/>
  <c r="AF116" i="6"/>
  <c r="AA116" i="6"/>
  <c r="V116" i="6"/>
  <c r="Q116" i="6"/>
  <c r="L116" i="6"/>
  <c r="G116" i="6"/>
  <c r="EL114" i="6"/>
  <c r="BT114" i="6"/>
  <c r="BY114" i="6" s="1"/>
  <c r="EL113" i="6"/>
  <c r="EG113" i="6"/>
  <c r="EB113" i="6"/>
  <c r="DW113" i="6"/>
  <c r="DR113" i="6"/>
  <c r="DM113" i="6"/>
  <c r="DH113" i="6"/>
  <c r="DC113" i="6"/>
  <c r="CX113" i="6"/>
  <c r="CS113" i="6"/>
  <c r="CN113" i="6"/>
  <c r="CI113" i="6"/>
  <c r="CD113" i="6"/>
  <c r="BO113" i="6"/>
  <c r="BJ113" i="6"/>
  <c r="BE113" i="6"/>
  <c r="AZ113" i="6"/>
  <c r="AU113" i="6"/>
  <c r="AP113" i="6"/>
  <c r="AK113" i="6"/>
  <c r="AF113" i="6"/>
  <c r="AA113" i="6"/>
  <c r="V113" i="6"/>
  <c r="Q113" i="6"/>
  <c r="L113" i="6"/>
  <c r="G113" i="6"/>
  <c r="EL111" i="6"/>
  <c r="BT111" i="6"/>
  <c r="EL110" i="6"/>
  <c r="EG110" i="6"/>
  <c r="EB110" i="6"/>
  <c r="DW110" i="6"/>
  <c r="DR110" i="6"/>
  <c r="DM110" i="6"/>
  <c r="DH110" i="6"/>
  <c r="DC110" i="6"/>
  <c r="CX110" i="6"/>
  <c r="CS110" i="6"/>
  <c r="CN110" i="6"/>
  <c r="CI110" i="6"/>
  <c r="CD110" i="6"/>
  <c r="BY110" i="6"/>
  <c r="BT110" i="6"/>
  <c r="BO110" i="6"/>
  <c r="BJ110" i="6"/>
  <c r="BE110" i="6"/>
  <c r="AZ110" i="6"/>
  <c r="AU110" i="6"/>
  <c r="AP110" i="6"/>
  <c r="AK110" i="6"/>
  <c r="AF110" i="6"/>
  <c r="AA110" i="6"/>
  <c r="V110" i="6"/>
  <c r="Q110" i="6"/>
  <c r="L110" i="6"/>
  <c r="G110" i="6"/>
  <c r="EL108" i="6"/>
  <c r="BT108" i="6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O107" i="6"/>
  <c r="BJ107" i="6"/>
  <c r="BE107" i="6"/>
  <c r="AZ107" i="6"/>
  <c r="AU107" i="6"/>
  <c r="AP107" i="6"/>
  <c r="AK107" i="6"/>
  <c r="AF107" i="6"/>
  <c r="AA107" i="6"/>
  <c r="V107" i="6"/>
  <c r="Q107" i="6"/>
  <c r="L107" i="6"/>
  <c r="G107" i="6"/>
  <c r="D107" i="6"/>
  <c r="EL105" i="6"/>
  <c r="BT105" i="6"/>
  <c r="EL104" i="6"/>
  <c r="EG104" i="6"/>
  <c r="EB104" i="6"/>
  <c r="DW104" i="6"/>
  <c r="DR104" i="6"/>
  <c r="DM104" i="6"/>
  <c r="DH104" i="6"/>
  <c r="DC104" i="6"/>
  <c r="CX104" i="6"/>
  <c r="CS104" i="6"/>
  <c r="CN104" i="6"/>
  <c r="CI104" i="6"/>
  <c r="CD104" i="6"/>
  <c r="BY104" i="6"/>
  <c r="BT104" i="6"/>
  <c r="BO104" i="6"/>
  <c r="BJ104" i="6"/>
  <c r="BE104" i="6"/>
  <c r="AZ104" i="6"/>
  <c r="AU104" i="6"/>
  <c r="AP104" i="6"/>
  <c r="AK104" i="6"/>
  <c r="AF104" i="6"/>
  <c r="AA104" i="6"/>
  <c r="V104" i="6"/>
  <c r="Q104" i="6"/>
  <c r="L104" i="6"/>
  <c r="G104" i="6"/>
  <c r="EL102" i="6"/>
  <c r="BT102" i="6"/>
  <c r="EL101" i="6"/>
  <c r="EG101" i="6"/>
  <c r="EB101" i="6"/>
  <c r="DW101" i="6"/>
  <c r="DR101" i="6"/>
  <c r="DM101" i="6"/>
  <c r="DH101" i="6"/>
  <c r="DC101" i="6"/>
  <c r="CX101" i="6"/>
  <c r="CS101" i="6"/>
  <c r="CN101" i="6"/>
  <c r="CI101" i="6"/>
  <c r="CD101" i="6"/>
  <c r="BY101" i="6"/>
  <c r="BT101" i="6"/>
  <c r="BO101" i="6"/>
  <c r="BJ101" i="6"/>
  <c r="BE101" i="6"/>
  <c r="AZ101" i="6"/>
  <c r="AU101" i="6"/>
  <c r="AP101" i="6"/>
  <c r="AK101" i="6"/>
  <c r="AF101" i="6"/>
  <c r="AA101" i="6"/>
  <c r="V101" i="6"/>
  <c r="Q101" i="6"/>
  <c r="L101" i="6"/>
  <c r="G101" i="6"/>
  <c r="EL99" i="6"/>
  <c r="BT99" i="6"/>
  <c r="EL98" i="6"/>
  <c r="EG98" i="6"/>
  <c r="EB98" i="6"/>
  <c r="DW98" i="6"/>
  <c r="DR98" i="6"/>
  <c r="DM98" i="6"/>
  <c r="DH98" i="6"/>
  <c r="DC98" i="6"/>
  <c r="CX98" i="6"/>
  <c r="CS98" i="6"/>
  <c r="CN98" i="6"/>
  <c r="CI98" i="6"/>
  <c r="CD98" i="6"/>
  <c r="BY98" i="6"/>
  <c r="BT98" i="6"/>
  <c r="BO98" i="6"/>
  <c r="BJ98" i="6"/>
  <c r="BE98" i="6"/>
  <c r="AZ98" i="6"/>
  <c r="AU98" i="6"/>
  <c r="AP98" i="6"/>
  <c r="AK98" i="6"/>
  <c r="AF98" i="6"/>
  <c r="AA98" i="6"/>
  <c r="V98" i="6"/>
  <c r="Q98" i="6"/>
  <c r="L98" i="6"/>
  <c r="G98" i="6"/>
  <c r="EL96" i="6"/>
  <c r="BT96" i="6"/>
  <c r="BT95" i="6" s="1"/>
  <c r="EG95" i="6"/>
  <c r="EB95" i="6"/>
  <c r="DW95" i="6"/>
  <c r="DR95" i="6"/>
  <c r="DM95" i="6"/>
  <c r="DH95" i="6"/>
  <c r="DC95" i="6"/>
  <c r="CX95" i="6"/>
  <c r="CS95" i="6"/>
  <c r="CN95" i="6"/>
  <c r="CI95" i="6"/>
  <c r="CD95" i="6"/>
  <c r="BY95" i="6"/>
  <c r="BO95" i="6"/>
  <c r="BJ95" i="6"/>
  <c r="BE95" i="6"/>
  <c r="AZ95" i="6"/>
  <c r="AU95" i="6"/>
  <c r="AP95" i="6"/>
  <c r="AK95" i="6"/>
  <c r="AF95" i="6"/>
  <c r="AA95" i="6"/>
  <c r="V95" i="6"/>
  <c r="Q95" i="6"/>
  <c r="L95" i="6"/>
  <c r="G95" i="6"/>
  <c r="EL93" i="6"/>
  <c r="BT93" i="6"/>
  <c r="EL92" i="6"/>
  <c r="EG92" i="6"/>
  <c r="EB92" i="6"/>
  <c r="DW92" i="6"/>
  <c r="DR92" i="6"/>
  <c r="DM92" i="6"/>
  <c r="DH92" i="6"/>
  <c r="DC92" i="6"/>
  <c r="CX92" i="6"/>
  <c r="CS92" i="6"/>
  <c r="CN92" i="6"/>
  <c r="CI92" i="6"/>
  <c r="CD92" i="6"/>
  <c r="BY92" i="6"/>
  <c r="BT92" i="6"/>
  <c r="BO92" i="6"/>
  <c r="BJ92" i="6"/>
  <c r="BE92" i="6"/>
  <c r="AZ92" i="6"/>
  <c r="AU92" i="6"/>
  <c r="AP92" i="6"/>
  <c r="AK92" i="6"/>
  <c r="AF92" i="6"/>
  <c r="AA92" i="6"/>
  <c r="V92" i="6"/>
  <c r="Q92" i="6"/>
  <c r="L92" i="6"/>
  <c r="G92" i="6"/>
  <c r="D92" i="6"/>
  <c r="EL90" i="6"/>
  <c r="BT90" i="6"/>
  <c r="EL89" i="6"/>
  <c r="EG89" i="6"/>
  <c r="EB89" i="6"/>
  <c r="DW89" i="6"/>
  <c r="DR89" i="6"/>
  <c r="DM89" i="6"/>
  <c r="DH89" i="6"/>
  <c r="DC89" i="6"/>
  <c r="CX89" i="6"/>
  <c r="CS89" i="6"/>
  <c r="CN89" i="6"/>
  <c r="CI89" i="6"/>
  <c r="CD89" i="6"/>
  <c r="BY89" i="6"/>
  <c r="BT89" i="6"/>
  <c r="BO89" i="6"/>
  <c r="BJ89" i="6"/>
  <c r="BE89" i="6"/>
  <c r="AZ89" i="6"/>
  <c r="AU89" i="6"/>
  <c r="AP89" i="6"/>
  <c r="AK89" i="6"/>
  <c r="AF89" i="6"/>
  <c r="AA89" i="6"/>
  <c r="V89" i="6"/>
  <c r="Q89" i="6"/>
  <c r="L89" i="6"/>
  <c r="G89" i="6"/>
  <c r="D89" i="6"/>
  <c r="EL87" i="6"/>
  <c r="EL86" i="6" s="1"/>
  <c r="BT87" i="6"/>
  <c r="EG86" i="6"/>
  <c r="EB86" i="6"/>
  <c r="DW86" i="6"/>
  <c r="DR86" i="6"/>
  <c r="DM86" i="6"/>
  <c r="DH86" i="6"/>
  <c r="DC86" i="6"/>
  <c r="CX86" i="6"/>
  <c r="CS86" i="6"/>
  <c r="CN86" i="6"/>
  <c r="CI86" i="6"/>
  <c r="CD86" i="6"/>
  <c r="BY86" i="6"/>
  <c r="BT86" i="6"/>
  <c r="BO86" i="6"/>
  <c r="BJ86" i="6"/>
  <c r="BE86" i="6"/>
  <c r="AZ86" i="6"/>
  <c r="AU86" i="6"/>
  <c r="AP86" i="6"/>
  <c r="AK86" i="6"/>
  <c r="AF86" i="6"/>
  <c r="AA86" i="6"/>
  <c r="V86" i="6"/>
  <c r="Q86" i="6"/>
  <c r="L86" i="6"/>
  <c r="G86" i="6"/>
  <c r="EL84" i="6"/>
  <c r="BT84" i="6"/>
  <c r="BT83" i="6" s="1"/>
  <c r="EG83" i="6"/>
  <c r="EB83" i="6"/>
  <c r="DW83" i="6"/>
  <c r="DR83" i="6"/>
  <c r="DM83" i="6"/>
  <c r="DH83" i="6"/>
  <c r="DC83" i="6"/>
  <c r="CX83" i="6"/>
  <c r="CS83" i="6"/>
  <c r="CN83" i="6"/>
  <c r="CI83" i="6"/>
  <c r="CD83" i="6"/>
  <c r="BY83" i="6"/>
  <c r="BO83" i="6"/>
  <c r="BJ83" i="6"/>
  <c r="BE83" i="6"/>
  <c r="AZ83" i="6"/>
  <c r="AU83" i="6"/>
  <c r="AP83" i="6"/>
  <c r="AK83" i="6"/>
  <c r="AF83" i="6"/>
  <c r="AA83" i="6"/>
  <c r="V83" i="6"/>
  <c r="Q83" i="6"/>
  <c r="L83" i="6"/>
  <c r="G83" i="6"/>
  <c r="EL81" i="6"/>
  <c r="BT81" i="6"/>
  <c r="EL80" i="6"/>
  <c r="EG80" i="6"/>
  <c r="EB80" i="6"/>
  <c r="DW80" i="6"/>
  <c r="DR80" i="6"/>
  <c r="DM80" i="6"/>
  <c r="DH80" i="6"/>
  <c r="DC80" i="6"/>
  <c r="CX80" i="6"/>
  <c r="CS80" i="6"/>
  <c r="CN80" i="6"/>
  <c r="CI80" i="6"/>
  <c r="CE80" i="6"/>
  <c r="CD80" i="6"/>
  <c r="BY80" i="6"/>
  <c r="BO80" i="6"/>
  <c r="BJ80" i="6"/>
  <c r="BE80" i="6"/>
  <c r="AZ80" i="6"/>
  <c r="AU80" i="6"/>
  <c r="AP80" i="6"/>
  <c r="AK80" i="6"/>
  <c r="AF80" i="6"/>
  <c r="AA80" i="6"/>
  <c r="V80" i="6"/>
  <c r="Q80" i="6"/>
  <c r="M80" i="6"/>
  <c r="L80" i="6"/>
  <c r="G80" i="6"/>
  <c r="EL78" i="6"/>
  <c r="BT78" i="6"/>
  <c r="BT77" i="6" s="1"/>
  <c r="EG77" i="6"/>
  <c r="EB77" i="6"/>
  <c r="DW77" i="6"/>
  <c r="DR77" i="6"/>
  <c r="DM77" i="6"/>
  <c r="DH77" i="6"/>
  <c r="DC77" i="6"/>
  <c r="CX77" i="6"/>
  <c r="CS77" i="6"/>
  <c r="CN77" i="6"/>
  <c r="CI77" i="6"/>
  <c r="CD77" i="6"/>
  <c r="BY77" i="6"/>
  <c r="BO77" i="6"/>
  <c r="BJ77" i="6"/>
  <c r="BE77" i="6"/>
  <c r="AZ77" i="6"/>
  <c r="AU77" i="6"/>
  <c r="AP77" i="6"/>
  <c r="AK77" i="6"/>
  <c r="AF77" i="6"/>
  <c r="AA77" i="6"/>
  <c r="V77" i="6"/>
  <c r="Q77" i="6"/>
  <c r="L77" i="6"/>
  <c r="G77" i="6"/>
  <c r="EL75" i="6"/>
  <c r="BT75" i="6"/>
  <c r="EL74" i="6"/>
  <c r="EG74" i="6"/>
  <c r="EB74" i="6"/>
  <c r="DW74" i="6"/>
  <c r="DR74" i="6"/>
  <c r="DM74" i="6"/>
  <c r="DH74" i="6"/>
  <c r="DC74" i="6"/>
  <c r="CX74" i="6"/>
  <c r="CS74" i="6"/>
  <c r="CN74" i="6"/>
  <c r="CI74" i="6"/>
  <c r="CD74" i="6"/>
  <c r="BY74" i="6"/>
  <c r="BT74" i="6"/>
  <c r="BO74" i="6"/>
  <c r="BJ74" i="6"/>
  <c r="BE74" i="6"/>
  <c r="AZ74" i="6"/>
  <c r="AU74" i="6"/>
  <c r="AP74" i="6"/>
  <c r="AK74" i="6"/>
  <c r="AF74" i="6"/>
  <c r="AA74" i="6"/>
  <c r="V74" i="6"/>
  <c r="Q74" i="6"/>
  <c r="L74" i="6"/>
  <c r="G74" i="6"/>
  <c r="D74" i="6"/>
  <c r="EL72" i="6"/>
  <c r="BT72" i="6"/>
  <c r="EL71" i="6"/>
  <c r="EG71" i="6"/>
  <c r="EB71" i="6"/>
  <c r="DW71" i="6"/>
  <c r="DR71" i="6"/>
  <c r="DM71" i="6"/>
  <c r="DH71" i="6"/>
  <c r="DC71" i="6"/>
  <c r="CX71" i="6"/>
  <c r="CS71" i="6"/>
  <c r="CN71" i="6"/>
  <c r="CI71" i="6"/>
  <c r="CD71" i="6"/>
  <c r="BY71" i="6"/>
  <c r="BO71" i="6"/>
  <c r="BJ71" i="6"/>
  <c r="BE71" i="6"/>
  <c r="AZ71" i="6"/>
  <c r="AU71" i="6"/>
  <c r="AP71" i="6"/>
  <c r="AK71" i="6"/>
  <c r="AF71" i="6"/>
  <c r="AA71" i="6"/>
  <c r="V71" i="6"/>
  <c r="Q71" i="6"/>
  <c r="L71" i="6"/>
  <c r="EL69" i="6"/>
  <c r="BT69" i="6"/>
  <c r="EL68" i="6"/>
  <c r="EG68" i="6"/>
  <c r="EB68" i="6"/>
  <c r="DW68" i="6"/>
  <c r="DR68" i="6"/>
  <c r="DM68" i="6"/>
  <c r="DH68" i="6"/>
  <c r="DC68" i="6"/>
  <c r="CX68" i="6"/>
  <c r="CS68" i="6"/>
  <c r="CN68" i="6"/>
  <c r="CI68" i="6"/>
  <c r="CD68" i="6"/>
  <c r="BY68" i="6"/>
  <c r="BT68" i="6"/>
  <c r="BO68" i="6"/>
  <c r="BJ68" i="6"/>
  <c r="BE68" i="6"/>
  <c r="AZ68" i="6"/>
  <c r="AU68" i="6"/>
  <c r="AP68" i="6"/>
  <c r="AK68" i="6"/>
  <c r="AF68" i="6"/>
  <c r="AA68" i="6"/>
  <c r="V68" i="6"/>
  <c r="Q68" i="6"/>
  <c r="L68" i="6"/>
  <c r="EG66" i="6"/>
  <c r="EG65" i="6" s="1"/>
  <c r="EG15" i="6" s="1"/>
  <c r="DM66" i="6"/>
  <c r="DM65" i="6" s="1"/>
  <c r="DM15" i="6" s="1"/>
  <c r="DH66" i="6"/>
  <c r="DH65" i="6" s="1"/>
  <c r="DH15" i="6" s="1"/>
  <c r="DC66" i="6"/>
  <c r="CX66" i="6"/>
  <c r="CX65" i="6" s="1"/>
  <c r="CD66" i="6"/>
  <c r="BO66" i="6"/>
  <c r="AU66" i="6"/>
  <c r="AP66" i="6"/>
  <c r="AK66" i="6"/>
  <c r="AF66" i="6"/>
  <c r="Q66" i="6"/>
  <c r="L66" i="6"/>
  <c r="G66" i="6"/>
  <c r="EB65" i="6"/>
  <c r="DW65" i="6"/>
  <c r="DR65" i="6"/>
  <c r="DC65" i="6"/>
  <c r="DC15" i="6" s="1"/>
  <c r="CS65" i="6"/>
  <c r="CS15" i="6" s="1"/>
  <c r="CN65" i="6"/>
  <c r="CI65" i="6"/>
  <c r="CD65" i="6"/>
  <c r="CD15" i="6" s="1"/>
  <c r="BO65" i="6"/>
  <c r="BJ65" i="6"/>
  <c r="BE65" i="6"/>
  <c r="AZ65" i="6"/>
  <c r="AK65" i="6"/>
  <c r="AA65" i="6"/>
  <c r="V65" i="6"/>
  <c r="V15" i="6" s="1"/>
  <c r="G65" i="6"/>
  <c r="EL63" i="6"/>
  <c r="BT63" i="6"/>
  <c r="EL62" i="6"/>
  <c r="BT62" i="6"/>
  <c r="EL61" i="6"/>
  <c r="BT61" i="6"/>
  <c r="EG60" i="6"/>
  <c r="EB60" i="6"/>
  <c r="DW60" i="6"/>
  <c r="DR60" i="6"/>
  <c r="DM60" i="6"/>
  <c r="DH60" i="6"/>
  <c r="DC60" i="6"/>
  <c r="CX60" i="6"/>
  <c r="CS60" i="6"/>
  <c r="CN60" i="6"/>
  <c r="CI60" i="6"/>
  <c r="CD60" i="6"/>
  <c r="BY60" i="6"/>
  <c r="BO60" i="6"/>
  <c r="BJ60" i="6"/>
  <c r="BE60" i="6"/>
  <c r="AZ60" i="6"/>
  <c r="AU60" i="6"/>
  <c r="AP60" i="6"/>
  <c r="AK60" i="6"/>
  <c r="AF60" i="6"/>
  <c r="AA60" i="6"/>
  <c r="V60" i="6"/>
  <c r="Q60" i="6"/>
  <c r="L60" i="6"/>
  <c r="G60" i="6"/>
  <c r="EL58" i="6"/>
  <c r="BT58" i="6"/>
  <c r="EL57" i="6"/>
  <c r="BT57" i="6"/>
  <c r="EL56" i="6"/>
  <c r="BT56" i="6"/>
  <c r="EG55" i="6"/>
  <c r="EB55" i="6"/>
  <c r="DW55" i="6"/>
  <c r="DR55" i="6"/>
  <c r="DM55" i="6"/>
  <c r="DH55" i="6"/>
  <c r="DC55" i="6"/>
  <c r="CX55" i="6"/>
  <c r="CS55" i="6"/>
  <c r="CN55" i="6"/>
  <c r="CI55" i="6"/>
  <c r="CD55" i="6"/>
  <c r="BY55" i="6"/>
  <c r="BO55" i="6"/>
  <c r="BJ55" i="6"/>
  <c r="BE55" i="6"/>
  <c r="AZ55" i="6"/>
  <c r="AU55" i="6"/>
  <c r="AP55" i="6"/>
  <c r="AK55" i="6"/>
  <c r="AF55" i="6"/>
  <c r="AA55" i="6"/>
  <c r="V55" i="6"/>
  <c r="Q55" i="6"/>
  <c r="L55" i="6"/>
  <c r="G55" i="6"/>
  <c r="EL53" i="6"/>
  <c r="BT53" i="6"/>
  <c r="EL52" i="6"/>
  <c r="BT52" i="6"/>
  <c r="EL51" i="6"/>
  <c r="EL50" i="6" s="1"/>
  <c r="BT51" i="6"/>
  <c r="EG50" i="6"/>
  <c r="EB50" i="6"/>
  <c r="DW50" i="6"/>
  <c r="DR50" i="6"/>
  <c r="DM50" i="6"/>
  <c r="DH50" i="6"/>
  <c r="DC50" i="6"/>
  <c r="CX50" i="6"/>
  <c r="CS50" i="6"/>
  <c r="CN50" i="6"/>
  <c r="CI50" i="6"/>
  <c r="CD50" i="6"/>
  <c r="BY50" i="6"/>
  <c r="BO50" i="6"/>
  <c r="BJ50" i="6"/>
  <c r="BE50" i="6"/>
  <c r="AZ50" i="6"/>
  <c r="AU50" i="6"/>
  <c r="AP50" i="6"/>
  <c r="AK50" i="6"/>
  <c r="AF50" i="6"/>
  <c r="AA50" i="6"/>
  <c r="V50" i="6"/>
  <c r="Q50" i="6"/>
  <c r="L50" i="6"/>
  <c r="EL48" i="6"/>
  <c r="BT48" i="6"/>
  <c r="EL47" i="6"/>
  <c r="BT47" i="6"/>
  <c r="EL46" i="6"/>
  <c r="BT46" i="6"/>
  <c r="EG45" i="6"/>
  <c r="EB45" i="6"/>
  <c r="DW45" i="6"/>
  <c r="DR45" i="6"/>
  <c r="DM45" i="6"/>
  <c r="DH45" i="6"/>
  <c r="DC45" i="6"/>
  <c r="CX45" i="6"/>
  <c r="CS45" i="6"/>
  <c r="CN45" i="6"/>
  <c r="CI45" i="6"/>
  <c r="CD45" i="6"/>
  <c r="BY45" i="6"/>
  <c r="BO45" i="6"/>
  <c r="BJ45" i="6"/>
  <c r="BE45" i="6"/>
  <c r="AZ45" i="6"/>
  <c r="AU45" i="6"/>
  <c r="AP45" i="6"/>
  <c r="AK45" i="6"/>
  <c r="AF45" i="6"/>
  <c r="AA45" i="6"/>
  <c r="V45" i="6"/>
  <c r="Q45" i="6"/>
  <c r="L45" i="6"/>
  <c r="G45" i="6"/>
  <c r="EL43" i="6"/>
  <c r="BT43" i="6"/>
  <c r="EL42" i="6"/>
  <c r="BT42" i="6"/>
  <c r="BY42" i="6" s="1"/>
  <c r="EL41" i="6"/>
  <c r="EL40" i="6" s="1"/>
  <c r="BT41" i="6"/>
  <c r="EG40" i="6"/>
  <c r="EB40" i="6"/>
  <c r="DW40" i="6"/>
  <c r="DR40" i="6"/>
  <c r="DM40" i="6"/>
  <c r="DH40" i="6"/>
  <c r="DC40" i="6"/>
  <c r="CX40" i="6"/>
  <c r="CS40" i="6"/>
  <c r="CN40" i="6"/>
  <c r="CI40" i="6"/>
  <c r="CD40" i="6"/>
  <c r="BT40" i="6"/>
  <c r="BO40" i="6"/>
  <c r="BJ40" i="6"/>
  <c r="BE40" i="6"/>
  <c r="AZ40" i="6"/>
  <c r="AU40" i="6"/>
  <c r="AP40" i="6"/>
  <c r="AK40" i="6"/>
  <c r="AF40" i="6"/>
  <c r="AA40" i="6"/>
  <c r="V40" i="6"/>
  <c r="Q40" i="6"/>
  <c r="L40" i="6"/>
  <c r="EM38" i="6"/>
  <c r="EL38" i="6"/>
  <c r="BT38" i="6"/>
  <c r="EM37" i="6"/>
  <c r="EL37" i="6"/>
  <c r="BT37" i="6"/>
  <c r="EM36" i="6"/>
  <c r="EL36" i="6"/>
  <c r="BT36" i="6"/>
  <c r="EG35" i="6"/>
  <c r="EB35" i="6"/>
  <c r="DW35" i="6"/>
  <c r="DR35" i="6"/>
  <c r="DM35" i="6"/>
  <c r="DH35" i="6"/>
  <c r="DC35" i="6"/>
  <c r="CX35" i="6"/>
  <c r="CS35" i="6"/>
  <c r="CN35" i="6"/>
  <c r="CI35" i="6"/>
  <c r="CD35" i="6"/>
  <c r="BO35" i="6"/>
  <c r="BJ35" i="6"/>
  <c r="BE35" i="6"/>
  <c r="AZ35" i="6"/>
  <c r="AU35" i="6"/>
  <c r="AP35" i="6"/>
  <c r="AK35" i="6"/>
  <c r="AF35" i="6"/>
  <c r="AA35" i="6"/>
  <c r="V35" i="6"/>
  <c r="Q35" i="6"/>
  <c r="L35" i="6"/>
  <c r="CI31" i="6"/>
  <c r="CI30" i="6" s="1"/>
  <c r="CI14" i="6" s="1"/>
  <c r="Q31" i="6"/>
  <c r="G31" i="6"/>
  <c r="G30" i="6" s="1"/>
  <c r="G14" i="6" s="1"/>
  <c r="EG30" i="6"/>
  <c r="EG14" i="6" s="1"/>
  <c r="EB30" i="6"/>
  <c r="EB14" i="6" s="1"/>
  <c r="DW30" i="6"/>
  <c r="DR30" i="6"/>
  <c r="DR14" i="6" s="1"/>
  <c r="DM30" i="6"/>
  <c r="DH30" i="6"/>
  <c r="DH14" i="6" s="1"/>
  <c r="DC30" i="6"/>
  <c r="CX30" i="6"/>
  <c r="CS30" i="6"/>
  <c r="CS14" i="6" s="1"/>
  <c r="CN30" i="6"/>
  <c r="CN14" i="6" s="1"/>
  <c r="CD30" i="6"/>
  <c r="CD14" i="6" s="1"/>
  <c r="BO30" i="6"/>
  <c r="BO14" i="6" s="1"/>
  <c r="BJ30" i="6"/>
  <c r="BE30" i="6"/>
  <c r="AZ30" i="6"/>
  <c r="AU30" i="6"/>
  <c r="AU14" i="6" s="1"/>
  <c r="AP30" i="6"/>
  <c r="AK30" i="6"/>
  <c r="AF30" i="6"/>
  <c r="AF14" i="6" s="1"/>
  <c r="AA30" i="6"/>
  <c r="V30" i="6"/>
  <c r="Q30" i="6"/>
  <c r="L30" i="6"/>
  <c r="EL28" i="6"/>
  <c r="BT28" i="6"/>
  <c r="EL27" i="6"/>
  <c r="BT27" i="6"/>
  <c r="EL26" i="6"/>
  <c r="BT26" i="6"/>
  <c r="EL25" i="6"/>
  <c r="BT25" i="6"/>
  <c r="EL24" i="6"/>
  <c r="BT24" i="6"/>
  <c r="EL23" i="6"/>
  <c r="BT23" i="6"/>
  <c r="EL22" i="6"/>
  <c r="BT22" i="6"/>
  <c r="EL21" i="6"/>
  <c r="BT21" i="6"/>
  <c r="EL20" i="6"/>
  <c r="BT20" i="6"/>
  <c r="EL19" i="6"/>
  <c r="BT19" i="6"/>
  <c r="EG18" i="6"/>
  <c r="EG13" i="6" s="1"/>
  <c r="EB18" i="6"/>
  <c r="DW18" i="6"/>
  <c r="DW13" i="6" s="1"/>
  <c r="DR18" i="6"/>
  <c r="DM18" i="6"/>
  <c r="DM13" i="6" s="1"/>
  <c r="DH18" i="6"/>
  <c r="DC18" i="6"/>
  <c r="DC13" i="6" s="1"/>
  <c r="CX18" i="6"/>
  <c r="CX13" i="6" s="1"/>
  <c r="CS18" i="6"/>
  <c r="CS13" i="6" s="1"/>
  <c r="CN18" i="6"/>
  <c r="CI18" i="6"/>
  <c r="CI13" i="6" s="1"/>
  <c r="CD18" i="6"/>
  <c r="BO18" i="6"/>
  <c r="BJ18" i="6"/>
  <c r="BE18" i="6"/>
  <c r="BE13" i="6" s="1"/>
  <c r="AZ18" i="6"/>
  <c r="AU18" i="6"/>
  <c r="AP18" i="6"/>
  <c r="AK18" i="6"/>
  <c r="AK13" i="6" s="1"/>
  <c r="AF18" i="6"/>
  <c r="AA18" i="6"/>
  <c r="V18" i="6"/>
  <c r="Q18" i="6"/>
  <c r="Q13" i="6" s="1"/>
  <c r="L18" i="6"/>
  <c r="G18" i="6"/>
  <c r="G13" i="6" s="1"/>
  <c r="G12" i="6" s="1"/>
  <c r="BY16" i="6"/>
  <c r="G16" i="6"/>
  <c r="EB15" i="6"/>
  <c r="DW15" i="6"/>
  <c r="DR15" i="6"/>
  <c r="CX15" i="6"/>
  <c r="CN15" i="6"/>
  <c r="CI15" i="6"/>
  <c r="BO15" i="6"/>
  <c r="BJ15" i="6"/>
  <c r="AA15" i="6"/>
  <c r="G15" i="6"/>
  <c r="DW14" i="6"/>
  <c r="DM14" i="6"/>
  <c r="DC14" i="6"/>
  <c r="BE14" i="6"/>
  <c r="AK14" i="6"/>
  <c r="AA14" i="6"/>
  <c r="Q14" i="6"/>
  <c r="EB13" i="6"/>
  <c r="DR13" i="6"/>
  <c r="DH13" i="6"/>
  <c r="CN13" i="6"/>
  <c r="CD13" i="6"/>
  <c r="BJ13" i="6"/>
  <c r="AP13" i="6"/>
  <c r="V13" i="6"/>
  <c r="BY9" i="6"/>
  <c r="G9" i="6"/>
  <c r="BY8" i="6"/>
  <c r="G8" i="6"/>
  <c r="M1" i="6"/>
  <c r="EL348" i="5"/>
  <c r="BT348" i="5"/>
  <c r="EL347" i="5"/>
  <c r="EG347" i="5"/>
  <c r="EB347" i="5"/>
  <c r="DW347" i="5"/>
  <c r="DR347" i="5"/>
  <c r="DM347" i="5"/>
  <c r="DH347" i="5"/>
  <c r="DC347" i="5"/>
  <c r="CX347" i="5"/>
  <c r="CS347" i="5"/>
  <c r="CN347" i="5"/>
  <c r="CI347" i="5"/>
  <c r="CD347" i="5"/>
  <c r="BY347" i="5"/>
  <c r="BT347" i="5"/>
  <c r="BO347" i="5"/>
  <c r="BJ347" i="5"/>
  <c r="BE347" i="5"/>
  <c r="AZ347" i="5"/>
  <c r="AU347" i="5"/>
  <c r="AP347" i="5"/>
  <c r="AK347" i="5"/>
  <c r="AF347" i="5"/>
  <c r="AA347" i="5"/>
  <c r="V347" i="5"/>
  <c r="Q347" i="5"/>
  <c r="L347" i="5"/>
  <c r="EL345" i="5"/>
  <c r="BT345" i="5"/>
  <c r="EL344" i="5"/>
  <c r="EG344" i="5"/>
  <c r="EB344" i="5"/>
  <c r="DW344" i="5"/>
  <c r="DR344" i="5"/>
  <c r="DM344" i="5"/>
  <c r="DH344" i="5"/>
  <c r="DC344" i="5"/>
  <c r="CX344" i="5"/>
  <c r="CS344" i="5"/>
  <c r="CN344" i="5"/>
  <c r="CI344" i="5"/>
  <c r="CD344" i="5"/>
  <c r="BY344" i="5"/>
  <c r="BO344" i="5"/>
  <c r="BJ344" i="5"/>
  <c r="BE344" i="5"/>
  <c r="AZ344" i="5"/>
  <c r="AU344" i="5"/>
  <c r="AP344" i="5"/>
  <c r="AK344" i="5"/>
  <c r="AF344" i="5"/>
  <c r="AA344" i="5"/>
  <c r="V344" i="5"/>
  <c r="Q344" i="5"/>
  <c r="L344" i="5"/>
  <c r="G344" i="5"/>
  <c r="EL342" i="5"/>
  <c r="BT342" i="5"/>
  <c r="EG341" i="5"/>
  <c r="EB341" i="5"/>
  <c r="DW341" i="5"/>
  <c r="DR341" i="5"/>
  <c r="DM341" i="5"/>
  <c r="DH341" i="5"/>
  <c r="DC341" i="5"/>
  <c r="CX341" i="5"/>
  <c r="CS341" i="5"/>
  <c r="CN341" i="5"/>
  <c r="CI341" i="5"/>
  <c r="CD341" i="5"/>
  <c r="BY341" i="5"/>
  <c r="BT341" i="5"/>
  <c r="BO341" i="5"/>
  <c r="BJ341" i="5"/>
  <c r="BE341" i="5"/>
  <c r="AZ341" i="5"/>
  <c r="AU341" i="5"/>
  <c r="AP341" i="5"/>
  <c r="AK341" i="5"/>
  <c r="AF341" i="5"/>
  <c r="AA341" i="5"/>
  <c r="V341" i="5"/>
  <c r="Q341" i="5"/>
  <c r="L341" i="5"/>
  <c r="EL339" i="5"/>
  <c r="BT339" i="5"/>
  <c r="EL338" i="5"/>
  <c r="EG338" i="5"/>
  <c r="EB338" i="5"/>
  <c r="DW338" i="5"/>
  <c r="DR338" i="5"/>
  <c r="DM338" i="5"/>
  <c r="DH338" i="5"/>
  <c r="DC338" i="5"/>
  <c r="CX338" i="5"/>
  <c r="CS338" i="5"/>
  <c r="CN338" i="5"/>
  <c r="CI338" i="5"/>
  <c r="CD338" i="5"/>
  <c r="BY338" i="5"/>
  <c r="BO338" i="5"/>
  <c r="BJ338" i="5"/>
  <c r="BE338" i="5"/>
  <c r="AZ338" i="5"/>
  <c r="AU338" i="5"/>
  <c r="AP338" i="5"/>
  <c r="AK338" i="5"/>
  <c r="AF338" i="5"/>
  <c r="AA338" i="5"/>
  <c r="V338" i="5"/>
  <c r="Q338" i="5"/>
  <c r="L338" i="5"/>
  <c r="EL336" i="5"/>
  <c r="BT336" i="5"/>
  <c r="EG335" i="5"/>
  <c r="EB335" i="5"/>
  <c r="DW335" i="5"/>
  <c r="DR335" i="5"/>
  <c r="DM335" i="5"/>
  <c r="DH335" i="5"/>
  <c r="DC335" i="5"/>
  <c r="CX335" i="5"/>
  <c r="CS335" i="5"/>
  <c r="CN335" i="5"/>
  <c r="CI335" i="5"/>
  <c r="CD335" i="5"/>
  <c r="BY335" i="5"/>
  <c r="BO335" i="5"/>
  <c r="BJ335" i="5"/>
  <c r="BE335" i="5"/>
  <c r="AZ335" i="5"/>
  <c r="AU335" i="5"/>
  <c r="AP335" i="5"/>
  <c r="AK335" i="5"/>
  <c r="AF335" i="5"/>
  <c r="AA335" i="5"/>
  <c r="V335" i="5"/>
  <c r="Q335" i="5"/>
  <c r="L335" i="5"/>
  <c r="G335" i="5"/>
  <c r="EL333" i="5"/>
  <c r="BT333" i="5"/>
  <c r="BT332" i="5" s="1"/>
  <c r="EL332" i="5"/>
  <c r="EG332" i="5"/>
  <c r="EB332" i="5"/>
  <c r="DW332" i="5"/>
  <c r="DR332" i="5"/>
  <c r="DM332" i="5"/>
  <c r="DH332" i="5"/>
  <c r="DC332" i="5"/>
  <c r="CX332" i="5"/>
  <c r="CS332" i="5"/>
  <c r="CN332" i="5"/>
  <c r="CI332" i="5"/>
  <c r="CD332" i="5"/>
  <c r="BY332" i="5"/>
  <c r="BO332" i="5"/>
  <c r="BJ332" i="5"/>
  <c r="BE332" i="5"/>
  <c r="AZ332" i="5"/>
  <c r="AU332" i="5"/>
  <c r="AP332" i="5"/>
  <c r="AK332" i="5"/>
  <c r="AF332" i="5"/>
  <c r="AA332" i="5"/>
  <c r="V332" i="5"/>
  <c r="Q332" i="5"/>
  <c r="L332" i="5"/>
  <c r="EL330" i="5"/>
  <c r="BT330" i="5"/>
  <c r="BT329" i="5" s="1"/>
  <c r="EL329" i="5"/>
  <c r="EG329" i="5"/>
  <c r="EB329" i="5"/>
  <c r="DW329" i="5"/>
  <c r="DR329" i="5"/>
  <c r="DM329" i="5"/>
  <c r="DH329" i="5"/>
  <c r="DC329" i="5"/>
  <c r="CX329" i="5"/>
  <c r="CS329" i="5"/>
  <c r="CN329" i="5"/>
  <c r="CI329" i="5"/>
  <c r="CD329" i="5"/>
  <c r="BY329" i="5"/>
  <c r="BO329" i="5"/>
  <c r="BJ329" i="5"/>
  <c r="BE329" i="5"/>
  <c r="AZ329" i="5"/>
  <c r="AU329" i="5"/>
  <c r="AP329" i="5"/>
  <c r="AK329" i="5"/>
  <c r="AF329" i="5"/>
  <c r="AA329" i="5"/>
  <c r="V329" i="5"/>
  <c r="Q329" i="5"/>
  <c r="L329" i="5"/>
  <c r="EL327" i="5"/>
  <c r="BT327" i="5"/>
  <c r="EL326" i="5"/>
  <c r="EG326" i="5"/>
  <c r="EB326" i="5"/>
  <c r="DW326" i="5"/>
  <c r="DR326" i="5"/>
  <c r="DM326" i="5"/>
  <c r="DH326" i="5"/>
  <c r="DC326" i="5"/>
  <c r="CX326" i="5"/>
  <c r="CS326" i="5"/>
  <c r="CN326" i="5"/>
  <c r="CI326" i="5"/>
  <c r="CD326" i="5"/>
  <c r="BY326" i="5"/>
  <c r="BO326" i="5"/>
  <c r="BJ326" i="5"/>
  <c r="BE326" i="5"/>
  <c r="AZ326" i="5"/>
  <c r="AU326" i="5"/>
  <c r="AP326" i="5"/>
  <c r="AK326" i="5"/>
  <c r="AF326" i="5"/>
  <c r="AA326" i="5"/>
  <c r="V326" i="5"/>
  <c r="Q326" i="5"/>
  <c r="L326" i="5"/>
  <c r="EL324" i="5"/>
  <c r="EL323" i="5" s="1"/>
  <c r="BT324" i="5"/>
  <c r="BT323" i="5" s="1"/>
  <c r="EI323" i="5"/>
  <c r="EH323" i="5"/>
  <c r="EG323" i="5"/>
  <c r="EF323" i="5"/>
  <c r="EE323" i="5"/>
  <c r="ED323" i="5"/>
  <c r="EC323" i="5"/>
  <c r="EB323" i="5"/>
  <c r="EA323" i="5"/>
  <c r="DZ323" i="5"/>
  <c r="DY323" i="5"/>
  <c r="DX323" i="5"/>
  <c r="DW323" i="5"/>
  <c r="DV323" i="5"/>
  <c r="DU323" i="5"/>
  <c r="DT323" i="5"/>
  <c r="DS323" i="5"/>
  <c r="DR323" i="5"/>
  <c r="DQ323" i="5"/>
  <c r="DP323" i="5"/>
  <c r="DO323" i="5"/>
  <c r="DN323" i="5"/>
  <c r="DM323" i="5"/>
  <c r="DL323" i="5"/>
  <c r="DK323" i="5"/>
  <c r="DJ323" i="5"/>
  <c r="DI323" i="5"/>
  <c r="DH323" i="5"/>
  <c r="DG323" i="5"/>
  <c r="DF323" i="5"/>
  <c r="DE323" i="5"/>
  <c r="DD323" i="5"/>
  <c r="DC323" i="5"/>
  <c r="DB323" i="5"/>
  <c r="DA323" i="5"/>
  <c r="CZ323" i="5"/>
  <c r="CY323" i="5"/>
  <c r="CX323" i="5"/>
  <c r="CW323" i="5"/>
  <c r="CV323" i="5"/>
  <c r="CU323" i="5"/>
  <c r="CT323" i="5"/>
  <c r="CS323" i="5"/>
  <c r="CR323" i="5"/>
  <c r="CN323" i="5"/>
  <c r="CI323" i="5"/>
  <c r="CD323" i="5"/>
  <c r="BY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V323" i="5"/>
  <c r="Q323" i="5"/>
  <c r="L323" i="5"/>
  <c r="EL320" i="5"/>
  <c r="BT320" i="5"/>
  <c r="BT319" i="5" s="1"/>
  <c r="EG319" i="5"/>
  <c r="EB319" i="5"/>
  <c r="DW319" i="5"/>
  <c r="DR319" i="5"/>
  <c r="DM319" i="5"/>
  <c r="DH319" i="5"/>
  <c r="DC319" i="5"/>
  <c r="CX319" i="5"/>
  <c r="CS319" i="5"/>
  <c r="CN319" i="5"/>
  <c r="CI319" i="5"/>
  <c r="CD319" i="5"/>
  <c r="BY319" i="5"/>
  <c r="BO319" i="5"/>
  <c r="BJ319" i="5"/>
  <c r="BE319" i="5"/>
  <c r="AZ319" i="5"/>
  <c r="AU319" i="5"/>
  <c r="AP319" i="5"/>
  <c r="AK319" i="5"/>
  <c r="AF319" i="5"/>
  <c r="AA319" i="5"/>
  <c r="V319" i="5"/>
  <c r="Q319" i="5"/>
  <c r="L319" i="5"/>
  <c r="D319" i="5"/>
  <c r="EG316" i="5"/>
  <c r="EG315" i="5" s="1"/>
  <c r="EG286" i="5" s="1"/>
  <c r="EG285" i="5" s="1"/>
  <c r="EG15" i="5" s="1"/>
  <c r="EB316" i="5"/>
  <c r="EB315" i="5" s="1"/>
  <c r="EB16" i="5" s="1"/>
  <c r="DW316" i="5"/>
  <c r="DR316" i="5"/>
  <c r="DM316" i="5"/>
  <c r="DM315" i="5" s="1"/>
  <c r="DM286" i="5" s="1"/>
  <c r="DH316" i="5"/>
  <c r="DH315" i="5" s="1"/>
  <c r="DH286" i="5" s="1"/>
  <c r="DH285" i="5" s="1"/>
  <c r="DH15" i="5" s="1"/>
  <c r="DC316" i="5"/>
  <c r="DC315" i="5" s="1"/>
  <c r="DC286" i="5" s="1"/>
  <c r="DC285" i="5" s="1"/>
  <c r="DC15" i="5" s="1"/>
  <c r="CS316" i="5"/>
  <c r="CN316" i="5"/>
  <c r="CN315" i="5" s="1"/>
  <c r="CN286" i="5" s="1"/>
  <c r="CN285" i="5" s="1"/>
  <c r="CI316" i="5"/>
  <c r="CI315" i="5" s="1"/>
  <c r="CI286" i="5" s="1"/>
  <c r="CI285" i="5" s="1"/>
  <c r="CI15" i="5" s="1"/>
  <c r="CD316" i="5"/>
  <c r="BO316" i="5"/>
  <c r="BJ316" i="5"/>
  <c r="BE316" i="5"/>
  <c r="AZ316" i="5"/>
  <c r="AZ315" i="5" s="1"/>
  <c r="AZ16" i="5" s="1"/>
  <c r="AU316" i="5"/>
  <c r="AP316" i="5"/>
  <c r="AK316" i="5"/>
  <c r="AA316" i="5"/>
  <c r="AA315" i="5" s="1"/>
  <c r="V316" i="5"/>
  <c r="Q316" i="5"/>
  <c r="L316" i="5"/>
  <c r="DW315" i="5"/>
  <c r="DW16" i="5" s="1"/>
  <c r="DR315" i="5"/>
  <c r="CX315" i="5"/>
  <c r="CS315" i="5"/>
  <c r="CS286" i="5" s="1"/>
  <c r="CS285" i="5" s="1"/>
  <c r="CS15" i="5" s="1"/>
  <c r="BY315" i="5"/>
  <c r="BO315" i="5"/>
  <c r="AU315" i="5"/>
  <c r="AF315" i="5"/>
  <c r="AF286" i="5" s="1"/>
  <c r="G315" i="5"/>
  <c r="EL313" i="5"/>
  <c r="BT313" i="5"/>
  <c r="BT312" i="5" s="1"/>
  <c r="EG312" i="5"/>
  <c r="EB312" i="5"/>
  <c r="DW312" i="5"/>
  <c r="DR312" i="5"/>
  <c r="DM312" i="5"/>
  <c r="DH312" i="5"/>
  <c r="DC312" i="5"/>
  <c r="CX312" i="5"/>
  <c r="CS312" i="5"/>
  <c r="CN312" i="5"/>
  <c r="CI312" i="5"/>
  <c r="CD312" i="5"/>
  <c r="BY312" i="5"/>
  <c r="BO312" i="5"/>
  <c r="BJ312" i="5"/>
  <c r="BE312" i="5"/>
  <c r="AZ312" i="5"/>
  <c r="AU312" i="5"/>
  <c r="AP312" i="5"/>
  <c r="AK312" i="5"/>
  <c r="AF312" i="5"/>
  <c r="AA312" i="5"/>
  <c r="V312" i="5"/>
  <c r="Q312" i="5"/>
  <c r="L312" i="5"/>
  <c r="EL310" i="5"/>
  <c r="BT310" i="5"/>
  <c r="BT309" i="5" s="1"/>
  <c r="EL309" i="5"/>
  <c r="EG309" i="5"/>
  <c r="EB309" i="5"/>
  <c r="DW309" i="5"/>
  <c r="DR309" i="5"/>
  <c r="DM309" i="5"/>
  <c r="DH309" i="5"/>
  <c r="DC309" i="5"/>
  <c r="CX309" i="5"/>
  <c r="CS309" i="5"/>
  <c r="CN309" i="5"/>
  <c r="CI309" i="5"/>
  <c r="CD309" i="5"/>
  <c r="BY309" i="5"/>
  <c r="BO309" i="5"/>
  <c r="BJ309" i="5"/>
  <c r="BE309" i="5"/>
  <c r="AZ309" i="5"/>
  <c r="AU309" i="5"/>
  <c r="AP309" i="5"/>
  <c r="AK309" i="5"/>
  <c r="AF309" i="5"/>
  <c r="AA309" i="5"/>
  <c r="V309" i="5"/>
  <c r="Q309" i="5"/>
  <c r="L309" i="5"/>
  <c r="EL307" i="5"/>
  <c r="BT307" i="5"/>
  <c r="EL306" i="5"/>
  <c r="EG306" i="5"/>
  <c r="EB306" i="5"/>
  <c r="DW306" i="5"/>
  <c r="DR306" i="5"/>
  <c r="DM306" i="5"/>
  <c r="DH306" i="5"/>
  <c r="DC306" i="5"/>
  <c r="CX306" i="5"/>
  <c r="CS306" i="5"/>
  <c r="CN306" i="5"/>
  <c r="CI306" i="5"/>
  <c r="CD306" i="5"/>
  <c r="BY306" i="5"/>
  <c r="BO306" i="5"/>
  <c r="BJ306" i="5"/>
  <c r="BE306" i="5"/>
  <c r="AZ306" i="5"/>
  <c r="AU306" i="5"/>
  <c r="AP306" i="5"/>
  <c r="AK306" i="5"/>
  <c r="AF306" i="5"/>
  <c r="AA306" i="5"/>
  <c r="V306" i="5"/>
  <c r="Q306" i="5"/>
  <c r="L306" i="5"/>
  <c r="G306" i="5"/>
  <c r="EL304" i="5"/>
  <c r="BT304" i="5"/>
  <c r="EL303" i="5"/>
  <c r="EG303" i="5"/>
  <c r="EB303" i="5"/>
  <c r="DW303" i="5"/>
  <c r="DR303" i="5"/>
  <c r="DM303" i="5"/>
  <c r="DH303" i="5"/>
  <c r="DC303" i="5"/>
  <c r="CX303" i="5"/>
  <c r="CS303" i="5"/>
  <c r="CN303" i="5"/>
  <c r="CI303" i="5"/>
  <c r="CD303" i="5"/>
  <c r="BY303" i="5"/>
  <c r="BT303" i="5"/>
  <c r="BO303" i="5"/>
  <c r="BJ303" i="5"/>
  <c r="BE303" i="5"/>
  <c r="AZ303" i="5"/>
  <c r="AU303" i="5"/>
  <c r="AP303" i="5"/>
  <c r="AK303" i="5"/>
  <c r="AF303" i="5"/>
  <c r="AA303" i="5"/>
  <c r="V303" i="5"/>
  <c r="Q303" i="5"/>
  <c r="L303" i="5"/>
  <c r="G303" i="5"/>
  <c r="EL301" i="5"/>
  <c r="BT301" i="5"/>
  <c r="EG300" i="5"/>
  <c r="EB300" i="5"/>
  <c r="DW300" i="5"/>
  <c r="DC300" i="5"/>
  <c r="CS300" i="5"/>
  <c r="CI300" i="5"/>
  <c r="CD300" i="5"/>
  <c r="BY300" i="5"/>
  <c r="BT300" i="5"/>
  <c r="BO300" i="5"/>
  <c r="BJ300" i="5"/>
  <c r="BE300" i="5"/>
  <c r="AK300" i="5"/>
  <c r="AA300" i="5"/>
  <c r="Q300" i="5"/>
  <c r="L300" i="5"/>
  <c r="G300" i="5"/>
  <c r="EL298" i="5"/>
  <c r="BT298" i="5"/>
  <c r="EG297" i="5"/>
  <c r="EB297" i="5"/>
  <c r="DW297" i="5"/>
  <c r="DR297" i="5"/>
  <c r="DM297" i="5"/>
  <c r="DH297" i="5"/>
  <c r="DC297" i="5"/>
  <c r="CX297" i="5"/>
  <c r="CS297" i="5"/>
  <c r="CN297" i="5"/>
  <c r="CI297" i="5"/>
  <c r="CD297" i="5"/>
  <c r="BY297" i="5"/>
  <c r="BT297" i="5"/>
  <c r="BO297" i="5"/>
  <c r="BJ297" i="5"/>
  <c r="BE297" i="5"/>
  <c r="AZ297" i="5"/>
  <c r="AU297" i="5"/>
  <c r="AP297" i="5"/>
  <c r="AK297" i="5"/>
  <c r="AF297" i="5"/>
  <c r="AA297" i="5"/>
  <c r="V297" i="5"/>
  <c r="Q297" i="5"/>
  <c r="L297" i="5"/>
  <c r="G297" i="5"/>
  <c r="EL295" i="5"/>
  <c r="BT295" i="5"/>
  <c r="EG294" i="5"/>
  <c r="EB294" i="5"/>
  <c r="DW294" i="5"/>
  <c r="DR294" i="5"/>
  <c r="DM294" i="5"/>
  <c r="DH294" i="5"/>
  <c r="DC294" i="5"/>
  <c r="CX294" i="5"/>
  <c r="CS294" i="5"/>
  <c r="CN294" i="5"/>
  <c r="CI294" i="5"/>
  <c r="CD294" i="5"/>
  <c r="BY294" i="5"/>
  <c r="BO294" i="5"/>
  <c r="BJ294" i="5"/>
  <c r="BE294" i="5"/>
  <c r="AZ294" i="5"/>
  <c r="AU294" i="5"/>
  <c r="AP294" i="5"/>
  <c r="AK294" i="5"/>
  <c r="AF294" i="5"/>
  <c r="AA294" i="5"/>
  <c r="V294" i="5"/>
  <c r="Q294" i="5"/>
  <c r="L294" i="5"/>
  <c r="G294" i="5"/>
  <c r="EL292" i="5"/>
  <c r="BT292" i="5"/>
  <c r="EG291" i="5"/>
  <c r="EB291" i="5"/>
  <c r="DW291" i="5"/>
  <c r="DR291" i="5"/>
  <c r="DM291" i="5"/>
  <c r="DH291" i="5"/>
  <c r="DC291" i="5"/>
  <c r="CX291" i="5"/>
  <c r="CS291" i="5"/>
  <c r="CN291" i="5"/>
  <c r="CI291" i="5"/>
  <c r="CD291" i="5"/>
  <c r="BY291" i="5"/>
  <c r="BT291" i="5"/>
  <c r="BO291" i="5"/>
  <c r="BJ291" i="5"/>
  <c r="BE291" i="5"/>
  <c r="AZ291" i="5"/>
  <c r="AU291" i="5"/>
  <c r="AP291" i="5"/>
  <c r="AK291" i="5"/>
  <c r="AF291" i="5"/>
  <c r="AA291" i="5"/>
  <c r="V291" i="5"/>
  <c r="Q291" i="5"/>
  <c r="L291" i="5"/>
  <c r="G291" i="5"/>
  <c r="EL289" i="5"/>
  <c r="EL288" i="5" s="1"/>
  <c r="BT289" i="5"/>
  <c r="EG288" i="5"/>
  <c r="EB288" i="5"/>
  <c r="DW288" i="5"/>
  <c r="DR288" i="5"/>
  <c r="DM288" i="5"/>
  <c r="DH288" i="5"/>
  <c r="DC288" i="5"/>
  <c r="CX288" i="5"/>
  <c r="CS288" i="5"/>
  <c r="CN288" i="5"/>
  <c r="CI288" i="5"/>
  <c r="CD288" i="5"/>
  <c r="BO288" i="5"/>
  <c r="BJ288" i="5"/>
  <c r="BE288" i="5"/>
  <c r="AZ288" i="5"/>
  <c r="AU288" i="5"/>
  <c r="AP288" i="5"/>
  <c r="AK288" i="5"/>
  <c r="AF288" i="5"/>
  <c r="AA288" i="5"/>
  <c r="V288" i="5"/>
  <c r="Q288" i="5"/>
  <c r="L288" i="5"/>
  <c r="CX286" i="5"/>
  <c r="CX285" i="5" s="1"/>
  <c r="CX15" i="5" s="1"/>
  <c r="EB285" i="5"/>
  <c r="DW285" i="5"/>
  <c r="DR285" i="5"/>
  <c r="DM285" i="5"/>
  <c r="DM15" i="5" s="1"/>
  <c r="BJ285" i="5"/>
  <c r="BE285" i="5"/>
  <c r="AZ285" i="5"/>
  <c r="EL283" i="5"/>
  <c r="BT283" i="5"/>
  <c r="EL282" i="5"/>
  <c r="BT282" i="5"/>
  <c r="EL281" i="5"/>
  <c r="CI281" i="5"/>
  <c r="BT281" i="5"/>
  <c r="EG280" i="5"/>
  <c r="EB280" i="5"/>
  <c r="DW280" i="5"/>
  <c r="DR280" i="5"/>
  <c r="DM280" i="5"/>
  <c r="DH280" i="5"/>
  <c r="DC280" i="5"/>
  <c r="CX280" i="5"/>
  <c r="CS280" i="5"/>
  <c r="CN280" i="5"/>
  <c r="CI280" i="5"/>
  <c r="CD280" i="5"/>
  <c r="BY280" i="5"/>
  <c r="BO280" i="5"/>
  <c r="BJ280" i="5"/>
  <c r="BE280" i="5"/>
  <c r="AZ280" i="5"/>
  <c r="AU280" i="5"/>
  <c r="AP280" i="5"/>
  <c r="AK280" i="5"/>
  <c r="AF280" i="5"/>
  <c r="AA280" i="5"/>
  <c r="V280" i="5"/>
  <c r="Q280" i="5"/>
  <c r="L280" i="5"/>
  <c r="G280" i="5"/>
  <c r="EL278" i="5"/>
  <c r="BT278" i="5"/>
  <c r="EL277" i="5"/>
  <c r="BT277" i="5"/>
  <c r="EL276" i="5"/>
  <c r="CI276" i="5"/>
  <c r="BT276" i="5"/>
  <c r="EG275" i="5"/>
  <c r="EB275" i="5"/>
  <c r="DW275" i="5"/>
  <c r="DR275" i="5"/>
  <c r="DM275" i="5"/>
  <c r="DH275" i="5"/>
  <c r="DC275" i="5"/>
  <c r="CX275" i="5"/>
  <c r="CS275" i="5"/>
  <c r="CN275" i="5"/>
  <c r="CI275" i="5"/>
  <c r="CD275" i="5"/>
  <c r="BY275" i="5"/>
  <c r="BO275" i="5"/>
  <c r="BJ275" i="5"/>
  <c r="BE275" i="5"/>
  <c r="AZ275" i="5"/>
  <c r="AU275" i="5"/>
  <c r="AP275" i="5"/>
  <c r="AK275" i="5"/>
  <c r="AF275" i="5"/>
  <c r="AA275" i="5"/>
  <c r="V275" i="5"/>
  <c r="Q275" i="5"/>
  <c r="L275" i="5"/>
  <c r="G275" i="5"/>
  <c r="EL273" i="5"/>
  <c r="BT273" i="5"/>
  <c r="EL272" i="5"/>
  <c r="BT272" i="5"/>
  <c r="CI271" i="5"/>
  <c r="BT271" i="5"/>
  <c r="BT270" i="5" s="1"/>
  <c r="EG270" i="5"/>
  <c r="EB270" i="5"/>
  <c r="DW270" i="5"/>
  <c r="DR270" i="5"/>
  <c r="DM270" i="5"/>
  <c r="DH270" i="5"/>
  <c r="DC270" i="5"/>
  <c r="CX270" i="5"/>
  <c r="CS270" i="5"/>
  <c r="CN270" i="5"/>
  <c r="CD270" i="5"/>
  <c r="BY270" i="5"/>
  <c r="BO270" i="5"/>
  <c r="BJ270" i="5"/>
  <c r="BE270" i="5"/>
  <c r="AZ270" i="5"/>
  <c r="AU270" i="5"/>
  <c r="AP270" i="5"/>
  <c r="AK270" i="5"/>
  <c r="AF270" i="5"/>
  <c r="AA270" i="5"/>
  <c r="V270" i="5"/>
  <c r="Q270" i="5"/>
  <c r="L270" i="5"/>
  <c r="G270" i="5"/>
  <c r="EL268" i="5"/>
  <c r="BT268" i="5"/>
  <c r="EL267" i="5"/>
  <c r="BT267" i="5"/>
  <c r="EL266" i="5"/>
  <c r="BT266" i="5"/>
  <c r="CI265" i="5"/>
  <c r="BT265" i="5"/>
  <c r="EG264" i="5"/>
  <c r="EB264" i="5"/>
  <c r="DW264" i="5"/>
  <c r="DR264" i="5"/>
  <c r="DM264" i="5"/>
  <c r="DH264" i="5"/>
  <c r="DC264" i="5"/>
  <c r="CX264" i="5"/>
  <c r="CS264" i="5"/>
  <c r="CN264" i="5"/>
  <c r="CD264" i="5"/>
  <c r="BT264" i="5"/>
  <c r="BO264" i="5"/>
  <c r="BJ264" i="5"/>
  <c r="BE264" i="5"/>
  <c r="AZ264" i="5"/>
  <c r="AU264" i="5"/>
  <c r="AP264" i="5"/>
  <c r="AK264" i="5"/>
  <c r="AF264" i="5"/>
  <c r="AA264" i="5"/>
  <c r="V264" i="5"/>
  <c r="Q264" i="5"/>
  <c r="L264" i="5"/>
  <c r="EL262" i="5"/>
  <c r="BT262" i="5"/>
  <c r="EL261" i="5"/>
  <c r="BT261" i="5"/>
  <c r="EL260" i="5"/>
  <c r="BT260" i="5"/>
  <c r="EL259" i="5"/>
  <c r="CI259" i="5"/>
  <c r="BT259" i="5"/>
  <c r="EG258" i="5"/>
  <c r="EB258" i="5"/>
  <c r="DW258" i="5"/>
  <c r="DR258" i="5"/>
  <c r="DM258" i="5"/>
  <c r="DH258" i="5"/>
  <c r="DC258" i="5"/>
  <c r="CX258" i="5"/>
  <c r="CS258" i="5"/>
  <c r="CN258" i="5"/>
  <c r="CI258" i="5"/>
  <c r="CD258" i="5"/>
  <c r="BO258" i="5"/>
  <c r="BJ258" i="5"/>
  <c r="BE258" i="5"/>
  <c r="AZ258" i="5"/>
  <c r="AU258" i="5"/>
  <c r="AP258" i="5"/>
  <c r="AK258" i="5"/>
  <c r="AF258" i="5"/>
  <c r="AA258" i="5"/>
  <c r="V258" i="5"/>
  <c r="Q258" i="5"/>
  <c r="L258" i="5"/>
  <c r="EL256" i="5"/>
  <c r="BT256" i="5"/>
  <c r="EL255" i="5"/>
  <c r="BT255" i="5"/>
  <c r="EL254" i="5"/>
  <c r="BT254" i="5"/>
  <c r="CI253" i="5"/>
  <c r="BT253" i="5"/>
  <c r="DH252" i="5"/>
  <c r="CX252" i="5"/>
  <c r="CN252" i="5"/>
  <c r="CI252" i="5"/>
  <c r="AP252" i="5"/>
  <c r="AF252" i="5"/>
  <c r="V252" i="5"/>
  <c r="Q252" i="5"/>
  <c r="EL250" i="5"/>
  <c r="BT250" i="5"/>
  <c r="EL249" i="5"/>
  <c r="BT249" i="5"/>
  <c r="EL248" i="5"/>
  <c r="BT248" i="5"/>
  <c r="EG247" i="5"/>
  <c r="EB247" i="5"/>
  <c r="DW247" i="5"/>
  <c r="DR247" i="5"/>
  <c r="DM247" i="5"/>
  <c r="DH247" i="5"/>
  <c r="DC247" i="5"/>
  <c r="CX247" i="5"/>
  <c r="CS247" i="5"/>
  <c r="CN247" i="5"/>
  <c r="CI247" i="5"/>
  <c r="CD247" i="5"/>
  <c r="BY247" i="5"/>
  <c r="BO247" i="5"/>
  <c r="BJ247" i="5"/>
  <c r="BE247" i="5"/>
  <c r="AZ247" i="5"/>
  <c r="AU247" i="5"/>
  <c r="AP247" i="5"/>
  <c r="AK247" i="5"/>
  <c r="AF247" i="5"/>
  <c r="AA247" i="5"/>
  <c r="V247" i="5"/>
  <c r="Q247" i="5"/>
  <c r="L247" i="5"/>
  <c r="G247" i="5"/>
  <c r="EL245" i="5"/>
  <c r="BT245" i="5"/>
  <c r="EL244" i="5"/>
  <c r="BT244" i="5"/>
  <c r="CI243" i="5"/>
  <c r="BT243" i="5"/>
  <c r="EG242" i="5"/>
  <c r="EB242" i="5"/>
  <c r="DW242" i="5"/>
  <c r="DR242" i="5"/>
  <c r="DM242" i="5"/>
  <c r="DH242" i="5"/>
  <c r="DC242" i="5"/>
  <c r="CX242" i="5"/>
  <c r="CS242" i="5"/>
  <c r="CN242" i="5"/>
  <c r="CD242" i="5"/>
  <c r="BY242" i="5"/>
  <c r="BO242" i="5"/>
  <c r="BJ242" i="5"/>
  <c r="BE242" i="5"/>
  <c r="AZ242" i="5"/>
  <c r="AU242" i="5"/>
  <c r="AP242" i="5"/>
  <c r="AK242" i="5"/>
  <c r="AF242" i="5"/>
  <c r="AA242" i="5"/>
  <c r="V242" i="5"/>
  <c r="Q242" i="5"/>
  <c r="L242" i="5"/>
  <c r="G242" i="5"/>
  <c r="EL240" i="5"/>
  <c r="BT240" i="5"/>
  <c r="EL239" i="5"/>
  <c r="BT239" i="5"/>
  <c r="EL238" i="5"/>
  <c r="CI238" i="5"/>
  <c r="BT238" i="5"/>
  <c r="EG237" i="5"/>
  <c r="EB237" i="5"/>
  <c r="DW237" i="5"/>
  <c r="DR237" i="5"/>
  <c r="DM237" i="5"/>
  <c r="DH237" i="5"/>
  <c r="DC237" i="5"/>
  <c r="CX237" i="5"/>
  <c r="CS237" i="5"/>
  <c r="CN237" i="5"/>
  <c r="CI237" i="5"/>
  <c r="CD237" i="5"/>
  <c r="BY237" i="5"/>
  <c r="BO237" i="5"/>
  <c r="BJ237" i="5"/>
  <c r="BE237" i="5"/>
  <c r="AZ237" i="5"/>
  <c r="AU237" i="5"/>
  <c r="AP237" i="5"/>
  <c r="AK237" i="5"/>
  <c r="AF237" i="5"/>
  <c r="AA237" i="5"/>
  <c r="V237" i="5"/>
  <c r="Q237" i="5"/>
  <c r="L237" i="5"/>
  <c r="G237" i="5"/>
  <c r="EL235" i="5"/>
  <c r="BY235" i="5"/>
  <c r="BT235" i="5"/>
  <c r="EL234" i="5"/>
  <c r="BT234" i="5"/>
  <c r="EL233" i="5"/>
  <c r="BT233" i="5"/>
  <c r="EL232" i="5"/>
  <c r="CI232" i="5"/>
  <c r="BT232" i="5"/>
  <c r="EB231" i="5"/>
  <c r="DR231" i="5"/>
  <c r="DM231" i="5"/>
  <c r="DC231" i="5"/>
  <c r="CX231" i="5"/>
  <c r="CI231" i="5"/>
  <c r="BJ231" i="5"/>
  <c r="AZ231" i="5"/>
  <c r="AU231" i="5"/>
  <c r="AK231" i="5"/>
  <c r="AF231" i="5"/>
  <c r="Q231" i="5"/>
  <c r="D231" i="5"/>
  <c r="EL229" i="5"/>
  <c r="BT229" i="5"/>
  <c r="EL228" i="5"/>
  <c r="BT228" i="5"/>
  <c r="CI227" i="5"/>
  <c r="BT227" i="5"/>
  <c r="BT226" i="5" s="1"/>
  <c r="EG226" i="5"/>
  <c r="EB226" i="5"/>
  <c r="DW226" i="5"/>
  <c r="DR226" i="5"/>
  <c r="DM226" i="5"/>
  <c r="DH226" i="5"/>
  <c r="DC226" i="5"/>
  <c r="CX226" i="5"/>
  <c r="CS226" i="5"/>
  <c r="CN226" i="5"/>
  <c r="CD226" i="5"/>
  <c r="BY226" i="5"/>
  <c r="BO226" i="5"/>
  <c r="BJ226" i="5"/>
  <c r="BE226" i="5"/>
  <c r="AZ226" i="5"/>
  <c r="AU226" i="5"/>
  <c r="AP226" i="5"/>
  <c r="AK226" i="5"/>
  <c r="AF226" i="5"/>
  <c r="AA226" i="5"/>
  <c r="V226" i="5"/>
  <c r="Q226" i="5"/>
  <c r="L226" i="5"/>
  <c r="G226" i="5"/>
  <c r="EL224" i="5"/>
  <c r="BT224" i="5"/>
  <c r="EL223" i="5"/>
  <c r="BT223" i="5"/>
  <c r="EL222" i="5"/>
  <c r="CI222" i="5"/>
  <c r="BT222" i="5"/>
  <c r="EG221" i="5"/>
  <c r="EB221" i="5"/>
  <c r="DW221" i="5"/>
  <c r="DR221" i="5"/>
  <c r="DM221" i="5"/>
  <c r="DH221" i="5"/>
  <c r="DC221" i="5"/>
  <c r="CX221" i="5"/>
  <c r="CS221" i="5"/>
  <c r="CN221" i="5"/>
  <c r="CI221" i="5"/>
  <c r="CD221" i="5"/>
  <c r="BY221" i="5"/>
  <c r="BO221" i="5"/>
  <c r="BJ221" i="5"/>
  <c r="BE221" i="5"/>
  <c r="AZ221" i="5"/>
  <c r="AU221" i="5"/>
  <c r="AP221" i="5"/>
  <c r="AK221" i="5"/>
  <c r="AF221" i="5"/>
  <c r="AA221" i="5"/>
  <c r="V221" i="5"/>
  <c r="Q221" i="5"/>
  <c r="L221" i="5"/>
  <c r="G221" i="5"/>
  <c r="EG219" i="5"/>
  <c r="EB219" i="5"/>
  <c r="DW219" i="5"/>
  <c r="DR219" i="5"/>
  <c r="DM219" i="5"/>
  <c r="DH219" i="5"/>
  <c r="DC219" i="5"/>
  <c r="CX219" i="5"/>
  <c r="CS219" i="5"/>
  <c r="CN219" i="5"/>
  <c r="CI219" i="5"/>
  <c r="CD219" i="5"/>
  <c r="BO219" i="5"/>
  <c r="BJ219" i="5"/>
  <c r="BE219" i="5"/>
  <c r="AZ219" i="5"/>
  <c r="AU219" i="5"/>
  <c r="AP219" i="5"/>
  <c r="AK219" i="5"/>
  <c r="AF219" i="5"/>
  <c r="AA219" i="5"/>
  <c r="V219" i="5"/>
  <c r="Q219" i="5"/>
  <c r="L219" i="5"/>
  <c r="G219" i="5"/>
  <c r="EG218" i="5"/>
  <c r="EB218" i="5"/>
  <c r="DW218" i="5"/>
  <c r="DR218" i="5"/>
  <c r="DM218" i="5"/>
  <c r="DH218" i="5"/>
  <c r="DC218" i="5"/>
  <c r="CX218" i="5"/>
  <c r="CS218" i="5"/>
  <c r="CN218" i="5"/>
  <c r="CI218" i="5"/>
  <c r="CD218" i="5"/>
  <c r="BY218" i="5"/>
  <c r="BO218" i="5"/>
  <c r="BJ218" i="5"/>
  <c r="BE218" i="5"/>
  <c r="AZ218" i="5"/>
  <c r="AU218" i="5"/>
  <c r="AP218" i="5"/>
  <c r="AK218" i="5"/>
  <c r="AF218" i="5"/>
  <c r="AA218" i="5"/>
  <c r="V218" i="5"/>
  <c r="Q218" i="5"/>
  <c r="L218" i="5"/>
  <c r="G218" i="5"/>
  <c r="EG217" i="5"/>
  <c r="EG215" i="5" s="1"/>
  <c r="EG14" i="5" s="1"/>
  <c r="EB217" i="5"/>
  <c r="DW217" i="5"/>
  <c r="DR217" i="5"/>
  <c r="DM217" i="5"/>
  <c r="DM215" i="5" s="1"/>
  <c r="DM14" i="5" s="1"/>
  <c r="DH217" i="5"/>
  <c r="DC217" i="5"/>
  <c r="CX217" i="5"/>
  <c r="CS217" i="5"/>
  <c r="CS215" i="5" s="1"/>
  <c r="CS14" i="5" s="1"/>
  <c r="CN217" i="5"/>
  <c r="CI217" i="5"/>
  <c r="CD217" i="5"/>
  <c r="BY217" i="5"/>
  <c r="BO217" i="5"/>
  <c r="BJ217" i="5"/>
  <c r="BE217" i="5"/>
  <c r="AZ217" i="5"/>
  <c r="AU217" i="5"/>
  <c r="AP217" i="5"/>
  <c r="AK217" i="5"/>
  <c r="AF217" i="5"/>
  <c r="AA217" i="5"/>
  <c r="V217" i="5"/>
  <c r="Q217" i="5"/>
  <c r="L217" i="5"/>
  <c r="G217" i="5"/>
  <c r="EG216" i="5"/>
  <c r="EB216" i="5"/>
  <c r="EB215" i="5" s="1"/>
  <c r="DW216" i="5"/>
  <c r="DR216" i="5"/>
  <c r="DM216" i="5"/>
  <c r="DH216" i="5"/>
  <c r="DH215" i="5" s="1"/>
  <c r="DC216" i="5"/>
  <c r="CX216" i="5"/>
  <c r="CS216" i="5"/>
  <c r="CN216" i="5"/>
  <c r="CI216" i="5"/>
  <c r="CD216" i="5"/>
  <c r="BY216" i="5"/>
  <c r="BO216" i="5"/>
  <c r="BJ216" i="5"/>
  <c r="BE216" i="5"/>
  <c r="AZ216" i="5"/>
  <c r="AU216" i="5"/>
  <c r="AP216" i="5"/>
  <c r="AK216" i="5"/>
  <c r="AF216" i="5"/>
  <c r="AA216" i="5"/>
  <c r="V216" i="5"/>
  <c r="Q216" i="5"/>
  <c r="L216" i="5"/>
  <c r="G216" i="5"/>
  <c r="CN215" i="5"/>
  <c r="AZ215" i="5"/>
  <c r="AZ14" i="5" s="1"/>
  <c r="EL213" i="5"/>
  <c r="BT213" i="5"/>
  <c r="EL212" i="5"/>
  <c r="BT212" i="5"/>
  <c r="EL211" i="5"/>
  <c r="BT211" i="5"/>
  <c r="EL210" i="5"/>
  <c r="BT210" i="5"/>
  <c r="EL209" i="5"/>
  <c r="BT209" i="5"/>
  <c r="EL208" i="5"/>
  <c r="BT208" i="5"/>
  <c r="EL207" i="5"/>
  <c r="BT207" i="5"/>
  <c r="EG206" i="5"/>
  <c r="EB206" i="5"/>
  <c r="DW206" i="5"/>
  <c r="DR206" i="5"/>
  <c r="DM206" i="5"/>
  <c r="DH206" i="5"/>
  <c r="DH19" i="5" s="1"/>
  <c r="DC206" i="5"/>
  <c r="CX206" i="5"/>
  <c r="CS206" i="5"/>
  <c r="CN206" i="5"/>
  <c r="CI206" i="5"/>
  <c r="CD206" i="5"/>
  <c r="BY206" i="5"/>
  <c r="BT206" i="5"/>
  <c r="BO206" i="5"/>
  <c r="BJ206" i="5"/>
  <c r="BE206" i="5"/>
  <c r="AZ206" i="5"/>
  <c r="AU206" i="5"/>
  <c r="AP206" i="5"/>
  <c r="AK206" i="5"/>
  <c r="AF206" i="5"/>
  <c r="AA206" i="5"/>
  <c r="V206" i="5"/>
  <c r="Q206" i="5"/>
  <c r="L206" i="5"/>
  <c r="G206" i="5"/>
  <c r="EL204" i="5"/>
  <c r="BT204" i="5"/>
  <c r="EL203" i="5"/>
  <c r="BY203" i="5"/>
  <c r="BT203" i="5"/>
  <c r="EL202" i="5"/>
  <c r="BT202" i="5"/>
  <c r="EL201" i="5"/>
  <c r="BT201" i="5"/>
  <c r="EL200" i="5"/>
  <c r="BT200" i="5"/>
  <c r="EL199" i="5"/>
  <c r="BT199" i="5"/>
  <c r="EL198" i="5"/>
  <c r="BT198" i="5"/>
  <c r="EL197" i="5"/>
  <c r="BT197" i="5"/>
  <c r="EL196" i="5"/>
  <c r="BT196" i="5"/>
  <c r="EL195" i="5"/>
  <c r="BT195" i="5"/>
  <c r="EL194" i="5"/>
  <c r="BT194" i="5"/>
  <c r="EL193" i="5"/>
  <c r="BT193" i="5"/>
  <c r="EG192" i="5"/>
  <c r="EB192" i="5"/>
  <c r="DW192" i="5"/>
  <c r="DR192" i="5"/>
  <c r="DM192" i="5"/>
  <c r="DH192" i="5"/>
  <c r="DC192" i="5"/>
  <c r="CX192" i="5"/>
  <c r="CX19" i="5" s="1"/>
  <c r="CS192" i="5"/>
  <c r="CN192" i="5"/>
  <c r="CI192" i="5"/>
  <c r="CD192" i="5"/>
  <c r="CD19" i="5" s="1"/>
  <c r="BO192" i="5"/>
  <c r="BJ192" i="5"/>
  <c r="BE192" i="5"/>
  <c r="AZ192" i="5"/>
  <c r="AU192" i="5"/>
  <c r="AP192" i="5"/>
  <c r="AK192" i="5"/>
  <c r="AF192" i="5"/>
  <c r="AA192" i="5"/>
  <c r="V192" i="5"/>
  <c r="Q192" i="5"/>
  <c r="L192" i="5"/>
  <c r="G189" i="5"/>
  <c r="EL181" i="5"/>
  <c r="BT181" i="5"/>
  <c r="EL180" i="5"/>
  <c r="BT180" i="5"/>
  <c r="EG179" i="5"/>
  <c r="EB179" i="5"/>
  <c r="DM179" i="5"/>
  <c r="DH179" i="5"/>
  <c r="DC179" i="5"/>
  <c r="CX179" i="5"/>
  <c r="CN179" i="5"/>
  <c r="CI179" i="5"/>
  <c r="CD179" i="5"/>
  <c r="BT179" i="5"/>
  <c r="EB178" i="5"/>
  <c r="DW178" i="5"/>
  <c r="DR178" i="5"/>
  <c r="DH178" i="5"/>
  <c r="CX178" i="5"/>
  <c r="CS178" i="5"/>
  <c r="CN178" i="5"/>
  <c r="CI178" i="5"/>
  <c r="CD178" i="5"/>
  <c r="BY178" i="5"/>
  <c r="BT178" i="5"/>
  <c r="BO178" i="5"/>
  <c r="BJ178" i="5"/>
  <c r="BE178" i="5"/>
  <c r="AZ178" i="5"/>
  <c r="AU178" i="5"/>
  <c r="AP178" i="5"/>
  <c r="AK178" i="5"/>
  <c r="AF178" i="5"/>
  <c r="AA178" i="5"/>
  <c r="V178" i="5"/>
  <c r="Q178" i="5"/>
  <c r="L178" i="5"/>
  <c r="G178" i="5"/>
  <c r="EL176" i="5"/>
  <c r="BT176" i="5"/>
  <c r="EL175" i="5"/>
  <c r="BT175" i="5"/>
  <c r="EL174" i="5"/>
  <c r="EB174" i="5"/>
  <c r="DW174" i="5"/>
  <c r="DR174" i="5"/>
  <c r="DM174" i="5"/>
  <c r="CX174" i="5"/>
  <c r="CI174" i="5"/>
  <c r="CD174" i="5"/>
  <c r="BT174" i="5"/>
  <c r="EG173" i="5"/>
  <c r="EB173" i="5"/>
  <c r="DW173" i="5"/>
  <c r="DR173" i="5"/>
  <c r="DM173" i="5"/>
  <c r="DH173" i="5"/>
  <c r="DC173" i="5"/>
  <c r="CS173" i="5"/>
  <c r="CN173" i="5"/>
  <c r="CI173" i="5"/>
  <c r="CD173" i="5"/>
  <c r="BY173" i="5"/>
  <c r="BO173" i="5"/>
  <c r="BJ173" i="5"/>
  <c r="BE173" i="5"/>
  <c r="AZ173" i="5"/>
  <c r="AU173" i="5"/>
  <c r="AP173" i="5"/>
  <c r="AK173" i="5"/>
  <c r="AF173" i="5"/>
  <c r="AA173" i="5"/>
  <c r="V173" i="5"/>
  <c r="Q173" i="5"/>
  <c r="L173" i="5"/>
  <c r="G173" i="5"/>
  <c r="EL171" i="5"/>
  <c r="BT171" i="5"/>
  <c r="EL170" i="5"/>
  <c r="BT170" i="5"/>
  <c r="EG169" i="5"/>
  <c r="EB169" i="5"/>
  <c r="DW169" i="5"/>
  <c r="DR169" i="5"/>
  <c r="DM169" i="5"/>
  <c r="DH169" i="5"/>
  <c r="DC169" i="5"/>
  <c r="CX169" i="5"/>
  <c r="CS169" i="5"/>
  <c r="CI169" i="5"/>
  <c r="CD169" i="5"/>
  <c r="L169" i="5"/>
  <c r="L168" i="5" s="1"/>
  <c r="EG168" i="5"/>
  <c r="EB168" i="5"/>
  <c r="DR168" i="5"/>
  <c r="DM168" i="5"/>
  <c r="DH168" i="5"/>
  <c r="CX168" i="5"/>
  <c r="CS168" i="5"/>
  <c r="CN168" i="5"/>
  <c r="CI168" i="5"/>
  <c r="BY168" i="5"/>
  <c r="BO168" i="5"/>
  <c r="BJ168" i="5"/>
  <c r="BE168" i="5"/>
  <c r="AZ168" i="5"/>
  <c r="AU168" i="5"/>
  <c r="AP168" i="5"/>
  <c r="AK168" i="5"/>
  <c r="AF168" i="5"/>
  <c r="AA168" i="5"/>
  <c r="V168" i="5"/>
  <c r="Q168" i="5"/>
  <c r="G168" i="5"/>
  <c r="EL166" i="5"/>
  <c r="BT166" i="5"/>
  <c r="EL165" i="5"/>
  <c r="BT165" i="5"/>
  <c r="EG164" i="5"/>
  <c r="EB164" i="5"/>
  <c r="DW164" i="5"/>
  <c r="DM164" i="5"/>
  <c r="DH164" i="5"/>
  <c r="DC164" i="5"/>
  <c r="CS164" i="5"/>
  <c r="CN164" i="5"/>
  <c r="CI164" i="5"/>
  <c r="CI163" i="5" s="1"/>
  <c r="CD164" i="5"/>
  <c r="Q164" i="5"/>
  <c r="L164" i="5"/>
  <c r="EG163" i="5"/>
  <c r="EB163" i="5"/>
  <c r="DW163" i="5"/>
  <c r="DR163" i="5"/>
  <c r="DM163" i="5"/>
  <c r="DC163" i="5"/>
  <c r="CX163" i="5"/>
  <c r="CS163" i="5"/>
  <c r="CN163" i="5"/>
  <c r="BY163" i="5"/>
  <c r="BO163" i="5"/>
  <c r="BJ163" i="5"/>
  <c r="BE163" i="5"/>
  <c r="AZ163" i="5"/>
  <c r="AU163" i="5"/>
  <c r="AP163" i="5"/>
  <c r="AK163" i="5"/>
  <c r="AF163" i="5"/>
  <c r="AA163" i="5"/>
  <c r="V163" i="5"/>
  <c r="Q163" i="5"/>
  <c r="G163" i="5"/>
  <c r="EL161" i="5"/>
  <c r="BT161" i="5"/>
  <c r="EL160" i="5"/>
  <c r="BT160" i="5"/>
  <c r="EG159" i="5"/>
  <c r="EB159" i="5"/>
  <c r="DW159" i="5"/>
  <c r="DR159" i="5"/>
  <c r="DM159" i="5"/>
  <c r="DH159" i="5"/>
  <c r="DC159" i="5"/>
  <c r="CX159" i="5"/>
  <c r="CS159" i="5"/>
  <c r="CN159" i="5"/>
  <c r="CI159" i="5"/>
  <c r="CI158" i="5" s="1"/>
  <c r="CD159" i="5"/>
  <c r="Q159" i="5"/>
  <c r="L159" i="5"/>
  <c r="EG158" i="5"/>
  <c r="EB158" i="5"/>
  <c r="DM158" i="5"/>
  <c r="DH158" i="5"/>
  <c r="CS158" i="5"/>
  <c r="CN158" i="5"/>
  <c r="BY158" i="5"/>
  <c r="BO158" i="5"/>
  <c r="BJ158" i="5"/>
  <c r="BE158" i="5"/>
  <c r="AZ158" i="5"/>
  <c r="AU158" i="5"/>
  <c r="AP158" i="5"/>
  <c r="AK158" i="5"/>
  <c r="AF158" i="5"/>
  <c r="AA158" i="5"/>
  <c r="V158" i="5"/>
  <c r="Q158" i="5"/>
  <c r="G158" i="5"/>
  <c r="EL156" i="5"/>
  <c r="BT156" i="5"/>
  <c r="EL155" i="5"/>
  <c r="BT155" i="5"/>
  <c r="DR154" i="5"/>
  <c r="DM154" i="5"/>
  <c r="DH154" i="5"/>
  <c r="DC154" i="5"/>
  <c r="CS154" i="5"/>
  <c r="CN154" i="5"/>
  <c r="CI154" i="5"/>
  <c r="CI153" i="5" s="1"/>
  <c r="CD154" i="5"/>
  <c r="Q154" i="5"/>
  <c r="L154" i="5"/>
  <c r="EG153" i="5"/>
  <c r="EB153" i="5"/>
  <c r="DW153" i="5"/>
  <c r="DM153" i="5"/>
  <c r="DC153" i="5"/>
  <c r="CX153" i="5"/>
  <c r="CS153" i="5"/>
  <c r="CN153" i="5"/>
  <c r="BY153" i="5"/>
  <c r="BO153" i="5"/>
  <c r="BJ153" i="5"/>
  <c r="BE153" i="5"/>
  <c r="AZ153" i="5"/>
  <c r="AU153" i="5"/>
  <c r="AP153" i="5"/>
  <c r="AK153" i="5"/>
  <c r="AF153" i="5"/>
  <c r="AA153" i="5"/>
  <c r="V153" i="5"/>
  <c r="Q153" i="5"/>
  <c r="G153" i="5"/>
  <c r="EL151" i="5"/>
  <c r="BT151" i="5"/>
  <c r="EL150" i="5"/>
  <c r="BT150" i="5"/>
  <c r="CI149" i="5"/>
  <c r="BT149" i="5"/>
  <c r="EG148" i="5"/>
  <c r="EB148" i="5"/>
  <c r="DW148" i="5"/>
  <c r="DR148" i="5"/>
  <c r="DM148" i="5"/>
  <c r="DH148" i="5"/>
  <c r="DC148" i="5"/>
  <c r="CX148" i="5"/>
  <c r="CS148" i="5"/>
  <c r="CN148" i="5"/>
  <c r="CD148" i="5"/>
  <c r="BY148" i="5"/>
  <c r="BO148" i="5"/>
  <c r="BJ148" i="5"/>
  <c r="BE148" i="5"/>
  <c r="AZ148" i="5"/>
  <c r="AU148" i="5"/>
  <c r="AP148" i="5"/>
  <c r="AK148" i="5"/>
  <c r="AF148" i="5"/>
  <c r="AA148" i="5"/>
  <c r="V148" i="5"/>
  <c r="Q148" i="5"/>
  <c r="L148" i="5"/>
  <c r="G148" i="5"/>
  <c r="EL146" i="5"/>
  <c r="BT146" i="5"/>
  <c r="EL145" i="5"/>
  <c r="BT145" i="5"/>
  <c r="EL144" i="5"/>
  <c r="BT144" i="5"/>
  <c r="BT143" i="5" s="1"/>
  <c r="EG143" i="5"/>
  <c r="EB143" i="5"/>
  <c r="DW143" i="5"/>
  <c r="DR143" i="5"/>
  <c r="DM143" i="5"/>
  <c r="DH143" i="5"/>
  <c r="DC143" i="5"/>
  <c r="CX143" i="5"/>
  <c r="CS143" i="5"/>
  <c r="CN143" i="5"/>
  <c r="CI143" i="5"/>
  <c r="CD143" i="5"/>
  <c r="BY143" i="5"/>
  <c r="BO143" i="5"/>
  <c r="BJ143" i="5"/>
  <c r="BE143" i="5"/>
  <c r="AZ143" i="5"/>
  <c r="AU143" i="5"/>
  <c r="AP143" i="5"/>
  <c r="AK143" i="5"/>
  <c r="AF143" i="5"/>
  <c r="AA143" i="5"/>
  <c r="V143" i="5"/>
  <c r="Q143" i="5"/>
  <c r="L143" i="5"/>
  <c r="G143" i="5"/>
  <c r="EL141" i="5"/>
  <c r="BT141" i="5"/>
  <c r="EL140" i="5"/>
  <c r="BT140" i="5"/>
  <c r="EL139" i="5"/>
  <c r="BT139" i="5"/>
  <c r="EL138" i="5"/>
  <c r="L138" i="5"/>
  <c r="EG137" i="5"/>
  <c r="EB137" i="5"/>
  <c r="DW137" i="5"/>
  <c r="DR137" i="5"/>
  <c r="DM137" i="5"/>
  <c r="DH137" i="5"/>
  <c r="DC137" i="5"/>
  <c r="CX137" i="5"/>
  <c r="CS137" i="5"/>
  <c r="CN137" i="5"/>
  <c r="CI137" i="5"/>
  <c r="CD137" i="5"/>
  <c r="BY137" i="5"/>
  <c r="BO137" i="5"/>
  <c r="BJ137" i="5"/>
  <c r="BE137" i="5"/>
  <c r="AZ137" i="5"/>
  <c r="AU137" i="5"/>
  <c r="AP137" i="5"/>
  <c r="AK137" i="5"/>
  <c r="AF137" i="5"/>
  <c r="AA137" i="5"/>
  <c r="V137" i="5"/>
  <c r="Q137" i="5"/>
  <c r="G137" i="5"/>
  <c r="EL135" i="5"/>
  <c r="BT135" i="5"/>
  <c r="EL134" i="5"/>
  <c r="BT134" i="5"/>
  <c r="EL133" i="5"/>
  <c r="BT133" i="5"/>
  <c r="EL132" i="5"/>
  <c r="BT132" i="5"/>
  <c r="EG131" i="5"/>
  <c r="EB131" i="5"/>
  <c r="DW131" i="5"/>
  <c r="DR131" i="5"/>
  <c r="DM131" i="5"/>
  <c r="DH131" i="5"/>
  <c r="DC131" i="5"/>
  <c r="CX131" i="5"/>
  <c r="CS131" i="5"/>
  <c r="CN131" i="5"/>
  <c r="CI131" i="5"/>
  <c r="CD131" i="5"/>
  <c r="BY131" i="5"/>
  <c r="BO131" i="5"/>
  <c r="BJ131" i="5"/>
  <c r="BE131" i="5"/>
  <c r="AZ131" i="5"/>
  <c r="AU131" i="5"/>
  <c r="AP131" i="5"/>
  <c r="AK131" i="5"/>
  <c r="AF131" i="5"/>
  <c r="AA131" i="5"/>
  <c r="V131" i="5"/>
  <c r="Q131" i="5"/>
  <c r="L131" i="5"/>
  <c r="G131" i="5"/>
  <c r="EL129" i="5"/>
  <c r="BT129" i="5"/>
  <c r="BY129" i="5" s="1"/>
  <c r="EL128" i="5"/>
  <c r="BT128" i="5"/>
  <c r="EL127" i="5"/>
  <c r="BT127" i="5"/>
  <c r="EL126" i="5"/>
  <c r="BT126" i="5"/>
  <c r="EG125" i="5"/>
  <c r="EB125" i="5"/>
  <c r="DW125" i="5"/>
  <c r="DR125" i="5"/>
  <c r="DM125" i="5"/>
  <c r="DH125" i="5"/>
  <c r="DC125" i="5"/>
  <c r="CX125" i="5"/>
  <c r="CS125" i="5"/>
  <c r="CN125" i="5"/>
  <c r="CI125" i="5"/>
  <c r="CD125" i="5"/>
  <c r="BO125" i="5"/>
  <c r="BJ125" i="5"/>
  <c r="BE125" i="5"/>
  <c r="AZ125" i="5"/>
  <c r="AU125" i="5"/>
  <c r="AP125" i="5"/>
  <c r="AK125" i="5"/>
  <c r="AF125" i="5"/>
  <c r="AA125" i="5"/>
  <c r="V125" i="5"/>
  <c r="Q125" i="5"/>
  <c r="L125" i="5"/>
  <c r="G125" i="5"/>
  <c r="EL123" i="5"/>
  <c r="BT123" i="5"/>
  <c r="EL122" i="5"/>
  <c r="BT122" i="5"/>
  <c r="EB121" i="5"/>
  <c r="DR121" i="5"/>
  <c r="DM121" i="5"/>
  <c r="DC121" i="5"/>
  <c r="CX121" i="5"/>
  <c r="CS121" i="5"/>
  <c r="CN121" i="5"/>
  <c r="CI121" i="5"/>
  <c r="CD121" i="5"/>
  <c r="CD120" i="5" s="1"/>
  <c r="BT121" i="5"/>
  <c r="EG120" i="5"/>
  <c r="DW120" i="5"/>
  <c r="DR120" i="5"/>
  <c r="DH120" i="5"/>
  <c r="DC120" i="5"/>
  <c r="CS120" i="5"/>
  <c r="CN120" i="5"/>
  <c r="CI120" i="5"/>
  <c r="BY120" i="5"/>
  <c r="BO120" i="5"/>
  <c r="BJ120" i="5"/>
  <c r="BE120" i="5"/>
  <c r="AZ120" i="5"/>
  <c r="AU120" i="5"/>
  <c r="AP120" i="5"/>
  <c r="AK120" i="5"/>
  <c r="AF120" i="5"/>
  <c r="AA120" i="5"/>
  <c r="V120" i="5"/>
  <c r="Q120" i="5"/>
  <c r="L120" i="5"/>
  <c r="G120" i="5"/>
  <c r="EL118" i="5"/>
  <c r="BT118" i="5"/>
  <c r="EL117" i="5"/>
  <c r="BY117" i="5"/>
  <c r="BT117" i="5"/>
  <c r="EL116" i="5"/>
  <c r="BT116" i="5"/>
  <c r="EG115" i="5"/>
  <c r="EB115" i="5"/>
  <c r="DW115" i="5"/>
  <c r="DR115" i="5"/>
  <c r="DM115" i="5"/>
  <c r="DH115" i="5"/>
  <c r="DC115" i="5"/>
  <c r="CX115" i="5"/>
  <c r="CS115" i="5"/>
  <c r="CN115" i="5"/>
  <c r="CI115" i="5"/>
  <c r="CD115" i="5"/>
  <c r="BO115" i="5"/>
  <c r="BJ115" i="5"/>
  <c r="BE115" i="5"/>
  <c r="AZ115" i="5"/>
  <c r="AU115" i="5"/>
  <c r="AP115" i="5"/>
  <c r="AK115" i="5"/>
  <c r="AF115" i="5"/>
  <c r="AA115" i="5"/>
  <c r="V115" i="5"/>
  <c r="Q115" i="5"/>
  <c r="L115" i="5"/>
  <c r="G115" i="5"/>
  <c r="EL113" i="5"/>
  <c r="BT113" i="5"/>
  <c r="EL112" i="5"/>
  <c r="BT112" i="5"/>
  <c r="EL111" i="5"/>
  <c r="BY111" i="5"/>
  <c r="BT111" i="5"/>
  <c r="EG110" i="5"/>
  <c r="EB110" i="5"/>
  <c r="DW110" i="5"/>
  <c r="DR110" i="5"/>
  <c r="DM110" i="5"/>
  <c r="DH110" i="5"/>
  <c r="DC110" i="5"/>
  <c r="CX110" i="5"/>
  <c r="CS110" i="5"/>
  <c r="CN110" i="5"/>
  <c r="CI110" i="5"/>
  <c r="CD110" i="5"/>
  <c r="BT110" i="5"/>
  <c r="BO110" i="5"/>
  <c r="BJ110" i="5"/>
  <c r="BE110" i="5"/>
  <c r="AZ110" i="5"/>
  <c r="AU110" i="5"/>
  <c r="AP110" i="5"/>
  <c r="AK110" i="5"/>
  <c r="AF110" i="5"/>
  <c r="AA110" i="5"/>
  <c r="V110" i="5"/>
  <c r="Q110" i="5"/>
  <c r="L110" i="5"/>
  <c r="G110" i="5"/>
  <c r="EL108" i="5"/>
  <c r="BT108" i="5"/>
  <c r="EL107" i="5"/>
  <c r="BT107" i="5"/>
  <c r="EL106" i="5"/>
  <c r="BT106" i="5"/>
  <c r="EG105" i="5"/>
  <c r="EB105" i="5"/>
  <c r="DW105" i="5"/>
  <c r="DR105" i="5"/>
  <c r="DM105" i="5"/>
  <c r="DH105" i="5"/>
  <c r="DC105" i="5"/>
  <c r="CX105" i="5"/>
  <c r="CS105" i="5"/>
  <c r="CN105" i="5"/>
  <c r="CI105" i="5"/>
  <c r="CD105" i="5"/>
  <c r="BO105" i="5"/>
  <c r="BJ105" i="5"/>
  <c r="BE105" i="5"/>
  <c r="AZ105" i="5"/>
  <c r="AU105" i="5"/>
  <c r="AP105" i="5"/>
  <c r="AK105" i="5"/>
  <c r="AF105" i="5"/>
  <c r="AA105" i="5"/>
  <c r="V105" i="5"/>
  <c r="Q105" i="5"/>
  <c r="L105" i="5"/>
  <c r="G105" i="5"/>
  <c r="EL103" i="5"/>
  <c r="BY103" i="5"/>
  <c r="BT103" i="5"/>
  <c r="EL102" i="5"/>
  <c r="BT102" i="5"/>
  <c r="EL101" i="5"/>
  <c r="BT101" i="5"/>
  <c r="EL100" i="5"/>
  <c r="EG100" i="5"/>
  <c r="EB100" i="5"/>
  <c r="DW100" i="5"/>
  <c r="DR100" i="5"/>
  <c r="DM100" i="5"/>
  <c r="DH100" i="5"/>
  <c r="DC100" i="5"/>
  <c r="CX100" i="5"/>
  <c r="CS100" i="5"/>
  <c r="CN100" i="5"/>
  <c r="CI100" i="5"/>
  <c r="CD100" i="5"/>
  <c r="BO100" i="5"/>
  <c r="BJ100" i="5"/>
  <c r="BE100" i="5"/>
  <c r="AZ100" i="5"/>
  <c r="AU100" i="5"/>
  <c r="AP100" i="5"/>
  <c r="AK100" i="5"/>
  <c r="AF100" i="5"/>
  <c r="AA100" i="5"/>
  <c r="V100" i="5"/>
  <c r="Q100" i="5"/>
  <c r="L100" i="5"/>
  <c r="G100" i="5"/>
  <c r="EL98" i="5"/>
  <c r="BT98" i="5"/>
  <c r="EL97" i="5"/>
  <c r="BY97" i="5"/>
  <c r="BT97" i="5"/>
  <c r="EL96" i="5"/>
  <c r="BT96" i="5"/>
  <c r="EG95" i="5"/>
  <c r="EB95" i="5"/>
  <c r="DW95" i="5"/>
  <c r="DR95" i="5"/>
  <c r="DM95" i="5"/>
  <c r="DH95" i="5"/>
  <c r="DC95" i="5"/>
  <c r="CX95" i="5"/>
  <c r="CS95" i="5"/>
  <c r="CN95" i="5"/>
  <c r="CI95" i="5"/>
  <c r="CD95" i="5"/>
  <c r="BO95" i="5"/>
  <c r="BJ95" i="5"/>
  <c r="BE95" i="5"/>
  <c r="AZ95" i="5"/>
  <c r="AU95" i="5"/>
  <c r="AP95" i="5"/>
  <c r="AK95" i="5"/>
  <c r="AF95" i="5"/>
  <c r="AA95" i="5"/>
  <c r="V95" i="5"/>
  <c r="Q95" i="5"/>
  <c r="L95" i="5"/>
  <c r="G95" i="5"/>
  <c r="EL93" i="5"/>
  <c r="BT93" i="5"/>
  <c r="EL92" i="5"/>
  <c r="BT92" i="5"/>
  <c r="EL91" i="5"/>
  <c r="BY91" i="5"/>
  <c r="BT91" i="5"/>
  <c r="EG90" i="5"/>
  <c r="EB90" i="5"/>
  <c r="DW90" i="5"/>
  <c r="DR90" i="5"/>
  <c r="DM90" i="5"/>
  <c r="DH90" i="5"/>
  <c r="DC90" i="5"/>
  <c r="CX90" i="5"/>
  <c r="CS90" i="5"/>
  <c r="CN90" i="5"/>
  <c r="CI90" i="5"/>
  <c r="CD90" i="5"/>
  <c r="BT90" i="5"/>
  <c r="BO90" i="5"/>
  <c r="BJ90" i="5"/>
  <c r="BE90" i="5"/>
  <c r="AZ90" i="5"/>
  <c r="AU90" i="5"/>
  <c r="AP90" i="5"/>
  <c r="AK90" i="5"/>
  <c r="AF90" i="5"/>
  <c r="AA90" i="5"/>
  <c r="V90" i="5"/>
  <c r="Q90" i="5"/>
  <c r="L90" i="5"/>
  <c r="G90" i="5"/>
  <c r="EL88" i="5"/>
  <c r="BT88" i="5"/>
  <c r="EL87" i="5"/>
  <c r="BT87" i="5"/>
  <c r="EL86" i="5"/>
  <c r="BT86" i="5"/>
  <c r="EL85" i="5"/>
  <c r="BT85" i="5"/>
  <c r="EG84" i="5"/>
  <c r="EB84" i="5"/>
  <c r="DW84" i="5"/>
  <c r="DR84" i="5"/>
  <c r="DM84" i="5"/>
  <c r="DH84" i="5"/>
  <c r="DC84" i="5"/>
  <c r="CX84" i="5"/>
  <c r="CS84" i="5"/>
  <c r="CN84" i="5"/>
  <c r="CI84" i="5"/>
  <c r="CD84" i="5"/>
  <c r="BY84" i="5"/>
  <c r="BO84" i="5"/>
  <c r="BJ84" i="5"/>
  <c r="BE84" i="5"/>
  <c r="AZ84" i="5"/>
  <c r="AU84" i="5"/>
  <c r="AP84" i="5"/>
  <c r="AK84" i="5"/>
  <c r="AF84" i="5"/>
  <c r="AA84" i="5"/>
  <c r="V84" i="5"/>
  <c r="Q84" i="5"/>
  <c r="L84" i="5"/>
  <c r="G84" i="5"/>
  <c r="EL82" i="5"/>
  <c r="BT82" i="5"/>
  <c r="EL81" i="5"/>
  <c r="BT81" i="5"/>
  <c r="EL80" i="5"/>
  <c r="EL79" i="5" s="1"/>
  <c r="CI80" i="5"/>
  <c r="BT80" i="5"/>
  <c r="EG79" i="5"/>
  <c r="EB79" i="5"/>
  <c r="DW79" i="5"/>
  <c r="DR79" i="5"/>
  <c r="DM79" i="5"/>
  <c r="DH79" i="5"/>
  <c r="DC79" i="5"/>
  <c r="CX79" i="5"/>
  <c r="CS79" i="5"/>
  <c r="CN79" i="5"/>
  <c r="CI79" i="5"/>
  <c r="CD79" i="5"/>
  <c r="BY79" i="5"/>
  <c r="BO79" i="5"/>
  <c r="BJ79" i="5"/>
  <c r="BE79" i="5"/>
  <c r="AZ79" i="5"/>
  <c r="AU79" i="5"/>
  <c r="AP79" i="5"/>
  <c r="AK79" i="5"/>
  <c r="AF79" i="5"/>
  <c r="AA79" i="5"/>
  <c r="V79" i="5"/>
  <c r="Q79" i="5"/>
  <c r="L79" i="5"/>
  <c r="G79" i="5"/>
  <c r="EL77" i="5"/>
  <c r="BT77" i="5"/>
  <c r="EL76" i="5"/>
  <c r="BT76" i="5"/>
  <c r="EL75" i="5"/>
  <c r="DW75" i="5"/>
  <c r="BT75" i="5"/>
  <c r="EG74" i="5"/>
  <c r="EB74" i="5"/>
  <c r="DW74" i="5"/>
  <c r="DR74" i="5"/>
  <c r="DM74" i="5"/>
  <c r="DC74" i="5"/>
  <c r="CX74" i="5"/>
  <c r="CS74" i="5"/>
  <c r="CN74" i="5"/>
  <c r="CI74" i="5"/>
  <c r="CD74" i="5"/>
  <c r="BT74" i="5"/>
  <c r="EG73" i="5"/>
  <c r="DR73" i="5"/>
  <c r="DM73" i="5"/>
  <c r="DH73" i="5"/>
  <c r="CX73" i="5"/>
  <c r="CS73" i="5"/>
  <c r="CN73" i="5"/>
  <c r="CD73" i="5"/>
  <c r="BY73" i="5"/>
  <c r="BO73" i="5"/>
  <c r="BJ73" i="5"/>
  <c r="BE73" i="5"/>
  <c r="AZ73" i="5"/>
  <c r="AU73" i="5"/>
  <c r="AP73" i="5"/>
  <c r="AK73" i="5"/>
  <c r="AF73" i="5"/>
  <c r="AA73" i="5"/>
  <c r="V73" i="5"/>
  <c r="Q73" i="5"/>
  <c r="L73" i="5"/>
  <c r="G73" i="5"/>
  <c r="EL71" i="5"/>
  <c r="BT71" i="5"/>
  <c r="BY71" i="5" s="1"/>
  <c r="EL70" i="5"/>
  <c r="BT70" i="5"/>
  <c r="EL69" i="5"/>
  <c r="BT69" i="5"/>
  <c r="EL68" i="5"/>
  <c r="BY68" i="5"/>
  <c r="BT68" i="5"/>
  <c r="EG67" i="5"/>
  <c r="EB67" i="5"/>
  <c r="DW67" i="5"/>
  <c r="DR67" i="5"/>
  <c r="DM67" i="5"/>
  <c r="DH67" i="5"/>
  <c r="DC67" i="5"/>
  <c r="CX67" i="5"/>
  <c r="CS67" i="5"/>
  <c r="CN67" i="5"/>
  <c r="CI67" i="5"/>
  <c r="CD67" i="5"/>
  <c r="BO67" i="5"/>
  <c r="BJ67" i="5"/>
  <c r="BE67" i="5"/>
  <c r="AZ67" i="5"/>
  <c r="AU67" i="5"/>
  <c r="AP67" i="5"/>
  <c r="AK67" i="5"/>
  <c r="AF67" i="5"/>
  <c r="AA67" i="5"/>
  <c r="V67" i="5"/>
  <c r="Q67" i="5"/>
  <c r="L67" i="5"/>
  <c r="G67" i="5"/>
  <c r="EL65" i="5"/>
  <c r="BT65" i="5"/>
  <c r="EL64" i="5"/>
  <c r="BT64" i="5"/>
  <c r="EG63" i="5"/>
  <c r="EB63" i="5"/>
  <c r="DW63" i="5"/>
  <c r="DR63" i="5"/>
  <c r="DM63" i="5"/>
  <c r="DC63" i="5"/>
  <c r="CX63" i="5"/>
  <c r="CS63" i="5"/>
  <c r="CN63" i="5"/>
  <c r="CI63" i="5"/>
  <c r="CI62" i="5" s="1"/>
  <c r="CD63" i="5"/>
  <c r="CD62" i="5" s="1"/>
  <c r="Q63" i="5"/>
  <c r="L63" i="5"/>
  <c r="EB62" i="5"/>
  <c r="DR62" i="5"/>
  <c r="DH62" i="5"/>
  <c r="CX62" i="5"/>
  <c r="CS62" i="5"/>
  <c r="BY62" i="5"/>
  <c r="BO62" i="5"/>
  <c r="BJ62" i="5"/>
  <c r="BE62" i="5"/>
  <c r="AZ62" i="5"/>
  <c r="AU62" i="5"/>
  <c r="AP62" i="5"/>
  <c r="AK62" i="5"/>
  <c r="AF62" i="5"/>
  <c r="AA62" i="5"/>
  <c r="V62" i="5"/>
  <c r="Q62" i="5"/>
  <c r="G62" i="5"/>
  <c r="EL60" i="5"/>
  <c r="BT60" i="5"/>
  <c r="EL59" i="5"/>
  <c r="BT59" i="5"/>
  <c r="EB58" i="5"/>
  <c r="DW58" i="5"/>
  <c r="DR58" i="5"/>
  <c r="DM58" i="5"/>
  <c r="DH58" i="5"/>
  <c r="DC58" i="5"/>
  <c r="CX58" i="5"/>
  <c r="CS58" i="5"/>
  <c r="CN58" i="5"/>
  <c r="CI58" i="5"/>
  <c r="CD58" i="5"/>
  <c r="EL58" i="5" s="1"/>
  <c r="BT58" i="5"/>
  <c r="BT57" i="5" s="1"/>
  <c r="Q58" i="5"/>
  <c r="L58" i="5"/>
  <c r="EG57" i="5"/>
  <c r="EB57" i="5"/>
  <c r="DW57" i="5"/>
  <c r="DM57" i="5"/>
  <c r="DH57" i="5"/>
  <c r="DC57" i="5"/>
  <c r="CS57" i="5"/>
  <c r="CN57" i="5"/>
  <c r="CI57" i="5"/>
  <c r="BY57" i="5"/>
  <c r="BO57" i="5"/>
  <c r="BJ57" i="5"/>
  <c r="BE57" i="5"/>
  <c r="AZ57" i="5"/>
  <c r="AU57" i="5"/>
  <c r="AP57" i="5"/>
  <c r="AK57" i="5"/>
  <c r="AF57" i="5"/>
  <c r="AA57" i="5"/>
  <c r="V57" i="5"/>
  <c r="Q57" i="5"/>
  <c r="L57" i="5"/>
  <c r="G57" i="5"/>
  <c r="EL55" i="5"/>
  <c r="BT55" i="5"/>
  <c r="EL54" i="5"/>
  <c r="BT54" i="5"/>
  <c r="EL53" i="5"/>
  <c r="BT53" i="5"/>
  <c r="EG52" i="5"/>
  <c r="EB52" i="5"/>
  <c r="DW52" i="5"/>
  <c r="DR52" i="5"/>
  <c r="DM52" i="5"/>
  <c r="DH52" i="5"/>
  <c r="DC52" i="5"/>
  <c r="CX52" i="5"/>
  <c r="CS52" i="5"/>
  <c r="CN52" i="5"/>
  <c r="CI52" i="5"/>
  <c r="CI51" i="5" s="1"/>
  <c r="CD52" i="5"/>
  <c r="EL52" i="5" s="1"/>
  <c r="Q52" i="5"/>
  <c r="L52" i="5"/>
  <c r="EG51" i="5"/>
  <c r="EB51" i="5"/>
  <c r="DM51" i="5"/>
  <c r="DH51" i="5"/>
  <c r="CS51" i="5"/>
  <c r="CN51" i="5"/>
  <c r="BY51" i="5"/>
  <c r="BO51" i="5"/>
  <c r="BJ51" i="5"/>
  <c r="BE51" i="5"/>
  <c r="AZ51" i="5"/>
  <c r="AU51" i="5"/>
  <c r="AP51" i="5"/>
  <c r="AK51" i="5"/>
  <c r="AF51" i="5"/>
  <c r="AA51" i="5"/>
  <c r="V51" i="5"/>
  <c r="Q51" i="5"/>
  <c r="G51" i="5"/>
  <c r="EL49" i="5"/>
  <c r="BT49" i="5"/>
  <c r="EL48" i="5"/>
  <c r="BT48" i="5"/>
  <c r="EL47" i="5"/>
  <c r="BT47" i="5"/>
  <c r="EG46" i="5"/>
  <c r="EB46" i="5"/>
  <c r="DW46" i="5"/>
  <c r="DR46" i="5"/>
  <c r="DM46" i="5"/>
  <c r="DH46" i="5"/>
  <c r="DC46" i="5"/>
  <c r="CX46" i="5"/>
  <c r="CS46" i="5"/>
  <c r="CN46" i="5"/>
  <c r="CI46" i="5"/>
  <c r="CI45" i="5" s="1"/>
  <c r="CD46" i="5"/>
  <c r="EL46" i="5" s="1"/>
  <c r="Q46" i="5"/>
  <c r="L46" i="5"/>
  <c r="EG45" i="5"/>
  <c r="EB45" i="5"/>
  <c r="DM45" i="5"/>
  <c r="DH45" i="5"/>
  <c r="CS45" i="5"/>
  <c r="CN45" i="5"/>
  <c r="BY45" i="5"/>
  <c r="BO45" i="5"/>
  <c r="BJ45" i="5"/>
  <c r="BE45" i="5"/>
  <c r="AZ45" i="5"/>
  <c r="AU45" i="5"/>
  <c r="AP45" i="5"/>
  <c r="AK45" i="5"/>
  <c r="AF45" i="5"/>
  <c r="AA45" i="5"/>
  <c r="V45" i="5"/>
  <c r="Q45" i="5"/>
  <c r="G45" i="5"/>
  <c r="EL43" i="5"/>
  <c r="BT43" i="5"/>
  <c r="EL42" i="5"/>
  <c r="BT42" i="5"/>
  <c r="EL41" i="5"/>
  <c r="BT41" i="5"/>
  <c r="EG40" i="5"/>
  <c r="EB40" i="5"/>
  <c r="DW40" i="5"/>
  <c r="DR40" i="5"/>
  <c r="DM40" i="5"/>
  <c r="DH40" i="5"/>
  <c r="DC40" i="5"/>
  <c r="CX40" i="5"/>
  <c r="CS40" i="5"/>
  <c r="CN40" i="5"/>
  <c r="CI40" i="5"/>
  <c r="CI39" i="5" s="1"/>
  <c r="CD40" i="5"/>
  <c r="EL40" i="5" s="1"/>
  <c r="Q40" i="5"/>
  <c r="L40" i="5"/>
  <c r="EG39" i="5"/>
  <c r="DR39" i="5"/>
  <c r="DM39" i="5"/>
  <c r="CX39" i="5"/>
  <c r="CS39" i="5"/>
  <c r="CD39" i="5"/>
  <c r="BY39" i="5"/>
  <c r="BO39" i="5"/>
  <c r="BJ39" i="5"/>
  <c r="BE39" i="5"/>
  <c r="AZ39" i="5"/>
  <c r="AU39" i="5"/>
  <c r="AP39" i="5"/>
  <c r="AK39" i="5"/>
  <c r="AF39" i="5"/>
  <c r="AA39" i="5"/>
  <c r="V39" i="5"/>
  <c r="G39" i="5"/>
  <c r="EL37" i="5"/>
  <c r="BT37" i="5"/>
  <c r="EL36" i="5"/>
  <c r="BT36" i="5"/>
  <c r="EL35" i="5"/>
  <c r="BT35" i="5"/>
  <c r="EG34" i="5"/>
  <c r="EB34" i="5"/>
  <c r="DR34" i="5"/>
  <c r="DM34" i="5"/>
  <c r="DH34" i="5"/>
  <c r="DC34" i="5"/>
  <c r="CX34" i="5"/>
  <c r="CS34" i="5"/>
  <c r="CN34" i="5"/>
  <c r="CI34" i="5"/>
  <c r="CI33" i="5" s="1"/>
  <c r="CD34" i="5"/>
  <c r="EL34" i="5" s="1"/>
  <c r="Q34" i="5"/>
  <c r="L34" i="5"/>
  <c r="DW33" i="5"/>
  <c r="DR33" i="5"/>
  <c r="DM33" i="5"/>
  <c r="CX33" i="5"/>
  <c r="CS33" i="5"/>
  <c r="CD33" i="5"/>
  <c r="BY33" i="5"/>
  <c r="BO33" i="5"/>
  <c r="BJ33" i="5"/>
  <c r="BE33" i="5"/>
  <c r="AZ33" i="5"/>
  <c r="AU33" i="5"/>
  <c r="AP33" i="5"/>
  <c r="AK33" i="5"/>
  <c r="AF33" i="5"/>
  <c r="AA33" i="5"/>
  <c r="V33" i="5"/>
  <c r="G33" i="5"/>
  <c r="EL31" i="5"/>
  <c r="BT31" i="5"/>
  <c r="EL30" i="5"/>
  <c r="BT30" i="5"/>
  <c r="EL29" i="5"/>
  <c r="BT29" i="5"/>
  <c r="EG28" i="5"/>
  <c r="EB28" i="5"/>
  <c r="DW28" i="5"/>
  <c r="DR28" i="5"/>
  <c r="DM28" i="5"/>
  <c r="DH28" i="5"/>
  <c r="DC28" i="5"/>
  <c r="CX28" i="5"/>
  <c r="CS28" i="5"/>
  <c r="CN28" i="5"/>
  <c r="CI28" i="5"/>
  <c r="CI27" i="5" s="1"/>
  <c r="CD28" i="5"/>
  <c r="EL28" i="5" s="1"/>
  <c r="Q28" i="5"/>
  <c r="L28" i="5"/>
  <c r="EG27" i="5"/>
  <c r="DR27" i="5"/>
  <c r="DM27" i="5"/>
  <c r="CX27" i="5"/>
  <c r="CS27" i="5"/>
  <c r="CD27" i="5"/>
  <c r="BY27" i="5"/>
  <c r="BO27" i="5"/>
  <c r="BJ27" i="5"/>
  <c r="BE27" i="5"/>
  <c r="AZ27" i="5"/>
  <c r="AU27" i="5"/>
  <c r="AP27" i="5"/>
  <c r="AK27" i="5"/>
  <c r="AF27" i="5"/>
  <c r="AA27" i="5"/>
  <c r="V27" i="5"/>
  <c r="G27" i="5"/>
  <c r="EL25" i="5"/>
  <c r="BT25" i="5"/>
  <c r="EL24" i="5"/>
  <c r="EG24" i="5"/>
  <c r="EB24" i="5"/>
  <c r="DW24" i="5"/>
  <c r="DR24" i="5"/>
  <c r="DM24" i="5"/>
  <c r="DH24" i="5"/>
  <c r="DC24" i="5"/>
  <c r="CX24" i="5"/>
  <c r="CS24" i="5"/>
  <c r="CN24" i="5"/>
  <c r="CI24" i="5"/>
  <c r="CD24" i="5"/>
  <c r="BY24" i="5"/>
  <c r="BT24" i="5"/>
  <c r="BO24" i="5"/>
  <c r="BJ24" i="5"/>
  <c r="BE24" i="5"/>
  <c r="AZ24" i="5"/>
  <c r="AU24" i="5"/>
  <c r="AP24" i="5"/>
  <c r="AK24" i="5"/>
  <c r="AF24" i="5"/>
  <c r="AA24" i="5"/>
  <c r="V24" i="5"/>
  <c r="Q24" i="5"/>
  <c r="L24" i="5"/>
  <c r="G24" i="5"/>
  <c r="EG22" i="5"/>
  <c r="EB22" i="5"/>
  <c r="DW22" i="5"/>
  <c r="DR22" i="5"/>
  <c r="DM22" i="5"/>
  <c r="DH22" i="5"/>
  <c r="DC22" i="5"/>
  <c r="CX22" i="5"/>
  <c r="CS22" i="5"/>
  <c r="CN22" i="5"/>
  <c r="CI22" i="5"/>
  <c r="CD22" i="5"/>
  <c r="BO22" i="5"/>
  <c r="BJ22" i="5"/>
  <c r="BE22" i="5"/>
  <c r="AZ22" i="5"/>
  <c r="AU22" i="5"/>
  <c r="AP22" i="5"/>
  <c r="AK22" i="5"/>
  <c r="AF22" i="5"/>
  <c r="AA22" i="5"/>
  <c r="V22" i="5"/>
  <c r="Q22" i="5"/>
  <c r="L22" i="5"/>
  <c r="EG21" i="5"/>
  <c r="EB21" i="5"/>
  <c r="DW21" i="5"/>
  <c r="DR21" i="5"/>
  <c r="DM21" i="5"/>
  <c r="DH21" i="5"/>
  <c r="DC21" i="5"/>
  <c r="CX21" i="5"/>
  <c r="CS21" i="5"/>
  <c r="CN21" i="5"/>
  <c r="CI21" i="5"/>
  <c r="CD21" i="5"/>
  <c r="BO21" i="5"/>
  <c r="BJ21" i="5"/>
  <c r="BE21" i="5"/>
  <c r="AZ21" i="5"/>
  <c r="AU21" i="5"/>
  <c r="AP21" i="5"/>
  <c r="AK21" i="5"/>
  <c r="AF21" i="5"/>
  <c r="AA21" i="5"/>
  <c r="V21" i="5"/>
  <c r="Q21" i="5"/>
  <c r="L21" i="5"/>
  <c r="EG20" i="5"/>
  <c r="EB20" i="5"/>
  <c r="DW20" i="5"/>
  <c r="DR20" i="5"/>
  <c r="DM20" i="5"/>
  <c r="DH20" i="5"/>
  <c r="DC20" i="5"/>
  <c r="CX20" i="5"/>
  <c r="CS20" i="5"/>
  <c r="CN20" i="5"/>
  <c r="CI20" i="5"/>
  <c r="CD20" i="5"/>
  <c r="BO20" i="5"/>
  <c r="BJ20" i="5"/>
  <c r="BE20" i="5"/>
  <c r="AZ20" i="5"/>
  <c r="AU20" i="5"/>
  <c r="AP20" i="5"/>
  <c r="AK20" i="5"/>
  <c r="AF20" i="5"/>
  <c r="AA20" i="5"/>
  <c r="V20" i="5"/>
  <c r="Q20" i="5"/>
  <c r="L20" i="5"/>
  <c r="DR19" i="5"/>
  <c r="CS19" i="5"/>
  <c r="BO19" i="5"/>
  <c r="BJ19" i="5"/>
  <c r="AU19" i="5"/>
  <c r="AP19" i="5"/>
  <c r="AA19" i="5"/>
  <c r="V19" i="5"/>
  <c r="G19" i="5"/>
  <c r="EG16" i="5"/>
  <c r="DR16" i="5"/>
  <c r="DM16" i="5"/>
  <c r="CS16" i="5"/>
  <c r="AU16" i="5"/>
  <c r="EB15" i="5"/>
  <c r="DW15" i="5"/>
  <c r="DR15" i="5"/>
  <c r="CN15" i="5"/>
  <c r="BJ15" i="5"/>
  <c r="BE15" i="5"/>
  <c r="AZ15" i="5"/>
  <c r="EB14" i="5"/>
  <c r="DH14" i="5"/>
  <c r="CN14" i="5"/>
  <c r="BY9" i="5"/>
  <c r="BY189" i="5" s="1"/>
  <c r="G9" i="5"/>
  <c r="BY8" i="5"/>
  <c r="BY188" i="5" s="1"/>
  <c r="G8" i="5"/>
  <c r="G188" i="5" s="1"/>
  <c r="M1" i="5"/>
  <c r="BW145" i="4"/>
  <c r="BW143" i="4"/>
  <c r="BW142" i="4"/>
  <c r="BW141" i="4"/>
  <c r="BW140" i="4"/>
  <c r="BW138" i="4"/>
  <c r="BW137" i="4"/>
  <c r="BW134" i="4"/>
  <c r="BW133" i="4"/>
  <c r="BW131" i="4"/>
  <c r="BW130" i="4"/>
  <c r="BW129" i="4" s="1"/>
  <c r="BW127" i="4"/>
  <c r="BW126" i="4"/>
  <c r="BW124" i="4"/>
  <c r="BW123" i="4"/>
  <c r="BW120" i="4"/>
  <c r="BW119" i="4"/>
  <c r="BW114" i="4" s="1"/>
  <c r="BW116" i="4"/>
  <c r="BW115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BT111" i="4"/>
  <c r="BS111" i="4"/>
  <c r="BR111" i="4"/>
  <c r="BQ111" i="4"/>
  <c r="BO111" i="4"/>
  <c r="BN111" i="4"/>
  <c r="BM111" i="4"/>
  <c r="BL111" i="4"/>
  <c r="BJ111" i="4"/>
  <c r="BI111" i="4"/>
  <c r="BH111" i="4"/>
  <c r="BG111" i="4"/>
  <c r="BE111" i="4"/>
  <c r="BD111" i="4"/>
  <c r="BC111" i="4"/>
  <c r="BB111" i="4"/>
  <c r="AZ111" i="4"/>
  <c r="AY111" i="4"/>
  <c r="AX111" i="4"/>
  <c r="AW111" i="4"/>
  <c r="AU111" i="4"/>
  <c r="AT111" i="4"/>
  <c r="AS111" i="4"/>
  <c r="AR111" i="4"/>
  <c r="AP111" i="4"/>
  <c r="AO111" i="4"/>
  <c r="AN111" i="4"/>
  <c r="AM111" i="4"/>
  <c r="AK111" i="4"/>
  <c r="AJ111" i="4"/>
  <c r="AI111" i="4"/>
  <c r="AH111" i="4"/>
  <c r="AF111" i="4"/>
  <c r="AE111" i="4"/>
  <c r="AD111" i="4"/>
  <c r="AC111" i="4"/>
  <c r="AA111" i="4"/>
  <c r="Z111" i="4"/>
  <c r="Y111" i="4"/>
  <c r="X111" i="4"/>
  <c r="V111" i="4"/>
  <c r="U111" i="4"/>
  <c r="T111" i="4"/>
  <c r="S111" i="4"/>
  <c r="Q111" i="4"/>
  <c r="P111" i="4"/>
  <c r="O111" i="4"/>
  <c r="N111" i="4"/>
  <c r="BT110" i="4"/>
  <c r="BS110" i="4"/>
  <c r="BR110" i="4"/>
  <c r="BQ110" i="4"/>
  <c r="BO110" i="4"/>
  <c r="BN110" i="4"/>
  <c r="BM110" i="4"/>
  <c r="BL110" i="4"/>
  <c r="BJ110" i="4"/>
  <c r="BI110" i="4"/>
  <c r="BH110" i="4"/>
  <c r="BG110" i="4"/>
  <c r="BE110" i="4"/>
  <c r="BD110" i="4"/>
  <c r="BC110" i="4"/>
  <c r="BB110" i="4"/>
  <c r="AZ110" i="4"/>
  <c r="AY110" i="4"/>
  <c r="AX110" i="4"/>
  <c r="AW110" i="4"/>
  <c r="AU110" i="4"/>
  <c r="AT110" i="4"/>
  <c r="AS110" i="4"/>
  <c r="AR110" i="4"/>
  <c r="AP110" i="4"/>
  <c r="AO110" i="4"/>
  <c r="AN110" i="4"/>
  <c r="AM110" i="4"/>
  <c r="AK110" i="4"/>
  <c r="AJ110" i="4"/>
  <c r="AI110" i="4"/>
  <c r="AH110" i="4"/>
  <c r="AF110" i="4"/>
  <c r="AE110" i="4"/>
  <c r="AD110" i="4"/>
  <c r="AC110" i="4"/>
  <c r="AA110" i="4"/>
  <c r="Z110" i="4"/>
  <c r="Y110" i="4"/>
  <c r="X110" i="4"/>
  <c r="V110" i="4"/>
  <c r="U110" i="4"/>
  <c r="T110" i="4"/>
  <c r="S110" i="4"/>
  <c r="Q110" i="4"/>
  <c r="P110" i="4"/>
  <c r="O110" i="4"/>
  <c r="N110" i="4"/>
  <c r="BW109" i="4"/>
  <c r="BW108" i="4" s="1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BT108" i="4"/>
  <c r="BS108" i="4"/>
  <c r="BR108" i="4"/>
  <c r="BQ108" i="4"/>
  <c r="BO108" i="4"/>
  <c r="BN108" i="4"/>
  <c r="BM108" i="4"/>
  <c r="BL108" i="4"/>
  <c r="BJ108" i="4"/>
  <c r="BI108" i="4"/>
  <c r="BH108" i="4"/>
  <c r="BG108" i="4"/>
  <c r="BE108" i="4"/>
  <c r="BD108" i="4"/>
  <c r="BC108" i="4"/>
  <c r="BB108" i="4"/>
  <c r="AZ108" i="4"/>
  <c r="AY108" i="4"/>
  <c r="AX108" i="4"/>
  <c r="AW108" i="4"/>
  <c r="AU108" i="4"/>
  <c r="AT108" i="4"/>
  <c r="AS108" i="4"/>
  <c r="AR108" i="4"/>
  <c r="AP108" i="4"/>
  <c r="AO108" i="4"/>
  <c r="AN108" i="4"/>
  <c r="AM108" i="4"/>
  <c r="AK108" i="4"/>
  <c r="AJ108" i="4"/>
  <c r="AI108" i="4"/>
  <c r="AH108" i="4"/>
  <c r="AF108" i="4"/>
  <c r="AE108" i="4"/>
  <c r="AD108" i="4"/>
  <c r="AC108" i="4"/>
  <c r="AB108" i="4"/>
  <c r="AA108" i="4"/>
  <c r="Z108" i="4"/>
  <c r="Y108" i="4"/>
  <c r="X108" i="4"/>
  <c r="V108" i="4"/>
  <c r="U108" i="4"/>
  <c r="T108" i="4"/>
  <c r="S108" i="4"/>
  <c r="Q108" i="4"/>
  <c r="P108" i="4"/>
  <c r="O108" i="4"/>
  <c r="N108" i="4"/>
  <c r="BT107" i="4"/>
  <c r="BS107" i="4"/>
  <c r="BR107" i="4"/>
  <c r="BQ107" i="4"/>
  <c r="BO107" i="4"/>
  <c r="BN107" i="4"/>
  <c r="BM107" i="4"/>
  <c r="BL107" i="4"/>
  <c r="BJ107" i="4"/>
  <c r="BI107" i="4"/>
  <c r="BH107" i="4"/>
  <c r="BG107" i="4"/>
  <c r="BE107" i="4"/>
  <c r="BD107" i="4"/>
  <c r="BC107" i="4"/>
  <c r="BB107" i="4"/>
  <c r="AZ107" i="4"/>
  <c r="AY107" i="4"/>
  <c r="AX107" i="4"/>
  <c r="AW107" i="4"/>
  <c r="AU107" i="4"/>
  <c r="AT107" i="4"/>
  <c r="AS107" i="4"/>
  <c r="AR107" i="4"/>
  <c r="AP107" i="4"/>
  <c r="AO107" i="4"/>
  <c r="AN107" i="4"/>
  <c r="AM107" i="4"/>
  <c r="AK107" i="4"/>
  <c r="AJ107" i="4"/>
  <c r="AI107" i="4"/>
  <c r="AH107" i="4"/>
  <c r="AF107" i="4"/>
  <c r="AE107" i="4"/>
  <c r="AD107" i="4"/>
  <c r="AC107" i="4"/>
  <c r="AA107" i="4"/>
  <c r="Z107" i="4"/>
  <c r="Y107" i="4"/>
  <c r="X107" i="4"/>
  <c r="V107" i="4"/>
  <c r="U107" i="4"/>
  <c r="T107" i="4"/>
  <c r="S107" i="4"/>
  <c r="Q107" i="4"/>
  <c r="P107" i="4"/>
  <c r="O107" i="4"/>
  <c r="N107" i="4"/>
  <c r="BW106" i="4"/>
  <c r="BT106" i="4"/>
  <c r="BS106" i="4"/>
  <c r="BR106" i="4"/>
  <c r="BQ106" i="4"/>
  <c r="BO106" i="4"/>
  <c r="BN106" i="4"/>
  <c r="BM106" i="4"/>
  <c r="BL106" i="4"/>
  <c r="BJ106" i="4"/>
  <c r="BI106" i="4"/>
  <c r="BH106" i="4"/>
  <c r="BG106" i="4"/>
  <c r="BE106" i="4"/>
  <c r="BD106" i="4"/>
  <c r="BC106" i="4"/>
  <c r="BB106" i="4"/>
  <c r="AZ106" i="4"/>
  <c r="AY106" i="4"/>
  <c r="AX106" i="4"/>
  <c r="AW106" i="4"/>
  <c r="AU106" i="4"/>
  <c r="AT106" i="4"/>
  <c r="AS106" i="4"/>
  <c r="AR106" i="4"/>
  <c r="AP106" i="4"/>
  <c r="AO106" i="4"/>
  <c r="AN106" i="4"/>
  <c r="AM106" i="4"/>
  <c r="AK106" i="4"/>
  <c r="AJ106" i="4"/>
  <c r="AI106" i="4"/>
  <c r="AH106" i="4"/>
  <c r="AF106" i="4"/>
  <c r="AE106" i="4"/>
  <c r="AD106" i="4"/>
  <c r="AC106" i="4"/>
  <c r="AA106" i="4"/>
  <c r="Z106" i="4"/>
  <c r="Y106" i="4"/>
  <c r="X106" i="4"/>
  <c r="V106" i="4"/>
  <c r="U106" i="4"/>
  <c r="T106" i="4"/>
  <c r="S106" i="4"/>
  <c r="Q106" i="4"/>
  <c r="P106" i="4"/>
  <c r="O106" i="4"/>
  <c r="N106" i="4"/>
  <c r="BW105" i="4"/>
  <c r="BW104" i="4" s="1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BT104" i="4"/>
  <c r="BS104" i="4"/>
  <c r="BR104" i="4"/>
  <c r="BQ104" i="4"/>
  <c r="BO104" i="4"/>
  <c r="BN104" i="4"/>
  <c r="BM104" i="4"/>
  <c r="BL104" i="4"/>
  <c r="BJ104" i="4"/>
  <c r="BI104" i="4"/>
  <c r="BH104" i="4"/>
  <c r="BG104" i="4"/>
  <c r="BE104" i="4"/>
  <c r="BD104" i="4"/>
  <c r="BC104" i="4"/>
  <c r="BB104" i="4"/>
  <c r="AZ104" i="4"/>
  <c r="AY104" i="4"/>
  <c r="AX104" i="4"/>
  <c r="AW104" i="4"/>
  <c r="AU104" i="4"/>
  <c r="AT104" i="4"/>
  <c r="AS104" i="4"/>
  <c r="AR104" i="4"/>
  <c r="AP104" i="4"/>
  <c r="AO104" i="4"/>
  <c r="AN104" i="4"/>
  <c r="AM104" i="4"/>
  <c r="AK104" i="4"/>
  <c r="AJ104" i="4"/>
  <c r="AI104" i="4"/>
  <c r="AH104" i="4"/>
  <c r="AF104" i="4"/>
  <c r="AE104" i="4"/>
  <c r="AD104" i="4"/>
  <c r="AC104" i="4"/>
  <c r="AA104" i="4"/>
  <c r="Z104" i="4"/>
  <c r="Y104" i="4"/>
  <c r="X104" i="4"/>
  <c r="V104" i="4"/>
  <c r="U104" i="4"/>
  <c r="T104" i="4"/>
  <c r="S104" i="4"/>
  <c r="Q104" i="4"/>
  <c r="P104" i="4"/>
  <c r="O104" i="4"/>
  <c r="N104" i="4"/>
  <c r="BT103" i="4"/>
  <c r="BS103" i="4"/>
  <c r="BR103" i="4"/>
  <c r="BQ103" i="4"/>
  <c r="BO103" i="4"/>
  <c r="BN103" i="4"/>
  <c r="BM103" i="4"/>
  <c r="BL103" i="4"/>
  <c r="BJ103" i="4"/>
  <c r="BI103" i="4"/>
  <c r="BH103" i="4"/>
  <c r="BG103" i="4"/>
  <c r="BE103" i="4"/>
  <c r="BD103" i="4"/>
  <c r="BC103" i="4"/>
  <c r="BB103" i="4"/>
  <c r="AZ103" i="4"/>
  <c r="AY103" i="4"/>
  <c r="AX103" i="4"/>
  <c r="AW103" i="4"/>
  <c r="AU103" i="4"/>
  <c r="AT103" i="4"/>
  <c r="AS103" i="4"/>
  <c r="AR103" i="4"/>
  <c r="AP103" i="4"/>
  <c r="AO103" i="4"/>
  <c r="AN103" i="4"/>
  <c r="AM103" i="4"/>
  <c r="AK103" i="4"/>
  <c r="AJ103" i="4"/>
  <c r="AI103" i="4"/>
  <c r="AH103" i="4"/>
  <c r="AF103" i="4"/>
  <c r="AE103" i="4"/>
  <c r="AD103" i="4"/>
  <c r="AC103" i="4"/>
  <c r="AA103" i="4"/>
  <c r="Z103" i="4"/>
  <c r="Y103" i="4"/>
  <c r="X103" i="4"/>
  <c r="V103" i="4"/>
  <c r="U103" i="4"/>
  <c r="T103" i="4"/>
  <c r="S103" i="4"/>
  <c r="Q103" i="4"/>
  <c r="P103" i="4"/>
  <c r="O103" i="4"/>
  <c r="N103" i="4"/>
  <c r="BW102" i="4"/>
  <c r="BT102" i="4"/>
  <c r="BS102" i="4"/>
  <c r="BR102" i="4"/>
  <c r="BQ102" i="4"/>
  <c r="BO102" i="4"/>
  <c r="BN102" i="4"/>
  <c r="BM102" i="4"/>
  <c r="BL102" i="4"/>
  <c r="BJ102" i="4"/>
  <c r="BI102" i="4"/>
  <c r="BH102" i="4"/>
  <c r="BG102" i="4"/>
  <c r="BF102" i="4"/>
  <c r="BE102" i="4"/>
  <c r="BD102" i="4"/>
  <c r="BC102" i="4"/>
  <c r="BB102" i="4"/>
  <c r="AZ102" i="4"/>
  <c r="AY102" i="4"/>
  <c r="AX102" i="4"/>
  <c r="AW102" i="4"/>
  <c r="AU102" i="4"/>
  <c r="AT102" i="4"/>
  <c r="AS102" i="4"/>
  <c r="AR102" i="4"/>
  <c r="AP102" i="4"/>
  <c r="AO102" i="4"/>
  <c r="AN102" i="4"/>
  <c r="AM102" i="4"/>
  <c r="AK102" i="4"/>
  <c r="AJ102" i="4"/>
  <c r="AI102" i="4"/>
  <c r="AH102" i="4"/>
  <c r="AF102" i="4"/>
  <c r="AE102" i="4"/>
  <c r="AD102" i="4"/>
  <c r="AC102" i="4"/>
  <c r="AA102" i="4"/>
  <c r="Z102" i="4"/>
  <c r="Y102" i="4"/>
  <c r="X102" i="4"/>
  <c r="V102" i="4"/>
  <c r="U102" i="4"/>
  <c r="T102" i="4"/>
  <c r="S102" i="4"/>
  <c r="Q102" i="4"/>
  <c r="P102" i="4"/>
  <c r="O102" i="4"/>
  <c r="N102" i="4"/>
  <c r="BW101" i="4"/>
  <c r="BT101" i="4"/>
  <c r="BS101" i="4"/>
  <c r="BR101" i="4"/>
  <c r="BQ101" i="4"/>
  <c r="BO101" i="4"/>
  <c r="BN101" i="4"/>
  <c r="BM101" i="4"/>
  <c r="BL101" i="4"/>
  <c r="BJ101" i="4"/>
  <c r="BI101" i="4"/>
  <c r="BH101" i="4"/>
  <c r="BG101" i="4"/>
  <c r="BE101" i="4"/>
  <c r="BD101" i="4"/>
  <c r="BC101" i="4"/>
  <c r="BB101" i="4"/>
  <c r="AZ101" i="4"/>
  <c r="AY101" i="4"/>
  <c r="AX101" i="4"/>
  <c r="AW101" i="4"/>
  <c r="AU101" i="4"/>
  <c r="AT101" i="4"/>
  <c r="AS101" i="4"/>
  <c r="AR101" i="4"/>
  <c r="AP101" i="4"/>
  <c r="AO101" i="4"/>
  <c r="AN101" i="4"/>
  <c r="AM101" i="4"/>
  <c r="AK101" i="4"/>
  <c r="AJ101" i="4"/>
  <c r="AI101" i="4"/>
  <c r="AH101" i="4"/>
  <c r="AF101" i="4"/>
  <c r="AE101" i="4"/>
  <c r="AD101" i="4"/>
  <c r="AC101" i="4"/>
  <c r="AA101" i="4"/>
  <c r="Z101" i="4"/>
  <c r="Y101" i="4"/>
  <c r="X101" i="4"/>
  <c r="V101" i="4"/>
  <c r="U101" i="4"/>
  <c r="T101" i="4"/>
  <c r="S101" i="4"/>
  <c r="Q101" i="4"/>
  <c r="P101" i="4"/>
  <c r="O101" i="4"/>
  <c r="N101" i="4"/>
  <c r="BW100" i="4"/>
  <c r="BW99" i="4" s="1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BT99" i="4"/>
  <c r="BS99" i="4"/>
  <c r="BR99" i="4"/>
  <c r="BQ99" i="4"/>
  <c r="BO99" i="4"/>
  <c r="BN99" i="4"/>
  <c r="BM99" i="4"/>
  <c r="BL99" i="4"/>
  <c r="BJ99" i="4"/>
  <c r="BI99" i="4"/>
  <c r="BH99" i="4"/>
  <c r="BG99" i="4"/>
  <c r="BE99" i="4"/>
  <c r="BD99" i="4"/>
  <c r="BC99" i="4"/>
  <c r="BB99" i="4"/>
  <c r="AZ99" i="4"/>
  <c r="AY99" i="4"/>
  <c r="AX99" i="4"/>
  <c r="AW99" i="4"/>
  <c r="AU99" i="4"/>
  <c r="AT99" i="4"/>
  <c r="AS99" i="4"/>
  <c r="AR99" i="4"/>
  <c r="AP99" i="4"/>
  <c r="AO99" i="4"/>
  <c r="AN99" i="4"/>
  <c r="AM99" i="4"/>
  <c r="AK99" i="4"/>
  <c r="AJ99" i="4"/>
  <c r="AI99" i="4"/>
  <c r="AH99" i="4"/>
  <c r="AF99" i="4"/>
  <c r="AE99" i="4"/>
  <c r="AD99" i="4"/>
  <c r="AC99" i="4"/>
  <c r="AA99" i="4"/>
  <c r="Z99" i="4"/>
  <c r="Y99" i="4"/>
  <c r="X99" i="4"/>
  <c r="V99" i="4"/>
  <c r="U99" i="4"/>
  <c r="T99" i="4"/>
  <c r="S99" i="4"/>
  <c r="Q99" i="4"/>
  <c r="P99" i="4"/>
  <c r="O99" i="4"/>
  <c r="N99" i="4"/>
  <c r="BU98" i="4"/>
  <c r="BT98" i="4"/>
  <c r="BS98" i="4"/>
  <c r="BR98" i="4"/>
  <c r="BQ98" i="4"/>
  <c r="BO98" i="4"/>
  <c r="BN98" i="4"/>
  <c r="BM98" i="4"/>
  <c r="BL98" i="4"/>
  <c r="BJ98" i="4"/>
  <c r="BI98" i="4"/>
  <c r="BH98" i="4"/>
  <c r="BG98" i="4"/>
  <c r="BE98" i="4"/>
  <c r="BD98" i="4"/>
  <c r="BC98" i="4"/>
  <c r="BB98" i="4"/>
  <c r="AZ98" i="4"/>
  <c r="AY98" i="4"/>
  <c r="AX98" i="4"/>
  <c r="AW98" i="4"/>
  <c r="AU98" i="4"/>
  <c r="AT98" i="4"/>
  <c r="AS98" i="4"/>
  <c r="AR98" i="4"/>
  <c r="AP98" i="4"/>
  <c r="AO98" i="4"/>
  <c r="AN98" i="4"/>
  <c r="AM98" i="4"/>
  <c r="AK98" i="4"/>
  <c r="AJ98" i="4"/>
  <c r="AI98" i="4"/>
  <c r="AH98" i="4"/>
  <c r="AF98" i="4"/>
  <c r="AE98" i="4"/>
  <c r="AD98" i="4"/>
  <c r="AC98" i="4"/>
  <c r="AA98" i="4"/>
  <c r="Z98" i="4"/>
  <c r="Y98" i="4"/>
  <c r="X98" i="4"/>
  <c r="V98" i="4"/>
  <c r="U98" i="4"/>
  <c r="T98" i="4"/>
  <c r="S98" i="4"/>
  <c r="Q98" i="4"/>
  <c r="P98" i="4"/>
  <c r="O98" i="4"/>
  <c r="N98" i="4"/>
  <c r="BW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BW96" i="4"/>
  <c r="BT96" i="4"/>
  <c r="BS96" i="4"/>
  <c r="BR96" i="4"/>
  <c r="BQ96" i="4"/>
  <c r="BO96" i="4"/>
  <c r="BN96" i="4"/>
  <c r="BM96" i="4"/>
  <c r="BL96" i="4"/>
  <c r="BJ96" i="4"/>
  <c r="BI96" i="4"/>
  <c r="BH96" i="4"/>
  <c r="BG96" i="4"/>
  <c r="BE96" i="4"/>
  <c r="BD96" i="4"/>
  <c r="BC96" i="4"/>
  <c r="BB96" i="4"/>
  <c r="AZ96" i="4"/>
  <c r="AY96" i="4"/>
  <c r="AX96" i="4"/>
  <c r="AW96" i="4"/>
  <c r="AU96" i="4"/>
  <c r="AT96" i="4"/>
  <c r="AS96" i="4"/>
  <c r="AR96" i="4"/>
  <c r="AP96" i="4"/>
  <c r="AO96" i="4"/>
  <c r="AN96" i="4"/>
  <c r="AM96" i="4"/>
  <c r="AK96" i="4"/>
  <c r="AJ96" i="4"/>
  <c r="AI96" i="4"/>
  <c r="AH96" i="4"/>
  <c r="AF96" i="4"/>
  <c r="AE96" i="4"/>
  <c r="AD96" i="4"/>
  <c r="AC96" i="4"/>
  <c r="AA96" i="4"/>
  <c r="Z96" i="4"/>
  <c r="Y96" i="4"/>
  <c r="X96" i="4"/>
  <c r="V96" i="4"/>
  <c r="U96" i="4"/>
  <c r="T96" i="4"/>
  <c r="S96" i="4"/>
  <c r="Q96" i="4"/>
  <c r="P96" i="4"/>
  <c r="O96" i="4"/>
  <c r="N96" i="4"/>
  <c r="BT95" i="4"/>
  <c r="BS95" i="4"/>
  <c r="BR95" i="4"/>
  <c r="BQ95" i="4"/>
  <c r="BO95" i="4"/>
  <c r="BN95" i="4"/>
  <c r="BM95" i="4"/>
  <c r="BL95" i="4"/>
  <c r="BJ95" i="4"/>
  <c r="BI95" i="4"/>
  <c r="BH95" i="4"/>
  <c r="BG95" i="4"/>
  <c r="BE95" i="4"/>
  <c r="BD95" i="4"/>
  <c r="BC95" i="4"/>
  <c r="BB95" i="4"/>
  <c r="AZ95" i="4"/>
  <c r="AY95" i="4"/>
  <c r="AX95" i="4"/>
  <c r="AW95" i="4"/>
  <c r="AU95" i="4"/>
  <c r="AT95" i="4"/>
  <c r="AS95" i="4"/>
  <c r="AR95" i="4"/>
  <c r="AP95" i="4"/>
  <c r="AO95" i="4"/>
  <c r="AN95" i="4"/>
  <c r="AM95" i="4"/>
  <c r="AK95" i="4"/>
  <c r="AJ95" i="4"/>
  <c r="AI95" i="4"/>
  <c r="AH95" i="4"/>
  <c r="AF95" i="4"/>
  <c r="AE95" i="4"/>
  <c r="AD95" i="4"/>
  <c r="AC95" i="4"/>
  <c r="AA95" i="4"/>
  <c r="Z95" i="4"/>
  <c r="Y95" i="4"/>
  <c r="X95" i="4"/>
  <c r="V95" i="4"/>
  <c r="U95" i="4"/>
  <c r="T95" i="4"/>
  <c r="S95" i="4"/>
  <c r="Q95" i="4"/>
  <c r="P95" i="4"/>
  <c r="O95" i="4"/>
  <c r="N95" i="4"/>
  <c r="BT94" i="4"/>
  <c r="BS94" i="4"/>
  <c r="BR94" i="4"/>
  <c r="BQ94" i="4"/>
  <c r="BO94" i="4"/>
  <c r="BN94" i="4"/>
  <c r="BM94" i="4"/>
  <c r="BL94" i="4"/>
  <c r="BJ94" i="4"/>
  <c r="BI94" i="4"/>
  <c r="BH94" i="4"/>
  <c r="BG94" i="4"/>
  <c r="BE94" i="4"/>
  <c r="BD94" i="4"/>
  <c r="BC94" i="4"/>
  <c r="BB94" i="4"/>
  <c r="AZ94" i="4"/>
  <c r="AY94" i="4"/>
  <c r="AX94" i="4"/>
  <c r="AW94" i="4"/>
  <c r="AU94" i="4"/>
  <c r="AT94" i="4"/>
  <c r="AS94" i="4"/>
  <c r="AR94" i="4"/>
  <c r="AP94" i="4"/>
  <c r="AO94" i="4"/>
  <c r="AN94" i="4"/>
  <c r="AM94" i="4"/>
  <c r="AK94" i="4"/>
  <c r="AJ94" i="4"/>
  <c r="AI94" i="4"/>
  <c r="AH94" i="4"/>
  <c r="AF94" i="4"/>
  <c r="AE94" i="4"/>
  <c r="AD94" i="4"/>
  <c r="AC94" i="4"/>
  <c r="AA94" i="4"/>
  <c r="Z94" i="4"/>
  <c r="Y94" i="4"/>
  <c r="X94" i="4"/>
  <c r="V94" i="4"/>
  <c r="U94" i="4"/>
  <c r="T94" i="4"/>
  <c r="S94" i="4"/>
  <c r="Q94" i="4"/>
  <c r="P94" i="4"/>
  <c r="O94" i="4"/>
  <c r="N94" i="4"/>
  <c r="BT93" i="4"/>
  <c r="BS93" i="4"/>
  <c r="BR93" i="4"/>
  <c r="BQ93" i="4"/>
  <c r="BO93" i="4"/>
  <c r="BN93" i="4"/>
  <c r="BM93" i="4"/>
  <c r="BL93" i="4"/>
  <c r="BJ93" i="4"/>
  <c r="BI93" i="4"/>
  <c r="BH93" i="4"/>
  <c r="BG93" i="4"/>
  <c r="BE93" i="4"/>
  <c r="BD93" i="4"/>
  <c r="BC93" i="4"/>
  <c r="BB93" i="4"/>
  <c r="AZ93" i="4"/>
  <c r="AY93" i="4"/>
  <c r="AX93" i="4"/>
  <c r="AW93" i="4"/>
  <c r="AU93" i="4"/>
  <c r="AT93" i="4"/>
  <c r="AS93" i="4"/>
  <c r="AR93" i="4"/>
  <c r="AP93" i="4"/>
  <c r="AO93" i="4"/>
  <c r="AN93" i="4"/>
  <c r="AM93" i="4"/>
  <c r="AK93" i="4"/>
  <c r="AJ93" i="4"/>
  <c r="AI93" i="4"/>
  <c r="AH93" i="4"/>
  <c r="AF93" i="4"/>
  <c r="AE93" i="4"/>
  <c r="AD93" i="4"/>
  <c r="AC93" i="4"/>
  <c r="AA93" i="4"/>
  <c r="Z93" i="4"/>
  <c r="Y93" i="4"/>
  <c r="X93" i="4"/>
  <c r="V93" i="4"/>
  <c r="U93" i="4"/>
  <c r="T93" i="4"/>
  <c r="S93" i="4"/>
  <c r="Q93" i="4"/>
  <c r="P93" i="4"/>
  <c r="O93" i="4"/>
  <c r="N93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BT84" i="4"/>
  <c r="BS84" i="4"/>
  <c r="BR84" i="4"/>
  <c r="BQ84" i="4"/>
  <c r="BO84" i="4"/>
  <c r="BN84" i="4"/>
  <c r="BM84" i="4"/>
  <c r="BL84" i="4"/>
  <c r="BJ84" i="4"/>
  <c r="BI84" i="4"/>
  <c r="BH84" i="4"/>
  <c r="BG84" i="4"/>
  <c r="BE84" i="4"/>
  <c r="BD84" i="4"/>
  <c r="BC84" i="4"/>
  <c r="BB84" i="4"/>
  <c r="AZ84" i="4"/>
  <c r="AY84" i="4"/>
  <c r="AX84" i="4"/>
  <c r="AW84" i="4"/>
  <c r="AU84" i="4"/>
  <c r="AT84" i="4"/>
  <c r="AS84" i="4"/>
  <c r="AR84" i="4"/>
  <c r="AP84" i="4"/>
  <c r="AO84" i="4"/>
  <c r="AN84" i="4"/>
  <c r="AM84" i="4"/>
  <c r="AK84" i="4"/>
  <c r="AJ84" i="4"/>
  <c r="AI84" i="4"/>
  <c r="AH84" i="4"/>
  <c r="AF84" i="4"/>
  <c r="AE84" i="4"/>
  <c r="AD84" i="4"/>
  <c r="AC84" i="4"/>
  <c r="AA84" i="4"/>
  <c r="Z84" i="4"/>
  <c r="Y84" i="4"/>
  <c r="X84" i="4"/>
  <c r="V84" i="4"/>
  <c r="U84" i="4"/>
  <c r="T84" i="4"/>
  <c r="S84" i="4"/>
  <c r="Q84" i="4"/>
  <c r="P84" i="4"/>
  <c r="O84" i="4"/>
  <c r="N84" i="4"/>
  <c r="BT83" i="4"/>
  <c r="BS83" i="4"/>
  <c r="BR83" i="4"/>
  <c r="BQ83" i="4"/>
  <c r="BO83" i="4"/>
  <c r="BN83" i="4"/>
  <c r="BM83" i="4"/>
  <c r="BL83" i="4"/>
  <c r="BJ83" i="4"/>
  <c r="BI83" i="4"/>
  <c r="BH83" i="4"/>
  <c r="BG83" i="4"/>
  <c r="BE83" i="4"/>
  <c r="BD83" i="4"/>
  <c r="BC83" i="4"/>
  <c r="BB83" i="4"/>
  <c r="AZ83" i="4"/>
  <c r="AY83" i="4"/>
  <c r="AX83" i="4"/>
  <c r="AW83" i="4"/>
  <c r="AU83" i="4"/>
  <c r="AT83" i="4"/>
  <c r="AS83" i="4"/>
  <c r="AR83" i="4"/>
  <c r="AP83" i="4"/>
  <c r="AO83" i="4"/>
  <c r="AN83" i="4"/>
  <c r="AM83" i="4"/>
  <c r="AK83" i="4"/>
  <c r="AJ83" i="4"/>
  <c r="AI83" i="4"/>
  <c r="AH83" i="4"/>
  <c r="AF83" i="4"/>
  <c r="AE83" i="4"/>
  <c r="AD83" i="4"/>
  <c r="AC83" i="4"/>
  <c r="AA83" i="4"/>
  <c r="Z83" i="4"/>
  <c r="Y83" i="4"/>
  <c r="X83" i="4"/>
  <c r="V83" i="4"/>
  <c r="U83" i="4"/>
  <c r="T83" i="4"/>
  <c r="S83" i="4"/>
  <c r="Q83" i="4"/>
  <c r="P83" i="4"/>
  <c r="O83" i="4"/>
  <c r="N83" i="4"/>
  <c r="ET78" i="4"/>
  <c r="ET76" i="4"/>
  <c r="EM75" i="4"/>
  <c r="ET75" i="4" s="1"/>
  <c r="EH75" i="4"/>
  <c r="EC75" i="4"/>
  <c r="DX75" i="4"/>
  <c r="DS75" i="4"/>
  <c r="DN75" i="4"/>
  <c r="DI75" i="4"/>
  <c r="DD75" i="4"/>
  <c r="CY75" i="4"/>
  <c r="CT75" i="4"/>
  <c r="CO75" i="4"/>
  <c r="CJ75" i="4"/>
  <c r="CE75" i="4"/>
  <c r="BZ75" i="4"/>
  <c r="BU75" i="4"/>
  <c r="BP75" i="4"/>
  <c r="BK75" i="4"/>
  <c r="BF75" i="4"/>
  <c r="BA75" i="4"/>
  <c r="AV75" i="4"/>
  <c r="AQ75" i="4"/>
  <c r="AL75" i="4"/>
  <c r="AG75" i="4"/>
  <c r="AB75" i="4"/>
  <c r="W75" i="4"/>
  <c r="R75" i="4"/>
  <c r="M75" i="4"/>
  <c r="H75" i="4"/>
  <c r="ET74" i="4"/>
  <c r="EM73" i="4"/>
  <c r="ET73" i="4" s="1"/>
  <c r="EH73" i="4"/>
  <c r="EC73" i="4"/>
  <c r="DX73" i="4"/>
  <c r="DS73" i="4"/>
  <c r="DN73" i="4"/>
  <c r="DI73" i="4"/>
  <c r="DD73" i="4"/>
  <c r="CY73" i="4"/>
  <c r="CT73" i="4"/>
  <c r="CO73" i="4"/>
  <c r="CJ73" i="4"/>
  <c r="CE73" i="4"/>
  <c r="BZ73" i="4"/>
  <c r="BU73" i="4"/>
  <c r="BP73" i="4"/>
  <c r="BK73" i="4"/>
  <c r="BF73" i="4"/>
  <c r="BA73" i="4"/>
  <c r="AV73" i="4"/>
  <c r="AQ73" i="4"/>
  <c r="AL73" i="4"/>
  <c r="AG73" i="4"/>
  <c r="AB73" i="4"/>
  <c r="W73" i="4"/>
  <c r="R73" i="4"/>
  <c r="M73" i="4"/>
  <c r="H73" i="4"/>
  <c r="EM72" i="4"/>
  <c r="EH72" i="4"/>
  <c r="EC72" i="4"/>
  <c r="DX72" i="4"/>
  <c r="DS72" i="4"/>
  <c r="DN72" i="4"/>
  <c r="DI72" i="4"/>
  <c r="DD72" i="4"/>
  <c r="CY72" i="4"/>
  <c r="CT72" i="4"/>
  <c r="CO72" i="4"/>
  <c r="CJ72" i="4"/>
  <c r="CE72" i="4"/>
  <c r="BZ72" i="4"/>
  <c r="BU72" i="4"/>
  <c r="BP72" i="4"/>
  <c r="BK72" i="4"/>
  <c r="BF72" i="4"/>
  <c r="BA72" i="4"/>
  <c r="AV72" i="4"/>
  <c r="AQ72" i="4"/>
  <c r="AL72" i="4"/>
  <c r="AG72" i="4"/>
  <c r="AB72" i="4"/>
  <c r="W72" i="4"/>
  <c r="R72" i="4"/>
  <c r="M72" i="4"/>
  <c r="H72" i="4"/>
  <c r="EM71" i="4"/>
  <c r="ET71" i="4" s="1"/>
  <c r="EH71" i="4"/>
  <c r="EC71" i="4"/>
  <c r="DX71" i="4"/>
  <c r="DS71" i="4"/>
  <c r="DN71" i="4"/>
  <c r="DI71" i="4"/>
  <c r="DD71" i="4"/>
  <c r="CY71" i="4"/>
  <c r="CT71" i="4"/>
  <c r="CO71" i="4"/>
  <c r="CJ71" i="4"/>
  <c r="CE71" i="4"/>
  <c r="BZ71" i="4"/>
  <c r="BU71" i="4"/>
  <c r="BP71" i="4"/>
  <c r="BK71" i="4"/>
  <c r="BF71" i="4"/>
  <c r="BA71" i="4"/>
  <c r="AV71" i="4"/>
  <c r="AQ71" i="4"/>
  <c r="AL71" i="4"/>
  <c r="AG71" i="4"/>
  <c r="AB71" i="4"/>
  <c r="W71" i="4"/>
  <c r="R71" i="4"/>
  <c r="M71" i="4"/>
  <c r="H71" i="4"/>
  <c r="ET70" i="4"/>
  <c r="EM70" i="4"/>
  <c r="EH70" i="4"/>
  <c r="EC70" i="4"/>
  <c r="DX70" i="4"/>
  <c r="DS70" i="4"/>
  <c r="DN70" i="4"/>
  <c r="DI70" i="4"/>
  <c r="DD70" i="4"/>
  <c r="CY70" i="4"/>
  <c r="CT70" i="4"/>
  <c r="CO70" i="4"/>
  <c r="CJ70" i="4"/>
  <c r="CJ67" i="4" s="1"/>
  <c r="CE70" i="4"/>
  <c r="BZ70" i="4"/>
  <c r="BU70" i="4"/>
  <c r="BP70" i="4"/>
  <c r="BK70" i="4"/>
  <c r="BF70" i="4"/>
  <c r="BA70" i="4"/>
  <c r="AV70" i="4"/>
  <c r="AQ70" i="4"/>
  <c r="AL70" i="4"/>
  <c r="AG70" i="4"/>
  <c r="AB70" i="4"/>
  <c r="W70" i="4"/>
  <c r="R70" i="4"/>
  <c r="M70" i="4"/>
  <c r="H70" i="4"/>
  <c r="H67" i="4" s="1"/>
  <c r="ET69" i="4"/>
  <c r="EM68" i="4"/>
  <c r="EH68" i="4"/>
  <c r="EC68" i="4"/>
  <c r="DX68" i="4"/>
  <c r="DS68" i="4"/>
  <c r="DN68" i="4"/>
  <c r="DI68" i="4"/>
  <c r="DD68" i="4"/>
  <c r="CY68" i="4"/>
  <c r="CT68" i="4"/>
  <c r="CO68" i="4"/>
  <c r="CJ68" i="4"/>
  <c r="CE68" i="4"/>
  <c r="BZ68" i="4"/>
  <c r="BU68" i="4"/>
  <c r="BP68" i="4"/>
  <c r="BK68" i="4"/>
  <c r="BF68" i="4"/>
  <c r="BA68" i="4"/>
  <c r="AV68" i="4"/>
  <c r="AQ68" i="4"/>
  <c r="AL68" i="4"/>
  <c r="AG68" i="4"/>
  <c r="AB68" i="4"/>
  <c r="W68" i="4"/>
  <c r="R68" i="4"/>
  <c r="M68" i="4"/>
  <c r="H68" i="4"/>
  <c r="DX67" i="4"/>
  <c r="DD67" i="4"/>
  <c r="BP67" i="4"/>
  <c r="AV67" i="4"/>
  <c r="AB67" i="4"/>
  <c r="ET66" i="4"/>
  <c r="ET65" i="4"/>
  <c r="EM64" i="4"/>
  <c r="ET64" i="4" s="1"/>
  <c r="EH64" i="4"/>
  <c r="EC64" i="4"/>
  <c r="DX64" i="4"/>
  <c r="DS64" i="4"/>
  <c r="DN64" i="4"/>
  <c r="DI64" i="4"/>
  <c r="DD64" i="4"/>
  <c r="CY64" i="4"/>
  <c r="CT64" i="4"/>
  <c r="CO64" i="4"/>
  <c r="CJ64" i="4"/>
  <c r="CE64" i="4"/>
  <c r="BU64" i="4"/>
  <c r="BP64" i="4"/>
  <c r="BK64" i="4"/>
  <c r="BF64" i="4"/>
  <c r="BA64" i="4"/>
  <c r="AV64" i="4"/>
  <c r="AQ64" i="4"/>
  <c r="AL64" i="4"/>
  <c r="AG64" i="4"/>
  <c r="AB64" i="4"/>
  <c r="W64" i="4"/>
  <c r="R64" i="4"/>
  <c r="M64" i="4"/>
  <c r="ET63" i="4"/>
  <c r="EM63" i="4"/>
  <c r="EH63" i="4"/>
  <c r="EC63" i="4"/>
  <c r="DX63" i="4"/>
  <c r="DS63" i="4"/>
  <c r="DN63" i="4"/>
  <c r="DI63" i="4"/>
  <c r="DD63" i="4"/>
  <c r="CY63" i="4"/>
  <c r="CT63" i="4"/>
  <c r="CO63" i="4"/>
  <c r="CJ63" i="4"/>
  <c r="CE63" i="4"/>
  <c r="BU63" i="4"/>
  <c r="BP63" i="4"/>
  <c r="BK63" i="4"/>
  <c r="BF63" i="4"/>
  <c r="BA63" i="4"/>
  <c r="AV63" i="4"/>
  <c r="AQ63" i="4"/>
  <c r="AL63" i="4"/>
  <c r="AG63" i="4"/>
  <c r="AB63" i="4"/>
  <c r="W63" i="4"/>
  <c r="R63" i="4"/>
  <c r="M63" i="4"/>
  <c r="ET62" i="4"/>
  <c r="EM61" i="4"/>
  <c r="ET61" i="4" s="1"/>
  <c r="EH61" i="4"/>
  <c r="EH59" i="4" s="1"/>
  <c r="EC61" i="4"/>
  <c r="DX61" i="4"/>
  <c r="DS61" i="4"/>
  <c r="DN61" i="4"/>
  <c r="DN59" i="4" s="1"/>
  <c r="DI61" i="4"/>
  <c r="DD61" i="4"/>
  <c r="CY61" i="4"/>
  <c r="CT61" i="4"/>
  <c r="CT59" i="4" s="1"/>
  <c r="CO61" i="4"/>
  <c r="CJ61" i="4"/>
  <c r="CE61" i="4"/>
  <c r="BU61" i="4"/>
  <c r="BU59" i="4" s="1"/>
  <c r="BP61" i="4"/>
  <c r="BK61" i="4"/>
  <c r="BF61" i="4"/>
  <c r="BA61" i="4"/>
  <c r="BA59" i="4" s="1"/>
  <c r="AV61" i="4"/>
  <c r="AQ61" i="4"/>
  <c r="AL61" i="4"/>
  <c r="AG61" i="4"/>
  <c r="AG59" i="4" s="1"/>
  <c r="AB61" i="4"/>
  <c r="W61" i="4"/>
  <c r="R61" i="4"/>
  <c r="M61" i="4"/>
  <c r="M59" i="4" s="1"/>
  <c r="ET60" i="4"/>
  <c r="EM60" i="4"/>
  <c r="EH60" i="4"/>
  <c r="EC60" i="4"/>
  <c r="EC59" i="4" s="1"/>
  <c r="DX60" i="4"/>
  <c r="DS60" i="4"/>
  <c r="DN60" i="4"/>
  <c r="DI60" i="4"/>
  <c r="DI59" i="4" s="1"/>
  <c r="DD60" i="4"/>
  <c r="CY60" i="4"/>
  <c r="CT60" i="4"/>
  <c r="CO60" i="4"/>
  <c r="CO59" i="4" s="1"/>
  <c r="CJ60" i="4"/>
  <c r="CE60" i="4"/>
  <c r="BU60" i="4"/>
  <c r="BP60" i="4"/>
  <c r="BP59" i="4" s="1"/>
  <c r="BK60" i="4"/>
  <c r="BF60" i="4"/>
  <c r="BA60" i="4"/>
  <c r="AV60" i="4"/>
  <c r="AV59" i="4" s="1"/>
  <c r="AQ60" i="4"/>
  <c r="AL60" i="4"/>
  <c r="AG60" i="4"/>
  <c r="AB60" i="4"/>
  <c r="AB59" i="4" s="1"/>
  <c r="W60" i="4"/>
  <c r="R60" i="4"/>
  <c r="M60" i="4"/>
  <c r="ET59" i="4"/>
  <c r="EM59" i="4"/>
  <c r="DX59" i="4"/>
  <c r="DS59" i="4"/>
  <c r="DD59" i="4"/>
  <c r="CY59" i="4"/>
  <c r="CJ59" i="4"/>
  <c r="CE59" i="4"/>
  <c r="BK59" i="4"/>
  <c r="BF59" i="4"/>
  <c r="AQ59" i="4"/>
  <c r="AL59" i="4"/>
  <c r="W59" i="4"/>
  <c r="R59" i="4"/>
  <c r="ET58" i="4"/>
  <c r="EM57" i="4"/>
  <c r="ET57" i="4" s="1"/>
  <c r="EH57" i="4"/>
  <c r="EC57" i="4"/>
  <c r="DX57" i="4"/>
  <c r="DS57" i="4"/>
  <c r="DN57" i="4"/>
  <c r="DI57" i="4"/>
  <c r="DD57" i="4"/>
  <c r="CY57" i="4"/>
  <c r="CT57" i="4"/>
  <c r="CO57" i="4"/>
  <c r="CJ57" i="4"/>
  <c r="CE57" i="4"/>
  <c r="BZ57" i="4"/>
  <c r="BU57" i="4"/>
  <c r="BP57" i="4"/>
  <c r="BK57" i="4"/>
  <c r="BF57" i="4"/>
  <c r="BA57" i="4"/>
  <c r="AV57" i="4"/>
  <c r="AQ57" i="4"/>
  <c r="AL57" i="4"/>
  <c r="AG57" i="4"/>
  <c r="AB57" i="4"/>
  <c r="W57" i="4"/>
  <c r="R57" i="4"/>
  <c r="M57" i="4"/>
  <c r="H57" i="4"/>
  <c r="ET56" i="4"/>
  <c r="EM56" i="4"/>
  <c r="EH56" i="4"/>
  <c r="EC56" i="4"/>
  <c r="DX56" i="4"/>
  <c r="DX52" i="4" s="1"/>
  <c r="DS56" i="4"/>
  <c r="DN56" i="4"/>
  <c r="DI56" i="4"/>
  <c r="DD56" i="4"/>
  <c r="CY56" i="4"/>
  <c r="CT56" i="4"/>
  <c r="CO56" i="4"/>
  <c r="CJ56" i="4"/>
  <c r="CJ52" i="4" s="1"/>
  <c r="CE56" i="4"/>
  <c r="BZ56" i="4"/>
  <c r="BU56" i="4"/>
  <c r="BP56" i="4"/>
  <c r="BK56" i="4"/>
  <c r="BF56" i="4"/>
  <c r="BA56" i="4"/>
  <c r="AV56" i="4"/>
  <c r="AQ56" i="4"/>
  <c r="AL56" i="4"/>
  <c r="AG56" i="4"/>
  <c r="AB56" i="4"/>
  <c r="W56" i="4"/>
  <c r="R56" i="4"/>
  <c r="M56" i="4"/>
  <c r="H56" i="4"/>
  <c r="ET55" i="4"/>
  <c r="EM54" i="4"/>
  <c r="ET54" i="4" s="1"/>
  <c r="EH54" i="4"/>
  <c r="EC54" i="4"/>
  <c r="DX54" i="4"/>
  <c r="DS54" i="4"/>
  <c r="DN54" i="4"/>
  <c r="DI54" i="4"/>
  <c r="DD54" i="4"/>
  <c r="CY54" i="4"/>
  <c r="CT54" i="4"/>
  <c r="CO54" i="4"/>
  <c r="CJ54" i="4"/>
  <c r="CE54" i="4"/>
  <c r="BU54" i="4"/>
  <c r="BP54" i="4"/>
  <c r="BK54" i="4"/>
  <c r="BF54" i="4"/>
  <c r="BA54" i="4"/>
  <c r="AV54" i="4"/>
  <c r="AV52" i="4" s="1"/>
  <c r="AQ54" i="4"/>
  <c r="AL54" i="4"/>
  <c r="AG54" i="4"/>
  <c r="AB54" i="4"/>
  <c r="W54" i="4"/>
  <c r="R54" i="4"/>
  <c r="M54" i="4"/>
  <c r="H54" i="4"/>
  <c r="H52" i="4" s="1"/>
  <c r="EM53" i="4"/>
  <c r="EH53" i="4"/>
  <c r="EC53" i="4"/>
  <c r="DX53" i="4"/>
  <c r="DS53" i="4"/>
  <c r="DS52" i="4" s="1"/>
  <c r="DN53" i="4"/>
  <c r="DI53" i="4"/>
  <c r="DD53" i="4"/>
  <c r="CY53" i="4"/>
  <c r="CY52" i="4" s="1"/>
  <c r="CT53" i="4"/>
  <c r="CO53" i="4"/>
  <c r="CJ53" i="4"/>
  <c r="CE53" i="4"/>
  <c r="CE52" i="4" s="1"/>
  <c r="BZ53" i="4"/>
  <c r="BU53" i="4"/>
  <c r="BU52" i="4" s="1"/>
  <c r="BP53" i="4"/>
  <c r="BK53" i="4"/>
  <c r="BK52" i="4" s="1"/>
  <c r="BF53" i="4"/>
  <c r="BA53" i="4"/>
  <c r="BA52" i="4" s="1"/>
  <c r="AV53" i="4"/>
  <c r="AQ53" i="4"/>
  <c r="AQ52" i="4" s="1"/>
  <c r="AL53" i="4"/>
  <c r="AG53" i="4"/>
  <c r="AG52" i="4" s="1"/>
  <c r="AB53" i="4"/>
  <c r="W53" i="4"/>
  <c r="W52" i="4" s="1"/>
  <c r="R53" i="4"/>
  <c r="M53" i="4"/>
  <c r="M52" i="4" s="1"/>
  <c r="H53" i="4"/>
  <c r="EH52" i="4"/>
  <c r="DN52" i="4"/>
  <c r="DD52" i="4"/>
  <c r="CT52" i="4"/>
  <c r="BZ52" i="4"/>
  <c r="BP52" i="4"/>
  <c r="BF52" i="4"/>
  <c r="AL52" i="4"/>
  <c r="AB52" i="4"/>
  <c r="R52" i="4"/>
  <c r="ET51" i="4"/>
  <c r="ET50" i="4"/>
  <c r="EM50" i="4"/>
  <c r="EH50" i="4"/>
  <c r="EC50" i="4"/>
  <c r="DX50" i="4"/>
  <c r="DS50" i="4"/>
  <c r="DN50" i="4"/>
  <c r="DI50" i="4"/>
  <c r="DD50" i="4"/>
  <c r="CY50" i="4"/>
  <c r="CT50" i="4"/>
  <c r="CO50" i="4"/>
  <c r="CJ50" i="4"/>
  <c r="CE50" i="4"/>
  <c r="BZ50" i="4"/>
  <c r="BU50" i="4"/>
  <c r="BP50" i="4"/>
  <c r="BK50" i="4"/>
  <c r="BF50" i="4"/>
  <c r="BA50" i="4"/>
  <c r="AV50" i="4"/>
  <c r="AQ50" i="4"/>
  <c r="AL50" i="4"/>
  <c r="AG50" i="4"/>
  <c r="AB50" i="4"/>
  <c r="W50" i="4"/>
  <c r="R50" i="4"/>
  <c r="M50" i="4"/>
  <c r="H50" i="4"/>
  <c r="EM49" i="4"/>
  <c r="ET49" i="4" s="1"/>
  <c r="EH49" i="4"/>
  <c r="EC49" i="4"/>
  <c r="DX49" i="4"/>
  <c r="DS49" i="4"/>
  <c r="DN49" i="4"/>
  <c r="DI49" i="4"/>
  <c r="DD49" i="4"/>
  <c r="CY49" i="4"/>
  <c r="CT49" i="4"/>
  <c r="CO49" i="4"/>
  <c r="CJ49" i="4"/>
  <c r="CE49" i="4"/>
  <c r="BZ49" i="4"/>
  <c r="BU49" i="4"/>
  <c r="BP49" i="4"/>
  <c r="BK49" i="4"/>
  <c r="BF49" i="4"/>
  <c r="BA49" i="4"/>
  <c r="AV49" i="4"/>
  <c r="AQ49" i="4"/>
  <c r="AL49" i="4"/>
  <c r="AG49" i="4"/>
  <c r="AB49" i="4"/>
  <c r="W49" i="4"/>
  <c r="R49" i="4"/>
  <c r="M49" i="4"/>
  <c r="H49" i="4"/>
  <c r="ET48" i="4"/>
  <c r="EM47" i="4"/>
  <c r="ET47" i="4" s="1"/>
  <c r="EH47" i="4"/>
  <c r="EC47" i="4"/>
  <c r="DX47" i="4"/>
  <c r="DS47" i="4"/>
  <c r="DN47" i="4"/>
  <c r="DI47" i="4"/>
  <c r="DI45" i="4" s="1"/>
  <c r="DD47" i="4"/>
  <c r="CY47" i="4"/>
  <c r="CT47" i="4"/>
  <c r="CO47" i="4"/>
  <c r="CJ47" i="4"/>
  <c r="CE47" i="4"/>
  <c r="BZ47" i="4"/>
  <c r="BU47" i="4"/>
  <c r="BU45" i="4" s="1"/>
  <c r="BU44" i="4" s="1"/>
  <c r="BP47" i="4"/>
  <c r="BK47" i="4"/>
  <c r="BF47" i="4"/>
  <c r="BA47" i="4"/>
  <c r="AV47" i="4"/>
  <c r="AQ47" i="4"/>
  <c r="AL47" i="4"/>
  <c r="AG47" i="4"/>
  <c r="AG45" i="4" s="1"/>
  <c r="AG44" i="4" s="1"/>
  <c r="AB47" i="4"/>
  <c r="W47" i="4"/>
  <c r="R47" i="4"/>
  <c r="M47" i="4"/>
  <c r="H47" i="4"/>
  <c r="EM46" i="4"/>
  <c r="EH46" i="4"/>
  <c r="EH45" i="4" s="1"/>
  <c r="EC46" i="4"/>
  <c r="DX46" i="4"/>
  <c r="DS46" i="4"/>
  <c r="DN46" i="4"/>
  <c r="DN45" i="4" s="1"/>
  <c r="DI46" i="4"/>
  <c r="DD46" i="4"/>
  <c r="CY46" i="4"/>
  <c r="CT46" i="4"/>
  <c r="CT45" i="4" s="1"/>
  <c r="CO46" i="4"/>
  <c r="CJ46" i="4"/>
  <c r="CE46" i="4"/>
  <c r="BZ46" i="4"/>
  <c r="BZ45" i="4" s="1"/>
  <c r="BZ44" i="4" s="1"/>
  <c r="BU46" i="4"/>
  <c r="BP46" i="4"/>
  <c r="BK46" i="4"/>
  <c r="BF46" i="4"/>
  <c r="BF45" i="4" s="1"/>
  <c r="BF44" i="4" s="1"/>
  <c r="BA46" i="4"/>
  <c r="AV46" i="4"/>
  <c r="AQ46" i="4"/>
  <c r="AL46" i="4"/>
  <c r="AL45" i="4" s="1"/>
  <c r="AG46" i="4"/>
  <c r="AB46" i="4"/>
  <c r="W46" i="4"/>
  <c r="R46" i="4"/>
  <c r="R45" i="4" s="1"/>
  <c r="R44" i="4" s="1"/>
  <c r="M46" i="4"/>
  <c r="H46" i="4"/>
  <c r="EM45" i="4"/>
  <c r="EC45" i="4"/>
  <c r="DS45" i="4"/>
  <c r="CY45" i="4"/>
  <c r="CO45" i="4"/>
  <c r="CE45" i="4"/>
  <c r="BK45" i="4"/>
  <c r="BK44" i="4" s="1"/>
  <c r="BA45" i="4"/>
  <c r="BA44" i="4" s="1"/>
  <c r="AQ45" i="4"/>
  <c r="W45" i="4"/>
  <c r="M45" i="4"/>
  <c r="M44" i="4" s="1"/>
  <c r="DN44" i="4"/>
  <c r="W44" i="4"/>
  <c r="ET43" i="4"/>
  <c r="ET42" i="4"/>
  <c r="ET41" i="4"/>
  <c r="EM40" i="4"/>
  <c r="EM39" i="4" s="1"/>
  <c r="ET39" i="4" s="1"/>
  <c r="EH40" i="4"/>
  <c r="EH39" i="4" s="1"/>
  <c r="EC40" i="4"/>
  <c r="DX40" i="4"/>
  <c r="DX39" i="4" s="1"/>
  <c r="DS40" i="4"/>
  <c r="DN40" i="4"/>
  <c r="DN39" i="4" s="1"/>
  <c r="DI40" i="4"/>
  <c r="DD40" i="4"/>
  <c r="DD39" i="4" s="1"/>
  <c r="CY40" i="4"/>
  <c r="CT40" i="4"/>
  <c r="CO40" i="4"/>
  <c r="CJ40" i="4"/>
  <c r="CJ39" i="4" s="1"/>
  <c r="CE40" i="4"/>
  <c r="CE39" i="4" s="1"/>
  <c r="BU40" i="4"/>
  <c r="BU111" i="4" s="1"/>
  <c r="BP40" i="4"/>
  <c r="BK40" i="4"/>
  <c r="BK39" i="4" s="1"/>
  <c r="BF40" i="4"/>
  <c r="BF111" i="4" s="1"/>
  <c r="BA40" i="4"/>
  <c r="BA111" i="4" s="1"/>
  <c r="AV40" i="4"/>
  <c r="AQ40" i="4"/>
  <c r="AL40" i="4"/>
  <c r="AL111" i="4" s="1"/>
  <c r="AG40" i="4"/>
  <c r="AG111" i="4" s="1"/>
  <c r="AB40" i="4"/>
  <c r="W40" i="4"/>
  <c r="W39" i="4" s="1"/>
  <c r="R40" i="4"/>
  <c r="R111" i="4" s="1"/>
  <c r="M40" i="4"/>
  <c r="M111" i="4" s="1"/>
  <c r="EC39" i="4"/>
  <c r="DS39" i="4"/>
  <c r="DI39" i="4"/>
  <c r="CY39" i="4"/>
  <c r="CT39" i="4"/>
  <c r="CO39" i="4"/>
  <c r="BP39" i="4"/>
  <c r="AV39" i="4"/>
  <c r="AL39" i="4"/>
  <c r="AL110" i="4" s="1"/>
  <c r="AB39" i="4"/>
  <c r="R39" i="4"/>
  <c r="R110" i="4" s="1"/>
  <c r="M39" i="4"/>
  <c r="ET38" i="4"/>
  <c r="EM37" i="4"/>
  <c r="EH37" i="4"/>
  <c r="BP108" i="4" s="1"/>
  <c r="EC37" i="4"/>
  <c r="EC35" i="4" s="1"/>
  <c r="DX37" i="4"/>
  <c r="DS37" i="4"/>
  <c r="DN37" i="4"/>
  <c r="DI37" i="4"/>
  <c r="DD37" i="4"/>
  <c r="CY37" i="4"/>
  <c r="CT37" i="4"/>
  <c r="CO37" i="4"/>
  <c r="CO35" i="4" s="1"/>
  <c r="CJ37" i="4"/>
  <c r="CE37" i="4"/>
  <c r="BZ37" i="4"/>
  <c r="BU37" i="4"/>
  <c r="BU108" i="4" s="1"/>
  <c r="BP37" i="4"/>
  <c r="BK37" i="4"/>
  <c r="BF37" i="4"/>
  <c r="BF108" i="4" s="1"/>
  <c r="BA37" i="4"/>
  <c r="BA108" i="4" s="1"/>
  <c r="AV37" i="4"/>
  <c r="AQ37" i="4"/>
  <c r="AL37" i="4"/>
  <c r="AL108" i="4" s="1"/>
  <c r="AG37" i="4"/>
  <c r="AG108" i="4" s="1"/>
  <c r="AB37" i="4"/>
  <c r="W37" i="4"/>
  <c r="R37" i="4"/>
  <c r="R108" i="4" s="1"/>
  <c r="M37" i="4"/>
  <c r="M108" i="4" s="1"/>
  <c r="H37" i="4"/>
  <c r="EM36" i="4"/>
  <c r="ET36" i="4" s="1"/>
  <c r="EH36" i="4"/>
  <c r="EH35" i="4" s="1"/>
  <c r="EC36" i="4"/>
  <c r="DX36" i="4"/>
  <c r="DS36" i="4"/>
  <c r="BA107" i="4" s="1"/>
  <c r="DN36" i="4"/>
  <c r="DN35" i="4" s="1"/>
  <c r="DI36" i="4"/>
  <c r="DD36" i="4"/>
  <c r="CY36" i="4"/>
  <c r="CY35" i="4" s="1"/>
  <c r="CT36" i="4"/>
  <c r="CT35" i="4" s="1"/>
  <c r="CO36" i="4"/>
  <c r="CJ36" i="4"/>
  <c r="CE36" i="4"/>
  <c r="CE35" i="4" s="1"/>
  <c r="BZ36" i="4"/>
  <c r="BZ35" i="4" s="1"/>
  <c r="BU36" i="4"/>
  <c r="BP36" i="4"/>
  <c r="BK36" i="4"/>
  <c r="BK107" i="4" s="1"/>
  <c r="BF36" i="4"/>
  <c r="BA36" i="4"/>
  <c r="AV36" i="4"/>
  <c r="AQ36" i="4"/>
  <c r="AQ107" i="4" s="1"/>
  <c r="AL36" i="4"/>
  <c r="AG36" i="4"/>
  <c r="AB36" i="4"/>
  <c r="W36" i="4"/>
  <c r="W107" i="4" s="1"/>
  <c r="R36" i="4"/>
  <c r="M36" i="4"/>
  <c r="H36" i="4"/>
  <c r="EM35" i="4"/>
  <c r="DX35" i="4"/>
  <c r="DS35" i="4"/>
  <c r="DI35" i="4"/>
  <c r="DD35" i="4"/>
  <c r="CJ35" i="4"/>
  <c r="BP35" i="4"/>
  <c r="BK35" i="4"/>
  <c r="AV35" i="4"/>
  <c r="AQ35" i="4"/>
  <c r="AG35" i="4"/>
  <c r="AB35" i="4"/>
  <c r="H35" i="4"/>
  <c r="ET34" i="4"/>
  <c r="EM33" i="4"/>
  <c r="EH33" i="4"/>
  <c r="EC33" i="4"/>
  <c r="EC30" i="4" s="1"/>
  <c r="DX33" i="4"/>
  <c r="DS33" i="4"/>
  <c r="DN33" i="4"/>
  <c r="DI33" i="4"/>
  <c r="AQ104" i="4" s="1"/>
  <c r="DD33" i="4"/>
  <c r="CY33" i="4"/>
  <c r="CT33" i="4"/>
  <c r="CO33" i="4"/>
  <c r="CO30" i="4" s="1"/>
  <c r="CJ33" i="4"/>
  <c r="CE33" i="4"/>
  <c r="BZ33" i="4"/>
  <c r="BU33" i="4"/>
  <c r="BU104" i="4" s="1"/>
  <c r="BP33" i="4"/>
  <c r="BK33" i="4"/>
  <c r="BF33" i="4"/>
  <c r="BF104" i="4" s="1"/>
  <c r="BA33" i="4"/>
  <c r="BA104" i="4" s="1"/>
  <c r="AV33" i="4"/>
  <c r="AQ33" i="4"/>
  <c r="AL33" i="4"/>
  <c r="AL104" i="4" s="1"/>
  <c r="AG33" i="4"/>
  <c r="AG104" i="4" s="1"/>
  <c r="AB33" i="4"/>
  <c r="W33" i="4"/>
  <c r="R33" i="4"/>
  <c r="R104" i="4" s="1"/>
  <c r="M33" i="4"/>
  <c r="M104" i="4" s="1"/>
  <c r="H33" i="4"/>
  <c r="EM32" i="4"/>
  <c r="ET32" i="4" s="1"/>
  <c r="EH32" i="4"/>
  <c r="EC32" i="4"/>
  <c r="DX32" i="4"/>
  <c r="DS32" i="4"/>
  <c r="DN32" i="4"/>
  <c r="DI32" i="4"/>
  <c r="DD32" i="4"/>
  <c r="CY32" i="4"/>
  <c r="CT32" i="4"/>
  <c r="CO32" i="4"/>
  <c r="CJ32" i="4"/>
  <c r="CE32" i="4"/>
  <c r="BZ32" i="4"/>
  <c r="BU32" i="4"/>
  <c r="BP32" i="4"/>
  <c r="BP103" i="4" s="1"/>
  <c r="BK32" i="4"/>
  <c r="BK103" i="4" s="1"/>
  <c r="BF32" i="4"/>
  <c r="BF103" i="4" s="1"/>
  <c r="BA32" i="4"/>
  <c r="AV32" i="4"/>
  <c r="AQ32" i="4"/>
  <c r="AQ103" i="4" s="1"/>
  <c r="AL32" i="4"/>
  <c r="AL103" i="4" s="1"/>
  <c r="AG32" i="4"/>
  <c r="AB32" i="4"/>
  <c r="AB103" i="4" s="1"/>
  <c r="W32" i="4"/>
  <c r="W103" i="4" s="1"/>
  <c r="R32" i="4"/>
  <c r="R103" i="4" s="1"/>
  <c r="M32" i="4"/>
  <c r="H32" i="4"/>
  <c r="EM31" i="4"/>
  <c r="EM30" i="4" s="1"/>
  <c r="ET30" i="4" s="1"/>
  <c r="EH31" i="4"/>
  <c r="EH30" i="4" s="1"/>
  <c r="EC31" i="4"/>
  <c r="DX31" i="4"/>
  <c r="DS31" i="4"/>
  <c r="DS30" i="4" s="1"/>
  <c r="DN31" i="4"/>
  <c r="DN30" i="4" s="1"/>
  <c r="DI31" i="4"/>
  <c r="DD31" i="4"/>
  <c r="CY31" i="4"/>
  <c r="CY30" i="4" s="1"/>
  <c r="CT31" i="4"/>
  <c r="CT30" i="4" s="1"/>
  <c r="CO31" i="4"/>
  <c r="CJ31" i="4"/>
  <c r="CE31" i="4"/>
  <c r="CE30" i="4" s="1"/>
  <c r="BZ31" i="4"/>
  <c r="BZ30" i="4" s="1"/>
  <c r="BU31" i="4"/>
  <c r="BP31" i="4"/>
  <c r="BP102" i="4" s="1"/>
  <c r="BK31" i="4"/>
  <c r="BK102" i="4" s="1"/>
  <c r="BF31" i="4"/>
  <c r="BF30" i="4" s="1"/>
  <c r="BA31" i="4"/>
  <c r="AV31" i="4"/>
  <c r="AV102" i="4" s="1"/>
  <c r="AQ31" i="4"/>
  <c r="AQ102" i="4" s="1"/>
  <c r="AL31" i="4"/>
  <c r="AL30" i="4" s="1"/>
  <c r="AG31" i="4"/>
  <c r="AB31" i="4"/>
  <c r="AB102" i="4" s="1"/>
  <c r="W31" i="4"/>
  <c r="W102" i="4" s="1"/>
  <c r="R31" i="4"/>
  <c r="R102" i="4" s="1"/>
  <c r="M31" i="4"/>
  <c r="H31" i="4"/>
  <c r="DX30" i="4"/>
  <c r="DD30" i="4"/>
  <c r="CJ30" i="4"/>
  <c r="BP30" i="4"/>
  <c r="AV30" i="4"/>
  <c r="AB30" i="4"/>
  <c r="AB101" i="4" s="1"/>
  <c r="H30" i="4"/>
  <c r="ET29" i="4"/>
  <c r="EM28" i="4"/>
  <c r="ET28" i="4" s="1"/>
  <c r="EH28" i="4"/>
  <c r="EC28" i="4"/>
  <c r="DX28" i="4"/>
  <c r="DS28" i="4"/>
  <c r="DN28" i="4"/>
  <c r="DI28" i="4"/>
  <c r="DD28" i="4"/>
  <c r="CY28" i="4"/>
  <c r="CT28" i="4"/>
  <c r="CO28" i="4"/>
  <c r="CJ28" i="4"/>
  <c r="CE28" i="4"/>
  <c r="BU28" i="4"/>
  <c r="BU99" i="4" s="1"/>
  <c r="BP28" i="4"/>
  <c r="BK28" i="4"/>
  <c r="BF28" i="4"/>
  <c r="BF99" i="4" s="1"/>
  <c r="BA28" i="4"/>
  <c r="BA99" i="4" s="1"/>
  <c r="AV28" i="4"/>
  <c r="AV99" i="4" s="1"/>
  <c r="AQ28" i="4"/>
  <c r="AL28" i="4"/>
  <c r="AL99" i="4" s="1"/>
  <c r="AG28" i="4"/>
  <c r="AG99" i="4" s="1"/>
  <c r="AB28" i="4"/>
  <c r="W28" i="4"/>
  <c r="R28" i="4"/>
  <c r="R99" i="4" s="1"/>
  <c r="M28" i="4"/>
  <c r="M99" i="4" s="1"/>
  <c r="H28" i="4"/>
  <c r="EM27" i="4"/>
  <c r="ET27" i="4" s="1"/>
  <c r="EH27" i="4"/>
  <c r="EH24" i="4" s="1"/>
  <c r="EH23" i="4" s="1"/>
  <c r="EC27" i="4"/>
  <c r="DX27" i="4"/>
  <c r="DS27" i="4"/>
  <c r="DN27" i="4"/>
  <c r="DN24" i="4" s="1"/>
  <c r="DN23" i="4" s="1"/>
  <c r="DI27" i="4"/>
  <c r="DD27" i="4"/>
  <c r="CY27" i="4"/>
  <c r="CT27" i="4"/>
  <c r="CT24" i="4" s="1"/>
  <c r="CT23" i="4" s="1"/>
  <c r="CO27" i="4"/>
  <c r="CJ27" i="4"/>
  <c r="CE27" i="4"/>
  <c r="BZ27" i="4"/>
  <c r="BZ24" i="4" s="1"/>
  <c r="BZ23" i="4" s="1"/>
  <c r="BU27" i="4"/>
  <c r="BP27" i="4"/>
  <c r="BK27" i="4"/>
  <c r="BK98" i="4" s="1"/>
  <c r="BF27" i="4"/>
  <c r="BF98" i="4" s="1"/>
  <c r="BA27" i="4"/>
  <c r="AV27" i="4"/>
  <c r="AQ27" i="4"/>
  <c r="AQ98" i="4" s="1"/>
  <c r="AL27" i="4"/>
  <c r="AL98" i="4" s="1"/>
  <c r="AG27" i="4"/>
  <c r="AG98" i="4" s="1"/>
  <c r="AB27" i="4"/>
  <c r="W27" i="4"/>
  <c r="W98" i="4" s="1"/>
  <c r="R27" i="4"/>
  <c r="R98" i="4" s="1"/>
  <c r="M27" i="4"/>
  <c r="H27" i="4"/>
  <c r="EM26" i="4"/>
  <c r="ET26" i="4" s="1"/>
  <c r="EH26" i="4"/>
  <c r="EC26" i="4"/>
  <c r="DX26" i="4"/>
  <c r="DS26" i="4"/>
  <c r="DN26" i="4"/>
  <c r="DI26" i="4"/>
  <c r="DD26" i="4"/>
  <c r="CY26" i="4"/>
  <c r="CT26" i="4"/>
  <c r="CO26" i="4"/>
  <c r="CJ26" i="4"/>
  <c r="CE26" i="4"/>
  <c r="BZ26" i="4"/>
  <c r="BU26" i="4"/>
  <c r="BP26" i="4"/>
  <c r="BP96" i="4" s="1"/>
  <c r="BK26" i="4"/>
  <c r="BK96" i="4" s="1"/>
  <c r="BF26" i="4"/>
  <c r="BA26" i="4"/>
  <c r="BA96" i="4" s="1"/>
  <c r="AV26" i="4"/>
  <c r="AV96" i="4" s="1"/>
  <c r="AQ26" i="4"/>
  <c r="AQ96" i="4" s="1"/>
  <c r="AL26" i="4"/>
  <c r="AG26" i="4"/>
  <c r="AB26" i="4"/>
  <c r="AB96" i="4" s="1"/>
  <c r="W26" i="4"/>
  <c r="W96" i="4" s="1"/>
  <c r="R26" i="4"/>
  <c r="M26" i="4"/>
  <c r="M96" i="4" s="1"/>
  <c r="H26" i="4"/>
  <c r="ET25" i="4"/>
  <c r="EM25" i="4"/>
  <c r="EM24" i="4" s="1"/>
  <c r="EH25" i="4"/>
  <c r="EC25" i="4"/>
  <c r="DX25" i="4"/>
  <c r="DX24" i="4" s="1"/>
  <c r="DS25" i="4"/>
  <c r="DS24" i="4" s="1"/>
  <c r="DS23" i="4" s="1"/>
  <c r="DN25" i="4"/>
  <c r="DI25" i="4"/>
  <c r="DD25" i="4"/>
  <c r="DD24" i="4" s="1"/>
  <c r="DD23" i="4" s="1"/>
  <c r="CY25" i="4"/>
  <c r="CY24" i="4" s="1"/>
  <c r="CY23" i="4" s="1"/>
  <c r="CT25" i="4"/>
  <c r="CO25" i="4"/>
  <c r="CJ25" i="4"/>
  <c r="CJ24" i="4" s="1"/>
  <c r="CJ23" i="4" s="1"/>
  <c r="CE25" i="4"/>
  <c r="CE24" i="4" s="1"/>
  <c r="CE23" i="4" s="1"/>
  <c r="BZ25" i="4"/>
  <c r="BU25" i="4"/>
  <c r="BU95" i="4" s="1"/>
  <c r="BP25" i="4"/>
  <c r="BP95" i="4" s="1"/>
  <c r="BK25" i="4"/>
  <c r="BK24" i="4" s="1"/>
  <c r="BF25" i="4"/>
  <c r="BA25" i="4"/>
  <c r="BA95" i="4" s="1"/>
  <c r="AV25" i="4"/>
  <c r="AV95" i="4" s="1"/>
  <c r="AQ25" i="4"/>
  <c r="AQ24" i="4" s="1"/>
  <c r="AL25" i="4"/>
  <c r="AL95" i="4" s="1"/>
  <c r="AG25" i="4"/>
  <c r="AG95" i="4" s="1"/>
  <c r="AB25" i="4"/>
  <c r="AB95" i="4" s="1"/>
  <c r="W25" i="4"/>
  <c r="W24" i="4" s="1"/>
  <c r="R25" i="4"/>
  <c r="M25" i="4"/>
  <c r="M95" i="4" s="1"/>
  <c r="H25" i="4"/>
  <c r="H24" i="4" s="1"/>
  <c r="H23" i="4" s="1"/>
  <c r="EC24" i="4"/>
  <c r="EC23" i="4" s="1"/>
  <c r="DI24" i="4"/>
  <c r="CO24" i="4"/>
  <c r="BU24" i="4"/>
  <c r="BA24" i="4"/>
  <c r="AG24" i="4"/>
  <c r="M24" i="4"/>
  <c r="ET22" i="4"/>
  <c r="ET21" i="4"/>
  <c r="EM21" i="4"/>
  <c r="BU21" i="4"/>
  <c r="ET20" i="4"/>
  <c r="ET19" i="4"/>
  <c r="EM19" i="4"/>
  <c r="BU19" i="4"/>
  <c r="EM18" i="4"/>
  <c r="ET18" i="4" s="1"/>
  <c r="BU18" i="4"/>
  <c r="BU88" i="4" s="1"/>
  <c r="EM17" i="4"/>
  <c r="ET17" i="4" s="1"/>
  <c r="BU17" i="4"/>
  <c r="BU87" i="4" s="1"/>
  <c r="EM16" i="4"/>
  <c r="ET16" i="4" s="1"/>
  <c r="BU16" i="4"/>
  <c r="EM15" i="4"/>
  <c r="EM14" i="4" s="1"/>
  <c r="EM13" i="4" s="1"/>
  <c r="BU15" i="4"/>
  <c r="EH14" i="4"/>
  <c r="EH13" i="4" s="1"/>
  <c r="EC14" i="4"/>
  <c r="DX14" i="4"/>
  <c r="DX13" i="4" s="1"/>
  <c r="DS14" i="4"/>
  <c r="DS13" i="4" s="1"/>
  <c r="DN14" i="4"/>
  <c r="DN13" i="4" s="1"/>
  <c r="DI14" i="4"/>
  <c r="DI13" i="4" s="1"/>
  <c r="DD14" i="4"/>
  <c r="DD13" i="4" s="1"/>
  <c r="CY14" i="4"/>
  <c r="CY13" i="4" s="1"/>
  <c r="CT14" i="4"/>
  <c r="CT13" i="4" s="1"/>
  <c r="CO14" i="4"/>
  <c r="CJ14" i="4"/>
  <c r="CJ13" i="4" s="1"/>
  <c r="CE14" i="4"/>
  <c r="CE13" i="4" s="1"/>
  <c r="BZ14" i="4"/>
  <c r="BZ13" i="4" s="1"/>
  <c r="BP14" i="4"/>
  <c r="BP84" i="4" s="1"/>
  <c r="BK14" i="4"/>
  <c r="BK13" i="4" s="1"/>
  <c r="BF14" i="4"/>
  <c r="BF13" i="4" s="1"/>
  <c r="BA14" i="4"/>
  <c r="AV14" i="4"/>
  <c r="AV84" i="4" s="1"/>
  <c r="AQ14" i="4"/>
  <c r="AQ84" i="4" s="1"/>
  <c r="AL14" i="4"/>
  <c r="AL13" i="4" s="1"/>
  <c r="AG14" i="4"/>
  <c r="AB14" i="4"/>
  <c r="AB84" i="4" s="1"/>
  <c r="W14" i="4"/>
  <c r="W13" i="4" s="1"/>
  <c r="R14" i="4"/>
  <c r="R13" i="4" s="1"/>
  <c r="M14" i="4"/>
  <c r="H14" i="4"/>
  <c r="EC13" i="4"/>
  <c r="CO13" i="4"/>
  <c r="BA13" i="4"/>
  <c r="AV13" i="4"/>
  <c r="AG13" i="4"/>
  <c r="M13" i="4"/>
  <c r="H13" i="4"/>
  <c r="BV71" i="3"/>
  <c r="BQ71" i="3"/>
  <c r="BL71" i="3"/>
  <c r="BG71" i="3"/>
  <c r="BB71" i="3"/>
  <c r="AW71" i="3"/>
  <c r="AR71" i="3"/>
  <c r="AM71" i="3"/>
  <c r="AH71" i="3"/>
  <c r="AC71" i="3"/>
  <c r="BV70" i="3"/>
  <c r="BQ70" i="3"/>
  <c r="BL70" i="3"/>
  <c r="BG70" i="3"/>
  <c r="BB70" i="3"/>
  <c r="AW70" i="3"/>
  <c r="AR70" i="3"/>
  <c r="AM70" i="3"/>
  <c r="AH70" i="3"/>
  <c r="AC70" i="3"/>
  <c r="BV69" i="3"/>
  <c r="BQ69" i="3"/>
  <c r="BL69" i="3"/>
  <c r="BG69" i="3"/>
  <c r="BB69" i="3"/>
  <c r="AW69" i="3"/>
  <c r="AR69" i="3"/>
  <c r="AM69" i="3"/>
  <c r="AH69" i="3"/>
  <c r="AC69" i="3"/>
  <c r="I69" i="3"/>
  <c r="BE68" i="3"/>
  <c r="BE72" i="3" s="1"/>
  <c r="AK68" i="3"/>
  <c r="AK72" i="3" s="1"/>
  <c r="Q68" i="3"/>
  <c r="Q72" i="3" s="1"/>
  <c r="I67" i="3"/>
  <c r="BU66" i="3"/>
  <c r="BT66" i="3"/>
  <c r="BS66" i="3"/>
  <c r="BR66" i="3"/>
  <c r="N66" i="3"/>
  <c r="I66" i="3"/>
  <c r="I65" i="3"/>
  <c r="BP64" i="3"/>
  <c r="BO64" i="3"/>
  <c r="BN64" i="3"/>
  <c r="BM64" i="3"/>
  <c r="BK64" i="3"/>
  <c r="BJ64" i="3"/>
  <c r="BI64" i="3"/>
  <c r="BH64" i="3"/>
  <c r="BF64" i="3"/>
  <c r="BE64" i="3"/>
  <c r="BD64" i="3"/>
  <c r="BC64" i="3"/>
  <c r="BA64" i="3"/>
  <c r="AZ64" i="3"/>
  <c r="AY64" i="3"/>
  <c r="AX64" i="3"/>
  <c r="AV64" i="3"/>
  <c r="AU64" i="3"/>
  <c r="AT64" i="3"/>
  <c r="AS64" i="3"/>
  <c r="AQ64" i="3"/>
  <c r="AP64" i="3"/>
  <c r="AO64" i="3"/>
  <c r="AN64" i="3"/>
  <c r="AL64" i="3"/>
  <c r="AK64" i="3"/>
  <c r="AJ64" i="3"/>
  <c r="AI64" i="3"/>
  <c r="AG64" i="3"/>
  <c r="AF64" i="3"/>
  <c r="AE64" i="3"/>
  <c r="AD64" i="3"/>
  <c r="AB64" i="3"/>
  <c r="AA64" i="3"/>
  <c r="Z64" i="3"/>
  <c r="Y64" i="3"/>
  <c r="W64" i="3"/>
  <c r="V64" i="3"/>
  <c r="U64" i="3"/>
  <c r="T64" i="3"/>
  <c r="H64" i="3"/>
  <c r="G64" i="3"/>
  <c r="F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R62" i="3"/>
  <c r="BV62" i="3" s="1"/>
  <c r="BQ62" i="3"/>
  <c r="BL62" i="3"/>
  <c r="BG62" i="3"/>
  <c r="BB62" i="3"/>
  <c r="AW62" i="3"/>
  <c r="AR62" i="3"/>
  <c r="AM62" i="3"/>
  <c r="AH62" i="3"/>
  <c r="AC62" i="3"/>
  <c r="X62" i="3"/>
  <c r="S62" i="3"/>
  <c r="N62" i="3"/>
  <c r="I62" i="3"/>
  <c r="BU61" i="3"/>
  <c r="BT61" i="3"/>
  <c r="BS61" i="3"/>
  <c r="BR61" i="3"/>
  <c r="BQ61" i="3"/>
  <c r="BL61" i="3"/>
  <c r="BG61" i="3"/>
  <c r="BB61" i="3"/>
  <c r="AW61" i="3"/>
  <c r="AR61" i="3"/>
  <c r="AM61" i="3"/>
  <c r="AH61" i="3"/>
  <c r="AC61" i="3"/>
  <c r="X61" i="3"/>
  <c r="S61" i="3"/>
  <c r="N61" i="3"/>
  <c r="I61" i="3"/>
  <c r="BU60" i="3"/>
  <c r="BT60" i="3"/>
  <c r="BS60" i="3"/>
  <c r="BR60" i="3"/>
  <c r="BQ60" i="3"/>
  <c r="BL60" i="3"/>
  <c r="BG60" i="3"/>
  <c r="BB60" i="3"/>
  <c r="AW60" i="3"/>
  <c r="AR60" i="3"/>
  <c r="AM60" i="3"/>
  <c r="AH60" i="3"/>
  <c r="AC60" i="3"/>
  <c r="X60" i="3"/>
  <c r="S60" i="3"/>
  <c r="N60" i="3"/>
  <c r="I60" i="3"/>
  <c r="BU59" i="3"/>
  <c r="BT59" i="3"/>
  <c r="BS59" i="3"/>
  <c r="BR59" i="3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R58" i="3"/>
  <c r="S58" i="3" s="1"/>
  <c r="M58" i="3"/>
  <c r="I58" i="3"/>
  <c r="BU57" i="3"/>
  <c r="BT57" i="3"/>
  <c r="BS57" i="3"/>
  <c r="BR57" i="3"/>
  <c r="BV57" i="3" s="1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R55" i="3"/>
  <c r="BQ55" i="3"/>
  <c r="BL55" i="3"/>
  <c r="BG55" i="3"/>
  <c r="BB55" i="3"/>
  <c r="AW55" i="3"/>
  <c r="AR55" i="3"/>
  <c r="AM55" i="3"/>
  <c r="AH55" i="3"/>
  <c r="AC55" i="3"/>
  <c r="X55" i="3"/>
  <c r="S55" i="3"/>
  <c r="N55" i="3"/>
  <c r="J55" i="3"/>
  <c r="I55" i="3"/>
  <c r="BU54" i="3"/>
  <c r="BT54" i="3"/>
  <c r="BS54" i="3"/>
  <c r="BR54" i="3"/>
  <c r="BV54" i="3" s="1"/>
  <c r="BQ54" i="3"/>
  <c r="BL54" i="3"/>
  <c r="BG54" i="3"/>
  <c r="BB54" i="3"/>
  <c r="BB53" i="3" s="1"/>
  <c r="AW54" i="3"/>
  <c r="AR54" i="3"/>
  <c r="AM54" i="3"/>
  <c r="AH54" i="3"/>
  <c r="AH53" i="3" s="1"/>
  <c r="AC54" i="3"/>
  <c r="X54" i="3"/>
  <c r="S54" i="3"/>
  <c r="N54" i="3"/>
  <c r="J54" i="3"/>
  <c r="I54" i="3"/>
  <c r="BU53" i="3"/>
  <c r="BT53" i="3"/>
  <c r="BS53" i="3"/>
  <c r="BQ53" i="3"/>
  <c r="BL53" i="3"/>
  <c r="BG53" i="3"/>
  <c r="AW53" i="3"/>
  <c r="AR53" i="3"/>
  <c r="AM53" i="3"/>
  <c r="AC53" i="3"/>
  <c r="X53" i="3"/>
  <c r="S53" i="3"/>
  <c r="R53" i="3"/>
  <c r="Q53" i="3"/>
  <c r="Q64" i="3" s="1"/>
  <c r="P53" i="3"/>
  <c r="P64" i="3" s="1"/>
  <c r="O53" i="3"/>
  <c r="O64" i="3" s="1"/>
  <c r="M53" i="3"/>
  <c r="M64" i="3" s="1"/>
  <c r="L53" i="3"/>
  <c r="L64" i="3" s="1"/>
  <c r="K53" i="3"/>
  <c r="K64" i="3" s="1"/>
  <c r="J53" i="3"/>
  <c r="J64" i="3" s="1"/>
  <c r="E53" i="3"/>
  <c r="E64" i="3" s="1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P68" i="3" s="1"/>
  <c r="BP72" i="3" s="1"/>
  <c r="BO48" i="3"/>
  <c r="BO68" i="3" s="1"/>
  <c r="BO72" i="3" s="1"/>
  <c r="BN48" i="3"/>
  <c r="BN68" i="3" s="1"/>
  <c r="BN72" i="3" s="1"/>
  <c r="BM48" i="3"/>
  <c r="BM68" i="3" s="1"/>
  <c r="BM72" i="3" s="1"/>
  <c r="BK48" i="3"/>
  <c r="BK68" i="3" s="1"/>
  <c r="BK72" i="3" s="1"/>
  <c r="BJ48" i="3"/>
  <c r="BJ68" i="3" s="1"/>
  <c r="BJ72" i="3" s="1"/>
  <c r="BI48" i="3"/>
  <c r="BI68" i="3" s="1"/>
  <c r="BI72" i="3" s="1"/>
  <c r="BH48" i="3"/>
  <c r="BH68" i="3" s="1"/>
  <c r="BH72" i="3" s="1"/>
  <c r="BF48" i="3"/>
  <c r="BF68" i="3" s="1"/>
  <c r="BF72" i="3" s="1"/>
  <c r="BE48" i="3"/>
  <c r="BD48" i="3"/>
  <c r="BD68" i="3" s="1"/>
  <c r="BD72" i="3" s="1"/>
  <c r="BC48" i="3"/>
  <c r="BC68" i="3" s="1"/>
  <c r="BC72" i="3" s="1"/>
  <c r="BA48" i="3"/>
  <c r="BA68" i="3" s="1"/>
  <c r="BA72" i="3" s="1"/>
  <c r="AZ48" i="3"/>
  <c r="AY48" i="3"/>
  <c r="AY68" i="3" s="1"/>
  <c r="AY72" i="3" s="1"/>
  <c r="AX48" i="3"/>
  <c r="AX68" i="3" s="1"/>
  <c r="AX72" i="3" s="1"/>
  <c r="AV48" i="3"/>
  <c r="AV68" i="3" s="1"/>
  <c r="AV72" i="3" s="1"/>
  <c r="AU48" i="3"/>
  <c r="AU68" i="3" s="1"/>
  <c r="AU72" i="3" s="1"/>
  <c r="AT48" i="3"/>
  <c r="AT68" i="3" s="1"/>
  <c r="AT72" i="3" s="1"/>
  <c r="AS48" i="3"/>
  <c r="AS68" i="3" s="1"/>
  <c r="AS72" i="3" s="1"/>
  <c r="AQ48" i="3"/>
  <c r="AQ68" i="3" s="1"/>
  <c r="AQ72" i="3" s="1"/>
  <c r="AP48" i="3"/>
  <c r="AP68" i="3" s="1"/>
  <c r="AP72" i="3" s="1"/>
  <c r="AO48" i="3"/>
  <c r="AO68" i="3" s="1"/>
  <c r="AO72" i="3" s="1"/>
  <c r="AN48" i="3"/>
  <c r="AN68" i="3" s="1"/>
  <c r="AN72" i="3" s="1"/>
  <c r="AL48" i="3"/>
  <c r="AL68" i="3" s="1"/>
  <c r="AL72" i="3" s="1"/>
  <c r="AK48" i="3"/>
  <c r="AJ48" i="3"/>
  <c r="AJ68" i="3" s="1"/>
  <c r="AJ72" i="3" s="1"/>
  <c r="AI48" i="3"/>
  <c r="AI68" i="3" s="1"/>
  <c r="AI72" i="3" s="1"/>
  <c r="AG48" i="3"/>
  <c r="AG68" i="3" s="1"/>
  <c r="AG72" i="3" s="1"/>
  <c r="AF48" i="3"/>
  <c r="AF68" i="3" s="1"/>
  <c r="AF72" i="3" s="1"/>
  <c r="AE48" i="3"/>
  <c r="AE68" i="3" s="1"/>
  <c r="AE72" i="3" s="1"/>
  <c r="AD48" i="3"/>
  <c r="AD68" i="3" s="1"/>
  <c r="AD72" i="3" s="1"/>
  <c r="AB48" i="3"/>
  <c r="AA48" i="3"/>
  <c r="AA68" i="3" s="1"/>
  <c r="AA72" i="3" s="1"/>
  <c r="Z48" i="3"/>
  <c r="Z68" i="3" s="1"/>
  <c r="Z72" i="3" s="1"/>
  <c r="Y48" i="3"/>
  <c r="Y68" i="3" s="1"/>
  <c r="Y72" i="3" s="1"/>
  <c r="W48" i="3"/>
  <c r="W68" i="3" s="1"/>
  <c r="W72" i="3" s="1"/>
  <c r="V48" i="3"/>
  <c r="V68" i="3" s="1"/>
  <c r="V72" i="3" s="1"/>
  <c r="U48" i="3"/>
  <c r="U68" i="3" s="1"/>
  <c r="U72" i="3" s="1"/>
  <c r="T48" i="3"/>
  <c r="R48" i="3"/>
  <c r="Q48" i="3"/>
  <c r="P48" i="3"/>
  <c r="O48" i="3"/>
  <c r="O68" i="3" s="1"/>
  <c r="O72" i="3" s="1"/>
  <c r="M48" i="3"/>
  <c r="L48" i="3"/>
  <c r="K48" i="3"/>
  <c r="J48" i="3"/>
  <c r="J68" i="3" s="1"/>
  <c r="J72" i="3" s="1"/>
  <c r="H48" i="3"/>
  <c r="H68" i="3" s="1"/>
  <c r="H72" i="3" s="1"/>
  <c r="G48" i="3"/>
  <c r="G68" i="3" s="1"/>
  <c r="G72" i="3" s="1"/>
  <c r="F48" i="3"/>
  <c r="F68" i="3" s="1"/>
  <c r="F72" i="3" s="1"/>
  <c r="E48" i="3"/>
  <c r="BU47" i="3"/>
  <c r="BT47" i="3"/>
  <c r="BS47" i="3"/>
  <c r="BR47" i="3"/>
  <c r="BV47" i="3" s="1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V43" i="3" s="1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V35" i="3" s="1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S32" i="3"/>
  <c r="N32" i="3"/>
  <c r="I32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V29" i="3" s="1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S27" i="3"/>
  <c r="N27" i="3"/>
  <c r="I27" i="3"/>
  <c r="BU26" i="3"/>
  <c r="BT26" i="3"/>
  <c r="BS26" i="3"/>
  <c r="BR26" i="3"/>
  <c r="S26" i="3"/>
  <c r="N26" i="3"/>
  <c r="I26" i="3"/>
  <c r="BU25" i="3"/>
  <c r="BT25" i="3"/>
  <c r="BS25" i="3"/>
  <c r="BR25" i="3"/>
  <c r="BV25" i="3" s="1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V19" i="3" s="1"/>
  <c r="S19" i="3"/>
  <c r="N19" i="3"/>
  <c r="I19" i="3"/>
  <c r="BU18" i="3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V17" i="3" s="1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Q14" i="3"/>
  <c r="BL14" i="3"/>
  <c r="BG14" i="3"/>
  <c r="BB14" i="3"/>
  <c r="AW14" i="3"/>
  <c r="AR14" i="3"/>
  <c r="AM14" i="3"/>
  <c r="AH14" i="3"/>
  <c r="AC14" i="3"/>
  <c r="X14" i="3"/>
  <c r="S14" i="3"/>
  <c r="N14" i="3"/>
  <c r="I14" i="3"/>
  <c r="BU13" i="3"/>
  <c r="BT13" i="3"/>
  <c r="BS13" i="3"/>
  <c r="BR13" i="3"/>
  <c r="S13" i="3"/>
  <c r="N13" i="3"/>
  <c r="I13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V11" i="3" s="1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S10" i="3"/>
  <c r="N10" i="3"/>
  <c r="I10" i="3"/>
  <c r="BU9" i="3"/>
  <c r="BT9" i="3"/>
  <c r="BS9" i="3"/>
  <c r="BR9" i="3"/>
  <c r="BV9" i="3" s="1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I7" i="3"/>
  <c r="AI159" i="2"/>
  <c r="X159" i="2"/>
  <c r="W159" i="2"/>
  <c r="V159" i="2"/>
  <c r="U159" i="2"/>
  <c r="J159" i="2"/>
  <c r="I159" i="2"/>
  <c r="H159" i="2"/>
  <c r="AI145" i="2"/>
  <c r="AO145" i="2" s="1"/>
  <c r="AH145" i="2"/>
  <c r="AF145" i="2"/>
  <c r="AC145" i="2"/>
  <c r="AB145" i="2"/>
  <c r="Z145" i="2"/>
  <c r="I145" i="2"/>
  <c r="U145" i="2" s="1"/>
  <c r="AI144" i="2"/>
  <c r="AO144" i="2" s="1"/>
  <c r="U144" i="2"/>
  <c r="AI143" i="2"/>
  <c r="AO143" i="2" s="1"/>
  <c r="U143" i="2"/>
  <c r="AO142" i="2"/>
  <c r="AI142" i="2"/>
  <c r="U142" i="2"/>
  <c r="AI141" i="2"/>
  <c r="AO141" i="2" s="1"/>
  <c r="U141" i="2"/>
  <c r="AI139" i="2"/>
  <c r="AO139" i="2" s="1"/>
  <c r="U139" i="2"/>
  <c r="AI138" i="2"/>
  <c r="AO138" i="2" s="1"/>
  <c r="U138" i="2"/>
  <c r="AI137" i="2"/>
  <c r="AO137" i="2" s="1"/>
  <c r="U137" i="2"/>
  <c r="AI136" i="2"/>
  <c r="AO136" i="2" s="1"/>
  <c r="U136" i="2"/>
  <c r="AO135" i="2"/>
  <c r="AI135" i="2"/>
  <c r="U135" i="2"/>
  <c r="AI134" i="2"/>
  <c r="AO134" i="2" s="1"/>
  <c r="U134" i="2"/>
  <c r="AI133" i="2"/>
  <c r="AO133" i="2" s="1"/>
  <c r="U133" i="2"/>
  <c r="AI132" i="2"/>
  <c r="AO132" i="2" s="1"/>
  <c r="U132" i="2"/>
  <c r="AG131" i="2"/>
  <c r="AG120" i="2" s="1"/>
  <c r="AF131" i="2"/>
  <c r="AE131" i="2"/>
  <c r="AD131" i="2"/>
  <c r="AC131" i="2"/>
  <c r="AC120" i="2" s="1"/>
  <c r="AB131" i="2"/>
  <c r="AA131" i="2"/>
  <c r="Z131" i="2"/>
  <c r="Y131" i="2"/>
  <c r="Y120" i="2" s="1"/>
  <c r="X131" i="2"/>
  <c r="AI131" i="2" s="1"/>
  <c r="AO131" i="2" s="1"/>
  <c r="U131" i="2"/>
  <c r="AO130" i="2"/>
  <c r="AI130" i="2"/>
  <c r="U130" i="2"/>
  <c r="AS129" i="2"/>
  <c r="AO129" i="2"/>
  <c r="AI129" i="2"/>
  <c r="U129" i="2"/>
  <c r="AS128" i="2"/>
  <c r="AO128" i="2"/>
  <c r="AI128" i="2"/>
  <c r="U128" i="2"/>
  <c r="AS127" i="2"/>
  <c r="AO127" i="2"/>
  <c r="AI127" i="2"/>
  <c r="AC127" i="2"/>
  <c r="U127" i="2"/>
  <c r="AS126" i="2"/>
  <c r="AI126" i="2"/>
  <c r="AO126" i="2" s="1"/>
  <c r="U126" i="2"/>
  <c r="AS125" i="2"/>
  <c r="AS130" i="2" s="1"/>
  <c r="AI125" i="2"/>
  <c r="AO125" i="2" s="1"/>
  <c r="U125" i="2"/>
  <c r="AS124" i="2"/>
  <c r="AI124" i="2"/>
  <c r="AO124" i="2" s="1"/>
  <c r="U124" i="2"/>
  <c r="AI123" i="2"/>
  <c r="U123" i="2"/>
  <c r="AT122" i="2"/>
  <c r="AS122" i="2"/>
  <c r="AO122" i="2"/>
  <c r="AI122" i="2"/>
  <c r="U122" i="2"/>
  <c r="AI121" i="2"/>
  <c r="AO121" i="2" s="1"/>
  <c r="U121" i="2"/>
  <c r="AH120" i="2"/>
  <c r="AF120" i="2"/>
  <c r="AE120" i="2"/>
  <c r="AD120" i="2"/>
  <c r="AB120" i="2"/>
  <c r="AA120" i="2"/>
  <c r="Z120" i="2"/>
  <c r="X120" i="2"/>
  <c r="W120" i="2"/>
  <c r="AI120" i="2" s="1"/>
  <c r="V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AI119" i="2"/>
  <c r="AO119" i="2" s="1"/>
  <c r="J119" i="2"/>
  <c r="U119" i="2" s="1"/>
  <c r="V117" i="2"/>
  <c r="AO115" i="2"/>
  <c r="AT114" i="2"/>
  <c r="AS114" i="2"/>
  <c r="AR114" i="2"/>
  <c r="AT113" i="2"/>
  <c r="AS113" i="2"/>
  <c r="AR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AI113" i="2" s="1"/>
  <c r="AO113" i="2" s="1"/>
  <c r="U113" i="2"/>
  <c r="J113" i="2"/>
  <c r="I113" i="2"/>
  <c r="H113" i="2"/>
  <c r="AI111" i="2"/>
  <c r="AO111" i="2" s="1"/>
  <c r="AI110" i="2"/>
  <c r="AO110" i="2" s="1"/>
  <c r="J110" i="2"/>
  <c r="J100" i="2" s="1"/>
  <c r="J96" i="2" s="1"/>
  <c r="J80" i="2" s="1"/>
  <c r="J118" i="2" s="1"/>
  <c r="J117" i="2" s="1"/>
  <c r="AI109" i="2"/>
  <c r="AO109" i="2" s="1"/>
  <c r="AI108" i="2"/>
  <c r="AO108" i="2" s="1"/>
  <c r="J108" i="2"/>
  <c r="AI107" i="2"/>
  <c r="AO107" i="2" s="1"/>
  <c r="AI106" i="2"/>
  <c r="AO106" i="2" s="1"/>
  <c r="AI105" i="2"/>
  <c r="AO105" i="2" s="1"/>
  <c r="AO104" i="2"/>
  <c r="AI104" i="2"/>
  <c r="AI103" i="2"/>
  <c r="AO103" i="2" s="1"/>
  <c r="AI102" i="2"/>
  <c r="AO102" i="2" s="1"/>
  <c r="AI101" i="2"/>
  <c r="AO101" i="2" s="1"/>
  <c r="AH100" i="2"/>
  <c r="AG100" i="2"/>
  <c r="AF100" i="2"/>
  <c r="AF96" i="2" s="1"/>
  <c r="AF80" i="2" s="1"/>
  <c r="AE100" i="2"/>
  <c r="AD100" i="2"/>
  <c r="AC100" i="2"/>
  <c r="AB100" i="2"/>
  <c r="AB96" i="2" s="1"/>
  <c r="AB80" i="2" s="1"/>
  <c r="AA100" i="2"/>
  <c r="Z100" i="2"/>
  <c r="Y100" i="2"/>
  <c r="X100" i="2"/>
  <c r="X96" i="2" s="1"/>
  <c r="X80" i="2" s="1"/>
  <c r="W100" i="2"/>
  <c r="I100" i="2"/>
  <c r="AI99" i="2"/>
  <c r="AO99" i="2" s="1"/>
  <c r="J99" i="2"/>
  <c r="AI98" i="2"/>
  <c r="AO98" i="2" s="1"/>
  <c r="AI97" i="2"/>
  <c r="AO97" i="2" s="1"/>
  <c r="AT96" i="2"/>
  <c r="AS96" i="2"/>
  <c r="AS115" i="2" s="1"/>
  <c r="AS117" i="2" s="1"/>
  <c r="AS119" i="2" s="1"/>
  <c r="AR96" i="2"/>
  <c r="AG96" i="2"/>
  <c r="AE96" i="2"/>
  <c r="AC96" i="2"/>
  <c r="AA96" i="2"/>
  <c r="Y96" i="2"/>
  <c r="W96" i="2"/>
  <c r="T96" i="2"/>
  <c r="S96" i="2"/>
  <c r="R96" i="2"/>
  <c r="Q96" i="2"/>
  <c r="Q80" i="2" s="1"/>
  <c r="P96" i="2"/>
  <c r="O96" i="2"/>
  <c r="N96" i="2"/>
  <c r="M96" i="2"/>
  <c r="M80" i="2" s="1"/>
  <c r="L96" i="2"/>
  <c r="K96" i="2"/>
  <c r="I96" i="2"/>
  <c r="I80" i="2" s="1"/>
  <c r="H96" i="2"/>
  <c r="H80" i="2" s="1"/>
  <c r="AT95" i="2"/>
  <c r="AS95" i="2"/>
  <c r="AR95" i="2"/>
  <c r="AI95" i="2"/>
  <c r="AO95" i="2" s="1"/>
  <c r="U95" i="2"/>
  <c r="AT94" i="2"/>
  <c r="AS94" i="2"/>
  <c r="AI94" i="2"/>
  <c r="U94" i="2"/>
  <c r="AO93" i="2"/>
  <c r="AI92" i="2"/>
  <c r="AO92" i="2" s="1"/>
  <c r="U92" i="2"/>
  <c r="AO91" i="2"/>
  <c r="AI91" i="2"/>
  <c r="U91" i="2"/>
  <c r="AI90" i="2"/>
  <c r="AO90" i="2" s="1"/>
  <c r="J90" i="2"/>
  <c r="U90" i="2" s="1"/>
  <c r="AO89" i="2"/>
  <c r="AI88" i="2"/>
  <c r="AO88" i="2" s="1"/>
  <c r="U88" i="2"/>
  <c r="AI87" i="2"/>
  <c r="AO87" i="2" s="1"/>
  <c r="U87" i="2"/>
  <c r="AO86" i="2"/>
  <c r="AI86" i="2"/>
  <c r="U86" i="2"/>
  <c r="AI85" i="2"/>
  <c r="AO85" i="2" s="1"/>
  <c r="U85" i="2"/>
  <c r="J85" i="2"/>
  <c r="AI84" i="2"/>
  <c r="AO84" i="2" s="1"/>
  <c r="U84" i="2"/>
  <c r="AO83" i="2"/>
  <c r="AI83" i="2"/>
  <c r="U83" i="2"/>
  <c r="AI82" i="2"/>
  <c r="AO82" i="2" s="1"/>
  <c r="J82" i="2"/>
  <c r="U82" i="2" s="1"/>
  <c r="AO81" i="2"/>
  <c r="AG80" i="2"/>
  <c r="AG118" i="2" s="1"/>
  <c r="AG117" i="2" s="1"/>
  <c r="AE80" i="2"/>
  <c r="AE118" i="2" s="1"/>
  <c r="AE117" i="2" s="1"/>
  <c r="AC80" i="2"/>
  <c r="AA80" i="2"/>
  <c r="AA118" i="2" s="1"/>
  <c r="AA117" i="2" s="1"/>
  <c r="Y80" i="2"/>
  <c r="W80" i="2"/>
  <c r="W118" i="2" s="1"/>
  <c r="W117" i="2" s="1"/>
  <c r="V80" i="2"/>
  <c r="T80" i="2"/>
  <c r="T118" i="2" s="1"/>
  <c r="T117" i="2" s="1"/>
  <c r="S80" i="2"/>
  <c r="S118" i="2" s="1"/>
  <c r="S117" i="2" s="1"/>
  <c r="R80" i="2"/>
  <c r="R118" i="2" s="1"/>
  <c r="R117" i="2" s="1"/>
  <c r="P80" i="2"/>
  <c r="P118" i="2" s="1"/>
  <c r="P117" i="2" s="1"/>
  <c r="O80" i="2"/>
  <c r="O118" i="2" s="1"/>
  <c r="O117" i="2" s="1"/>
  <c r="N80" i="2"/>
  <c r="N118" i="2" s="1"/>
  <c r="N117" i="2" s="1"/>
  <c r="L80" i="2"/>
  <c r="L118" i="2" s="1"/>
  <c r="L117" i="2" s="1"/>
  <c r="K80" i="2"/>
  <c r="K118" i="2" s="1"/>
  <c r="K117" i="2" s="1"/>
  <c r="AO79" i="2"/>
  <c r="AO78" i="2"/>
  <c r="AI76" i="2"/>
  <c r="AO76" i="2" s="1"/>
  <c r="U76" i="2"/>
  <c r="AE74" i="2"/>
  <c r="AD74" i="2"/>
  <c r="AB74" i="2"/>
  <c r="AA74" i="2"/>
  <c r="Z74" i="2"/>
  <c r="Y74" i="2"/>
  <c r="X74" i="2"/>
  <c r="AI74" i="2" s="1"/>
  <c r="AO74" i="2" s="1"/>
  <c r="U74" i="2"/>
  <c r="AI73" i="2"/>
  <c r="AO73" i="2" s="1"/>
  <c r="U73" i="2"/>
  <c r="U72" i="2" s="1"/>
  <c r="AH72" i="2"/>
  <c r="AG72" i="2"/>
  <c r="AF72" i="2"/>
  <c r="AE72" i="2"/>
  <c r="AD72" i="2"/>
  <c r="AC72" i="2"/>
  <c r="AB72" i="2"/>
  <c r="AA72" i="2"/>
  <c r="Z72" i="2"/>
  <c r="Y72" i="2"/>
  <c r="X72" i="2"/>
  <c r="W72" i="2"/>
  <c r="AI72" i="2" s="1"/>
  <c r="V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AI71" i="2"/>
  <c r="AO71" i="2" s="1"/>
  <c r="U71" i="2"/>
  <c r="U64" i="2" s="1"/>
  <c r="AI70" i="2"/>
  <c r="AO70" i="2" s="1"/>
  <c r="U70" i="2"/>
  <c r="AO69" i="2"/>
  <c r="AI68" i="2"/>
  <c r="AO68" i="2" s="1"/>
  <c r="U68" i="2"/>
  <c r="AI67" i="2"/>
  <c r="AO67" i="2" s="1"/>
  <c r="U67" i="2"/>
  <c r="AI66" i="2"/>
  <c r="AO66" i="2" s="1"/>
  <c r="U66" i="2"/>
  <c r="AO65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AI63" i="2"/>
  <c r="AO63" i="2" s="1"/>
  <c r="U63" i="2"/>
  <c r="AN63" i="2" s="1"/>
  <c r="AO62" i="2"/>
  <c r="AN62" i="2"/>
  <c r="AO61" i="2"/>
  <c r="AI61" i="2"/>
  <c r="U61" i="2"/>
  <c r="AI60" i="2"/>
  <c r="AO60" i="2" s="1"/>
  <c r="U60" i="2"/>
  <c r="AN60" i="2" s="1"/>
  <c r="AI59" i="2"/>
  <c r="AO59" i="2" s="1"/>
  <c r="U59" i="2"/>
  <c r="AN59" i="2" s="1"/>
  <c r="AO58" i="2"/>
  <c r="AI58" i="2"/>
  <c r="U58" i="2"/>
  <c r="AN58" i="2" s="1"/>
  <c r="AO57" i="2"/>
  <c r="AI57" i="2"/>
  <c r="U57" i="2"/>
  <c r="AN57" i="2" s="1"/>
  <c r="AI56" i="2"/>
  <c r="AO56" i="2" s="1"/>
  <c r="U56" i="2"/>
  <c r="AN56" i="2" s="1"/>
  <c r="AI55" i="2"/>
  <c r="AO55" i="2" s="1"/>
  <c r="U55" i="2"/>
  <c r="AN55" i="2" s="1"/>
  <c r="AI54" i="2"/>
  <c r="AO54" i="2" s="1"/>
  <c r="U54" i="2"/>
  <c r="AN54" i="2" s="1"/>
  <c r="AO53" i="2"/>
  <c r="AN53" i="2"/>
  <c r="AI52" i="2"/>
  <c r="AO52" i="2" s="1"/>
  <c r="U52" i="2"/>
  <c r="AN52" i="2" s="1"/>
  <c r="AI51" i="2"/>
  <c r="AO51" i="2" s="1"/>
  <c r="U51" i="2"/>
  <c r="AH50" i="2"/>
  <c r="AG50" i="2"/>
  <c r="AF50" i="2"/>
  <c r="AE50" i="2"/>
  <c r="AD50" i="2"/>
  <c r="AC50" i="2"/>
  <c r="AB50" i="2"/>
  <c r="AA50" i="2"/>
  <c r="Z50" i="2"/>
  <c r="Y50" i="2"/>
  <c r="X50" i="2"/>
  <c r="AI50" i="2" s="1"/>
  <c r="AO50" i="2" s="1"/>
  <c r="J50" i="2"/>
  <c r="I50" i="2"/>
  <c r="H50" i="2"/>
  <c r="AO49" i="2"/>
  <c r="AO48" i="2"/>
  <c r="AI48" i="2"/>
  <c r="AA48" i="2"/>
  <c r="U48" i="2"/>
  <c r="AN48" i="2" s="1"/>
  <c r="AI47" i="2"/>
  <c r="AO47" i="2" s="1"/>
  <c r="U47" i="2"/>
  <c r="AN47" i="2" s="1"/>
  <c r="AI46" i="2"/>
  <c r="AO46" i="2" s="1"/>
  <c r="U46" i="2"/>
  <c r="AN46" i="2" s="1"/>
  <c r="AI45" i="2"/>
  <c r="AO45" i="2" s="1"/>
  <c r="U45" i="2"/>
  <c r="AN45" i="2" s="1"/>
  <c r="AI44" i="2"/>
  <c r="AO44" i="2" s="1"/>
  <c r="U44" i="2"/>
  <c r="AN44" i="2" s="1"/>
  <c r="AI43" i="2"/>
  <c r="AO43" i="2" s="1"/>
  <c r="U43" i="2"/>
  <c r="AN43" i="2" s="1"/>
  <c r="AI42" i="2"/>
  <c r="AO42" i="2" s="1"/>
  <c r="U42" i="2"/>
  <c r="AN42" i="2" s="1"/>
  <c r="AI41" i="2"/>
  <c r="AO41" i="2" s="1"/>
  <c r="U41" i="2"/>
  <c r="AN41" i="2" s="1"/>
  <c r="AI40" i="2"/>
  <c r="AO40" i="2" s="1"/>
  <c r="U40" i="2"/>
  <c r="AN40" i="2" s="1"/>
  <c r="AI39" i="2"/>
  <c r="AO39" i="2" s="1"/>
  <c r="U39" i="2"/>
  <c r="AN39" i="2" s="1"/>
  <c r="AI38" i="2"/>
  <c r="AO38" i="2" s="1"/>
  <c r="U38" i="2"/>
  <c r="AN38" i="2" s="1"/>
  <c r="AH37" i="2"/>
  <c r="AG37" i="2"/>
  <c r="AF37" i="2"/>
  <c r="AE37" i="2"/>
  <c r="AE30" i="2" s="1"/>
  <c r="AD37" i="2"/>
  <c r="AC37" i="2"/>
  <c r="AB37" i="2"/>
  <c r="AA37" i="2"/>
  <c r="AA30" i="2" s="1"/>
  <c r="Z37" i="2"/>
  <c r="Y37" i="2"/>
  <c r="X37" i="2"/>
  <c r="W37" i="2"/>
  <c r="W30" i="2" s="1"/>
  <c r="V37" i="2"/>
  <c r="T37" i="2"/>
  <c r="S37" i="2"/>
  <c r="S30" i="2" s="1"/>
  <c r="R37" i="2"/>
  <c r="R30" i="2" s="1"/>
  <c r="Q37" i="2"/>
  <c r="P37" i="2"/>
  <c r="O37" i="2"/>
  <c r="O30" i="2" s="1"/>
  <c r="N37" i="2"/>
  <c r="M37" i="2"/>
  <c r="L37" i="2"/>
  <c r="K37" i="2"/>
  <c r="K30" i="2" s="1"/>
  <c r="J37" i="2"/>
  <c r="J30" i="2" s="1"/>
  <c r="I37" i="2"/>
  <c r="H37" i="2"/>
  <c r="AO36" i="2"/>
  <c r="AO35" i="2"/>
  <c r="AI35" i="2"/>
  <c r="U35" i="2"/>
  <c r="AN35" i="2" s="1"/>
  <c r="AI34" i="2"/>
  <c r="AO34" i="2" s="1"/>
  <c r="U34" i="2"/>
  <c r="AN34" i="2" s="1"/>
  <c r="AI33" i="2"/>
  <c r="AO33" i="2" s="1"/>
  <c r="U33" i="2"/>
  <c r="AN33" i="2" s="1"/>
  <c r="AI32" i="2"/>
  <c r="AO32" i="2" s="1"/>
  <c r="U32" i="2"/>
  <c r="AH31" i="2"/>
  <c r="AG31" i="2"/>
  <c r="AF31" i="2"/>
  <c r="AE31" i="2"/>
  <c r="AD31" i="2"/>
  <c r="AD30" i="2" s="1"/>
  <c r="AC31" i="2"/>
  <c r="AB31" i="2"/>
  <c r="AA31" i="2"/>
  <c r="Z31" i="2"/>
  <c r="Z30" i="2" s="1"/>
  <c r="Y31" i="2"/>
  <c r="X31" i="2"/>
  <c r="W31" i="2"/>
  <c r="AI31" i="2" s="1"/>
  <c r="V31" i="2"/>
  <c r="V30" i="2" s="1"/>
  <c r="J31" i="2"/>
  <c r="I31" i="2"/>
  <c r="H31" i="2"/>
  <c r="AH30" i="2"/>
  <c r="AG30" i="2"/>
  <c r="AF30" i="2"/>
  <c r="AC30" i="2"/>
  <c r="AB30" i="2"/>
  <c r="Y30" i="2"/>
  <c r="X30" i="2"/>
  <c r="T30" i="2"/>
  <c r="Q30" i="2"/>
  <c r="P30" i="2"/>
  <c r="N30" i="2"/>
  <c r="M30" i="2"/>
  <c r="L30" i="2"/>
  <c r="I30" i="2"/>
  <c r="AI29" i="2"/>
  <c r="AO29" i="2" s="1"/>
  <c r="U29" i="2"/>
  <c r="AN29" i="2" s="1"/>
  <c r="AN28" i="2"/>
  <c r="AI28" i="2"/>
  <c r="AO28" i="2" s="1"/>
  <c r="U28" i="2"/>
  <c r="AO27" i="2"/>
  <c r="AO26" i="2"/>
  <c r="AI26" i="2"/>
  <c r="U26" i="2"/>
  <c r="AN26" i="2" s="1"/>
  <c r="AO25" i="2"/>
  <c r="AI25" i="2"/>
  <c r="AI23" i="2" s="1"/>
  <c r="U25" i="2"/>
  <c r="AN25" i="2" s="1"/>
  <c r="AO24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AO23" i="2" s="1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AN23" i="2" s="1"/>
  <c r="AN22" i="2"/>
  <c r="AI22" i="2"/>
  <c r="AO22" i="2" s="1"/>
  <c r="U22" i="2"/>
  <c r="U21" i="2" s="1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AO21" i="2" s="1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AN21" i="2" s="1"/>
  <c r="AO20" i="2"/>
  <c r="AI20" i="2"/>
  <c r="U20" i="2"/>
  <c r="AN20" i="2" s="1"/>
  <c r="AG19" i="2"/>
  <c r="AF19" i="2"/>
  <c r="AE19" i="2"/>
  <c r="AD19" i="2"/>
  <c r="AC19" i="2"/>
  <c r="AB19" i="2"/>
  <c r="AA19" i="2"/>
  <c r="Z19" i="2"/>
  <c r="Y19" i="2"/>
  <c r="X19" i="2"/>
  <c r="AI19" i="2" s="1"/>
  <c r="AO19" i="2" s="1"/>
  <c r="U19" i="2"/>
  <c r="AN19" i="2" s="1"/>
  <c r="J19" i="2"/>
  <c r="AO18" i="2"/>
  <c r="AN18" i="2"/>
  <c r="AI17" i="2"/>
  <c r="AO17" i="2" s="1"/>
  <c r="U17" i="2"/>
  <c r="AN17" i="2" s="1"/>
  <c r="AI16" i="2"/>
  <c r="AO16" i="2" s="1"/>
  <c r="Z16" i="2"/>
  <c r="U16" i="2"/>
  <c r="AN16" i="2" s="1"/>
  <c r="AN15" i="2"/>
  <c r="AI15" i="2"/>
  <c r="AO15" i="2" s="1"/>
  <c r="U15" i="2"/>
  <c r="AI14" i="2"/>
  <c r="AO14" i="2" s="1"/>
  <c r="AG14" i="2"/>
  <c r="AF14" i="2"/>
  <c r="AE14" i="2"/>
  <c r="AD14" i="2"/>
  <c r="AC14" i="2"/>
  <c r="AB14" i="2"/>
  <c r="AA14" i="2"/>
  <c r="Z14" i="2"/>
  <c r="Y14" i="2"/>
  <c r="X14" i="2"/>
  <c r="U14" i="2"/>
  <c r="AN14" i="2" s="1"/>
  <c r="J14" i="2"/>
  <c r="AO13" i="2"/>
  <c r="AN13" i="2"/>
  <c r="AC12" i="2"/>
  <c r="AB12" i="2"/>
  <c r="AA12" i="2"/>
  <c r="Z12" i="2"/>
  <c r="Y12" i="2"/>
  <c r="X12" i="2"/>
  <c r="AI12" i="2" s="1"/>
  <c r="AO12" i="2" s="1"/>
  <c r="J12" i="2"/>
  <c r="U12" i="2" s="1"/>
  <c r="AN12" i="2" s="1"/>
  <c r="AI11" i="2"/>
  <c r="AO11" i="2" s="1"/>
  <c r="AC11" i="2"/>
  <c r="AB11" i="2"/>
  <c r="AA11" i="2"/>
  <c r="Z11" i="2"/>
  <c r="Y11" i="2"/>
  <c r="X11" i="2"/>
  <c r="U11" i="2"/>
  <c r="AN11" i="2" s="1"/>
  <c r="J11" i="2"/>
  <c r="AI10" i="2"/>
  <c r="AO10" i="2" s="1"/>
  <c r="AB10" i="2"/>
  <c r="AA10" i="2"/>
  <c r="Z10" i="2"/>
  <c r="Y10" i="2"/>
  <c r="Y7" i="2" s="1"/>
  <c r="Y6" i="2" s="1"/>
  <c r="Y75" i="2" s="1"/>
  <c r="Y77" i="2" s="1"/>
  <c r="X10" i="2"/>
  <c r="U10" i="2"/>
  <c r="AN10" i="2" s="1"/>
  <c r="J10" i="2"/>
  <c r="AG9" i="2"/>
  <c r="AF9" i="2"/>
  <c r="AF7" i="2" s="1"/>
  <c r="AF6" i="2" s="1"/>
  <c r="AE9" i="2"/>
  <c r="AD9" i="2"/>
  <c r="AC9" i="2"/>
  <c r="AB9" i="2"/>
  <c r="AA9" i="2"/>
  <c r="Z9" i="2"/>
  <c r="Y9" i="2"/>
  <c r="X9" i="2"/>
  <c r="J9" i="2"/>
  <c r="U9" i="2" s="1"/>
  <c r="AN9" i="2" s="1"/>
  <c r="AI8" i="2"/>
  <c r="AO8" i="2" s="1"/>
  <c r="AG8" i="2"/>
  <c r="AF8" i="2"/>
  <c r="AE8" i="2"/>
  <c r="AE7" i="2" s="1"/>
  <c r="AE6" i="2" s="1"/>
  <c r="AE75" i="2" s="1"/>
  <c r="AE77" i="2" s="1"/>
  <c r="AD8" i="2"/>
  <c r="AC8" i="2"/>
  <c r="AB8" i="2"/>
  <c r="AA8" i="2"/>
  <c r="Z8" i="2"/>
  <c r="Y8" i="2"/>
  <c r="X8" i="2"/>
  <c r="U8" i="2"/>
  <c r="J8" i="2"/>
  <c r="AH7" i="2"/>
  <c r="AG7" i="2"/>
  <c r="AD7" i="2"/>
  <c r="AD6" i="2" s="1"/>
  <c r="AC7" i="2"/>
  <c r="AA7" i="2"/>
  <c r="Z7" i="2"/>
  <c r="W7" i="2"/>
  <c r="W6" i="2" s="1"/>
  <c r="W75" i="2" s="1"/>
  <c r="W77" i="2" s="1"/>
  <c r="T7" i="2"/>
  <c r="T6" i="2" s="1"/>
  <c r="S7" i="2"/>
  <c r="R7" i="2"/>
  <c r="R6" i="2" s="1"/>
  <c r="Q7" i="2"/>
  <c r="Q6" i="2" s="1"/>
  <c r="Q75" i="2" s="1"/>
  <c r="Q77" i="2" s="1"/>
  <c r="P7" i="2"/>
  <c r="P6" i="2" s="1"/>
  <c r="P75" i="2" s="1"/>
  <c r="P77" i="2" s="1"/>
  <c r="O7" i="2"/>
  <c r="N7" i="2"/>
  <c r="N6" i="2" s="1"/>
  <c r="M7" i="2"/>
  <c r="M6" i="2" s="1"/>
  <c r="M75" i="2" s="1"/>
  <c r="M77" i="2" s="1"/>
  <c r="L7" i="2"/>
  <c r="L6" i="2" s="1"/>
  <c r="L75" i="2" s="1"/>
  <c r="L77" i="2" s="1"/>
  <c r="K7" i="2"/>
  <c r="J7" i="2"/>
  <c r="J6" i="2" s="1"/>
  <c r="I7" i="2"/>
  <c r="I6" i="2" s="1"/>
  <c r="I75" i="2" s="1"/>
  <c r="I77" i="2" s="1"/>
  <c r="H7" i="2"/>
  <c r="AH6" i="2"/>
  <c r="AA6" i="2"/>
  <c r="AA75" i="2" s="1"/>
  <c r="AA77" i="2" s="1"/>
  <c r="Z6" i="2"/>
  <c r="V6" i="2"/>
  <c r="S6" i="2"/>
  <c r="S75" i="2" s="1"/>
  <c r="S77" i="2" s="1"/>
  <c r="O6" i="2"/>
  <c r="K6" i="2"/>
  <c r="K75" i="2" s="1"/>
  <c r="K77" i="2" s="1"/>
  <c r="AG34" i="1"/>
  <c r="AG52" i="1" s="1"/>
  <c r="AG47" i="1"/>
  <c r="AF47" i="1"/>
  <c r="AE47" i="1"/>
  <c r="AD47" i="1"/>
  <c r="AC47" i="1"/>
  <c r="AB47" i="1"/>
  <c r="AA47" i="1"/>
  <c r="Z47" i="1"/>
  <c r="Y47" i="1"/>
  <c r="X47" i="1"/>
  <c r="V47" i="1"/>
  <c r="S47" i="1"/>
  <c r="R47" i="1"/>
  <c r="Q47" i="1"/>
  <c r="P47" i="1"/>
  <c r="O47" i="1"/>
  <c r="N47" i="1"/>
  <c r="M47" i="1"/>
  <c r="L47" i="1"/>
  <c r="K47" i="1"/>
  <c r="J47" i="1"/>
  <c r="W45" i="1"/>
  <c r="AH45" i="1" s="1"/>
  <c r="U45" i="1"/>
  <c r="T45" i="1"/>
  <c r="I45" i="1"/>
  <c r="H45" i="1"/>
  <c r="G45" i="1"/>
  <c r="AH43" i="1"/>
  <c r="W43" i="1"/>
  <c r="U43" i="1"/>
  <c r="I43" i="1"/>
  <c r="T43" i="1" s="1"/>
  <c r="H43" i="1"/>
  <c r="G43" i="1"/>
  <c r="W41" i="1"/>
  <c r="AH41" i="1" s="1"/>
  <c r="U41" i="1"/>
  <c r="I41" i="1"/>
  <c r="H41" i="1"/>
  <c r="T41" i="1" s="1"/>
  <c r="G41" i="1"/>
  <c r="W39" i="1"/>
  <c r="AH39" i="1" s="1"/>
  <c r="U39" i="1"/>
  <c r="U47" i="1" s="1"/>
  <c r="I39" i="1"/>
  <c r="I47" i="1" s="1"/>
  <c r="H39" i="1"/>
  <c r="T39" i="1" s="1"/>
  <c r="G39" i="1"/>
  <c r="G47" i="1" s="1"/>
  <c r="AF34" i="1"/>
  <c r="AF52" i="1" s="1"/>
  <c r="AE34" i="1"/>
  <c r="AE52" i="1" s="1"/>
  <c r="AD34" i="1"/>
  <c r="AC34" i="1"/>
  <c r="AC52" i="1" s="1"/>
  <c r="AB34" i="1"/>
  <c r="AB52" i="1" s="1"/>
  <c r="AA34" i="1"/>
  <c r="AA52" i="1" s="1"/>
  <c r="Z34" i="1"/>
  <c r="Y34" i="1"/>
  <c r="Y52" i="1" s="1"/>
  <c r="X34" i="1"/>
  <c r="X52" i="1" s="1"/>
  <c r="S34" i="1"/>
  <c r="R34" i="1"/>
  <c r="Q34" i="1"/>
  <c r="Q52" i="1" s="1"/>
  <c r="P34" i="1"/>
  <c r="P52" i="1" s="1"/>
  <c r="O34" i="1"/>
  <c r="N34" i="1"/>
  <c r="M34" i="1"/>
  <c r="M52" i="1" s="1"/>
  <c r="L34" i="1"/>
  <c r="L52" i="1" s="1"/>
  <c r="K34" i="1"/>
  <c r="J34" i="1"/>
  <c r="G32" i="1"/>
  <c r="C32" i="1"/>
  <c r="AH30" i="1"/>
  <c r="T30" i="1"/>
  <c r="Q30" i="1"/>
  <c r="G30" i="1"/>
  <c r="C30" i="1"/>
  <c r="G29" i="1"/>
  <c r="C29" i="1"/>
  <c r="G28" i="1"/>
  <c r="C28" i="1"/>
  <c r="AH26" i="1"/>
  <c r="W26" i="1"/>
  <c r="V26" i="1"/>
  <c r="I26" i="1"/>
  <c r="T26" i="1" s="1"/>
  <c r="H26" i="1"/>
  <c r="G26" i="1"/>
  <c r="W25" i="1"/>
  <c r="AH25" i="1" s="1"/>
  <c r="V25" i="1"/>
  <c r="I25" i="1"/>
  <c r="H25" i="1"/>
  <c r="T25" i="1" s="1"/>
  <c r="G25" i="1"/>
  <c r="T24" i="1"/>
  <c r="D24" i="1"/>
  <c r="T23" i="1"/>
  <c r="D23" i="1"/>
  <c r="T22" i="1"/>
  <c r="D22" i="1"/>
  <c r="T21" i="1"/>
  <c r="T20" i="1" s="1"/>
  <c r="D21" i="1"/>
  <c r="AH20" i="1"/>
  <c r="AH19" i="1"/>
  <c r="W19" i="1"/>
  <c r="T19" i="1"/>
  <c r="W18" i="1"/>
  <c r="AH18" i="1" s="1"/>
  <c r="I18" i="1"/>
  <c r="H18" i="1"/>
  <c r="T18" i="1" s="1"/>
  <c r="G18" i="1"/>
  <c r="W17" i="1"/>
  <c r="V17" i="1"/>
  <c r="AH17" i="1" s="1"/>
  <c r="T17" i="1"/>
  <c r="I17" i="1"/>
  <c r="H17" i="1"/>
  <c r="G17" i="1"/>
  <c r="G15" i="1" s="1"/>
  <c r="G11" i="1" s="1"/>
  <c r="G34" i="1" s="1"/>
  <c r="G52" i="1" s="1"/>
  <c r="AH16" i="1"/>
  <c r="AH15" i="1" s="1"/>
  <c r="W16" i="1"/>
  <c r="V16" i="1"/>
  <c r="I16" i="1"/>
  <c r="T16" i="1" s="1"/>
  <c r="H16" i="1"/>
  <c r="G16" i="1"/>
  <c r="W15" i="1"/>
  <c r="U15" i="1"/>
  <c r="I15" i="1"/>
  <c r="W13" i="1"/>
  <c r="AH13" i="1" s="1"/>
  <c r="V13" i="1"/>
  <c r="I13" i="1"/>
  <c r="H13" i="1"/>
  <c r="T13" i="1" s="1"/>
  <c r="G13" i="1"/>
  <c r="U11" i="1"/>
  <c r="W9" i="1"/>
  <c r="V9" i="1"/>
  <c r="U9" i="1"/>
  <c r="I9" i="1"/>
  <c r="H9" i="1"/>
  <c r="T9" i="1" s="1"/>
  <c r="G9" i="1"/>
  <c r="EL143" i="5" l="1"/>
  <c r="EL21" i="5"/>
  <c r="DR18" i="5"/>
  <c r="DR13" i="5" s="1"/>
  <c r="CS18" i="5"/>
  <c r="CS13" i="5" s="1"/>
  <c r="CD18" i="5"/>
  <c r="CD13" i="5" s="1"/>
  <c r="CX18" i="5"/>
  <c r="CX13" i="5" s="1"/>
  <c r="AA286" i="5"/>
  <c r="AA16" i="5"/>
  <c r="CI16" i="5"/>
  <c r="CN16" i="5"/>
  <c r="BB73" i="10"/>
  <c r="BB77" i="10" s="1"/>
  <c r="AC73" i="10"/>
  <c r="AC77" i="10" s="1"/>
  <c r="AM73" i="10"/>
  <c r="AM77" i="10" s="1"/>
  <c r="I73" i="10"/>
  <c r="I77" i="10" s="1"/>
  <c r="BU68" i="10"/>
  <c r="BU73" i="10" s="1"/>
  <c r="BU77" i="10" s="1"/>
  <c r="BV47" i="10"/>
  <c r="BX53" i="10"/>
  <c r="BV52" i="10"/>
  <c r="P83" i="9"/>
  <c r="AK23" i="9"/>
  <c r="AD38" i="9"/>
  <c r="N59" i="9"/>
  <c r="Z91" i="9"/>
  <c r="Z87" i="9" s="1"/>
  <c r="Z83" i="9" s="1"/>
  <c r="Z33" i="9" s="1"/>
  <c r="M14" i="9"/>
  <c r="Q14" i="9"/>
  <c r="Z38" i="9"/>
  <c r="J59" i="9"/>
  <c r="J33" i="9" s="1"/>
  <c r="O59" i="9"/>
  <c r="AH75" i="9"/>
  <c r="AK75" i="9" s="1"/>
  <c r="AK76" i="9"/>
  <c r="AK77" i="9"/>
  <c r="Z93" i="9"/>
  <c r="W93" i="9"/>
  <c r="W14" i="9"/>
  <c r="AL19" i="9"/>
  <c r="I38" i="9"/>
  <c r="U33" i="9"/>
  <c r="AN33" i="9" s="1"/>
  <c r="K59" i="9"/>
  <c r="AH14" i="9"/>
  <c r="AL49" i="9"/>
  <c r="AK49" i="9"/>
  <c r="AH47" i="9"/>
  <c r="AL53" i="9"/>
  <c r="AK53" i="9"/>
  <c r="AH52" i="9"/>
  <c r="AL54" i="9"/>
  <c r="AK54" i="9"/>
  <c r="AH12" i="9"/>
  <c r="Y31" i="9"/>
  <c r="AC31" i="9"/>
  <c r="AG31" i="9"/>
  <c r="T36" i="9"/>
  <c r="AL41" i="9"/>
  <c r="AK41" i="9"/>
  <c r="AH40" i="9"/>
  <c r="AL48" i="9"/>
  <c r="T54" i="9"/>
  <c r="AL63" i="9"/>
  <c r="AL66" i="9"/>
  <c r="T72" i="9"/>
  <c r="T85" i="9"/>
  <c r="K93" i="9"/>
  <c r="O93" i="9"/>
  <c r="S93" i="9"/>
  <c r="AH10" i="9"/>
  <c r="H14" i="9"/>
  <c r="Y14" i="9"/>
  <c r="AK18" i="9"/>
  <c r="T19" i="9"/>
  <c r="AK21" i="9"/>
  <c r="AK24" i="9"/>
  <c r="Z31" i="9"/>
  <c r="AD31" i="9"/>
  <c r="AL42" i="9"/>
  <c r="AK42" i="9"/>
  <c r="T40" i="9"/>
  <c r="X40" i="9"/>
  <c r="AB40" i="9"/>
  <c r="AF40" i="9"/>
  <c r="N47" i="9"/>
  <c r="T50" i="9"/>
  <c r="AL56" i="9"/>
  <c r="AK56" i="9"/>
  <c r="W59" i="9"/>
  <c r="AA59" i="9"/>
  <c r="AE59" i="9"/>
  <c r="AK69" i="9"/>
  <c r="AH68" i="9"/>
  <c r="AL84" i="9"/>
  <c r="AK84" i="9"/>
  <c r="I93" i="9"/>
  <c r="N93" i="9"/>
  <c r="R93" i="9"/>
  <c r="V93" i="9"/>
  <c r="V91" i="9" s="1"/>
  <c r="V87" i="9" s="1"/>
  <c r="V83" i="9" s="1"/>
  <c r="AH94" i="9"/>
  <c r="Z14" i="9"/>
  <c r="I16" i="9"/>
  <c r="AH16" i="9"/>
  <c r="AK17" i="9"/>
  <c r="AK20" i="9"/>
  <c r="AA31" i="9"/>
  <c r="AE31" i="9"/>
  <c r="AG40" i="9"/>
  <c r="AG38" i="9" s="1"/>
  <c r="J47" i="9"/>
  <c r="H47" i="9"/>
  <c r="L47" i="9"/>
  <c r="P47" i="9"/>
  <c r="T48" i="9"/>
  <c r="X47" i="9"/>
  <c r="AB47" i="9"/>
  <c r="AF47" i="9"/>
  <c r="H59" i="9"/>
  <c r="L59" i="9"/>
  <c r="P59" i="9"/>
  <c r="T61" i="9"/>
  <c r="X61" i="9"/>
  <c r="X59" i="9" s="1"/>
  <c r="AB61" i="9"/>
  <c r="AB59" i="9" s="1"/>
  <c r="AF61" i="9"/>
  <c r="AF59" i="9" s="1"/>
  <c r="AK62" i="9"/>
  <c r="AH61" i="9"/>
  <c r="AL62" i="9"/>
  <c r="AL65" i="9"/>
  <c r="I68" i="9"/>
  <c r="T69" i="9"/>
  <c r="AG68" i="9"/>
  <c r="AG59" i="9" s="1"/>
  <c r="AL73" i="9"/>
  <c r="AK73" i="9"/>
  <c r="AH85" i="9"/>
  <c r="T12" i="9"/>
  <c r="AA14" i="9"/>
  <c r="T18" i="9"/>
  <c r="T21" i="9"/>
  <c r="H31" i="9"/>
  <c r="X31" i="9"/>
  <c r="AB31" i="9"/>
  <c r="AF31" i="9"/>
  <c r="AH36" i="9"/>
  <c r="AC40" i="9"/>
  <c r="AC38" i="9" s="1"/>
  <c r="G40" i="9"/>
  <c r="G38" i="9" s="1"/>
  <c r="G33" i="9" s="1"/>
  <c r="AL44" i="9"/>
  <c r="V38" i="9"/>
  <c r="V33" i="9" s="1"/>
  <c r="AL50" i="9"/>
  <c r="T53" i="9"/>
  <c r="H52" i="9"/>
  <c r="AL57" i="9"/>
  <c r="AK57" i="9"/>
  <c r="AL69" i="9"/>
  <c r="T70" i="9"/>
  <c r="S68" i="9"/>
  <c r="AL75" i="9"/>
  <c r="T75" i="9"/>
  <c r="T84" i="9"/>
  <c r="AL86" i="9"/>
  <c r="T73" i="9"/>
  <c r="Q91" i="9"/>
  <c r="X99" i="9"/>
  <c r="Y95" i="9"/>
  <c r="Y93" i="9" s="1"/>
  <c r="Y91" i="9" s="1"/>
  <c r="Y87" i="9" s="1"/>
  <c r="Y83" i="9" s="1"/>
  <c r="Y33" i="9" s="1"/>
  <c r="AB99" i="9"/>
  <c r="AC95" i="9"/>
  <c r="AC93" i="9" s="1"/>
  <c r="AC91" i="9" s="1"/>
  <c r="AC87" i="9" s="1"/>
  <c r="AC83" i="9" s="1"/>
  <c r="AF99" i="9"/>
  <c r="AG95" i="9"/>
  <c r="AG93" i="9" s="1"/>
  <c r="AG91" i="9" s="1"/>
  <c r="AG87" i="9" s="1"/>
  <c r="AG83" i="9" s="1"/>
  <c r="T49" i="9"/>
  <c r="AK70" i="9"/>
  <c r="H91" i="9"/>
  <c r="AH100" i="9"/>
  <c r="X94" i="9"/>
  <c r="W99" i="9"/>
  <c r="W91" i="9" s="1"/>
  <c r="W87" i="9" s="1"/>
  <c r="W83" i="9" s="1"/>
  <c r="AB94" i="9"/>
  <c r="AB93" i="9" s="1"/>
  <c r="AB91" i="9" s="1"/>
  <c r="AB87" i="9" s="1"/>
  <c r="AB83" i="9" s="1"/>
  <c r="AA99" i="9"/>
  <c r="AF94" i="9"/>
  <c r="AF93" i="9" s="1"/>
  <c r="AF91" i="9" s="1"/>
  <c r="AF87" i="9" s="1"/>
  <c r="AF83" i="9" s="1"/>
  <c r="AE99" i="9"/>
  <c r="AE91" i="9" s="1"/>
  <c r="AE87" i="9" s="1"/>
  <c r="AE83" i="9" s="1"/>
  <c r="M91" i="9"/>
  <c r="AA91" i="9"/>
  <c r="AA87" i="9" s="1"/>
  <c r="AA83" i="9" s="1"/>
  <c r="I99" i="9"/>
  <c r="T100" i="9"/>
  <c r="AH95" i="9"/>
  <c r="AK95" i="9" s="1"/>
  <c r="BP54" i="8"/>
  <c r="BP12" i="8"/>
  <c r="AB13" i="8"/>
  <c r="BP58" i="8"/>
  <c r="AV68" i="8"/>
  <c r="BP68" i="8"/>
  <c r="M73" i="8"/>
  <c r="AG73" i="8"/>
  <c r="BA73" i="8"/>
  <c r="AV54" i="8"/>
  <c r="CO40" i="8"/>
  <c r="EC40" i="8"/>
  <c r="BZ12" i="8"/>
  <c r="BZ40" i="8" s="1"/>
  <c r="CT12" i="8"/>
  <c r="DN12" i="8"/>
  <c r="AV53" i="8" s="1"/>
  <c r="EH12" i="8"/>
  <c r="BP53" i="8" s="1"/>
  <c r="EM32" i="8"/>
  <c r="BP55" i="8"/>
  <c r="M12" i="8"/>
  <c r="R58" i="8"/>
  <c r="AL58" i="8"/>
  <c r="BF58" i="8"/>
  <c r="CE12" i="8"/>
  <c r="CE40" i="8" s="1"/>
  <c r="BU17" i="8"/>
  <c r="BU58" i="8" s="1"/>
  <c r="R73" i="8"/>
  <c r="AL73" i="8"/>
  <c r="BF73" i="8"/>
  <c r="R13" i="8"/>
  <c r="R55" i="8"/>
  <c r="BF13" i="8"/>
  <c r="BF55" i="8"/>
  <c r="H40" i="8"/>
  <c r="AV40" i="8"/>
  <c r="BA13" i="8"/>
  <c r="AB58" i="8"/>
  <c r="AV58" i="8"/>
  <c r="BU70" i="8"/>
  <c r="BU75" i="8"/>
  <c r="BU32" i="8"/>
  <c r="BU73" i="8" s="1"/>
  <c r="DN40" i="8"/>
  <c r="BU66" i="8"/>
  <c r="M40" i="8"/>
  <c r="M81" i="8" s="1"/>
  <c r="M53" i="8"/>
  <c r="AL55" i="8"/>
  <c r="AL13" i="8"/>
  <c r="EM13" i="8"/>
  <c r="EM12" i="8" s="1"/>
  <c r="W79" i="8"/>
  <c r="CO51" i="8"/>
  <c r="CO52" i="8" s="1"/>
  <c r="BP40" i="8"/>
  <c r="AG13" i="8"/>
  <c r="BU13" i="8"/>
  <c r="W13" i="8"/>
  <c r="AQ13" i="8"/>
  <c r="BK13" i="8"/>
  <c r="EM27" i="8"/>
  <c r="BU60" i="8"/>
  <c r="EG12" i="7"/>
  <c r="L63" i="7"/>
  <c r="AZ63" i="7"/>
  <c r="AU63" i="7"/>
  <c r="BJ108" i="7"/>
  <c r="V108" i="7"/>
  <c r="EL169" i="7"/>
  <c r="G12" i="7"/>
  <c r="CN12" i="7"/>
  <c r="EB12" i="7"/>
  <c r="DM17" i="7"/>
  <c r="DM13" i="7" s="1"/>
  <c r="DM12" i="7" s="1"/>
  <c r="CD12" i="7"/>
  <c r="CX12" i="7"/>
  <c r="DR12" i="7"/>
  <c r="BT57" i="7"/>
  <c r="BT18" i="7" s="1"/>
  <c r="BY58" i="7"/>
  <c r="BY57" i="7" s="1"/>
  <c r="L168" i="7"/>
  <c r="L106" i="7" s="1"/>
  <c r="AZ168" i="7"/>
  <c r="AZ106" i="7" s="1"/>
  <c r="DW12" i="7"/>
  <c r="BO63" i="7"/>
  <c r="DC12" i="7"/>
  <c r="CS17" i="7"/>
  <c r="CS13" i="7" s="1"/>
  <c r="CS12" i="7" s="1"/>
  <c r="EL20" i="7"/>
  <c r="EL73" i="7"/>
  <c r="EL15" i="7" s="1"/>
  <c r="V73" i="7"/>
  <c r="AP73" i="7"/>
  <c r="BJ73" i="7"/>
  <c r="Q73" i="7"/>
  <c r="AK73" i="7"/>
  <c r="BE73" i="7"/>
  <c r="BT74" i="7"/>
  <c r="BT73" i="7" s="1"/>
  <c r="BT15" i="7" s="1"/>
  <c r="BY79" i="7"/>
  <c r="BT78" i="7"/>
  <c r="CN103" i="7"/>
  <c r="BY103" i="7"/>
  <c r="G103" i="7"/>
  <c r="BT124" i="7"/>
  <c r="EL176" i="7"/>
  <c r="CI12" i="7"/>
  <c r="AF63" i="7"/>
  <c r="AA63" i="7"/>
  <c r="AF108" i="7"/>
  <c r="AF104" i="7" s="1"/>
  <c r="AA17" i="7"/>
  <c r="AA13" i="7" s="1"/>
  <c r="BY47" i="7"/>
  <c r="BY52" i="7"/>
  <c r="BY63" i="7"/>
  <c r="BY14" i="7" s="1"/>
  <c r="EL78" i="7"/>
  <c r="BY84" i="7"/>
  <c r="BT83" i="7"/>
  <c r="EL98" i="7"/>
  <c r="DH103" i="7"/>
  <c r="EL110" i="7"/>
  <c r="BT160" i="7"/>
  <c r="EL180" i="7"/>
  <c r="EL19" i="7"/>
  <c r="AU103" i="7"/>
  <c r="CD156" i="7"/>
  <c r="CD105" i="7" s="1"/>
  <c r="CX156" i="7"/>
  <c r="CX105" i="7" s="1"/>
  <c r="CI168" i="7"/>
  <c r="CI106" i="7" s="1"/>
  <c r="CI103" i="7" s="1"/>
  <c r="DC168" i="7"/>
  <c r="DC106" i="7" s="1"/>
  <c r="DW168" i="7"/>
  <c r="DW106" i="7" s="1"/>
  <c r="EL22" i="7"/>
  <c r="BT20" i="7"/>
  <c r="BT17" i="7" s="1"/>
  <c r="BT13" i="7" s="1"/>
  <c r="BT12" i="7" s="1"/>
  <c r="EL57" i="7"/>
  <c r="DC108" i="7"/>
  <c r="DC104" i="7" s="1"/>
  <c r="DC103" i="7" s="1"/>
  <c r="DW108" i="7"/>
  <c r="DW104" i="7" s="1"/>
  <c r="BT27" i="7"/>
  <c r="EL18" i="7"/>
  <c r="BY81" i="7"/>
  <c r="BY76" i="7" s="1"/>
  <c r="EL93" i="7"/>
  <c r="CD108" i="7"/>
  <c r="CD104" i="7" s="1"/>
  <c r="CX108" i="7"/>
  <c r="CX104" i="7" s="1"/>
  <c r="BY128" i="7"/>
  <c r="BT144" i="7"/>
  <c r="Q156" i="7"/>
  <c r="CD168" i="7"/>
  <c r="CD106" i="7" s="1"/>
  <c r="CX168" i="7"/>
  <c r="CX106" i="7" s="1"/>
  <c r="DR168" i="7"/>
  <c r="DR106" i="7" s="1"/>
  <c r="DR103" i="7" s="1"/>
  <c r="BT176" i="7"/>
  <c r="EL63" i="7"/>
  <c r="BY88" i="7"/>
  <c r="DH12" i="7"/>
  <c r="DW103" i="7"/>
  <c r="BY83" i="7"/>
  <c r="EL17" i="7"/>
  <c r="L156" i="7"/>
  <c r="AF156" i="7"/>
  <c r="Q168" i="7"/>
  <c r="BE168" i="7"/>
  <c r="V15" i="7"/>
  <c r="BJ15" i="7"/>
  <c r="Q18" i="7"/>
  <c r="AK18" i="7"/>
  <c r="BE18" i="7"/>
  <c r="EL32" i="7"/>
  <c r="BY39" i="7"/>
  <c r="BY40" i="7"/>
  <c r="BT93" i="7"/>
  <c r="BJ104" i="7"/>
  <c r="AK104" i="7"/>
  <c r="BT110" i="7"/>
  <c r="EL109" i="7"/>
  <c r="EL136" i="7"/>
  <c r="BJ156" i="7"/>
  <c r="EL132" i="7"/>
  <c r="EL168" i="7"/>
  <c r="L13" i="7"/>
  <c r="AF13" i="7"/>
  <c r="V18" i="7"/>
  <c r="AP18" i="7"/>
  <c r="BJ18" i="7"/>
  <c r="AP104" i="7"/>
  <c r="BO104" i="7"/>
  <c r="AF106" i="7"/>
  <c r="AA108" i="7"/>
  <c r="BT109" i="7"/>
  <c r="BT108" i="7" s="1"/>
  <c r="BT104" i="7" s="1"/>
  <c r="BT158" i="7"/>
  <c r="BT156" i="7" s="1"/>
  <c r="BT105" i="7" s="1"/>
  <c r="BT164" i="7"/>
  <c r="EL152" i="7"/>
  <c r="AK168" i="7"/>
  <c r="L14" i="7"/>
  <c r="AZ14" i="7"/>
  <c r="BE108" i="7"/>
  <c r="EL148" i="7"/>
  <c r="V168" i="7"/>
  <c r="AP168" i="7"/>
  <c r="BJ168" i="7"/>
  <c r="BT172" i="7"/>
  <c r="BT170" i="7"/>
  <c r="BT168" i="7" s="1"/>
  <c r="BT106" i="7" s="1"/>
  <c r="Q108" i="7"/>
  <c r="DM108" i="7"/>
  <c r="DM104" i="7" s="1"/>
  <c r="DM103" i="7" s="1"/>
  <c r="EG108" i="7"/>
  <c r="EG104" i="7" s="1"/>
  <c r="EG103" i="7" s="1"/>
  <c r="V156" i="7"/>
  <c r="EL156" i="7"/>
  <c r="EL144" i="7"/>
  <c r="EL164" i="7"/>
  <c r="EL172" i="7"/>
  <c r="EL184" i="7"/>
  <c r="BT71" i="6"/>
  <c r="BY113" i="6"/>
  <c r="BY66" i="6"/>
  <c r="BY65" i="6" s="1"/>
  <c r="BY15" i="6" s="1"/>
  <c r="AF13" i="6"/>
  <c r="BY37" i="6"/>
  <c r="BT107" i="6"/>
  <c r="AK122" i="6"/>
  <c r="AK16" i="6" s="1"/>
  <c r="CS12" i="6"/>
  <c r="DM12" i="6"/>
  <c r="BT60" i="6"/>
  <c r="BT31" i="6"/>
  <c r="Q65" i="6"/>
  <c r="Q15" i="6" s="1"/>
  <c r="AU65" i="6"/>
  <c r="AU15" i="6" s="1"/>
  <c r="L13" i="6"/>
  <c r="AZ13" i="6"/>
  <c r="AZ15" i="6"/>
  <c r="EL119" i="6"/>
  <c r="Q122" i="6"/>
  <c r="Q16" i="6" s="1"/>
  <c r="BE122" i="6"/>
  <c r="BE16" i="6" s="1"/>
  <c r="CD122" i="6"/>
  <c r="CD16" i="6" s="1"/>
  <c r="CD12" i="6" s="1"/>
  <c r="CX122" i="6"/>
  <c r="CX16" i="6" s="1"/>
  <c r="DR122" i="6"/>
  <c r="DR16" i="6" s="1"/>
  <c r="DC12" i="6"/>
  <c r="EL107" i="6"/>
  <c r="BT113" i="6"/>
  <c r="L122" i="6"/>
  <c r="CN122" i="6"/>
  <c r="CN16" i="6" s="1"/>
  <c r="CN12" i="6" s="1"/>
  <c r="DH122" i="6"/>
  <c r="DH16" i="6" s="1"/>
  <c r="EB122" i="6"/>
  <c r="EB16" i="6" s="1"/>
  <c r="EB12" i="6" s="1"/>
  <c r="CI122" i="6"/>
  <c r="CI16" i="6" s="1"/>
  <c r="DC122" i="6"/>
  <c r="DC16" i="6" s="1"/>
  <c r="DW122" i="6"/>
  <c r="DW16" i="6" s="1"/>
  <c r="DW12" i="6" s="1"/>
  <c r="V14" i="6"/>
  <c r="AP14" i="6"/>
  <c r="BJ14" i="6"/>
  <c r="EL31" i="6"/>
  <c r="EL32" i="6"/>
  <c r="BT55" i="6"/>
  <c r="L65" i="6"/>
  <c r="AP65" i="6"/>
  <c r="AZ16" i="6"/>
  <c r="CX12" i="6"/>
  <c r="CI12" i="6"/>
  <c r="CX14" i="6"/>
  <c r="BT45" i="6"/>
  <c r="EL60" i="6"/>
  <c r="BE15" i="6"/>
  <c r="EL66" i="6"/>
  <c r="EL95" i="6"/>
  <c r="L16" i="6"/>
  <c r="DH12" i="6"/>
  <c r="EL35" i="6"/>
  <c r="BT35" i="6"/>
  <c r="BY38" i="6"/>
  <c r="BT33" i="6"/>
  <c r="EL33" i="6"/>
  <c r="AK15" i="6"/>
  <c r="BT123" i="6"/>
  <c r="BT147" i="6"/>
  <c r="EL152" i="6"/>
  <c r="DR12" i="6"/>
  <c r="AA13" i="6"/>
  <c r="AU13" i="6"/>
  <c r="BO13" i="6"/>
  <c r="BT18" i="6"/>
  <c r="BY28" i="6"/>
  <c r="BY18" i="6" s="1"/>
  <c r="BY13" i="6" s="1"/>
  <c r="EL45" i="6"/>
  <c r="BT50" i="6"/>
  <c r="BT66" i="6"/>
  <c r="BT80" i="6"/>
  <c r="L14" i="6"/>
  <c r="AZ14" i="6"/>
  <c r="BT32" i="6"/>
  <c r="AA122" i="6"/>
  <c r="AU122" i="6"/>
  <c r="BO122" i="6"/>
  <c r="BT127" i="6"/>
  <c r="AF122" i="6"/>
  <c r="EL125" i="6"/>
  <c r="EL124" i="6"/>
  <c r="EL127" i="6"/>
  <c r="BT137" i="6"/>
  <c r="BT125" i="6"/>
  <c r="EL18" i="6"/>
  <c r="BY36" i="6"/>
  <c r="BY41" i="6"/>
  <c r="BY43" i="6"/>
  <c r="EL55" i="6"/>
  <c r="AF65" i="6"/>
  <c r="EL77" i="6"/>
  <c r="EL83" i="6"/>
  <c r="V122" i="6"/>
  <c r="AP122" i="6"/>
  <c r="BJ122" i="6"/>
  <c r="EL123" i="6"/>
  <c r="EL132" i="6"/>
  <c r="BT142" i="6"/>
  <c r="BT124" i="6"/>
  <c r="EL147" i="6"/>
  <c r="EL142" i="6"/>
  <c r="BY22" i="5"/>
  <c r="CS12" i="5"/>
  <c r="BY193" i="5"/>
  <c r="BY262" i="5"/>
  <c r="EL319" i="5"/>
  <c r="BO16" i="5"/>
  <c r="BE19" i="5"/>
  <c r="BE18" i="5" s="1"/>
  <c r="BE13" i="5" s="1"/>
  <c r="BY69" i="5"/>
  <c r="BT79" i="5"/>
  <c r="BY93" i="5"/>
  <c r="BY101" i="5"/>
  <c r="EL110" i="5"/>
  <c r="BY113" i="5"/>
  <c r="BY110" i="5" s="1"/>
  <c r="BY127" i="5"/>
  <c r="BT148" i="5"/>
  <c r="L215" i="5"/>
  <c r="L14" i="5" s="1"/>
  <c r="AF215" i="5"/>
  <c r="AF14" i="5" s="1"/>
  <c r="BY231" i="5"/>
  <c r="EL280" i="5"/>
  <c r="AU286" i="5"/>
  <c r="EL316" i="5"/>
  <c r="CD315" i="5"/>
  <c r="BT338" i="5"/>
  <c r="BT21" i="5"/>
  <c r="EL90" i="5"/>
  <c r="BY107" i="5"/>
  <c r="AK19" i="5"/>
  <c r="AK18" i="5" s="1"/>
  <c r="AK13" i="5" s="1"/>
  <c r="BJ18" i="5"/>
  <c r="BJ13" i="5" s="1"/>
  <c r="DC19" i="5"/>
  <c r="DC18" i="5" s="1"/>
  <c r="DC13" i="5" s="1"/>
  <c r="BT22" i="5"/>
  <c r="BT100" i="5"/>
  <c r="EL131" i="5"/>
  <c r="DH18" i="5"/>
  <c r="DH13" i="5" s="1"/>
  <c r="EL247" i="5"/>
  <c r="EL294" i="5"/>
  <c r="L315" i="5"/>
  <c r="AK315" i="5"/>
  <c r="AK286" i="5" s="1"/>
  <c r="AK285" i="5" s="1"/>
  <c r="AK15" i="5" s="1"/>
  <c r="BE315" i="5"/>
  <c r="BE16" i="5" s="1"/>
  <c r="EL335" i="5"/>
  <c r="EL341" i="5"/>
  <c r="BT221" i="5"/>
  <c r="BT258" i="5"/>
  <c r="EL192" i="5"/>
  <c r="CD215" i="5"/>
  <c r="CD14" i="5" s="1"/>
  <c r="CX215" i="5"/>
  <c r="CX14" i="5" s="1"/>
  <c r="DR215" i="5"/>
  <c r="DR14" i="5" s="1"/>
  <c r="DR12" i="5" s="1"/>
  <c r="EL312" i="5"/>
  <c r="AP315" i="5"/>
  <c r="BJ315" i="5"/>
  <c r="BJ16" i="5" s="1"/>
  <c r="EL45" i="5"/>
  <c r="EL27" i="5"/>
  <c r="EL33" i="5"/>
  <c r="EL39" i="5"/>
  <c r="EL51" i="5"/>
  <c r="EL57" i="5"/>
  <c r="DR57" i="5"/>
  <c r="BT63" i="5"/>
  <c r="DH153" i="5"/>
  <c r="DC158" i="5"/>
  <c r="L163" i="5"/>
  <c r="BT164" i="5"/>
  <c r="BY289" i="5"/>
  <c r="BT288" i="5"/>
  <c r="V18" i="5"/>
  <c r="AP18" i="5"/>
  <c r="CI19" i="5"/>
  <c r="CI18" i="5" s="1"/>
  <c r="CI13" i="5" s="1"/>
  <c r="DW19" i="5"/>
  <c r="DW18" i="5" s="1"/>
  <c r="DW13" i="5" s="1"/>
  <c r="EL20" i="5"/>
  <c r="DC27" i="5"/>
  <c r="DW27" i="5"/>
  <c r="BT28" i="5"/>
  <c r="DC33" i="5"/>
  <c r="BT34" i="5"/>
  <c r="DC39" i="5"/>
  <c r="DW39" i="5"/>
  <c r="BT40" i="5"/>
  <c r="CD45" i="5"/>
  <c r="CX45" i="5"/>
  <c r="DR45" i="5"/>
  <c r="CD51" i="5"/>
  <c r="CX51" i="5"/>
  <c r="DR51" i="5"/>
  <c r="CD57" i="5"/>
  <c r="EG62" i="5"/>
  <c r="EL67" i="5"/>
  <c r="CI73" i="5"/>
  <c r="DC73" i="5"/>
  <c r="DW73" i="5"/>
  <c r="BT73" i="5"/>
  <c r="EL74" i="5"/>
  <c r="BT84" i="5"/>
  <c r="BY98" i="5"/>
  <c r="BY108" i="5"/>
  <c r="BY118" i="5"/>
  <c r="CX120" i="5"/>
  <c r="L153" i="5"/>
  <c r="BT154" i="5"/>
  <c r="L158" i="5"/>
  <c r="BT159" i="5"/>
  <c r="DC168" i="5"/>
  <c r="DW168" i="5"/>
  <c r="BT173" i="5"/>
  <c r="EL173" i="5"/>
  <c r="AK215" i="5"/>
  <c r="BT231" i="5"/>
  <c r="BT216" i="5"/>
  <c r="BT237" i="5"/>
  <c r="BT247" i="5"/>
  <c r="EL253" i="5"/>
  <c r="AA285" i="5"/>
  <c r="EL291" i="5"/>
  <c r="G286" i="5"/>
  <c r="CX57" i="5"/>
  <c r="BY70" i="5"/>
  <c r="BY128" i="5"/>
  <c r="DW158" i="5"/>
  <c r="EL258" i="5"/>
  <c r="G18" i="5"/>
  <c r="AA18" i="5"/>
  <c r="AU18" i="5"/>
  <c r="BO18" i="5"/>
  <c r="L19" i="5"/>
  <c r="AF19" i="5"/>
  <c r="AZ19" i="5"/>
  <c r="CN19" i="5"/>
  <c r="CN18" i="5" s="1"/>
  <c r="CN13" i="5" s="1"/>
  <c r="EB19" i="5"/>
  <c r="EB18" i="5" s="1"/>
  <c r="EB13" i="5" s="1"/>
  <c r="EB12" i="5" s="1"/>
  <c r="L27" i="5"/>
  <c r="CN27" i="5"/>
  <c r="DH27" i="5"/>
  <c r="EB27" i="5"/>
  <c r="L33" i="5"/>
  <c r="CN33" i="5"/>
  <c r="DH33" i="5"/>
  <c r="EB33" i="5"/>
  <c r="L39" i="5"/>
  <c r="CN39" i="5"/>
  <c r="DH39" i="5"/>
  <c r="EB39" i="5"/>
  <c r="DC45" i="5"/>
  <c r="DW45" i="5"/>
  <c r="BT46" i="5"/>
  <c r="DC51" i="5"/>
  <c r="DW51" i="5"/>
  <c r="BT52" i="5"/>
  <c r="CN62" i="5"/>
  <c r="DM62" i="5"/>
  <c r="EL63" i="5"/>
  <c r="DW62" i="5"/>
  <c r="BY92" i="5"/>
  <c r="BY90" i="5" s="1"/>
  <c r="BT95" i="5"/>
  <c r="BY96" i="5"/>
  <c r="BY102" i="5"/>
  <c r="BY106" i="5"/>
  <c r="BT105" i="5"/>
  <c r="BY112" i="5"/>
  <c r="BT115" i="5"/>
  <c r="BY116" i="5"/>
  <c r="EB120" i="5"/>
  <c r="BT125" i="5"/>
  <c r="L137" i="5"/>
  <c r="BT138" i="5"/>
  <c r="EL164" i="5"/>
  <c r="EL169" i="5"/>
  <c r="CD168" i="5"/>
  <c r="DM178" i="5"/>
  <c r="BT192" i="5"/>
  <c r="BY194" i="5"/>
  <c r="EL206" i="5"/>
  <c r="CI215" i="5"/>
  <c r="CI14" i="5" s="1"/>
  <c r="DC215" i="5"/>
  <c r="DC14" i="5" s="1"/>
  <c r="DC12" i="5" s="1"/>
  <c r="DW215" i="5"/>
  <c r="DW14" i="5" s="1"/>
  <c r="EL221" i="5"/>
  <c r="EL243" i="5"/>
  <c r="CI242" i="5"/>
  <c r="BT252" i="5"/>
  <c r="BT219" i="5"/>
  <c r="BY256" i="5"/>
  <c r="BY258" i="5"/>
  <c r="BT280" i="5"/>
  <c r="BT294" i="5"/>
  <c r="EL300" i="5"/>
  <c r="DH16" i="5"/>
  <c r="DH12" i="5" s="1"/>
  <c r="Q19" i="5"/>
  <c r="DM19" i="5"/>
  <c r="DM18" i="5" s="1"/>
  <c r="DM13" i="5" s="1"/>
  <c r="DM12" i="5" s="1"/>
  <c r="EG19" i="5"/>
  <c r="EG18" i="5" s="1"/>
  <c r="EG13" i="5" s="1"/>
  <c r="EG12" i="5" s="1"/>
  <c r="BT20" i="5"/>
  <c r="EL22" i="5"/>
  <c r="Q27" i="5"/>
  <c r="Q33" i="5"/>
  <c r="EG33" i="5"/>
  <c r="Q39" i="5"/>
  <c r="L45" i="5"/>
  <c r="L51" i="5"/>
  <c r="L62" i="5"/>
  <c r="DC62" i="5"/>
  <c r="BT67" i="5"/>
  <c r="EB73" i="5"/>
  <c r="EL84" i="5"/>
  <c r="EL95" i="5"/>
  <c r="BY100" i="5"/>
  <c r="EL105" i="5"/>
  <c r="EL115" i="5"/>
  <c r="BT120" i="5"/>
  <c r="EL121" i="5"/>
  <c r="EL125" i="5"/>
  <c r="EL154" i="5"/>
  <c r="EL159" i="5"/>
  <c r="DH163" i="5"/>
  <c r="Q215" i="5"/>
  <c r="BE215" i="5"/>
  <c r="G215" i="5"/>
  <c r="AA215" i="5"/>
  <c r="AU215" i="5"/>
  <c r="BO215" i="5"/>
  <c r="BT242" i="5"/>
  <c r="BT275" i="5"/>
  <c r="BT131" i="5"/>
  <c r="EL137" i="5"/>
  <c r="CD153" i="5"/>
  <c r="DR153" i="5"/>
  <c r="CD158" i="5"/>
  <c r="CX158" i="5"/>
  <c r="DR158" i="5"/>
  <c r="CD163" i="5"/>
  <c r="CX173" i="5"/>
  <c r="EG178" i="5"/>
  <c r="V215" i="5"/>
  <c r="AP215" i="5"/>
  <c r="BJ215" i="5"/>
  <c r="EL217" i="5"/>
  <c r="BT218" i="5"/>
  <c r="EL219" i="5"/>
  <c r="EL231" i="5"/>
  <c r="EL237" i="5"/>
  <c r="EL275" i="5"/>
  <c r="AF285" i="5"/>
  <c r="BO286" i="5"/>
  <c r="BT326" i="5"/>
  <c r="BT344" i="5"/>
  <c r="V315" i="5"/>
  <c r="DM120" i="5"/>
  <c r="BY126" i="5"/>
  <c r="CI148" i="5"/>
  <c r="EL149" i="5"/>
  <c r="BT169" i="5"/>
  <c r="DC178" i="5"/>
  <c r="EL179" i="5"/>
  <c r="BY204" i="5"/>
  <c r="BT217" i="5"/>
  <c r="EL218" i="5"/>
  <c r="CI226" i="5"/>
  <c r="EL227" i="5"/>
  <c r="CI264" i="5"/>
  <c r="EL265" i="5"/>
  <c r="BY268" i="5"/>
  <c r="CI270" i="5"/>
  <c r="EL271" i="5"/>
  <c r="EL297" i="5"/>
  <c r="BT306" i="5"/>
  <c r="EL315" i="5"/>
  <c r="BT335" i="5"/>
  <c r="BT316" i="5"/>
  <c r="Q315" i="5"/>
  <c r="DX23" i="4"/>
  <c r="AL44" i="4"/>
  <c r="CT44" i="4"/>
  <c r="EH44" i="4"/>
  <c r="AB13" i="4"/>
  <c r="BP13" i="4"/>
  <c r="BP83" i="4" s="1"/>
  <c r="ET15" i="4"/>
  <c r="ET35" i="4"/>
  <c r="AV110" i="4"/>
  <c r="BU86" i="4"/>
  <c r="AL101" i="4"/>
  <c r="BF101" i="4"/>
  <c r="AQ44" i="4"/>
  <c r="W83" i="4"/>
  <c r="BK83" i="4"/>
  <c r="W94" i="4"/>
  <c r="AQ94" i="4"/>
  <c r="BK94" i="4"/>
  <c r="ET24" i="4"/>
  <c r="EM23" i="4"/>
  <c r="ET23" i="4" s="1"/>
  <c r="BP101" i="4"/>
  <c r="CO23" i="4"/>
  <c r="R83" i="4"/>
  <c r="AL83" i="4"/>
  <c r="BF83" i="4"/>
  <c r="CY77" i="4"/>
  <c r="ET13" i="4"/>
  <c r="DI23" i="4"/>
  <c r="BK106" i="4"/>
  <c r="AB83" i="4"/>
  <c r="AG94" i="4"/>
  <c r="BU94" i="4"/>
  <c r="AV101" i="4"/>
  <c r="AG106" i="4"/>
  <c r="R107" i="4"/>
  <c r="R35" i="4"/>
  <c r="R106" i="4" s="1"/>
  <c r="M110" i="4"/>
  <c r="BP110" i="4"/>
  <c r="M83" i="4"/>
  <c r="AG83" i="4"/>
  <c r="BA83" i="4"/>
  <c r="ET14" i="4"/>
  <c r="R24" i="4"/>
  <c r="AL24" i="4"/>
  <c r="BF24" i="4"/>
  <c r="M30" i="4"/>
  <c r="M101" i="4" s="1"/>
  <c r="AG30" i="4"/>
  <c r="AG101" i="4" s="1"/>
  <c r="BA30" i="4"/>
  <c r="BA101" i="4" s="1"/>
  <c r="BU30" i="4"/>
  <c r="BU101" i="4" s="1"/>
  <c r="DI30" i="4"/>
  <c r="ET31" i="4"/>
  <c r="M35" i="4"/>
  <c r="M106" i="4" s="1"/>
  <c r="AQ106" i="4"/>
  <c r="BP106" i="4"/>
  <c r="BU39" i="4"/>
  <c r="BU110" i="4" s="1"/>
  <c r="CY44" i="4"/>
  <c r="ET45" i="4"/>
  <c r="W67" i="4"/>
  <c r="AQ67" i="4"/>
  <c r="BK67" i="4"/>
  <c r="CE67" i="4"/>
  <c r="CY67" i="4"/>
  <c r="DS67" i="4"/>
  <c r="ET68" i="4"/>
  <c r="EM67" i="4"/>
  <c r="W84" i="4"/>
  <c r="W111" i="4"/>
  <c r="AV83" i="4"/>
  <c r="M94" i="4"/>
  <c r="BA94" i="4"/>
  <c r="AL107" i="4"/>
  <c r="AL35" i="4"/>
  <c r="AL106" i="4" s="1"/>
  <c r="BF107" i="4"/>
  <c r="BF35" i="4"/>
  <c r="BF106" i="4" s="1"/>
  <c r="EM52" i="4"/>
  <c r="ET52" i="4" s="1"/>
  <c r="ET53" i="4"/>
  <c r="M84" i="4"/>
  <c r="AG84" i="4"/>
  <c r="BA84" i="4"/>
  <c r="BU14" i="4"/>
  <c r="BU85" i="4"/>
  <c r="BU89" i="4"/>
  <c r="BU91" i="4"/>
  <c r="R95" i="4"/>
  <c r="BF95" i="4"/>
  <c r="AG96" i="4"/>
  <c r="BU96" i="4"/>
  <c r="AB98" i="4"/>
  <c r="AV98" i="4"/>
  <c r="BP98" i="4"/>
  <c r="W99" i="4"/>
  <c r="AQ99" i="4"/>
  <c r="BK99" i="4"/>
  <c r="R30" i="4"/>
  <c r="R101" i="4" s="1"/>
  <c r="M102" i="4"/>
  <c r="AG102" i="4"/>
  <c r="BA102" i="4"/>
  <c r="BU102" i="4"/>
  <c r="AV103" i="4"/>
  <c r="W104" i="4"/>
  <c r="BK104" i="4"/>
  <c r="ET33" i="4"/>
  <c r="W35" i="4"/>
  <c r="W106" i="4" s="1"/>
  <c r="AV106" i="4"/>
  <c r="BU35" i="4"/>
  <c r="BU106" i="4" s="1"/>
  <c r="AB107" i="4"/>
  <c r="AV107" i="4"/>
  <c r="BP107" i="4"/>
  <c r="W108" i="4"/>
  <c r="AQ108" i="4"/>
  <c r="BK108" i="4"/>
  <c r="ET37" i="4"/>
  <c r="AB110" i="4"/>
  <c r="BA39" i="4"/>
  <c r="BA110" i="4" s="1"/>
  <c r="W110" i="4"/>
  <c r="AQ111" i="4"/>
  <c r="AQ39" i="4"/>
  <c r="AQ110" i="4" s="1"/>
  <c r="BK110" i="4"/>
  <c r="ET40" i="4"/>
  <c r="H45" i="4"/>
  <c r="H44" i="4" s="1"/>
  <c r="H77" i="4" s="1"/>
  <c r="AB45" i="4"/>
  <c r="AB44" i="4" s="1"/>
  <c r="AV45" i="4"/>
  <c r="AV44" i="4" s="1"/>
  <c r="BP45" i="4"/>
  <c r="BP44" i="4" s="1"/>
  <c r="CJ45" i="4"/>
  <c r="CJ44" i="4" s="1"/>
  <c r="CJ77" i="4" s="1"/>
  <c r="DD45" i="4"/>
  <c r="DD44" i="4" s="1"/>
  <c r="DD77" i="4" s="1"/>
  <c r="DX45" i="4"/>
  <c r="DX44" i="4" s="1"/>
  <c r="DX77" i="4" s="1"/>
  <c r="ET46" i="4"/>
  <c r="CO52" i="4"/>
  <c r="CO44" i="4" s="1"/>
  <c r="DI52" i="4"/>
  <c r="DI44" i="4" s="1"/>
  <c r="DI77" i="4" s="1"/>
  <c r="EC52" i="4"/>
  <c r="EC44" i="4" s="1"/>
  <c r="BK84" i="4"/>
  <c r="M107" i="4"/>
  <c r="BK111" i="4"/>
  <c r="AQ13" i="4"/>
  <c r="R84" i="4"/>
  <c r="BW84" i="4" s="1"/>
  <c r="AL84" i="4"/>
  <c r="BF84" i="4"/>
  <c r="M23" i="4"/>
  <c r="M93" i="4" s="1"/>
  <c r="AB24" i="4"/>
  <c r="AV24" i="4"/>
  <c r="BP24" i="4"/>
  <c r="W95" i="4"/>
  <c r="AQ95" i="4"/>
  <c r="BK95" i="4"/>
  <c r="R96" i="4"/>
  <c r="AL96" i="4"/>
  <c r="BF96" i="4"/>
  <c r="M98" i="4"/>
  <c r="BA98" i="4"/>
  <c r="AB99" i="4"/>
  <c r="BP99" i="4"/>
  <c r="W30" i="4"/>
  <c r="W101" i="4" s="1"/>
  <c r="AQ30" i="4"/>
  <c r="AQ101" i="4" s="1"/>
  <c r="BK30" i="4"/>
  <c r="BK101" i="4" s="1"/>
  <c r="AL102" i="4"/>
  <c r="M103" i="4"/>
  <c r="AG103" i="4"/>
  <c r="BA103" i="4"/>
  <c r="BU103" i="4"/>
  <c r="AB104" i="4"/>
  <c r="AV104" i="4"/>
  <c r="AB106" i="4"/>
  <c r="BA35" i="4"/>
  <c r="BA106" i="4" s="1"/>
  <c r="AG107" i="4"/>
  <c r="BU107" i="4"/>
  <c r="AV108" i="4"/>
  <c r="AG39" i="4"/>
  <c r="AG110" i="4" s="1"/>
  <c r="BF39" i="4"/>
  <c r="BF110" i="4" s="1"/>
  <c r="CE44" i="4"/>
  <c r="CE77" i="4" s="1"/>
  <c r="DS44" i="4"/>
  <c r="BP104" i="4"/>
  <c r="AB111" i="4"/>
  <c r="AV111" i="4"/>
  <c r="BP111" i="4"/>
  <c r="R67" i="4"/>
  <c r="AL67" i="4"/>
  <c r="BF67" i="4"/>
  <c r="BZ67" i="4"/>
  <c r="BZ77" i="4" s="1"/>
  <c r="CT67" i="4"/>
  <c r="CT77" i="4" s="1"/>
  <c r="DN67" i="4"/>
  <c r="DN77" i="4" s="1"/>
  <c r="EH67" i="4"/>
  <c r="EH77" i="4" s="1"/>
  <c r="M67" i="4"/>
  <c r="AG67" i="4"/>
  <c r="BA67" i="4"/>
  <c r="BU67" i="4"/>
  <c r="CO67" i="4"/>
  <c r="DI67" i="4"/>
  <c r="EC67" i="4"/>
  <c r="ET72" i="4"/>
  <c r="BW85" i="4"/>
  <c r="BW122" i="4"/>
  <c r="BW113" i="4" s="1"/>
  <c r="BT64" i="3"/>
  <c r="I48" i="3"/>
  <c r="AC48" i="3"/>
  <c r="AW48" i="3"/>
  <c r="AW68" i="3" s="1"/>
  <c r="AW72" i="3" s="1"/>
  <c r="BQ48" i="3"/>
  <c r="BU48" i="3"/>
  <c r="N48" i="3"/>
  <c r="AH48" i="3"/>
  <c r="BR48" i="3"/>
  <c r="BV14" i="3"/>
  <c r="BB48" i="3"/>
  <c r="BV18" i="3"/>
  <c r="BV20" i="3"/>
  <c r="BV22" i="3"/>
  <c r="BV30" i="3"/>
  <c r="BV32" i="3"/>
  <c r="BV36" i="3"/>
  <c r="BV40" i="3"/>
  <c r="BV44" i="3"/>
  <c r="BV51" i="3"/>
  <c r="AC64" i="3"/>
  <c r="AW64" i="3"/>
  <c r="BQ64" i="3"/>
  <c r="BV59" i="3"/>
  <c r="X64" i="3"/>
  <c r="BL64" i="3"/>
  <c r="BV7" i="3"/>
  <c r="BV15" i="3"/>
  <c r="BV23" i="3"/>
  <c r="BV27" i="3"/>
  <c r="BV33" i="3"/>
  <c r="BV41" i="3"/>
  <c r="E68" i="3"/>
  <c r="E72" i="3" s="1"/>
  <c r="M68" i="3"/>
  <c r="M72" i="3" s="1"/>
  <c r="BR53" i="3"/>
  <c r="AR64" i="3"/>
  <c r="BV38" i="3"/>
  <c r="BV46" i="3"/>
  <c r="BV56" i="3"/>
  <c r="BV61" i="3"/>
  <c r="BV66" i="3"/>
  <c r="I68" i="3"/>
  <c r="I72" i="3" s="1"/>
  <c r="BV12" i="3"/>
  <c r="BV13" i="3"/>
  <c r="BV21" i="3"/>
  <c r="L68" i="3"/>
  <c r="L72" i="3" s="1"/>
  <c r="P68" i="3"/>
  <c r="P72" i="3" s="1"/>
  <c r="S48" i="3"/>
  <c r="AM48" i="3"/>
  <c r="BG48" i="3"/>
  <c r="BS48" i="3"/>
  <c r="BV16" i="3"/>
  <c r="BV24" i="3"/>
  <c r="BV26" i="3"/>
  <c r="BV39" i="3"/>
  <c r="AB68" i="3"/>
  <c r="AB72" i="3" s="1"/>
  <c r="AZ68" i="3"/>
  <c r="AZ72" i="3" s="1"/>
  <c r="BV52" i="3"/>
  <c r="R64" i="3"/>
  <c r="R68" i="3" s="1"/>
  <c r="R72" i="3" s="1"/>
  <c r="AH64" i="3"/>
  <c r="AH68" i="3" s="1"/>
  <c r="AH72" i="3" s="1"/>
  <c r="BB64" i="3"/>
  <c r="BB68" i="3" s="1"/>
  <c r="BB72" i="3" s="1"/>
  <c r="BR64" i="3"/>
  <c r="BR68" i="3" s="1"/>
  <c r="BR72" i="3" s="1"/>
  <c r="I53" i="3"/>
  <c r="I64" i="3" s="1"/>
  <c r="BV55" i="3"/>
  <c r="BV53" i="3" s="1"/>
  <c r="BV60" i="3"/>
  <c r="BV63" i="3"/>
  <c r="X48" i="3"/>
  <c r="X68" i="3" s="1"/>
  <c r="X72" i="3" s="1"/>
  <c r="AR48" i="3"/>
  <c r="AR68" i="3" s="1"/>
  <c r="AR72" i="3" s="1"/>
  <c r="BL48" i="3"/>
  <c r="BT48" i="3"/>
  <c r="BT68" i="3" s="1"/>
  <c r="BT72" i="3" s="1"/>
  <c r="BV8" i="3"/>
  <c r="BV10" i="3"/>
  <c r="BV28" i="3"/>
  <c r="BV31" i="3"/>
  <c r="BV34" i="3"/>
  <c r="BV37" i="3"/>
  <c r="BV42" i="3"/>
  <c r="BV45" i="3"/>
  <c r="K68" i="3"/>
  <c r="K72" i="3" s="1"/>
  <c r="T68" i="3"/>
  <c r="T72" i="3" s="1"/>
  <c r="S64" i="3"/>
  <c r="AM64" i="3"/>
  <c r="BG64" i="3"/>
  <c r="BS64" i="3"/>
  <c r="BU58" i="3"/>
  <c r="BU64" i="3" s="1"/>
  <c r="BU68" i="3" s="1"/>
  <c r="BU72" i="3" s="1"/>
  <c r="N53" i="3"/>
  <c r="N58" i="3"/>
  <c r="AD75" i="2"/>
  <c r="AD77" i="2" s="1"/>
  <c r="O75" i="2"/>
  <c r="O77" i="2" s="1"/>
  <c r="U50" i="2"/>
  <c r="AO72" i="2"/>
  <c r="U120" i="2"/>
  <c r="AO120" i="2"/>
  <c r="AN50" i="2"/>
  <c r="T75" i="2"/>
  <c r="T77" i="2" s="1"/>
  <c r="T114" i="2" s="1"/>
  <c r="T116" i="2" s="1"/>
  <c r="T140" i="2" s="1"/>
  <c r="T146" i="2" s="1"/>
  <c r="T158" i="2" s="1"/>
  <c r="T161" i="2" s="1"/>
  <c r="AC6" i="2"/>
  <c r="AC75" i="2" s="1"/>
  <c r="AC77" i="2" s="1"/>
  <c r="AC114" i="2" s="1"/>
  <c r="AC116" i="2" s="1"/>
  <c r="AG6" i="2"/>
  <c r="AG75" i="2" s="1"/>
  <c r="AG77" i="2" s="1"/>
  <c r="AG114" i="2" s="1"/>
  <c r="AG116" i="2" s="1"/>
  <c r="Z96" i="2"/>
  <c r="Z80" i="2" s="1"/>
  <c r="Z118" i="2" s="1"/>
  <c r="Z117" i="2" s="1"/>
  <c r="AD96" i="2"/>
  <c r="AD80" i="2" s="1"/>
  <c r="AD118" i="2" s="1"/>
  <c r="AD117" i="2" s="1"/>
  <c r="AH96" i="2"/>
  <c r="AH80" i="2" s="1"/>
  <c r="AH118" i="2" s="1"/>
  <c r="AH117" i="2" s="1"/>
  <c r="V75" i="2"/>
  <c r="H30" i="2"/>
  <c r="U31" i="2"/>
  <c r="AN31" i="2" s="1"/>
  <c r="AN32" i="2"/>
  <c r="AB118" i="2"/>
  <c r="AB117" i="2" s="1"/>
  <c r="AF118" i="2"/>
  <c r="AF117" i="2" s="1"/>
  <c r="AI118" i="2"/>
  <c r="AI9" i="2"/>
  <c r="X7" i="2"/>
  <c r="X6" i="2" s="1"/>
  <c r="X75" i="2" s="1"/>
  <c r="X77" i="2" s="1"/>
  <c r="X114" i="2" s="1"/>
  <c r="X116" i="2" s="1"/>
  <c r="AB7" i="2"/>
  <c r="AB6" i="2" s="1"/>
  <c r="AB75" i="2" s="1"/>
  <c r="AB77" i="2" s="1"/>
  <c r="AB114" i="2" s="1"/>
  <c r="AB116" i="2" s="1"/>
  <c r="AB140" i="2" s="1"/>
  <c r="AB146" i="2" s="1"/>
  <c r="AB158" i="2" s="1"/>
  <c r="AF75" i="2"/>
  <c r="AF77" i="2" s="1"/>
  <c r="AF114" i="2" s="1"/>
  <c r="AF116" i="2" s="1"/>
  <c r="AF140" i="2" s="1"/>
  <c r="AF146" i="2" s="1"/>
  <c r="AF158" i="2" s="1"/>
  <c r="AI64" i="2"/>
  <c r="AO64" i="2" s="1"/>
  <c r="AA114" i="2"/>
  <c r="AA116" i="2" s="1"/>
  <c r="AA140" i="2" s="1"/>
  <c r="AA146" i="2" s="1"/>
  <c r="AA158" i="2" s="1"/>
  <c r="X118" i="2"/>
  <c r="X117" i="2" s="1"/>
  <c r="Z75" i="2"/>
  <c r="Z77" i="2" s="1"/>
  <c r="Z114" i="2" s="1"/>
  <c r="Z116" i="2" s="1"/>
  <c r="Z140" i="2" s="1"/>
  <c r="Z146" i="2" s="1"/>
  <c r="Z158" i="2" s="1"/>
  <c r="AH75" i="2"/>
  <c r="AH77" i="2" s="1"/>
  <c r="J75" i="2"/>
  <c r="J77" i="2" s="1"/>
  <c r="J114" i="2" s="1"/>
  <c r="J116" i="2" s="1"/>
  <c r="J140" i="2" s="1"/>
  <c r="J146" i="2" s="1"/>
  <c r="J158" i="2" s="1"/>
  <c r="J161" i="2" s="1"/>
  <c r="N75" i="2"/>
  <c r="N77" i="2" s="1"/>
  <c r="N114" i="2" s="1"/>
  <c r="N116" i="2" s="1"/>
  <c r="N140" i="2" s="1"/>
  <c r="N146" i="2" s="1"/>
  <c r="N158" i="2" s="1"/>
  <c r="N161" i="2" s="1"/>
  <c r="R75" i="2"/>
  <c r="R77" i="2" s="1"/>
  <c r="R114" i="2" s="1"/>
  <c r="R116" i="2" s="1"/>
  <c r="R140" i="2" s="1"/>
  <c r="R146" i="2" s="1"/>
  <c r="R158" i="2" s="1"/>
  <c r="R161" i="2" s="1"/>
  <c r="U37" i="2"/>
  <c r="AN37" i="2" s="1"/>
  <c r="U7" i="2"/>
  <c r="U6" i="2" s="1"/>
  <c r="AN8" i="2"/>
  <c r="AG140" i="2"/>
  <c r="AG146" i="2" s="1"/>
  <c r="AG158" i="2" s="1"/>
  <c r="AO31" i="2"/>
  <c r="AI37" i="2"/>
  <c r="AI30" i="2" s="1"/>
  <c r="AO30" i="2" s="1"/>
  <c r="AO94" i="2"/>
  <c r="M118" i="2"/>
  <c r="M117" i="2" s="1"/>
  <c r="M114" i="2"/>
  <c r="M116" i="2" s="1"/>
  <c r="Q118" i="2"/>
  <c r="Q117" i="2" s="1"/>
  <c r="Q114" i="2"/>
  <c r="Q116" i="2" s="1"/>
  <c r="Q140" i="2" s="1"/>
  <c r="Q146" i="2" s="1"/>
  <c r="Q158" i="2" s="1"/>
  <c r="Q161" i="2" s="1"/>
  <c r="U96" i="2"/>
  <c r="U80" i="2" s="1"/>
  <c r="H6" i="2"/>
  <c r="W114" i="2"/>
  <c r="W116" i="2" s="1"/>
  <c r="W140" i="2" s="1"/>
  <c r="W146" i="2" s="1"/>
  <c r="I118" i="2"/>
  <c r="I117" i="2" s="1"/>
  <c r="I114" i="2"/>
  <c r="I116" i="2" s="1"/>
  <c r="I140" i="2" s="1"/>
  <c r="I146" i="2" s="1"/>
  <c r="I158" i="2" s="1"/>
  <c r="I161" i="2" s="1"/>
  <c r="AI96" i="2"/>
  <c r="AO96" i="2" s="1"/>
  <c r="Y114" i="2"/>
  <c r="Y116" i="2" s="1"/>
  <c r="AE114" i="2"/>
  <c r="AE116" i="2" s="1"/>
  <c r="AE140" i="2" s="1"/>
  <c r="AE146" i="2" s="1"/>
  <c r="AE158" i="2" s="1"/>
  <c r="AI100" i="2"/>
  <c r="AO100" i="2" s="1"/>
  <c r="K114" i="2"/>
  <c r="K116" i="2" s="1"/>
  <c r="K140" i="2" s="1"/>
  <c r="K146" i="2" s="1"/>
  <c r="K158" i="2" s="1"/>
  <c r="K161" i="2" s="1"/>
  <c r="O114" i="2"/>
  <c r="O116" i="2" s="1"/>
  <c r="O140" i="2" s="1"/>
  <c r="O146" i="2" s="1"/>
  <c r="O158" i="2" s="1"/>
  <c r="O161" i="2" s="1"/>
  <c r="S114" i="2"/>
  <c r="S116" i="2" s="1"/>
  <c r="S140" i="2" s="1"/>
  <c r="S146" i="2" s="1"/>
  <c r="S158" i="2" s="1"/>
  <c r="S161" i="2" s="1"/>
  <c r="L114" i="2"/>
  <c r="L116" i="2" s="1"/>
  <c r="L140" i="2" s="1"/>
  <c r="L146" i="2" s="1"/>
  <c r="L158" i="2" s="1"/>
  <c r="L161" i="2" s="1"/>
  <c r="P114" i="2"/>
  <c r="P116" i="2" s="1"/>
  <c r="P140" i="2" s="1"/>
  <c r="P146" i="2" s="1"/>
  <c r="P158" i="2" s="1"/>
  <c r="P161" i="2" s="1"/>
  <c r="Y118" i="2"/>
  <c r="Y117" i="2" s="1"/>
  <c r="AC118" i="2"/>
  <c r="AC117" i="2" s="1"/>
  <c r="I11" i="1"/>
  <c r="I34" i="1" s="1"/>
  <c r="I52" i="1" s="1"/>
  <c r="J52" i="1"/>
  <c r="N52" i="1"/>
  <c r="R52" i="1"/>
  <c r="Z52" i="1"/>
  <c r="AD52" i="1"/>
  <c r="AH47" i="1"/>
  <c r="K52" i="1"/>
  <c r="O52" i="1"/>
  <c r="S52" i="1"/>
  <c r="U34" i="1"/>
  <c r="T47" i="1"/>
  <c r="T11" i="1"/>
  <c r="T34" i="1" s="1"/>
  <c r="T52" i="1" s="1"/>
  <c r="T15" i="1"/>
  <c r="U52" i="1"/>
  <c r="AH11" i="1"/>
  <c r="W11" i="1"/>
  <c r="W34" i="1" s="1"/>
  <c r="AH9" i="1"/>
  <c r="W47" i="1"/>
  <c r="H47" i="1"/>
  <c r="H15" i="1"/>
  <c r="H11" i="1" s="1"/>
  <c r="H34" i="1" s="1"/>
  <c r="H52" i="1" s="1"/>
  <c r="V15" i="1"/>
  <c r="V11" i="1" s="1"/>
  <c r="V34" i="1" s="1"/>
  <c r="V52" i="1" s="1"/>
  <c r="CN12" i="5" l="1"/>
  <c r="BV68" i="10"/>
  <c r="BX68" i="10" s="1"/>
  <c r="BX52" i="10"/>
  <c r="BX47" i="10"/>
  <c r="AD33" i="9"/>
  <c r="T31" i="9"/>
  <c r="AC33" i="9"/>
  <c r="T16" i="9"/>
  <c r="AL47" i="9"/>
  <c r="AK47" i="9"/>
  <c r="M87" i="9"/>
  <c r="H87" i="9"/>
  <c r="Q87" i="9"/>
  <c r="AL36" i="9"/>
  <c r="AK36" i="9"/>
  <c r="AK61" i="9"/>
  <c r="AL61" i="9"/>
  <c r="AH59" i="9"/>
  <c r="L33" i="9"/>
  <c r="T47" i="9"/>
  <c r="AG33" i="9"/>
  <c r="AK16" i="9"/>
  <c r="AL16" i="9"/>
  <c r="I14" i="9"/>
  <c r="R91" i="9"/>
  <c r="I91" i="9"/>
  <c r="AE33" i="9"/>
  <c r="AF38" i="9"/>
  <c r="X38" i="9"/>
  <c r="AL10" i="9"/>
  <c r="AK10" i="9"/>
  <c r="AH31" i="9"/>
  <c r="O91" i="9"/>
  <c r="AL14" i="9"/>
  <c r="AK14" i="9"/>
  <c r="AJ12" i="9"/>
  <c r="T99" i="9"/>
  <c r="X93" i="9"/>
  <c r="S59" i="9"/>
  <c r="T52" i="9"/>
  <c r="AL85" i="9"/>
  <c r="AK85" i="9"/>
  <c r="T68" i="9"/>
  <c r="H38" i="9"/>
  <c r="AK94" i="9"/>
  <c r="AH93" i="9"/>
  <c r="AA33" i="9"/>
  <c r="AK100" i="9"/>
  <c r="AH99" i="9"/>
  <c r="AK99" i="9" s="1"/>
  <c r="I59" i="9"/>
  <c r="P33" i="9"/>
  <c r="N91" i="9"/>
  <c r="AL68" i="9"/>
  <c r="AK68" i="9"/>
  <c r="W33" i="9"/>
  <c r="AB38" i="9"/>
  <c r="T38" i="9"/>
  <c r="T14" i="9"/>
  <c r="S91" i="9"/>
  <c r="K91" i="9"/>
  <c r="AL40" i="9"/>
  <c r="AH38" i="9"/>
  <c r="AK40" i="9"/>
  <c r="AL12" i="9"/>
  <c r="AK12" i="9"/>
  <c r="AL52" i="9"/>
  <c r="AK52" i="9"/>
  <c r="AB53" i="8"/>
  <c r="CT40" i="8"/>
  <c r="AB54" i="8"/>
  <c r="AB12" i="8"/>
  <c r="AB40" i="8" s="1"/>
  <c r="BP81" i="8"/>
  <c r="EH40" i="8"/>
  <c r="BK54" i="8"/>
  <c r="BK12" i="8"/>
  <c r="AG54" i="8"/>
  <c r="AG12" i="8"/>
  <c r="AL12" i="8"/>
  <c r="AL54" i="8"/>
  <c r="R12" i="8"/>
  <c r="R54" i="8"/>
  <c r="BU54" i="8"/>
  <c r="BU12" i="8"/>
  <c r="AV81" i="8"/>
  <c r="AQ12" i="8"/>
  <c r="AQ54" i="8"/>
  <c r="BU68" i="8"/>
  <c r="EM40" i="8"/>
  <c r="W54" i="8"/>
  <c r="W12" i="8"/>
  <c r="BA54" i="8"/>
  <c r="BA12" i="8"/>
  <c r="BF12" i="8"/>
  <c r="BF54" i="8"/>
  <c r="CO54" i="8"/>
  <c r="CD103" i="7"/>
  <c r="BE15" i="7"/>
  <c r="Q15" i="7"/>
  <c r="AU14" i="7"/>
  <c r="AZ103" i="7"/>
  <c r="Q105" i="7"/>
  <c r="AP15" i="7"/>
  <c r="AZ12" i="7"/>
  <c r="AA14" i="7"/>
  <c r="BY74" i="7"/>
  <c r="BY78" i="7"/>
  <c r="AK15" i="7"/>
  <c r="AF14" i="7"/>
  <c r="CX103" i="7"/>
  <c r="BO14" i="7"/>
  <c r="V104" i="7"/>
  <c r="V105" i="7"/>
  <c r="AK106" i="7"/>
  <c r="BJ105" i="7"/>
  <c r="BJ106" i="7"/>
  <c r="V106" i="7"/>
  <c r="AA104" i="7"/>
  <c r="AP17" i="7"/>
  <c r="AF12" i="7"/>
  <c r="EL108" i="7"/>
  <c r="AK103" i="7"/>
  <c r="BE17" i="7"/>
  <c r="EL13" i="7"/>
  <c r="BJ17" i="7"/>
  <c r="AF105" i="7"/>
  <c r="EL105" i="7"/>
  <c r="Q104" i="7"/>
  <c r="BO103" i="7"/>
  <c r="V17" i="7"/>
  <c r="L12" i="7"/>
  <c r="BY19" i="7"/>
  <c r="AK17" i="7"/>
  <c r="Q106" i="7"/>
  <c r="L105" i="7"/>
  <c r="EL14" i="7"/>
  <c r="BE106" i="7"/>
  <c r="AP106" i="7"/>
  <c r="BE104" i="7"/>
  <c r="BT103" i="7"/>
  <c r="AP103" i="7"/>
  <c r="EL106" i="7"/>
  <c r="Q17" i="7"/>
  <c r="BY37" i="7"/>
  <c r="BY40" i="6"/>
  <c r="BY32" i="6"/>
  <c r="EL122" i="6"/>
  <c r="AA12" i="6"/>
  <c r="BE12" i="6"/>
  <c r="AZ12" i="6"/>
  <c r="BJ16" i="6"/>
  <c r="V16" i="6"/>
  <c r="BO16" i="6"/>
  <c r="AA16" i="6"/>
  <c r="BT65" i="6"/>
  <c r="BY33" i="6"/>
  <c r="L15" i="6"/>
  <c r="BY35" i="6"/>
  <c r="BY31" i="6"/>
  <c r="EL13" i="6"/>
  <c r="AF16" i="6"/>
  <c r="BT13" i="6"/>
  <c r="AK12" i="6"/>
  <c r="EL30" i="6"/>
  <c r="AP16" i="6"/>
  <c r="AF15" i="6"/>
  <c r="AU16" i="6"/>
  <c r="Q12" i="6"/>
  <c r="BT122" i="6"/>
  <c r="EL65" i="6"/>
  <c r="V12" i="6"/>
  <c r="AP15" i="6"/>
  <c r="BT30" i="6"/>
  <c r="CX12" i="5"/>
  <c r="AU285" i="5"/>
  <c r="AP286" i="5"/>
  <c r="AP16" i="5"/>
  <c r="L286" i="5"/>
  <c r="L16" i="5"/>
  <c r="CD286" i="5"/>
  <c r="CD285" i="5" s="1"/>
  <c r="CD15" i="5" s="1"/>
  <c r="CD16" i="5"/>
  <c r="BY264" i="5"/>
  <c r="BY219" i="5"/>
  <c r="EL226" i="5"/>
  <c r="V286" i="5"/>
  <c r="V16" i="5"/>
  <c r="AF15" i="5"/>
  <c r="V14" i="5"/>
  <c r="AU14" i="5"/>
  <c r="G14" i="5"/>
  <c r="BY192" i="5"/>
  <c r="EL158" i="5"/>
  <c r="EL153" i="5"/>
  <c r="EL120" i="5"/>
  <c r="EL163" i="5"/>
  <c r="BY105" i="5"/>
  <c r="BY95" i="5"/>
  <c r="BT51" i="5"/>
  <c r="AZ18" i="5"/>
  <c r="AU13" i="5"/>
  <c r="EL252" i="5"/>
  <c r="CI12" i="5"/>
  <c r="BY286" i="5"/>
  <c r="BY285" i="5" s="1"/>
  <c r="BY15" i="5" s="1"/>
  <c r="BY288" i="5"/>
  <c r="BT163" i="5"/>
  <c r="Q286" i="5"/>
  <c r="Q16" i="5"/>
  <c r="EL264" i="5"/>
  <c r="BT168" i="5"/>
  <c r="EL148" i="5"/>
  <c r="BY252" i="5"/>
  <c r="BT137" i="5"/>
  <c r="BY20" i="5"/>
  <c r="BT45" i="5"/>
  <c r="AF18" i="5"/>
  <c r="AA13" i="5"/>
  <c r="AA15" i="5"/>
  <c r="EL73" i="5"/>
  <c r="BT33" i="5"/>
  <c r="AP13" i="5"/>
  <c r="BT315" i="5"/>
  <c r="EL286" i="5"/>
  <c r="EL270" i="5"/>
  <c r="EL178" i="5"/>
  <c r="BY125" i="5"/>
  <c r="BJ14" i="5"/>
  <c r="BO14" i="5"/>
  <c r="AA14" i="5"/>
  <c r="BE14" i="5"/>
  <c r="Q23" i="5"/>
  <c r="Q18" i="5"/>
  <c r="BY115" i="5"/>
  <c r="EL62" i="5"/>
  <c r="L18" i="5"/>
  <c r="G13" i="5"/>
  <c r="EL216" i="5"/>
  <c r="G285" i="5"/>
  <c r="BT215" i="5"/>
  <c r="BT153" i="5"/>
  <c r="BT39" i="5"/>
  <c r="BT27" i="5"/>
  <c r="V13" i="5"/>
  <c r="BT62" i="5"/>
  <c r="EL19" i="5"/>
  <c r="BO285" i="5"/>
  <c r="AP14" i="5"/>
  <c r="Q14" i="5"/>
  <c r="BY19" i="5"/>
  <c r="EL242" i="5"/>
  <c r="EL168" i="5"/>
  <c r="BO13" i="5"/>
  <c r="BY21" i="5"/>
  <c r="BY67" i="5"/>
  <c r="AU15" i="5"/>
  <c r="AK14" i="5"/>
  <c r="BT158" i="5"/>
  <c r="DW12" i="5"/>
  <c r="BT19" i="5"/>
  <c r="BZ83" i="4"/>
  <c r="DS77" i="4"/>
  <c r="EC77" i="4"/>
  <c r="AB94" i="4"/>
  <c r="AB23" i="4"/>
  <c r="M77" i="4"/>
  <c r="BU23" i="4"/>
  <c r="BU93" i="4" s="1"/>
  <c r="AL94" i="4"/>
  <c r="AL23" i="4"/>
  <c r="W23" i="4"/>
  <c r="AQ83" i="4"/>
  <c r="BW83" i="4" s="1"/>
  <c r="BW82" i="4" s="1"/>
  <c r="BW81" i="4" s="1"/>
  <c r="BW147" i="4" s="1"/>
  <c r="BP94" i="4"/>
  <c r="BP23" i="4"/>
  <c r="BA23" i="4"/>
  <c r="R94" i="4"/>
  <c r="R23" i="4"/>
  <c r="BK23" i="4"/>
  <c r="EM44" i="4"/>
  <c r="ET44" i="4" s="1"/>
  <c r="BF94" i="4"/>
  <c r="BF23" i="4"/>
  <c r="CO77" i="4"/>
  <c r="AV94" i="4"/>
  <c r="AV23" i="4"/>
  <c r="AG23" i="4"/>
  <c r="BU84" i="4"/>
  <c r="BU13" i="4"/>
  <c r="ET67" i="4"/>
  <c r="AQ23" i="4"/>
  <c r="AQ93" i="4" s="1"/>
  <c r="AC68" i="3"/>
  <c r="AC72" i="3" s="1"/>
  <c r="BL68" i="3"/>
  <c r="BL72" i="3" s="1"/>
  <c r="BG68" i="3"/>
  <c r="BG72" i="3" s="1"/>
  <c r="BQ68" i="3"/>
  <c r="BQ72" i="3" s="1"/>
  <c r="BV48" i="3"/>
  <c r="AM68" i="3"/>
  <c r="AM72" i="3" s="1"/>
  <c r="BV58" i="3"/>
  <c r="N64" i="3"/>
  <c r="N68" i="3" s="1"/>
  <c r="N72" i="3" s="1"/>
  <c r="S68" i="3"/>
  <c r="S72" i="3" s="1"/>
  <c r="BS68" i="3"/>
  <c r="BS72" i="3" s="1"/>
  <c r="AD114" i="2"/>
  <c r="AD116" i="2" s="1"/>
  <c r="X140" i="2"/>
  <c r="X146" i="2" s="1"/>
  <c r="X158" i="2" s="1"/>
  <c r="Y140" i="2"/>
  <c r="Y146" i="2" s="1"/>
  <c r="Y158" i="2" s="1"/>
  <c r="AH114" i="2"/>
  <c r="AH116" i="2" s="1"/>
  <c r="AH140" i="2" s="1"/>
  <c r="AH146" i="2" s="1"/>
  <c r="AH158" i="2" s="1"/>
  <c r="U118" i="2"/>
  <c r="U117" i="2" s="1"/>
  <c r="H75" i="2"/>
  <c r="H77" i="2" s="1"/>
  <c r="H114" i="2" s="1"/>
  <c r="AN6" i="2"/>
  <c r="AI80" i="2"/>
  <c r="AC140" i="2"/>
  <c r="AC146" i="2" s="1"/>
  <c r="AC158" i="2" s="1"/>
  <c r="AD140" i="2"/>
  <c r="AD146" i="2" s="1"/>
  <c r="AD158" i="2" s="1"/>
  <c r="AO37" i="2"/>
  <c r="AO9" i="2"/>
  <c r="AI7" i="2"/>
  <c r="W158" i="2"/>
  <c r="W161" i="2" s="1"/>
  <c r="W148" i="2"/>
  <c r="M140" i="2"/>
  <c r="M146" i="2" s="1"/>
  <c r="M158" i="2" s="1"/>
  <c r="M161" i="2" s="1"/>
  <c r="AN7" i="2"/>
  <c r="AO118" i="2"/>
  <c r="AI117" i="2"/>
  <c r="AO117" i="2" s="1"/>
  <c r="U30" i="2"/>
  <c r="U75" i="2" s="1"/>
  <c r="U77" i="2" s="1"/>
  <c r="U114" i="2" s="1"/>
  <c r="U116" i="2" s="1"/>
  <c r="U140" i="2" s="1"/>
  <c r="U146" i="2" s="1"/>
  <c r="U158" i="2" s="1"/>
  <c r="U161" i="2" s="1"/>
  <c r="AR94" i="2"/>
  <c r="AR115" i="2" s="1"/>
  <c r="V77" i="2"/>
  <c r="AH34" i="1"/>
  <c r="AH52" i="1" s="1"/>
  <c r="W52" i="1"/>
  <c r="CD12" i="5" l="1"/>
  <c r="BV73" i="10"/>
  <c r="K87" i="9"/>
  <c r="X91" i="9"/>
  <c r="Q83" i="9"/>
  <c r="M83" i="9"/>
  <c r="O87" i="9"/>
  <c r="I87" i="9"/>
  <c r="AL38" i="9"/>
  <c r="AK38" i="9"/>
  <c r="S87" i="9"/>
  <c r="T59" i="9"/>
  <c r="T91" i="9"/>
  <c r="AL59" i="9"/>
  <c r="AK59" i="9"/>
  <c r="H83" i="9"/>
  <c r="AB33" i="9"/>
  <c r="N87" i="9"/>
  <c r="AK93" i="9"/>
  <c r="AH91" i="9"/>
  <c r="AL31" i="9"/>
  <c r="AK31" i="9"/>
  <c r="AF33" i="9"/>
  <c r="R87" i="9"/>
  <c r="AB81" i="8"/>
  <c r="BF53" i="8"/>
  <c r="BF40" i="8"/>
  <c r="BF81" i="8" s="1"/>
  <c r="AQ40" i="8"/>
  <c r="AQ81" i="8" s="1"/>
  <c r="AQ53" i="8"/>
  <c r="AG40" i="8"/>
  <c r="AG81" i="8" s="1"/>
  <c r="AG53" i="8"/>
  <c r="BA40" i="8"/>
  <c r="BA81" i="8" s="1"/>
  <c r="BA53" i="8"/>
  <c r="R53" i="8"/>
  <c r="R40" i="8"/>
  <c r="R81" i="8" s="1"/>
  <c r="BU40" i="8"/>
  <c r="BU81" i="8" s="1"/>
  <c r="BU53" i="8"/>
  <c r="BK40" i="8"/>
  <c r="BK81" i="8" s="1"/>
  <c r="BK53" i="8"/>
  <c r="W40" i="8"/>
  <c r="W81" i="8" s="1"/>
  <c r="W53" i="8"/>
  <c r="AL53" i="8"/>
  <c r="AL40" i="8"/>
  <c r="AL81" i="8" s="1"/>
  <c r="BY73" i="7"/>
  <c r="AU12" i="7"/>
  <c r="BJ103" i="7"/>
  <c r="AA12" i="7"/>
  <c r="BO12" i="7"/>
  <c r="AK13" i="7"/>
  <c r="Q103" i="7"/>
  <c r="EL12" i="7"/>
  <c r="BY17" i="7"/>
  <c r="BJ13" i="7"/>
  <c r="BE13" i="7"/>
  <c r="AP13" i="7"/>
  <c r="V103" i="7"/>
  <c r="L103" i="7"/>
  <c r="V13" i="7"/>
  <c r="AF103" i="7"/>
  <c r="AA103" i="7"/>
  <c r="Q13" i="7"/>
  <c r="BE103" i="7"/>
  <c r="EL104" i="7"/>
  <c r="BY30" i="6"/>
  <c r="BY14" i="6" s="1"/>
  <c r="BY12" i="6" s="1"/>
  <c r="BT14" i="6"/>
  <c r="AF12" i="6"/>
  <c r="L12" i="6"/>
  <c r="BJ12" i="6"/>
  <c r="BO12" i="6"/>
  <c r="BT16" i="6"/>
  <c r="EL14" i="6"/>
  <c r="EL16" i="6"/>
  <c r="AU12" i="6"/>
  <c r="AP12" i="6"/>
  <c r="EL15" i="6"/>
  <c r="BT12" i="6"/>
  <c r="BT15" i="6"/>
  <c r="AP285" i="5"/>
  <c r="L285" i="5"/>
  <c r="BY18" i="5"/>
  <c r="BT14" i="5"/>
  <c r="G15" i="5"/>
  <c r="Q13" i="5"/>
  <c r="BJ12" i="5"/>
  <c r="EL18" i="5"/>
  <c r="EL13" i="5" s="1"/>
  <c r="L13" i="5"/>
  <c r="BT286" i="5"/>
  <c r="AA12" i="5"/>
  <c r="AU12" i="5"/>
  <c r="BY215" i="5"/>
  <c r="AK12" i="5"/>
  <c r="EL215" i="5"/>
  <c r="EL285" i="5"/>
  <c r="Q285" i="5"/>
  <c r="V285" i="5"/>
  <c r="BT18" i="5"/>
  <c r="BO15" i="5"/>
  <c r="G12" i="5"/>
  <c r="BE12" i="5"/>
  <c r="AF13" i="5"/>
  <c r="AZ13" i="5"/>
  <c r="BK93" i="4"/>
  <c r="BK77" i="4"/>
  <c r="AV93" i="4"/>
  <c r="AV77" i="4"/>
  <c r="EM77" i="4"/>
  <c r="ET77" i="4" s="1"/>
  <c r="BP93" i="4"/>
  <c r="BP77" i="4"/>
  <c r="W93" i="4"/>
  <c r="W77" i="4"/>
  <c r="AG93" i="4"/>
  <c r="AG77" i="4"/>
  <c r="BF93" i="4"/>
  <c r="BF77" i="4"/>
  <c r="BA93" i="4"/>
  <c r="BA77" i="4"/>
  <c r="AQ77" i="4"/>
  <c r="BU83" i="4"/>
  <c r="BU77" i="4"/>
  <c r="R93" i="4"/>
  <c r="R77" i="4"/>
  <c r="AL93" i="4"/>
  <c r="AL77" i="4"/>
  <c r="AB93" i="4"/>
  <c r="AB77" i="4"/>
  <c r="BV64" i="3"/>
  <c r="AN30" i="2"/>
  <c r="V114" i="2"/>
  <c r="V116" i="2" s="1"/>
  <c r="AO80" i="2"/>
  <c r="AO7" i="2"/>
  <c r="AI6" i="2"/>
  <c r="AI75" i="2" s="1"/>
  <c r="H116" i="2"/>
  <c r="H158" i="2"/>
  <c r="H161" i="2" s="1"/>
  <c r="BV77" i="10" l="1"/>
  <c r="BX77" i="10" s="1"/>
  <c r="BX73" i="10"/>
  <c r="T87" i="9"/>
  <c r="S83" i="9"/>
  <c r="X87" i="9"/>
  <c r="O83" i="9"/>
  <c r="M33" i="9"/>
  <c r="AL91" i="9"/>
  <c r="AK91" i="9"/>
  <c r="AH87" i="9"/>
  <c r="H33" i="9"/>
  <c r="K83" i="9"/>
  <c r="R83" i="9"/>
  <c r="N83" i="9"/>
  <c r="I83" i="9"/>
  <c r="Q33" i="9"/>
  <c r="BE12" i="7"/>
  <c r="BY13" i="7"/>
  <c r="V12" i="7"/>
  <c r="EL103" i="7"/>
  <c r="Q12" i="7"/>
  <c r="AP12" i="7"/>
  <c r="BJ12" i="7"/>
  <c r="AK12" i="7"/>
  <c r="EL12" i="6"/>
  <c r="L15" i="5"/>
  <c r="AP15" i="5"/>
  <c r="AF12" i="5"/>
  <c r="Q15" i="5"/>
  <c r="EL15" i="5"/>
  <c r="BY14" i="5"/>
  <c r="BT285" i="5"/>
  <c r="BY13" i="5"/>
  <c r="AZ12" i="5"/>
  <c r="L12" i="5"/>
  <c r="V15" i="5"/>
  <c r="EL14" i="5"/>
  <c r="BO12" i="5"/>
  <c r="BT13" i="5"/>
  <c r="BV68" i="3"/>
  <c r="BV72" i="3"/>
  <c r="AI77" i="2"/>
  <c r="AO75" i="2"/>
  <c r="V140" i="2"/>
  <c r="S33" i="9" l="1"/>
  <c r="N33" i="9"/>
  <c r="K33" i="9"/>
  <c r="AK87" i="9"/>
  <c r="AL87" i="9"/>
  <c r="AH83" i="9"/>
  <c r="T83" i="9"/>
  <c r="I33" i="9"/>
  <c r="R33" i="9"/>
  <c r="O33" i="9"/>
  <c r="X83" i="9"/>
  <c r="BY12" i="7"/>
  <c r="AP12" i="5"/>
  <c r="Q12" i="5"/>
  <c r="EL12" i="5"/>
  <c r="BT15" i="5"/>
  <c r="BT12" i="5" s="1"/>
  <c r="BY12" i="5"/>
  <c r="V12" i="5"/>
  <c r="AO77" i="2"/>
  <c r="AI114" i="2"/>
  <c r="V146" i="2"/>
  <c r="AL83" i="9" l="1"/>
  <c r="AK83" i="9"/>
  <c r="AH33" i="9"/>
  <c r="X33" i="9"/>
  <c r="T33" i="9"/>
  <c r="AO114" i="2"/>
  <c r="AI116" i="2"/>
  <c r="V158" i="2"/>
  <c r="V161" i="2" s="1"/>
  <c r="AS132" i="2"/>
  <c r="AS133" i="2" s="1"/>
  <c r="AS135" i="2"/>
  <c r="AL33" i="9" l="1"/>
  <c r="AK33" i="9"/>
  <c r="AI140" i="2"/>
  <c r="AO116" i="2"/>
  <c r="AI146" i="2" l="1"/>
  <c r="AO140" i="2"/>
  <c r="AI158" i="2" l="1"/>
  <c r="AO146" i="2"/>
  <c r="CC1" i="8" l="1"/>
</calcChain>
</file>

<file path=xl/sharedStrings.xml><?xml version="1.0" encoding="utf-8"?>
<sst xmlns="http://schemas.openxmlformats.org/spreadsheetml/2006/main" count="1673" uniqueCount="636">
  <si>
    <t>The statement of actual revenue, expenditure and borrowings with regard to the National Revenue Fund as at the end of May 2020/2021 financial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</si>
  <si>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</si>
  <si>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31 May 2020</t>
  </si>
  <si>
    <t>2020/21</t>
  </si>
  <si>
    <t>2019/20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</si>
  <si>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</si>
  <si>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</si>
  <si>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</si>
  <si>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</si>
  <si>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</si>
  <si>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</si>
  <si>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</si>
  <si>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</si>
  <si>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</si>
  <si>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</si>
  <si>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</si>
  <si>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</si>
  <si>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</si>
  <si>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</si>
  <si>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</si>
  <si>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</si>
  <si>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>Table</t>
  </si>
  <si>
    <t>estimate</t>
  </si>
  <si>
    <t>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</si>
  <si>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</si>
  <si>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</si>
  <si>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</si>
  <si>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</si>
  <si>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</si>
  <si>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</si>
  <si>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</si>
  <si>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Eskom - payment in terms of Section 16(1) of the PFMA2</t>
  </si>
  <si>
    <t>Payments in terms of Section 6(1)(b) of the Appropriation act 20192</t>
  </si>
  <si>
    <t>Skill Levy and SETAs</t>
  </si>
  <si>
    <t>Other costs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</si>
  <si>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</si>
  <si>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</si>
  <si>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</si>
  <si>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</si>
  <si>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</si>
  <si>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</si>
  <si>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</si>
  <si>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</si>
  <si>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COMPILED BY: Phindile Dhlame</t>
  </si>
  <si>
    <t xml:space="preserve">REVIEWED: Suzan Molokwane </t>
  </si>
  <si>
    <t>APPROVED: Lizette Labuschagne</t>
  </si>
  <si>
    <t>DATE:</t>
  </si>
  <si>
    <t>Table 1 Revenue*</t>
  </si>
  <si>
    <t xml:space="preserve">June 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</si>
  <si>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</si>
  <si>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</si>
  <si>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</si>
  <si>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</si>
  <si>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</si>
  <si>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</si>
  <si>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</si>
  <si>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</si>
  <si>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</si>
  <si>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</si>
  <si>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</si>
  <si>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</si>
  <si>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</si>
  <si>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</si>
  <si>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</si>
  <si>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</si>
  <si>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</si>
  <si>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</si>
  <si>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</si>
  <si>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</si>
  <si>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</si>
  <si>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</si>
  <si>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</si>
  <si>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</si>
  <si>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</si>
  <si>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</si>
  <si>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</si>
  <si>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</si>
  <si>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</si>
  <si>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</si>
  <si>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</si>
  <si>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</si>
  <si>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</si>
  <si>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</si>
  <si>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</si>
  <si>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</si>
  <si>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Pipe tobacco and cigars</t>
  </si>
  <si>
    <t>Petroleum products</t>
  </si>
  <si>
    <t>1)</t>
  </si>
  <si>
    <t>Revenue from neighbouring countries</t>
  </si>
  <si>
    <t>2)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</si>
  <si>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</si>
  <si>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</si>
  <si>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</si>
  <si>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</si>
  <si>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</si>
  <si>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</si>
  <si>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</si>
  <si>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</si>
  <si>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</si>
  <si>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</si>
  <si>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</si>
  <si>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</si>
  <si>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</si>
  <si>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</si>
  <si>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</si>
  <si>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</si>
  <si>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</si>
  <si>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</si>
  <si>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</si>
  <si>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</si>
  <si>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</si>
  <si>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</si>
  <si>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</si>
  <si>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</si>
  <si>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>Other taxes</t>
  </si>
  <si>
    <t>Stamp duties and fees</t>
  </si>
  <si>
    <t>State miscellaneous revenue</t>
  </si>
  <si>
    <t>3)</t>
  </si>
  <si>
    <t>Total tax revenue (gross)</t>
  </si>
  <si>
    <t>Less: SACU payments</t>
  </si>
  <si>
    <t>4)</t>
  </si>
  <si>
    <t>Total tax revenue (net of SACU payments)</t>
  </si>
  <si>
    <t>Departmental revenue</t>
  </si>
  <si>
    <t>Sales of goods and services other than capital assets</t>
  </si>
  <si>
    <t>Sales by market establishments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</si>
  <si>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</si>
  <si>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</si>
  <si>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</si>
  <si>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</si>
  <si>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</si>
  <si>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</si>
  <si>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</si>
  <si>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</si>
  <si>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</si>
  <si>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</si>
  <si>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</si>
  <si>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>SEC 32/TB</t>
  </si>
  <si>
    <t>SARS AFS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</si>
  <si>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</si>
  <si>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</si>
  <si>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</si>
  <si>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</si>
  <si>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</si>
  <si>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</si>
  <si>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</si>
  <si>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</si>
  <si>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</si>
  <si>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</si>
  <si>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</si>
  <si>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</si>
  <si>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</si>
  <si>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</si>
  <si>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</si>
  <si>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</si>
  <si>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</si>
  <si>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</si>
  <si>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</si>
  <si>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5)</t>
  </si>
  <si>
    <t>Total national government revenue</t>
  </si>
  <si>
    <t>Reconciliation to total net revenue and revenue collected on Table 4</t>
  </si>
  <si>
    <t>Nett Revenue for the year</t>
  </si>
  <si>
    <t>Transfer to NRF as per SARS AFS</t>
  </si>
  <si>
    <t>Departmental revenue received but not yet paid to NRF</t>
  </si>
  <si>
    <t>Due to NRF</t>
  </si>
  <si>
    <t>Departmental revenue collected</t>
  </si>
  <si>
    <t>intransit prior year</t>
  </si>
  <si>
    <t>Departmental revenue received by the NRF</t>
  </si>
  <si>
    <t xml:space="preserve">intransit current year </t>
  </si>
  <si>
    <t>Other revenue received by the NRF</t>
  </si>
  <si>
    <t>6)</t>
  </si>
  <si>
    <t xml:space="preserve">  ICASA</t>
  </si>
  <si>
    <t>NRF AFS</t>
  </si>
  <si>
    <t xml:space="preserve">  Financial Intelligence Centre Act</t>
  </si>
  <si>
    <t xml:space="preserve">  SARB Brightrock life penalty</t>
  </si>
  <si>
    <t xml:space="preserve">  Proceeds of organised Crime Act</t>
  </si>
  <si>
    <t>other revenue</t>
  </si>
  <si>
    <t xml:space="preserve">  Asset Forfeiture Unit</t>
  </si>
  <si>
    <t xml:space="preserve">  National Library</t>
  </si>
  <si>
    <t>departmental revenue</t>
  </si>
  <si>
    <t xml:space="preserve">  Refund Police</t>
  </si>
  <si>
    <t>nrf receipts</t>
  </si>
  <si>
    <t xml:space="preserve">  Refund Correctional Services</t>
  </si>
  <si>
    <t>cara payment</t>
  </si>
  <si>
    <t xml:space="preserve">  Trifecta Judgement (National Treasury)</t>
  </si>
  <si>
    <t>cara receipts</t>
  </si>
  <si>
    <t xml:space="preserve">  DTI Various entities</t>
  </si>
  <si>
    <t>total revenue collected</t>
  </si>
  <si>
    <t xml:space="preserve">  Defence</t>
  </si>
  <si>
    <t xml:space="preserve">  Local Government Surrender</t>
  </si>
  <si>
    <t xml:space="preserve">  Competition Commission</t>
  </si>
  <si>
    <t xml:space="preserve">  Repatriation deposits</t>
  </si>
  <si>
    <t xml:space="preserve">  Grindrod penalty</t>
  </si>
  <si>
    <t xml:space="preserve">  Safrican Insurance Company penalty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</si>
  <si>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</si>
  <si>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</si>
  <si>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</si>
  <si>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</si>
  <si>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</si>
  <si>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</si>
  <si>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</si>
  <si>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</si>
  <si>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</si>
  <si>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</si>
  <si>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Specific excise duties on petrol, distillate fuel, residual fuel and base oil.</t>
  </si>
  <si>
    <t>2) Excise duties collected by Botswana, Lesotho, Namibia and Eswatini.</t>
  </si>
  <si>
    <t>3) Revenue received by SARS in respect of taxation that could not be allocated to specific revenue types.</t>
  </si>
  <si>
    <t>4) Payments in terms of SACU agreements.</t>
  </si>
  <si>
    <t>5) NRF receipts (previously classified as extra ordinary receipts), for more details see Table 5.</t>
  </si>
  <si>
    <t>6) Other revenue received by the NRF that is not classified as Departmental Revenue.</t>
  </si>
  <si>
    <t>*) Any negative amounts reflect refunds and reclassification of previous recorded amounts. Reclassification will be reflected on the database.</t>
  </si>
  <si>
    <t xml:space="preserve">Funds Intransit </t>
  </si>
  <si>
    <t>Intransit/(Overremmitted)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</si>
  <si>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</si>
  <si>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</si>
  <si>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</si>
  <si>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</si>
  <si>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</si>
  <si>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</si>
  <si>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</si>
  <si>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</si>
  <si>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</si>
  <si>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</si>
  <si>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</si>
  <si>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</si>
  <si>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</si>
  <si>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</si>
  <si>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</si>
  <si>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</si>
  <si>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</si>
  <si>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</si>
  <si>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</si>
  <si>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</si>
  <si>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</si>
  <si>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</si>
  <si>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</si>
  <si>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</si>
  <si>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</si>
  <si>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</si>
  <si>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</si>
  <si>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</si>
  <si>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</si>
  <si>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</si>
  <si>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</si>
  <si>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</si>
  <si>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</si>
  <si>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</si>
  <si>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</si>
  <si>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</si>
  <si>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</si>
  <si>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</si>
  <si>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</si>
  <si>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</si>
  <si>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</si>
  <si>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</si>
  <si>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</si>
  <si>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</si>
  <si>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Environment, Forestry and Fisheries</t>
  </si>
  <si>
    <t>Human Settlements</t>
  </si>
  <si>
    <t>Mineral Resources and Energy</t>
  </si>
  <si>
    <t>Science and Innovation</t>
  </si>
  <si>
    <t>Small Business Development</t>
  </si>
  <si>
    <t>Sports,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</si>
  <si>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</si>
  <si>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</si>
  <si>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</si>
  <si>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</si>
  <si>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</si>
  <si>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</si>
  <si>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</si>
  <si>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</si>
  <si>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</si>
  <si>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</si>
  <si>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</si>
  <si>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</si>
  <si>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NRF payments (National Treasury)</t>
  </si>
  <si>
    <t>Auditor-General of South Africa</t>
  </si>
  <si>
    <t>Skills levy and sector education and training authorities (Higher Education and Training)</t>
  </si>
  <si>
    <t>Magistrates' salaries (Justice and Constitutional Development)</t>
  </si>
  <si>
    <t>Judges' salaries (Office of the Chief Justice and Judicial Administration)</t>
  </si>
  <si>
    <t>International Oil Pollution Compensation Fund (Transport)</t>
  </si>
  <si>
    <t>Total direct charges against the NRF</t>
  </si>
  <si>
    <t>Provisional allocation for contingencies not assigned to votes</t>
  </si>
  <si>
    <t xml:space="preserve">Provisional allocation for Eskom restructuring </t>
  </si>
  <si>
    <t>Compensation of employees adjustment</t>
  </si>
  <si>
    <t>Contingency reserve</t>
  </si>
  <si>
    <t>National government projected underspending</t>
  </si>
  <si>
    <t>Main budget expenditure</t>
  </si>
  <si>
    <t>1) Reflects monthly requested funds.</t>
  </si>
  <si>
    <t>2) In terms of Disaster Management Act as declared by the President, social grant payments for April 2020 were paid in March 2020.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</si>
  <si>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</si>
  <si>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</si>
  <si>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Table 3  Summary table of borrowing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</si>
  <si>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</si>
  <si>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</si>
  <si>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</si>
  <si>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</si>
  <si>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</si>
  <si>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</si>
  <si>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</si>
  <si>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</si>
  <si>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</si>
  <si>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</si>
  <si>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</si>
  <si>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</si>
  <si>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</si>
  <si>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</si>
  <si>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</si>
  <si>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</si>
  <si>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</si>
  <si>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</si>
  <si>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</si>
  <si>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</si>
  <si>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</si>
  <si>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 xml:space="preserve">   Loans issued for extraordinary purposes (net)                                   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</si>
  <si>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</si>
  <si>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</si>
  <si>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</si>
  <si>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</si>
  <si>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</si>
  <si>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</si>
  <si>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</si>
  <si>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</si>
  <si>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</si>
  <si>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</si>
  <si>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</si>
  <si>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</si>
  <si>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</si>
  <si>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</si>
  <si>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</si>
  <si>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</si>
  <si>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</si>
  <si>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</si>
  <si>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</si>
  <si>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</si>
  <si>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</si>
  <si>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</si>
  <si>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 xml:space="preserve">  Loans issued for extraordinary purposes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</si>
  <si>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</si>
  <si>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</si>
  <si>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</si>
  <si>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</si>
  <si>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</si>
  <si>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</si>
  <si>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 xml:space="preserve">  I2025 (2.00%  2025/01/31)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</si>
  <si>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</si>
  <si>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</si>
  <si>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</si>
  <si>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I2038 (2.25%  2038/01/31)                                                                          </t>
  </si>
  <si>
    <t xml:space="preserve">  I2046 (2.50%  2046/03/31)                                                                           </t>
  </si>
  <si>
    <t xml:space="preserve">  I2033 (1.875%  2033/02/28)                                                                        </t>
  </si>
  <si>
    <t xml:space="preserve">  I2050 (2.50%  2049-50-51/12/31)                                                               </t>
  </si>
  <si>
    <t xml:space="preserve">  R2035 (8.875%  2035/02/28)</t>
  </si>
  <si>
    <t xml:space="preserve">        Premium</t>
  </si>
  <si>
    <t xml:space="preserve">  R186 (10.50%  2025-26-27/12/21)</t>
  </si>
  <si>
    <t xml:space="preserve">  R189  (6.25%  2013/03/31)</t>
  </si>
  <si>
    <t xml:space="preserve">  I2029 (1.875%  2029/03/31)</t>
  </si>
  <si>
    <t xml:space="preserve">  R209  (6.25%  2036/03/31)</t>
  </si>
  <si>
    <t xml:space="preserve">  R197 (5.50%  2023/12/07)</t>
  </si>
  <si>
    <t xml:space="preserve">  R203 (8.25%  2017/09/15)</t>
  </si>
  <si>
    <t xml:space="preserve">  R204 (8.00%  2018/12/21)</t>
  </si>
  <si>
    <t xml:space="preserve">  R205  (6.88%  2012/03/31)</t>
  </si>
  <si>
    <t xml:space="preserve">  R206  (7.50%  2014/01/15)</t>
  </si>
  <si>
    <t xml:space="preserve">  R207 (7.25%  2020/01/15)</t>
  </si>
  <si>
    <t xml:space="preserve">  R208 (6.75%  2021/03/31)</t>
  </si>
  <si>
    <t xml:space="preserve">  R2040 (9.00%  2040/09/11)</t>
  </si>
  <si>
    <t xml:space="preserve">  R210 (2.60%  2028/03/31)                                                                          1)</t>
  </si>
  <si>
    <t xml:space="preserve">  R202 (3.45%  2033/12/07)</t>
  </si>
  <si>
    <t xml:space="preserve">  R212 (2.75%  2022/01/31)</t>
  </si>
  <si>
    <t xml:space="preserve">  R213 (7.00%  2031/02/28)</t>
  </si>
  <si>
    <t xml:space="preserve">  R214 (6.50%  2041/02/28)</t>
  </si>
  <si>
    <t xml:space="preserve">  R2023 (7.75%  2023/02/28)</t>
  </si>
  <si>
    <t xml:space="preserve">  R2030 (7.75%  2030/01/31)</t>
  </si>
  <si>
    <t xml:space="preserve">  R2032 (8.25%  2032/03/31)</t>
  </si>
  <si>
    <t xml:space="preserve">  R2037 (8.50%  2037/01/31)</t>
  </si>
  <si>
    <t xml:space="preserve">  R2044 (8.75%  2043-44-45/01/31)</t>
  </si>
  <si>
    <t xml:space="preserve">  R2048 (8.75%  2047-48-49/02/28)</t>
  </si>
  <si>
    <t>Table 3.1 Issuance of domestic long-term loans (continued)</t>
  </si>
  <si>
    <t xml:space="preserve">  Amortised interest on Zero Coupon Bonds (cash value)</t>
  </si>
  <si>
    <t xml:space="preserve">       Z006 (13.91%  2013/08/31)</t>
  </si>
  <si>
    <t xml:space="preserve">       Z009 (12.15%  2013/11/30)</t>
  </si>
  <si>
    <t xml:space="preserve">       Z014 (12.60%  2015/06/30)</t>
  </si>
  <si>
    <t xml:space="preserve">       Z018 (13.35%  2014/03/31)</t>
  </si>
  <si>
    <t xml:space="preserve">       Z019 (13.30%  2014/06/30)</t>
  </si>
  <si>
    <t xml:space="preserve">       Z020 (13.20%  2015/10/19)</t>
  </si>
  <si>
    <t xml:space="preserve">       Z021  (12.60%  2009/04/30)</t>
  </si>
  <si>
    <t xml:space="preserve">       Z025 (13.00%  2014/11/30)</t>
  </si>
  <si>
    <t xml:space="preserve">       Z071 (15.64%  2015/07/01)</t>
  </si>
  <si>
    <t xml:space="preserve">       Z083 (15.25%  2019/09/30)</t>
  </si>
  <si>
    <t xml:space="preserve">       Z089  (15.25%  2019/09/30)</t>
  </si>
  <si>
    <t xml:space="preserve">       Z109 (15.25%  2016/09/15)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</si>
  <si>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</si>
  <si>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</si>
  <si>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</si>
  <si>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</si>
  <si>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</si>
  <si>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</si>
  <si>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</si>
  <si>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</si>
  <si>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R2044 (8.75%  2043-44-45/07/18)</t>
  </si>
  <si>
    <t xml:space="preserve">  R2030 (8.00%  2030/01/31)</t>
  </si>
  <si>
    <t xml:space="preserve">  R2032 (7.00%  2031/02/28)</t>
  </si>
  <si>
    <t xml:space="preserve">  R209 (6.25%  2036/03/31)</t>
  </si>
  <si>
    <t xml:space="preserve">  Margin call payable</t>
  </si>
  <si>
    <t xml:space="preserve">  R2044 (8.75%  2044-45-46/01/31)</t>
  </si>
  <si>
    <t xml:space="preserve">  R210 (2.60%  2028/03/31)</t>
  </si>
  <si>
    <t xml:space="preserve">  R2037  (8.50%  2037/01/31)</t>
  </si>
  <si>
    <t xml:space="preserve">  R2040 (9.00%  2040/01/31)</t>
  </si>
  <si>
    <t xml:space="preserve">  R204  (8.00%  2018/12/21)</t>
  </si>
  <si>
    <t xml:space="preserve">  R2030 (8.00%  2030/01/30)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</si>
  <si>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</si>
  <si>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</si>
  <si>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</si>
  <si>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</si>
  <si>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</si>
  <si>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</si>
  <si>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</si>
  <si>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R208 (6.75% 2021/03/31)</t>
  </si>
  <si>
    <t xml:space="preserve">  R158 (13.50% 2015/09/15)</t>
  </si>
  <si>
    <t xml:space="preserve">  R158P (13.50% 2015/09/15)</t>
  </si>
  <si>
    <t xml:space="preserve">  Z083 (15,25% 2019/09/30)</t>
  </si>
  <si>
    <t xml:space="preserve">  Bonus debenture</t>
  </si>
  <si>
    <t xml:space="preserve">  Former regional authorities' debt</t>
  </si>
  <si>
    <t xml:space="preserve">  Former SARB Namibian loan facility</t>
  </si>
  <si>
    <t>Redemptions due to switches</t>
  </si>
  <si>
    <t xml:space="preserve">        Book profit </t>
  </si>
  <si>
    <t xml:space="preserve">        Book loss </t>
  </si>
  <si>
    <t xml:space="preserve">  R157 (13.50%  2014-15-16/09/15)</t>
  </si>
  <si>
    <t xml:space="preserve">  R201 (8.75%  2014/12/21)</t>
  </si>
  <si>
    <t xml:space="preserve">  R203 (8.25% 2017/09/15)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</si>
  <si>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</si>
  <si>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</si>
  <si>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</si>
  <si>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</si>
  <si>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</si>
  <si>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</si>
  <si>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</si>
  <si>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</si>
  <si>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</si>
  <si>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</si>
  <si>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</si>
  <si>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</si>
  <si>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</si>
  <si>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</si>
  <si>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</si>
  <si>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</si>
  <si>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TY2/101  4.85% US Dollar Notes due 2029/09/30</t>
  </si>
  <si>
    <t xml:space="preserve">  TY2/102  5.75% US Dollar Notes due 2049/09/30</t>
  </si>
  <si>
    <t xml:space="preserve">  TY2/94  4.875% US Dollar Notes due 2026/04/14</t>
  </si>
  <si>
    <t xml:space="preserve">  TY2/99  5.875% US Dollar Notes due 2030/06/22</t>
  </si>
  <si>
    <t xml:space="preserve">  TY2/100  6.30% US Dollar Notes due 2048/06/22</t>
  </si>
  <si>
    <t xml:space="preserve">  TY2/97  4.85% US Dollar Notes due 2027/09/27</t>
  </si>
  <si>
    <t xml:space="preserve">  TY2/98  5.65% US Dollar Notes due 2047/09/27</t>
  </si>
  <si>
    <t xml:space="preserve">  Arms Procurement Loan Agreements (cash value)</t>
  </si>
  <si>
    <t xml:space="preserve">       TY2/73A AKA Ausfuhrkredit/Commerzbank/Kreditanstalt due 2017/07/25</t>
  </si>
  <si>
    <t xml:space="preserve">       TY2/73B AKA Ausfuhrkredit/Commerzbank/Kreditanstalt due 2014/04/29</t>
  </si>
  <si>
    <t xml:space="preserve">       TY2/73C Société Générale/Paribas due 2015/05/28</t>
  </si>
  <si>
    <t xml:space="preserve">       TY2/73E Barclays Bank PLC due 2020/10/15  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</si>
  <si>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</si>
  <si>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</si>
  <si>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</si>
  <si>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</si>
  <si>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TY2/92  3.750% Euro Notes due 2026/07/24</t>
  </si>
  <si>
    <t xml:space="preserve">  TY2/88 6.250% US Dollar Notes due 2041/03/08</t>
  </si>
  <si>
    <t xml:space="preserve">  TY2/89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</si>
  <si>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</si>
  <si>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</si>
  <si>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</si>
  <si>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</si>
  <si>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</si>
  <si>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</si>
  <si>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</si>
  <si>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2.50% Kwandebele Water Augmentation Project due 2021/05/20</t>
  </si>
  <si>
    <t xml:space="preserve">  TY2/86 6.875% RSA Notes due 2019/05/27</t>
  </si>
  <si>
    <t xml:space="preserve">  TY2/87 5.50% RSA Notes due 2020/03/09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</si>
  <si>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</si>
  <si>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</si>
  <si>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</si>
  <si>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</si>
  <si>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</si>
  <si>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</si>
  <si>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</si>
  <si>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</si>
  <si>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</si>
  <si>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</si>
  <si>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</si>
  <si>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</si>
  <si>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</si>
  <si>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</si>
  <si>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</si>
  <si>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</si>
  <si>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</si>
  <si>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</si>
  <si>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</si>
  <si>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</si>
  <si>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</si>
  <si>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</si>
  <si>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</si>
  <si>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</si>
  <si>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</si>
  <si>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2019/20 and prior</t>
  </si>
  <si>
    <t xml:space="preserve">      2012/2013</t>
  </si>
  <si>
    <t xml:space="preserve">Late requests by National Departments                 </t>
  </si>
  <si>
    <t xml:space="preserve">     2019/20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</si>
  <si>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</si>
  <si>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</si>
  <si>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</si>
  <si>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</si>
  <si>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</si>
  <si>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</si>
  <si>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</si>
  <si>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</si>
  <si>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</si>
  <si>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</si>
  <si>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</si>
  <si>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</si>
  <si>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</si>
  <si>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</si>
  <si>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</si>
  <si>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</si>
  <si>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</si>
  <si>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</si>
  <si>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for financing (net)</t>
  </si>
  <si>
    <t>Loans issued (gross)</t>
  </si>
  <si>
    <t>Discount</t>
  </si>
  <si>
    <t>Redemptions</t>
  </si>
  <si>
    <t xml:space="preserve">   Buy-backs (excluding book profit)</t>
  </si>
  <si>
    <t>Loans issued for switches (net)</t>
  </si>
  <si>
    <t>Loans switched (net of book profit)</t>
  </si>
  <si>
    <t>Loans issued for repo's (net)</t>
  </si>
  <si>
    <t>Repo out</t>
  </si>
  <si>
    <t>Repo in</t>
  </si>
  <si>
    <t>Loans issued for extraordinary purposes (net)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</si>
  <si>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</si>
  <si>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</si>
  <si>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</si>
  <si>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</si>
  <si>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</si>
  <si>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</si>
  <si>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</si>
  <si>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</si>
  <si>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</si>
  <si>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</si>
  <si>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</si>
  <si>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</si>
  <si>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 xml:space="preserve">   </t>
  </si>
  <si>
    <t>SARB accounts</t>
  </si>
  <si>
    <t>Commercial Banks - Tax and Loan accounts</t>
  </si>
  <si>
    <t>SARB deposit account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</si>
  <si>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</si>
  <si>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</si>
  <si>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</si>
  <si>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</si>
  <si>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</si>
  <si>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</si>
  <si>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Preliminary outcome</t>
  </si>
  <si>
    <t>Communications</t>
  </si>
  <si>
    <t>Cooperative Governance and Traditional Affairs</t>
  </si>
  <si>
    <t>Public Works</t>
  </si>
  <si>
    <t>Women</t>
  </si>
  <si>
    <t>Defence and Military Veterans</t>
  </si>
  <si>
    <t>Office of the Chief Justice and Judicial Administration</t>
  </si>
  <si>
    <t>Agriculture, Forestry and Fisheries</t>
  </si>
  <si>
    <t>Economic Development</t>
  </si>
  <si>
    <t>Energy</t>
  </si>
  <si>
    <t>Environmental Affairs</t>
  </si>
  <si>
    <t>Labour</t>
  </si>
  <si>
    <t>Mineral Resources</t>
  </si>
  <si>
    <t>Science and Technology</t>
  </si>
  <si>
    <t>Telecommunications and Postal Services</t>
  </si>
  <si>
    <t>Trade and Industry</t>
  </si>
  <si>
    <t>Arts and Culture</t>
  </si>
  <si>
    <t>Rural Development and Land Reform</t>
  </si>
  <si>
    <t>Sport and Recreation South Africa</t>
  </si>
  <si>
    <t>Eskom - payment in terms of Section 16(1) of the PFMA</t>
  </si>
  <si>
    <t>Payments in terms of Section 6(1)(b) of the Appropriation act 2019</t>
  </si>
  <si>
    <t>South African Airways</t>
  </si>
  <si>
    <t>South African Express Airways</t>
  </si>
  <si>
    <t xml:space="preserve">Denel </t>
  </si>
  <si>
    <t>SABC</t>
  </si>
  <si>
    <t>Infrastructure fund not assigned to votes</t>
  </si>
  <si>
    <t>Compensation of employess and other baseline adjustments</t>
  </si>
  <si>
    <t>2) NRF payments (previously classified as extra ordinary payments), for more details see Table 5.</t>
  </si>
  <si>
    <t>Table 5 Additional information on National Revenue Fund receipts and payments1</t>
  </si>
  <si>
    <t>Revised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</si>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</sst>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(* #,##0.0_);_(* \(#,##0.0\);_(* &quot;-&quot;??_);_(@_)"/>
    <numFmt numFmtId="169" formatCode=";;;"/>
    <numFmt numFmtId="170" formatCode="_(* #,##0.000000000000000000000000000_);_(* \(#,##0.000000000000000000000000000\);_(* &quot;-&quot;??_);_(@_)"/>
    <numFmt numFmtId="171" formatCode="_(* #,##0.000000000000000000_);_(* \(#,##0.000000000000000000\);_(* &quot;-&quot;??_);_(@_)"/>
    <numFmt numFmtId="172" formatCode="_ * #,##0_ ;_ * \-#,##0_ ;_ * &quot;-&quot;??_ ;_ @_ "/>
    <numFmt numFmtId="173" formatCode="_(* #,##0.0000000_);_(* \(#,##0.0000000\);_(* &quot;-&quot;??_);_(@_)"/>
    <numFmt numFmtId="174" formatCode="_(* #,##0.0000_);_(* \(#,##0.0000\);_(* &quot;-&quot;??_);_(@_)"/>
    <numFmt numFmtId="175" formatCode="_(* #,##0.00000_);_(* \(#,##0.00000\);_(* &quot;-&quot;??_);_(@_)"/>
    <numFmt numFmtId="176" formatCode="_(* #,##0.0000000000000000000000000000_);_(* \(#,##0.0000000000000000000000000000\);_(* &quot;-&quot;??_);_(@_)"/>
    <numFmt numFmtId="177" formatCode="_(* #,##0.000000000000000000000000000000000_);_(* \(#,##0.000000000000000000000000000000000\);_(* &quot;-&quot;??_);_(@_)"/>
    <numFmt numFmtId="178" formatCode="_(* #,##0.0000000000000000000000000000000000_);_(* \(#,##0.0000000000000000000000000000000000\);_(* &quot;-&quot;??_);_(@_)"/>
    <numFmt numFmtId="179" formatCode="_-* #,##0_-;\-* #,##0_-;_-* &quot;-&quot;??_-;_-@_-"/>
    <numFmt numFmtId="180" formatCode="_(* #,##0.000_);_(* \(#,##0.000\);_(* &quot;-&quot;??_);_(@_)"/>
    <numFmt numFmtId="181" formatCode="_(* #,##0.000000_);_(* \(#,##0.0000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i/>
      <sz val="10"/>
      <color indexed="8"/>
      <name val="Arial Narrow"/>
      <family val="2"/>
    </font>
    <font>
      <sz val="10"/>
      <color indexed="8"/>
      <name val="Arial Narrow"/>
      <family val="2"/>
    </font>
    <font>
      <i/>
      <sz val="9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18" fillId="0" borderId="0"/>
  </cellStyleXfs>
  <cellXfs count="805">
    <xf numFmtId="0" fontId="0" fillId="0" borderId="0" xfId="0"/>
    <xf numFmtId="0" fontId="2" fillId="0" borderId="0" xfId="0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/>
    </xf>
    <xf numFmtId="0" fontId="2" fillId="0" borderId="0" xfId="0" applyFont="1" applyFill="1" applyBorder="1"/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43" fontId="2" fillId="0" borderId="0" xfId="1" applyFont="1" applyFill="1" applyBorder="1"/>
    <xf numFmtId="0" fontId="2" fillId="0" borderId="0" xfId="0" applyFont="1" applyFill="1"/>
    <xf numFmtId="0" fontId="5" fillId="0" borderId="8" xfId="0" applyFont="1" applyFill="1" applyBorder="1"/>
    <xf numFmtId="0" fontId="6" fillId="0" borderId="8" xfId="0" applyFont="1" applyFill="1" applyBorder="1"/>
    <xf numFmtId="0" fontId="2" fillId="0" borderId="8" xfId="0" applyFont="1" applyFill="1" applyBorder="1"/>
    <xf numFmtId="0" fontId="7" fillId="0" borderId="8" xfId="0" applyFont="1" applyFill="1" applyBorder="1"/>
    <xf numFmtId="43" fontId="2" fillId="0" borderId="8" xfId="1" applyFont="1" applyFill="1" applyBorder="1"/>
    <xf numFmtId="0" fontId="8" fillId="0" borderId="0" xfId="0" applyFont="1" applyFill="1"/>
    <xf numFmtId="0" fontId="6" fillId="0" borderId="9" xfId="0" applyFont="1" applyFill="1" applyBorder="1"/>
    <xf numFmtId="0" fontId="6" fillId="0" borderId="10" xfId="0" applyFont="1" applyFill="1" applyBorder="1"/>
    <xf numFmtId="17" fontId="6" fillId="0" borderId="11" xfId="0" quotePrefix="1" applyNumberFormat="1" applyFont="1" applyFill="1" applyBorder="1" applyAlignment="1">
      <alignment horizontal="center"/>
    </xf>
    <xf numFmtId="17" fontId="6" fillId="0" borderId="12" xfId="0" quotePrefix="1" applyNumberFormat="1" applyFont="1" applyFill="1" applyBorder="1" applyAlignment="1">
      <alignment horizontal="center"/>
    </xf>
    <xf numFmtId="17" fontId="6" fillId="0" borderId="13" xfId="0" quotePrefix="1" applyNumberFormat="1" applyFont="1" applyFill="1" applyBorder="1" applyAlignment="1">
      <alignment horizontal="center"/>
    </xf>
    <xf numFmtId="17" fontId="6" fillId="0" borderId="14" xfId="0" quotePrefix="1" applyNumberFormat="1" applyFont="1" applyFill="1" applyBorder="1" applyAlignment="1">
      <alignment horizontal="center"/>
    </xf>
    <xf numFmtId="0" fontId="8" fillId="0" borderId="9" xfId="0" applyFont="1" applyFill="1" applyBorder="1"/>
    <xf numFmtId="0" fontId="6" fillId="0" borderId="15" xfId="0" applyFont="1" applyFill="1" applyBorder="1" applyAlignment="1">
      <alignment horizontal="center"/>
    </xf>
    <xf numFmtId="165" fontId="6" fillId="0" borderId="16" xfId="1" applyNumberFormat="1" applyFont="1" applyFill="1" applyBorder="1" applyAlignment="1">
      <alignment horizontal="right"/>
    </xf>
    <xf numFmtId="165" fontId="6" fillId="0" borderId="17" xfId="1" applyNumberFormat="1" applyFont="1" applyFill="1" applyBorder="1" applyAlignment="1">
      <alignment horizontal="right"/>
    </xf>
    <xf numFmtId="165" fontId="6" fillId="0" borderId="18" xfId="1" applyNumberFormat="1" applyFont="1" applyFill="1" applyBorder="1" applyAlignment="1">
      <alignment horizontal="right"/>
    </xf>
    <xf numFmtId="165" fontId="6" fillId="0" borderId="19" xfId="1" applyNumberFormat="1" applyFont="1" applyFill="1" applyBorder="1" applyAlignment="1">
      <alignment horizontal="right"/>
    </xf>
    <xf numFmtId="0" fontId="6" fillId="0" borderId="0" xfId="0" applyFont="1" applyFill="1"/>
    <xf numFmtId="0" fontId="6" fillId="0" borderId="20" xfId="0" applyFont="1" applyFill="1" applyBorder="1"/>
    <xf numFmtId="0" fontId="6" fillId="0" borderId="21" xfId="0" applyFont="1" applyFill="1" applyBorder="1"/>
    <xf numFmtId="0" fontId="6" fillId="0" borderId="22" xfId="0" applyFont="1" applyFill="1" applyBorder="1" applyAlignment="1">
      <alignment horizontal="center"/>
    </xf>
    <xf numFmtId="165" fontId="6" fillId="0" borderId="23" xfId="1" applyNumberFormat="1" applyFont="1" applyFill="1" applyBorder="1" applyAlignment="1">
      <alignment horizontal="right"/>
    </xf>
    <xf numFmtId="165" fontId="6" fillId="0" borderId="24" xfId="1" applyNumberFormat="1" applyFont="1" applyFill="1" applyBorder="1" applyAlignment="1">
      <alignment horizontal="right"/>
    </xf>
    <xf numFmtId="0" fontId="6" fillId="0" borderId="24" xfId="0" applyFont="1" applyFill="1" applyBorder="1" applyAlignment="1">
      <alignment horizontal="right"/>
    </xf>
    <xf numFmtId="165" fontId="6" fillId="0" borderId="21" xfId="1" applyNumberFormat="1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26" xfId="0" applyFont="1" applyFill="1" applyBorder="1"/>
    <xf numFmtId="0" fontId="6" fillId="0" borderId="18" xfId="0" applyFont="1" applyFill="1" applyBorder="1"/>
    <xf numFmtId="0" fontId="6" fillId="0" borderId="27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165" fontId="6" fillId="0" borderId="28" xfId="1" applyNumberFormat="1" applyFont="1" applyFill="1" applyBorder="1" applyAlignment="1">
      <alignment horizontal="right"/>
    </xf>
    <xf numFmtId="0" fontId="6" fillId="0" borderId="17" xfId="0" applyFont="1" applyFill="1" applyBorder="1" applyAlignment="1">
      <alignment horizontal="center"/>
    </xf>
    <xf numFmtId="165" fontId="6" fillId="0" borderId="17" xfId="0" applyNumberFormat="1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165" fontId="8" fillId="0" borderId="0" xfId="0" applyNumberFormat="1" applyFont="1" applyFill="1"/>
    <xf numFmtId="0" fontId="6" fillId="0" borderId="0" xfId="0" applyFont="1" applyFill="1" applyAlignment="1">
      <alignment horizontal="center"/>
    </xf>
    <xf numFmtId="0" fontId="8" fillId="0" borderId="0" xfId="0" applyFont="1" applyFill="1" applyBorder="1"/>
    <xf numFmtId="165" fontId="6" fillId="0" borderId="29" xfId="1" applyNumberFormat="1" applyFont="1" applyFill="1" applyBorder="1" applyAlignment="1">
      <alignment horizontal="right"/>
    </xf>
    <xf numFmtId="165" fontId="6" fillId="0" borderId="29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right"/>
    </xf>
    <xf numFmtId="0" fontId="8" fillId="0" borderId="9" xfId="0" applyFont="1" applyFill="1" applyBorder="1" applyAlignment="1">
      <alignment horizontal="right"/>
    </xf>
    <xf numFmtId="165" fontId="8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8" fillId="0" borderId="15" xfId="0" applyFont="1" applyFill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4" fontId="8" fillId="0" borderId="28" xfId="1" applyNumberFormat="1" applyFont="1" applyFill="1" applyBorder="1" applyAlignment="1">
      <alignment horizontal="right"/>
    </xf>
    <xf numFmtId="164" fontId="8" fillId="0" borderId="29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30" xfId="1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165" fontId="6" fillId="0" borderId="30" xfId="1" applyNumberFormat="1" applyFont="1" applyFill="1" applyBorder="1" applyAlignment="1">
      <alignment horizontal="right"/>
    </xf>
    <xf numFmtId="0" fontId="9" fillId="0" borderId="9" xfId="0" applyFont="1" applyFill="1" applyBorder="1"/>
    <xf numFmtId="165" fontId="6" fillId="0" borderId="28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165" fontId="6" fillId="0" borderId="30" xfId="1" applyNumberFormat="1" applyFont="1" applyFill="1" applyBorder="1" applyAlignment="1">
      <alignment horizontal="center"/>
    </xf>
    <xf numFmtId="0" fontId="10" fillId="0" borderId="0" xfId="0" applyFont="1" applyFill="1" applyBorder="1"/>
    <xf numFmtId="0" fontId="9" fillId="0" borderId="15" xfId="0" applyFont="1" applyFill="1" applyBorder="1" applyAlignment="1">
      <alignment horizontal="center"/>
    </xf>
    <xf numFmtId="165" fontId="10" fillId="0" borderId="28" xfId="1" applyNumberFormat="1" applyFont="1" applyFill="1" applyBorder="1" applyAlignment="1">
      <alignment horizontal="center"/>
    </xf>
    <xf numFmtId="165" fontId="10" fillId="0" borderId="29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165" fontId="10" fillId="0" borderId="30" xfId="1" applyNumberFormat="1" applyFont="1" applyFill="1" applyBorder="1" applyAlignment="1">
      <alignment horizontal="center"/>
    </xf>
    <xf numFmtId="0" fontId="10" fillId="0" borderId="9" xfId="0" applyFont="1" applyFill="1" applyBorder="1"/>
    <xf numFmtId="0" fontId="10" fillId="0" borderId="15" xfId="0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left" wrapText="1" indent="1"/>
    </xf>
    <xf numFmtId="0" fontId="8" fillId="0" borderId="0" xfId="2" applyFont="1" applyFill="1" applyBorder="1"/>
    <xf numFmtId="165" fontId="8" fillId="0" borderId="28" xfId="1" applyNumberFormat="1" applyFont="1" applyFill="1" applyBorder="1" applyAlignment="1">
      <alignment horizontal="center"/>
    </xf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30" xfId="1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right"/>
    </xf>
    <xf numFmtId="0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right"/>
    </xf>
    <xf numFmtId="166" fontId="6" fillId="0" borderId="16" xfId="1" applyNumberFormat="1" applyFont="1" applyFill="1" applyBorder="1" applyAlignment="1">
      <alignment horizontal="right"/>
    </xf>
    <xf numFmtId="166" fontId="6" fillId="0" borderId="17" xfId="1" applyNumberFormat="1" applyFont="1" applyFill="1" applyBorder="1" applyAlignment="1">
      <alignment horizontal="right"/>
    </xf>
    <xf numFmtId="166" fontId="6" fillId="0" borderId="19" xfId="1" applyNumberFormat="1" applyFont="1" applyFill="1" applyBorder="1" applyAlignment="1">
      <alignment horizontal="right"/>
    </xf>
    <xf numFmtId="37" fontId="8" fillId="0" borderId="23" xfId="1" applyNumberFormat="1" applyFont="1" applyFill="1" applyBorder="1" applyAlignment="1">
      <alignment horizontal="right"/>
    </xf>
    <xf numFmtId="37" fontId="8" fillId="0" borderId="24" xfId="1" applyNumberFormat="1" applyFont="1" applyFill="1" applyBorder="1" applyAlignment="1">
      <alignment horizontal="right"/>
    </xf>
    <xf numFmtId="37" fontId="8" fillId="0" borderId="21" xfId="1" applyNumberFormat="1" applyFont="1" applyFill="1" applyBorder="1" applyAlignment="1">
      <alignment horizontal="right"/>
    </xf>
    <xf numFmtId="37" fontId="8" fillId="0" borderId="25" xfId="1" applyNumberFormat="1" applyFont="1" applyFill="1" applyBorder="1" applyAlignment="1">
      <alignment horizontal="right"/>
    </xf>
    <xf numFmtId="165" fontId="9" fillId="0" borderId="16" xfId="1" applyNumberFormat="1" applyFont="1" applyFill="1" applyBorder="1" applyAlignment="1">
      <alignment horizontal="right"/>
    </xf>
    <xf numFmtId="165" fontId="9" fillId="0" borderId="17" xfId="1" applyNumberFormat="1" applyFont="1" applyFill="1" applyBorder="1" applyAlignment="1">
      <alignment horizontal="right"/>
    </xf>
    <xf numFmtId="165" fontId="9" fillId="0" borderId="18" xfId="1" applyNumberFormat="1" applyFont="1" applyFill="1" applyBorder="1" applyAlignment="1">
      <alignment horizontal="right"/>
    </xf>
    <xf numFmtId="165" fontId="9" fillId="0" borderId="19" xfId="1" applyNumberFormat="1" applyFont="1" applyFill="1" applyBorder="1" applyAlignment="1">
      <alignment horizontal="right"/>
    </xf>
    <xf numFmtId="165" fontId="9" fillId="0" borderId="28" xfId="1" applyNumberFormat="1" applyFont="1" applyFill="1" applyBorder="1" applyAlignment="1">
      <alignment horizontal="right"/>
    </xf>
    <xf numFmtId="165" fontId="9" fillId="0" borderId="29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30" xfId="1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9" xfId="0" applyFont="1" applyFill="1" applyBorder="1" applyAlignment="1">
      <alignment horizontal="right"/>
    </xf>
    <xf numFmtId="0" fontId="9" fillId="0" borderId="0" xfId="0" applyFont="1" applyFill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37" fontId="6" fillId="0" borderId="16" xfId="1" applyNumberFormat="1" applyFont="1" applyFill="1" applyBorder="1" applyAlignment="1">
      <alignment horizontal="right"/>
    </xf>
    <xf numFmtId="37" fontId="6" fillId="0" borderId="17" xfId="1" applyNumberFormat="1" applyFont="1" applyFill="1" applyBorder="1" applyAlignment="1">
      <alignment horizontal="right"/>
    </xf>
    <xf numFmtId="37" fontId="6" fillId="0" borderId="18" xfId="1" applyNumberFormat="1" applyFont="1" applyFill="1" applyBorder="1" applyAlignment="1">
      <alignment horizontal="right"/>
    </xf>
    <xf numFmtId="37" fontId="6" fillId="0" borderId="19" xfId="1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0" fontId="8" fillId="0" borderId="31" xfId="0" applyFont="1" applyFill="1" applyBorder="1"/>
    <xf numFmtId="0" fontId="8" fillId="0" borderId="8" xfId="0" applyFont="1" applyFill="1" applyBorder="1"/>
    <xf numFmtId="0" fontId="8" fillId="0" borderId="32" xfId="0" applyFont="1" applyFill="1" applyBorder="1" applyAlignment="1">
      <alignment horizontal="center"/>
    </xf>
    <xf numFmtId="165" fontId="8" fillId="0" borderId="33" xfId="1" applyNumberFormat="1" applyFont="1" applyFill="1" applyBorder="1" applyAlignment="1">
      <alignment horizontal="right"/>
    </xf>
    <xf numFmtId="165" fontId="8" fillId="0" borderId="34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35" xfId="1" applyNumberFormat="1" applyFont="1" applyFill="1" applyBorder="1" applyAlignment="1">
      <alignment horizontal="right"/>
    </xf>
    <xf numFmtId="0" fontId="1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vertical="top"/>
    </xf>
    <xf numFmtId="165" fontId="2" fillId="0" borderId="0" xfId="1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165" fontId="2" fillId="0" borderId="0" xfId="1" applyNumberFormat="1" applyFont="1" applyFill="1" applyBorder="1" applyAlignment="1"/>
    <xf numFmtId="165" fontId="2" fillId="0" borderId="0" xfId="1" applyNumberFormat="1" applyFont="1" applyFill="1" applyBorder="1" applyAlignment="1">
      <alignment horizontal="left"/>
    </xf>
    <xf numFmtId="165" fontId="2" fillId="0" borderId="0" xfId="1" applyNumberFormat="1" applyFont="1" applyFill="1" applyBorder="1" applyAlignment="1">
      <alignment horizontal="left"/>
    </xf>
    <xf numFmtId="165" fontId="8" fillId="0" borderId="0" xfId="0" applyNumberFormat="1" applyFont="1" applyFill="1" applyAlignment="1"/>
    <xf numFmtId="165" fontId="8" fillId="0" borderId="0" xfId="0" applyNumberFormat="1" applyFont="1" applyFill="1" applyBorder="1" applyAlignment="1"/>
    <xf numFmtId="165" fontId="6" fillId="0" borderId="8" xfId="0" applyNumberFormat="1" applyFont="1" applyFill="1" applyBorder="1" applyAlignment="1"/>
    <xf numFmtId="165" fontId="8" fillId="0" borderId="8" xfId="0" applyNumberFormat="1" applyFont="1" applyFill="1" applyBorder="1" applyAlignment="1"/>
    <xf numFmtId="165" fontId="8" fillId="0" borderId="36" xfId="0" applyNumberFormat="1" applyFont="1" applyFill="1" applyBorder="1" applyAlignment="1"/>
    <xf numFmtId="165" fontId="8" fillId="0" borderId="37" xfId="0" applyNumberFormat="1" applyFont="1" applyFill="1" applyBorder="1" applyAlignment="1"/>
    <xf numFmtId="165" fontId="8" fillId="0" borderId="38" xfId="0" applyNumberFormat="1" applyFont="1" applyFill="1" applyBorder="1" applyAlignment="1">
      <alignment horizontal="right"/>
    </xf>
    <xf numFmtId="165" fontId="6" fillId="0" borderId="11" xfId="0" quotePrefix="1" applyNumberFormat="1" applyFont="1" applyFill="1" applyBorder="1" applyAlignment="1">
      <alignment horizontal="center"/>
    </xf>
    <xf numFmtId="165" fontId="6" fillId="0" borderId="12" xfId="0" quotePrefix="1" applyNumberFormat="1" applyFont="1" applyFill="1" applyBorder="1" applyAlignment="1">
      <alignment horizontal="center"/>
    </xf>
    <xf numFmtId="165" fontId="6" fillId="0" borderId="14" xfId="0" quotePrefix="1" applyNumberFormat="1" applyFont="1" applyFill="1" applyBorder="1" applyAlignment="1">
      <alignment horizontal="center"/>
    </xf>
    <xf numFmtId="165" fontId="6" fillId="0" borderId="9" xfId="0" quotePrefix="1" applyNumberFormat="1" applyFont="1" applyFill="1" applyBorder="1" applyAlignment="1">
      <alignment horizontal="center"/>
    </xf>
    <xf numFmtId="165" fontId="6" fillId="0" borderId="0" xfId="0" quotePrefix="1" applyNumberFormat="1" applyFont="1" applyFill="1" applyBorder="1" applyAlignment="1">
      <alignment horizontal="center"/>
    </xf>
    <xf numFmtId="165" fontId="8" fillId="0" borderId="9" xfId="0" applyNumberFormat="1" applyFont="1" applyFill="1" applyBorder="1" applyAlignment="1"/>
    <xf numFmtId="165" fontId="6" fillId="0" borderId="0" xfId="0" applyNumberFormat="1" applyFont="1" applyFill="1" applyBorder="1" applyAlignment="1"/>
    <xf numFmtId="165" fontId="10" fillId="0" borderId="29" xfId="0" applyNumberFormat="1" applyFont="1" applyFill="1" applyBorder="1" applyAlignment="1">
      <alignment horizontal="right"/>
    </xf>
    <xf numFmtId="165" fontId="6" fillId="0" borderId="16" xfId="3" applyNumberFormat="1" applyFont="1" applyFill="1" applyBorder="1" applyAlignment="1">
      <alignment horizontal="right"/>
    </xf>
    <xf numFmtId="165" fontId="6" fillId="0" borderId="17" xfId="0" applyNumberFormat="1" applyFont="1" applyFill="1" applyBorder="1" applyAlignment="1">
      <alignment horizontal="right"/>
    </xf>
    <xf numFmtId="165" fontId="6" fillId="0" borderId="39" xfId="0" applyNumberFormat="1" applyFont="1" applyFill="1" applyBorder="1" applyAlignment="1">
      <alignment horizontal="right"/>
    </xf>
    <xf numFmtId="165" fontId="6" fillId="0" borderId="17" xfId="3" applyNumberFormat="1" applyFont="1" applyFill="1" applyBorder="1" applyAlignment="1">
      <alignment horizontal="right"/>
    </xf>
    <xf numFmtId="165" fontId="6" fillId="0" borderId="18" xfId="3" applyNumberFormat="1" applyFont="1" applyFill="1" applyBorder="1" applyAlignment="1">
      <alignment horizontal="right"/>
    </xf>
    <xf numFmtId="165" fontId="6" fillId="0" borderId="16" xfId="0" applyNumberFormat="1" applyFont="1" applyFill="1" applyBorder="1" applyAlignment="1">
      <alignment horizontal="right"/>
    </xf>
    <xf numFmtId="165" fontId="6" fillId="0" borderId="9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/>
    </xf>
    <xf numFmtId="165" fontId="6" fillId="0" borderId="20" xfId="0" applyNumberFormat="1" applyFont="1" applyFill="1" applyBorder="1" applyAlignment="1"/>
    <xf numFmtId="165" fontId="6" fillId="0" borderId="21" xfId="0" applyNumberFormat="1" applyFont="1" applyFill="1" applyBorder="1" applyAlignment="1"/>
    <xf numFmtId="165" fontId="6" fillId="0" borderId="24" xfId="0" applyNumberFormat="1" applyFont="1" applyFill="1" applyBorder="1" applyAlignment="1">
      <alignment horizontal="right"/>
    </xf>
    <xf numFmtId="165" fontId="6" fillId="0" borderId="28" xfId="3" applyNumberFormat="1" applyFont="1" applyFill="1" applyBorder="1" applyAlignment="1">
      <alignment horizontal="right"/>
    </xf>
    <xf numFmtId="165" fontId="6" fillId="0" borderId="29" xfId="3" applyNumberFormat="1" applyFont="1" applyFill="1" applyBorder="1" applyAlignment="1">
      <alignment horizontal="right"/>
    </xf>
    <xf numFmtId="165" fontId="6" fillId="0" borderId="0" xfId="3" applyNumberFormat="1" applyFont="1" applyFill="1" applyBorder="1" applyAlignment="1">
      <alignment horizontal="right"/>
    </xf>
    <xf numFmtId="165" fontId="6" fillId="0" borderId="15" xfId="3" applyNumberFormat="1" applyFont="1" applyFill="1" applyBorder="1" applyAlignment="1">
      <alignment horizontal="right"/>
    </xf>
    <xf numFmtId="165" fontId="6" fillId="0" borderId="40" xfId="3" applyNumberFormat="1" applyFont="1" applyFill="1" applyBorder="1" applyAlignment="1">
      <alignment horizontal="right"/>
    </xf>
    <xf numFmtId="165" fontId="6" fillId="0" borderId="24" xfId="3" applyNumberFormat="1" applyFont="1" applyFill="1" applyBorder="1" applyAlignment="1">
      <alignment horizontal="right"/>
    </xf>
    <xf numFmtId="165" fontId="6" fillId="0" borderId="21" xfId="3" applyNumberFormat="1" applyFont="1" applyFill="1" applyBorder="1" applyAlignment="1">
      <alignment horizontal="right"/>
    </xf>
    <xf numFmtId="165" fontId="6" fillId="0" borderId="22" xfId="3" applyNumberFormat="1" applyFont="1" applyFill="1" applyBorder="1" applyAlignment="1">
      <alignment horizontal="right"/>
    </xf>
    <xf numFmtId="165" fontId="6" fillId="0" borderId="41" xfId="0" applyNumberFormat="1" applyFont="1" applyFill="1" applyBorder="1" applyAlignment="1">
      <alignment horizontal="right"/>
    </xf>
    <xf numFmtId="165" fontId="10" fillId="0" borderId="26" xfId="0" applyNumberFormat="1" applyFont="1" applyFill="1" applyBorder="1" applyAlignment="1"/>
    <xf numFmtId="165" fontId="9" fillId="0" borderId="0" xfId="0" applyNumberFormat="1" applyFont="1" applyFill="1" applyBorder="1" applyAlignment="1"/>
    <xf numFmtId="165" fontId="10" fillId="0" borderId="0" xfId="0" applyNumberFormat="1" applyFont="1" applyFill="1" applyBorder="1" applyAlignment="1"/>
    <xf numFmtId="165" fontId="9" fillId="0" borderId="18" xfId="0" applyNumberFormat="1" applyFont="1" applyFill="1" applyBorder="1" applyAlignment="1"/>
    <xf numFmtId="165" fontId="10" fillId="0" borderId="17" xfId="0" applyNumberFormat="1" applyFont="1" applyFill="1" applyBorder="1" applyAlignment="1">
      <alignment horizontal="right"/>
    </xf>
    <xf numFmtId="165" fontId="6" fillId="0" borderId="18" xfId="0" applyNumberFormat="1" applyFont="1" applyFill="1" applyBorder="1" applyAlignment="1">
      <alignment horizontal="right"/>
    </xf>
    <xf numFmtId="165" fontId="6" fillId="0" borderId="27" xfId="0" applyNumberFormat="1" applyFont="1" applyFill="1" applyBorder="1" applyAlignment="1">
      <alignment horizontal="right"/>
    </xf>
    <xf numFmtId="165" fontId="9" fillId="0" borderId="9" xfId="0" applyNumberFormat="1" applyFont="1" applyFill="1" applyBorder="1" applyAlignment="1"/>
    <xf numFmtId="165" fontId="10" fillId="0" borderId="0" xfId="0" applyNumberFormat="1" applyFont="1" applyFill="1" applyAlignment="1"/>
    <xf numFmtId="165" fontId="8" fillId="0" borderId="29" xfId="0" applyNumberFormat="1" applyFont="1" applyFill="1" applyBorder="1" applyAlignment="1">
      <alignment horizontal="right"/>
    </xf>
    <xf numFmtId="165" fontId="8" fillId="0" borderId="28" xfId="0" applyNumberFormat="1" applyFont="1" applyFill="1" applyBorder="1" applyAlignment="1">
      <alignment horizontal="right"/>
    </xf>
    <xf numFmtId="165" fontId="8" fillId="0" borderId="40" xfId="0" applyNumberFormat="1" applyFont="1" applyFill="1" applyBorder="1" applyAlignment="1">
      <alignment horizontal="right"/>
    </xf>
    <xf numFmtId="165" fontId="8" fillId="0" borderId="15" xfId="0" applyNumberFormat="1" applyFont="1" applyFill="1" applyBorder="1" applyAlignment="1">
      <alignment horizontal="right"/>
    </xf>
    <xf numFmtId="165" fontId="8" fillId="0" borderId="9" xfId="0" applyNumberFormat="1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right"/>
    </xf>
    <xf numFmtId="165" fontId="10" fillId="0" borderId="9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left"/>
    </xf>
    <xf numFmtId="165" fontId="8" fillId="0" borderId="29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/>
    <xf numFmtId="0" fontId="0" fillId="0" borderId="0" xfId="0" applyFill="1" applyAlignment="1"/>
    <xf numFmtId="0" fontId="0" fillId="0" borderId="29" xfId="0" applyFill="1" applyBorder="1" applyAlignment="1"/>
    <xf numFmtId="165" fontId="12" fillId="0" borderId="0" xfId="0" applyNumberFormat="1" applyFont="1" applyFill="1" applyBorder="1" applyAlignment="1">
      <alignment horizontal="left"/>
    </xf>
    <xf numFmtId="165" fontId="12" fillId="0" borderId="29" xfId="0" applyNumberFormat="1" applyFont="1" applyFill="1" applyBorder="1" applyAlignment="1">
      <alignment horizontal="left"/>
    </xf>
    <xf numFmtId="165" fontId="14" fillId="0" borderId="0" xfId="0" applyNumberFormat="1" applyFont="1" applyFill="1" applyBorder="1" applyAlignment="1"/>
    <xf numFmtId="165" fontId="11" fillId="0" borderId="29" xfId="0" applyNumberFormat="1" applyFont="1" applyFill="1" applyBorder="1" applyAlignment="1">
      <alignment horizontal="right"/>
    </xf>
    <xf numFmtId="165" fontId="6" fillId="0" borderId="29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15" xfId="3" applyNumberFormat="1" applyFont="1" applyFill="1" applyBorder="1" applyAlignment="1">
      <alignment horizontal="center"/>
    </xf>
    <xf numFmtId="165" fontId="6" fillId="0" borderId="40" xfId="3" applyNumberFormat="1" applyFont="1" applyFill="1" applyBorder="1" applyAlignment="1">
      <alignment horizontal="center"/>
    </xf>
    <xf numFmtId="165" fontId="6" fillId="0" borderId="29" xfId="0" applyNumberFormat="1" applyFont="1" applyFill="1" applyBorder="1" applyAlignment="1">
      <alignment horizontal="right"/>
    </xf>
    <xf numFmtId="165" fontId="6" fillId="0" borderId="15" xfId="0" applyNumberFormat="1" applyFont="1" applyFill="1" applyBorder="1" applyAlignment="1">
      <alignment horizontal="right"/>
    </xf>
    <xf numFmtId="165" fontId="6" fillId="0" borderId="28" xfId="0" applyNumberFormat="1" applyFont="1" applyFill="1" applyBorder="1" applyAlignment="1">
      <alignment horizontal="right"/>
    </xf>
    <xf numFmtId="165" fontId="6" fillId="0" borderId="9" xfId="3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/>
    <xf numFmtId="165" fontId="12" fillId="0" borderId="0" xfId="0" applyNumberFormat="1" applyFont="1" applyFill="1" applyBorder="1" applyAlignment="1">
      <alignment horizontal="right"/>
    </xf>
    <xf numFmtId="165" fontId="6" fillId="0" borderId="28" xfId="3" applyNumberFormat="1" applyFont="1" applyFill="1" applyBorder="1" applyAlignment="1">
      <alignment horizontal="center"/>
    </xf>
    <xf numFmtId="165" fontId="6" fillId="0" borderId="30" xfId="3" applyNumberFormat="1" applyFont="1" applyFill="1" applyBorder="1" applyAlignment="1">
      <alignment horizontal="center"/>
    </xf>
    <xf numFmtId="165" fontId="15" fillId="0" borderId="0" xfId="0" applyNumberFormat="1" applyFont="1" applyFill="1" applyBorder="1" applyAlignment="1"/>
    <xf numFmtId="165" fontId="12" fillId="0" borderId="29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/>
    <xf numFmtId="165" fontId="16" fillId="0" borderId="0" xfId="0" applyNumberFormat="1" applyFont="1" applyFill="1" applyBorder="1" applyAlignment="1">
      <alignment horizontal="left"/>
    </xf>
    <xf numFmtId="165" fontId="8" fillId="0" borderId="28" xfId="3" applyNumberFormat="1" applyFont="1" applyFill="1" applyBorder="1" applyAlignment="1">
      <alignment horizontal="center"/>
    </xf>
    <xf numFmtId="165" fontId="8" fillId="0" borderId="29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15" xfId="3" applyNumberFormat="1" applyFont="1" applyFill="1" applyBorder="1" applyAlignment="1">
      <alignment horizontal="center"/>
    </xf>
    <xf numFmtId="165" fontId="8" fillId="0" borderId="40" xfId="3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left"/>
    </xf>
    <xf numFmtId="165" fontId="10" fillId="0" borderId="28" xfId="0" applyNumberFormat="1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165" fontId="10" fillId="0" borderId="15" xfId="0" applyNumberFormat="1" applyFont="1" applyFill="1" applyBorder="1" applyAlignment="1">
      <alignment horizontal="right"/>
    </xf>
    <xf numFmtId="165" fontId="10" fillId="0" borderId="40" xfId="0" applyNumberFormat="1" applyFont="1" applyFill="1" applyBorder="1" applyAlignment="1">
      <alignment horizontal="right"/>
    </xf>
    <xf numFmtId="165" fontId="10" fillId="0" borderId="9" xfId="0" applyNumberFormat="1" applyFont="1" applyFill="1" applyBorder="1" applyAlignment="1">
      <alignment horizontal="right"/>
    </xf>
    <xf numFmtId="165" fontId="17" fillId="0" borderId="0" xfId="0" applyNumberFormat="1" applyFont="1" applyFill="1" applyBorder="1" applyAlignment="1">
      <alignment horizontal="left"/>
    </xf>
    <xf numFmtId="165" fontId="10" fillId="0" borderId="28" xfId="3" applyNumberFormat="1" applyFont="1" applyFill="1" applyBorder="1" applyAlignment="1">
      <alignment horizontal="center"/>
    </xf>
    <xf numFmtId="165" fontId="10" fillId="0" borderId="29" xfId="3" applyNumberFormat="1" applyFont="1" applyFill="1" applyBorder="1" applyAlignment="1">
      <alignment horizontal="center"/>
    </xf>
    <xf numFmtId="165" fontId="10" fillId="0" borderId="40" xfId="3" applyNumberFormat="1" applyFont="1" applyFill="1" applyBorder="1" applyAlignment="1">
      <alignment horizontal="center"/>
    </xf>
    <xf numFmtId="165" fontId="8" fillId="0" borderId="28" xfId="4" applyNumberFormat="1" applyFont="1" applyFill="1" applyBorder="1" applyAlignment="1">
      <alignment horizontal="right"/>
    </xf>
    <xf numFmtId="164" fontId="8" fillId="0" borderId="9" xfId="3" applyFont="1" applyFill="1" applyBorder="1" applyAlignment="1">
      <alignment horizontal="right"/>
    </xf>
    <xf numFmtId="165" fontId="6" fillId="0" borderId="9" xfId="0" applyNumberFormat="1" applyFont="1" applyFill="1" applyBorder="1" applyAlignment="1"/>
    <xf numFmtId="165" fontId="6" fillId="0" borderId="23" xfId="3" applyNumberFormat="1" applyFont="1" applyFill="1" applyBorder="1" applyAlignment="1">
      <alignment horizontal="center"/>
    </xf>
    <xf numFmtId="165" fontId="6" fillId="0" borderId="24" xfId="3" applyNumberFormat="1" applyFont="1" applyFill="1" applyBorder="1" applyAlignment="1">
      <alignment horizontal="center"/>
    </xf>
    <xf numFmtId="165" fontId="6" fillId="0" borderId="41" xfId="3" applyNumberFormat="1" applyFont="1" applyFill="1" applyBorder="1" applyAlignment="1">
      <alignment horizontal="center"/>
    </xf>
    <xf numFmtId="165" fontId="6" fillId="0" borderId="22" xfId="3" applyNumberFormat="1" applyFont="1" applyFill="1" applyBorder="1" applyAlignment="1">
      <alignment horizontal="center"/>
    </xf>
    <xf numFmtId="164" fontId="6" fillId="0" borderId="9" xfId="3" applyFont="1" applyFill="1" applyBorder="1" applyAlignment="1">
      <alignment horizontal="center"/>
    </xf>
    <xf numFmtId="165" fontId="6" fillId="0" borderId="0" xfId="0" applyNumberFormat="1" applyFont="1" applyFill="1" applyAlignment="1"/>
    <xf numFmtId="165" fontId="8" fillId="0" borderId="26" xfId="0" applyNumberFormat="1" applyFont="1" applyFill="1" applyBorder="1" applyAlignment="1"/>
    <xf numFmtId="165" fontId="6" fillId="0" borderId="18" xfId="0" applyNumberFormat="1" applyFont="1" applyFill="1" applyBorder="1" applyAlignment="1"/>
    <xf numFmtId="165" fontId="8" fillId="0" borderId="18" xfId="0" applyNumberFormat="1" applyFont="1" applyFill="1" applyBorder="1" applyAlignment="1"/>
    <xf numFmtId="165" fontId="11" fillId="0" borderId="17" xfId="0" applyNumberFormat="1" applyFont="1" applyFill="1" applyBorder="1" applyAlignment="1">
      <alignment horizontal="right"/>
    </xf>
    <xf numFmtId="165" fontId="6" fillId="0" borderId="16" xfId="3" applyNumberFormat="1" applyFont="1" applyFill="1" applyBorder="1" applyAlignment="1">
      <alignment horizontal="center"/>
    </xf>
    <xf numFmtId="165" fontId="6" fillId="0" borderId="23" xfId="0" applyNumberFormat="1" applyFont="1" applyFill="1" applyBorder="1" applyAlignment="1">
      <alignment horizontal="right"/>
    </xf>
    <xf numFmtId="165" fontId="6" fillId="0" borderId="21" xfId="0" applyNumberFormat="1" applyFont="1" applyFill="1" applyBorder="1" applyAlignment="1">
      <alignment horizontal="right"/>
    </xf>
    <xf numFmtId="165" fontId="8" fillId="0" borderId="42" xfId="0" applyNumberFormat="1" applyFont="1" applyFill="1" applyBorder="1" applyAlignment="1"/>
    <xf numFmtId="165" fontId="6" fillId="0" borderId="43" xfId="0" applyNumberFormat="1" applyFont="1" applyFill="1" applyBorder="1" applyAlignment="1"/>
    <xf numFmtId="165" fontId="8" fillId="0" borderId="43" xfId="0" applyNumberFormat="1" applyFont="1" applyFill="1" applyBorder="1" applyAlignment="1"/>
    <xf numFmtId="165" fontId="12" fillId="0" borderId="43" xfId="0" applyNumberFormat="1" applyFont="1" applyFill="1" applyBorder="1" applyAlignment="1"/>
    <xf numFmtId="165" fontId="11" fillId="0" borderId="44" xfId="0" applyNumberFormat="1" applyFont="1" applyFill="1" applyBorder="1" applyAlignment="1">
      <alignment horizontal="right"/>
    </xf>
    <xf numFmtId="165" fontId="6" fillId="0" borderId="45" xfId="3" applyNumberFormat="1" applyFont="1" applyFill="1" applyBorder="1" applyAlignment="1">
      <alignment horizontal="center"/>
    </xf>
    <xf numFmtId="165" fontId="6" fillId="0" borderId="44" xfId="3" applyNumberFormat="1" applyFont="1" applyFill="1" applyBorder="1" applyAlignment="1">
      <alignment horizontal="center"/>
    </xf>
    <xf numFmtId="165" fontId="6" fillId="0" borderId="46" xfId="3" applyNumberFormat="1" applyFont="1" applyFill="1" applyBorder="1" applyAlignment="1">
      <alignment horizontal="center"/>
    </xf>
    <xf numFmtId="165" fontId="6" fillId="0" borderId="43" xfId="3" applyNumberFormat="1" applyFont="1" applyFill="1" applyBorder="1" applyAlignment="1">
      <alignment horizontal="center"/>
    </xf>
    <xf numFmtId="165" fontId="6" fillId="0" borderId="47" xfId="3" applyNumberFormat="1" applyFont="1" applyFill="1" applyBorder="1" applyAlignment="1">
      <alignment horizontal="center"/>
    </xf>
    <xf numFmtId="165" fontId="8" fillId="0" borderId="31" xfId="0" applyNumberFormat="1" applyFont="1" applyFill="1" applyBorder="1" applyAlignment="1"/>
    <xf numFmtId="165" fontId="11" fillId="0" borderId="8" xfId="0" applyNumberFormat="1" applyFont="1" applyFill="1" applyBorder="1" applyAlignment="1">
      <alignment horizontal="right"/>
    </xf>
    <xf numFmtId="165" fontId="8" fillId="0" borderId="30" xfId="3" applyNumberFormat="1" applyFont="1" applyFill="1" applyBorder="1" applyAlignment="1">
      <alignment horizontal="center"/>
    </xf>
    <xf numFmtId="165" fontId="8" fillId="0" borderId="8" xfId="3" applyNumberFormat="1" applyFont="1" applyFill="1" applyBorder="1" applyAlignment="1">
      <alignment horizontal="center"/>
    </xf>
    <xf numFmtId="165" fontId="8" fillId="0" borderId="35" xfId="3" applyNumberFormat="1" applyFont="1" applyFill="1" applyBorder="1" applyAlignment="1">
      <alignment horizontal="center"/>
    </xf>
    <xf numFmtId="165" fontId="8" fillId="0" borderId="9" xfId="3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right"/>
    </xf>
    <xf numFmtId="165" fontId="6" fillId="0" borderId="26" xfId="0" applyNumberFormat="1" applyFont="1" applyFill="1" applyBorder="1" applyAlignment="1">
      <alignment horizontal="right"/>
    </xf>
    <xf numFmtId="165" fontId="6" fillId="0" borderId="40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left"/>
    </xf>
    <xf numFmtId="165" fontId="8" fillId="0" borderId="28" xfId="0" applyNumberFormat="1" applyFont="1" applyFill="1" applyBorder="1" applyAlignment="1"/>
    <xf numFmtId="165" fontId="8" fillId="0" borderId="30" xfId="0" applyNumberFormat="1" applyFont="1" applyFill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left"/>
    </xf>
    <xf numFmtId="165" fontId="8" fillId="0" borderId="28" xfId="5" applyNumberFormat="1" applyFont="1" applyFill="1" applyBorder="1" applyAlignment="1">
      <alignment horizontal="right"/>
    </xf>
    <xf numFmtId="165" fontId="14" fillId="0" borderId="29" xfId="0" applyNumberFormat="1" applyFont="1" applyFill="1" applyBorder="1" applyAlignment="1">
      <alignment horizontal="right"/>
    </xf>
    <xf numFmtId="165" fontId="15" fillId="0" borderId="29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/>
    <xf numFmtId="165" fontId="9" fillId="0" borderId="29" xfId="0" applyNumberFormat="1" applyFont="1" applyFill="1" applyBorder="1" applyAlignment="1">
      <alignment horizontal="right"/>
    </xf>
    <xf numFmtId="165" fontId="6" fillId="0" borderId="29" xfId="5" applyNumberFormat="1" applyFont="1" applyFill="1" applyBorder="1" applyAlignment="1">
      <alignment horizontal="right"/>
    </xf>
    <xf numFmtId="165" fontId="10" fillId="0" borderId="30" xfId="0" applyNumberFormat="1" applyFont="1" applyFill="1" applyBorder="1" applyAlignment="1">
      <alignment horizontal="right"/>
    </xf>
    <xf numFmtId="165" fontId="10" fillId="0" borderId="29" xfId="5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left" indent="1"/>
    </xf>
    <xf numFmtId="165" fontId="10" fillId="0" borderId="29" xfId="6" applyNumberFormat="1" applyFont="1" applyFill="1" applyBorder="1" applyAlignment="1">
      <alignment horizontal="right"/>
    </xf>
    <xf numFmtId="165" fontId="10" fillId="0" borderId="28" xfId="6" applyNumberFormat="1" applyFont="1" applyFill="1" applyBorder="1" applyAlignment="1">
      <alignment horizontal="right"/>
    </xf>
    <xf numFmtId="165" fontId="6" fillId="0" borderId="30" xfId="0" applyNumberFormat="1" applyFont="1" applyFill="1" applyBorder="1" applyAlignment="1">
      <alignment horizontal="right"/>
    </xf>
    <xf numFmtId="165" fontId="6" fillId="0" borderId="28" xfId="5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right"/>
    </xf>
    <xf numFmtId="165" fontId="8" fillId="0" borderId="0" xfId="7" applyNumberFormat="1" applyFont="1" applyFill="1" applyBorder="1" applyProtection="1"/>
    <xf numFmtId="165" fontId="12" fillId="0" borderId="0" xfId="0" applyNumberFormat="1" applyFont="1" applyFill="1" applyBorder="1" applyAlignment="1">
      <alignment horizontal="left"/>
    </xf>
    <xf numFmtId="165" fontId="12" fillId="0" borderId="0" xfId="0" applyNumberFormat="1" applyFont="1" applyFill="1" applyBorder="1" applyAlignment="1">
      <alignment horizontal="left" indent="1"/>
    </xf>
    <xf numFmtId="165" fontId="8" fillId="0" borderId="28" xfId="8" applyNumberFormat="1" applyFont="1" applyFill="1" applyBorder="1" applyProtection="1"/>
    <xf numFmtId="165" fontId="10" fillId="0" borderId="28" xfId="8" applyNumberFormat="1" applyFont="1" applyFill="1" applyBorder="1" applyProtection="1"/>
    <xf numFmtId="165" fontId="8" fillId="0" borderId="28" xfId="3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left" indent="2"/>
    </xf>
    <xf numFmtId="165" fontId="10" fillId="0" borderId="23" xfId="0" applyNumberFormat="1" applyFont="1" applyFill="1" applyBorder="1" applyAlignment="1">
      <alignment horizontal="right"/>
    </xf>
    <xf numFmtId="165" fontId="10" fillId="0" borderId="24" xfId="0" applyNumberFormat="1" applyFont="1" applyFill="1" applyBorder="1" applyAlignment="1">
      <alignment horizontal="right"/>
    </xf>
    <xf numFmtId="165" fontId="10" fillId="0" borderId="25" xfId="0" applyNumberFormat="1" applyFont="1" applyFill="1" applyBorder="1" applyAlignment="1">
      <alignment horizontal="right"/>
    </xf>
    <xf numFmtId="165" fontId="10" fillId="0" borderId="41" xfId="0" applyNumberFormat="1" applyFont="1" applyFill="1" applyBorder="1" applyAlignment="1">
      <alignment horizontal="right"/>
    </xf>
    <xf numFmtId="165" fontId="6" fillId="0" borderId="42" xfId="0" applyNumberFormat="1" applyFont="1" applyFill="1" applyBorder="1" applyAlignment="1"/>
    <xf numFmtId="165" fontId="6" fillId="0" borderId="44" xfId="0" applyNumberFormat="1" applyFont="1" applyFill="1" applyBorder="1" applyAlignment="1"/>
    <xf numFmtId="165" fontId="6" fillId="0" borderId="49" xfId="0" applyNumberFormat="1" applyFont="1" applyFill="1" applyBorder="1" applyAlignment="1"/>
    <xf numFmtId="165" fontId="6" fillId="0" borderId="45" xfId="0" applyNumberFormat="1" applyFont="1" applyFill="1" applyBorder="1" applyAlignment="1"/>
    <xf numFmtId="165" fontId="6" fillId="0" borderId="46" xfId="0" applyNumberFormat="1" applyFont="1" applyFill="1" applyBorder="1" applyAlignment="1"/>
    <xf numFmtId="165" fontId="6" fillId="0" borderId="50" xfId="0" applyNumberFormat="1" applyFont="1" applyFill="1" applyBorder="1" applyAlignment="1">
      <alignment horizontal="left" vertical="top"/>
    </xf>
    <xf numFmtId="165" fontId="6" fillId="0" borderId="51" xfId="0" applyNumberFormat="1" applyFont="1" applyFill="1" applyBorder="1" applyAlignment="1">
      <alignment horizontal="left" vertical="top"/>
    </xf>
    <xf numFmtId="165" fontId="6" fillId="0" borderId="36" xfId="0" applyNumberFormat="1" applyFont="1" applyFill="1" applyBorder="1" applyAlignment="1"/>
    <xf numFmtId="165" fontId="6" fillId="0" borderId="37" xfId="0" applyNumberFormat="1" applyFont="1" applyFill="1" applyBorder="1" applyAlignment="1"/>
    <xf numFmtId="165" fontId="8" fillId="0" borderId="37" xfId="0" applyNumberFormat="1" applyFont="1" applyFill="1" applyBorder="1" applyAlignment="1">
      <alignment horizontal="left"/>
    </xf>
    <xf numFmtId="165" fontId="6" fillId="0" borderId="52" xfId="0" applyNumberFormat="1" applyFont="1" applyFill="1" applyBorder="1" applyAlignment="1"/>
    <xf numFmtId="165" fontId="6" fillId="0" borderId="38" xfId="0" applyNumberFormat="1" applyFont="1" applyFill="1" applyBorder="1" applyAlignment="1"/>
    <xf numFmtId="165" fontId="6" fillId="0" borderId="53" xfId="0" applyNumberFormat="1" applyFont="1" applyFill="1" applyBorder="1" applyAlignment="1"/>
    <xf numFmtId="165" fontId="8" fillId="0" borderId="52" xfId="0" applyNumberFormat="1" applyFont="1" applyFill="1" applyBorder="1" applyAlignment="1">
      <alignment horizontal="right"/>
    </xf>
    <xf numFmtId="165" fontId="6" fillId="0" borderId="54" xfId="3" applyNumberFormat="1" applyFont="1" applyFill="1" applyBorder="1" applyAlignment="1"/>
    <xf numFmtId="165" fontId="6" fillId="0" borderId="9" xfId="3" applyNumberFormat="1" applyFont="1" applyFill="1" applyBorder="1" applyAlignment="1"/>
    <xf numFmtId="165" fontId="6" fillId="0" borderId="0" xfId="3" applyNumberFormat="1" applyFont="1" applyFill="1" applyBorder="1" applyAlignment="1"/>
    <xf numFmtId="165" fontId="6" fillId="0" borderId="9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65" fontId="6" fillId="0" borderId="29" xfId="0" applyNumberFormat="1" applyFont="1" applyFill="1" applyBorder="1" applyAlignment="1">
      <alignment horizontal="left"/>
    </xf>
    <xf numFmtId="165" fontId="6" fillId="0" borderId="15" xfId="0" applyNumberFormat="1" applyFont="1" applyFill="1" applyBorder="1" applyAlignment="1"/>
    <xf numFmtId="165" fontId="6" fillId="0" borderId="40" xfId="0" applyNumberFormat="1" applyFont="1" applyFill="1" applyBorder="1" applyAlignment="1"/>
    <xf numFmtId="165" fontId="6" fillId="0" borderId="28" xfId="0" applyNumberFormat="1" applyFont="1" applyFill="1" applyBorder="1" applyAlignment="1"/>
    <xf numFmtId="165" fontId="6" fillId="0" borderId="40" xfId="3" applyNumberFormat="1" applyFont="1" applyFill="1" applyBorder="1" applyAlignment="1"/>
    <xf numFmtId="165" fontId="8" fillId="0" borderId="9" xfId="0" applyNumberFormat="1" applyFont="1" applyFill="1" applyBorder="1" applyAlignment="1">
      <alignment horizontal="left" indent="1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29" xfId="0" applyNumberFormat="1" applyFont="1" applyFill="1" applyBorder="1" applyAlignment="1">
      <alignment horizontal="left" indent="1"/>
    </xf>
    <xf numFmtId="165" fontId="8" fillId="0" borderId="9" xfId="0" applyNumberFormat="1" applyFont="1" applyFill="1" applyBorder="1" applyAlignment="1">
      <alignment horizontal="left" indent="1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29" xfId="0" applyNumberFormat="1" applyFont="1" applyFill="1" applyBorder="1" applyAlignment="1"/>
    <xf numFmtId="165" fontId="8" fillId="0" borderId="30" xfId="0" applyNumberFormat="1" applyFont="1" applyFill="1" applyBorder="1" applyAlignment="1"/>
    <xf numFmtId="165" fontId="8" fillId="0" borderId="29" xfId="9" applyNumberFormat="1" applyFont="1" applyFill="1" applyBorder="1" applyAlignment="1">
      <alignment horizontal="right"/>
    </xf>
    <xf numFmtId="165" fontId="9" fillId="0" borderId="28" xfId="0" applyNumberFormat="1" applyFont="1" applyFill="1" applyBorder="1" applyAlignment="1">
      <alignment horizontal="right"/>
    </xf>
    <xf numFmtId="165" fontId="6" fillId="0" borderId="29" xfId="0" applyNumberFormat="1" applyFont="1" applyFill="1" applyBorder="1" applyAlignment="1"/>
    <xf numFmtId="165" fontId="6" fillId="0" borderId="30" xfId="0" applyNumberFormat="1" applyFont="1" applyFill="1" applyBorder="1" applyAlignment="1"/>
    <xf numFmtId="165" fontId="8" fillId="0" borderId="29" xfId="10" applyNumberFormat="1" applyFont="1" applyFill="1" applyBorder="1" applyAlignment="1">
      <alignment horizontal="right"/>
    </xf>
    <xf numFmtId="165" fontId="8" fillId="0" borderId="29" xfId="11" applyNumberFormat="1" applyFont="1" applyFill="1" applyBorder="1" applyAlignment="1">
      <alignment horizontal="right"/>
    </xf>
    <xf numFmtId="165" fontId="8" fillId="0" borderId="0" xfId="0" applyNumberFormat="1" applyFont="1" applyFill="1" applyAlignment="1">
      <alignment horizontal="left"/>
    </xf>
    <xf numFmtId="165" fontId="6" fillId="0" borderId="55" xfId="0" applyNumberFormat="1" applyFont="1" applyFill="1" applyBorder="1" applyAlignment="1"/>
    <xf numFmtId="165" fontId="8" fillId="0" borderId="9" xfId="0" applyNumberFormat="1" applyFont="1" applyFill="1" applyBorder="1" applyAlignment="1">
      <alignment horizontal="left"/>
    </xf>
    <xf numFmtId="165" fontId="8" fillId="0" borderId="20" xfId="0" applyNumberFormat="1" applyFont="1" applyFill="1" applyBorder="1" applyAlignment="1"/>
    <xf numFmtId="165" fontId="8" fillId="0" borderId="21" xfId="0" applyNumberFormat="1" applyFont="1" applyFill="1" applyBorder="1" applyAlignment="1"/>
    <xf numFmtId="165" fontId="8" fillId="0" borderId="23" xfId="0" applyNumberFormat="1" applyFont="1" applyFill="1" applyBorder="1" applyAlignment="1">
      <alignment horizontal="right"/>
    </xf>
    <xf numFmtId="165" fontId="8" fillId="0" borderId="24" xfId="0" applyNumberFormat="1" applyFont="1" applyFill="1" applyBorder="1" applyAlignment="1">
      <alignment horizontal="right"/>
    </xf>
    <xf numFmtId="165" fontId="8" fillId="0" borderId="41" xfId="0" applyNumberFormat="1" applyFont="1" applyFill="1" applyBorder="1" applyAlignment="1">
      <alignment horizontal="right"/>
    </xf>
    <xf numFmtId="165" fontId="6" fillId="0" borderId="27" xfId="3" applyNumberFormat="1" applyFont="1" applyFill="1" applyBorder="1" applyAlignment="1"/>
    <xf numFmtId="165" fontId="6" fillId="0" borderId="16" xfId="3" applyNumberFormat="1" applyFont="1" applyFill="1" applyBorder="1" applyAlignment="1"/>
    <xf numFmtId="165" fontId="6" fillId="0" borderId="39" xfId="3" applyNumberFormat="1" applyFont="1" applyFill="1" applyBorder="1" applyAlignment="1"/>
    <xf numFmtId="165" fontId="8" fillId="0" borderId="29" xfId="12" applyNumberFormat="1" applyFont="1" applyFill="1" applyBorder="1" applyAlignment="1"/>
    <xf numFmtId="165" fontId="8" fillId="0" borderId="20" xfId="0" applyNumberFormat="1" applyFont="1" applyFill="1" applyBorder="1" applyAlignment="1">
      <alignment horizontal="left"/>
    </xf>
    <xf numFmtId="165" fontId="8" fillId="0" borderId="21" xfId="0" applyNumberFormat="1" applyFont="1" applyFill="1" applyBorder="1" applyAlignment="1">
      <alignment horizontal="left"/>
    </xf>
    <xf numFmtId="165" fontId="8" fillId="0" borderId="24" xfId="0" applyNumberFormat="1" applyFont="1" applyFill="1" applyBorder="1" applyAlignment="1">
      <alignment horizontal="left"/>
    </xf>
    <xf numFmtId="165" fontId="8" fillId="0" borderId="24" xfId="0" applyNumberFormat="1" applyFont="1" applyFill="1" applyBorder="1" applyAlignment="1"/>
    <xf numFmtId="165" fontId="8" fillId="0" borderId="23" xfId="0" applyNumberFormat="1" applyFont="1" applyFill="1" applyBorder="1" applyAlignment="1"/>
    <xf numFmtId="165" fontId="6" fillId="0" borderId="47" xfId="0" applyNumberFormat="1" applyFont="1" applyFill="1" applyBorder="1" applyAlignment="1"/>
    <xf numFmtId="165" fontId="10" fillId="0" borderId="37" xfId="0" applyNumberFormat="1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/>
    </xf>
    <xf numFmtId="165" fontId="10" fillId="0" borderId="0" xfId="0" applyNumberFormat="1" applyFont="1" applyFill="1" applyAlignment="1">
      <alignment horizontal="left"/>
    </xf>
    <xf numFmtId="165" fontId="10" fillId="0" borderId="0" xfId="0" applyNumberFormat="1" applyFont="1" applyFill="1" applyAlignment="1">
      <alignment horizontal="left"/>
    </xf>
    <xf numFmtId="165" fontId="10" fillId="0" borderId="0" xfId="0" applyNumberFormat="1" applyFont="1" applyFill="1" applyAlignment="1">
      <alignment horizontal="left" vertical="center"/>
    </xf>
    <xf numFmtId="0" fontId="5" fillId="0" borderId="0" xfId="0" applyFont="1" applyFill="1" applyBorder="1" applyAlignment="1"/>
    <xf numFmtId="0" fontId="6" fillId="0" borderId="8" xfId="0" applyFont="1" applyFill="1" applyBorder="1" applyAlignment="1"/>
    <xf numFmtId="0" fontId="8" fillId="0" borderId="8" xfId="0" applyFont="1" applyFill="1" applyBorder="1" applyAlignment="1"/>
    <xf numFmtId="0" fontId="6" fillId="0" borderId="0" xfId="0" applyFont="1" applyFill="1" applyBorder="1" applyAlignment="1"/>
    <xf numFmtId="3" fontId="8" fillId="0" borderId="8" xfId="0" applyNumberFormat="1" applyFont="1" applyFill="1" applyBorder="1" applyAlignment="1"/>
    <xf numFmtId="0" fontId="8" fillId="0" borderId="0" xfId="0" applyFont="1" applyFill="1" applyBorder="1" applyAlignment="1"/>
    <xf numFmtId="0" fontId="8" fillId="0" borderId="0" xfId="0" applyFont="1" applyFill="1" applyAlignment="1"/>
    <xf numFmtId="0" fontId="6" fillId="0" borderId="36" xfId="0" applyFont="1" applyFill="1" applyBorder="1" applyAlignment="1"/>
    <xf numFmtId="0" fontId="6" fillId="0" borderId="38" xfId="0" applyFont="1" applyFill="1" applyBorder="1" applyAlignment="1">
      <alignment horizontal="right"/>
    </xf>
    <xf numFmtId="0" fontId="6" fillId="0" borderId="11" xfId="0" quotePrefix="1" applyFont="1" applyFill="1" applyBorder="1" applyAlignment="1">
      <alignment horizontal="center"/>
    </xf>
    <xf numFmtId="0" fontId="0" fillId="0" borderId="12" xfId="0" applyFill="1" applyBorder="1" applyAlignment="1"/>
    <xf numFmtId="0" fontId="0" fillId="0" borderId="14" xfId="0" applyFill="1" applyBorder="1" applyAlignment="1"/>
    <xf numFmtId="0" fontId="6" fillId="0" borderId="9" xfId="0" applyFont="1" applyFill="1" applyBorder="1" applyAlignment="1">
      <alignment horizontal="center"/>
    </xf>
    <xf numFmtId="0" fontId="6" fillId="0" borderId="9" xfId="0" applyFont="1" applyFill="1" applyBorder="1" applyAlignment="1"/>
    <xf numFmtId="0" fontId="6" fillId="0" borderId="29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center"/>
    </xf>
    <xf numFmtId="0" fontId="0" fillId="0" borderId="57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6" fillId="0" borderId="57" xfId="0" applyFont="1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8" fillId="0" borderId="9" xfId="0" applyFont="1" applyFill="1" applyBorder="1" applyAlignment="1"/>
    <xf numFmtId="0" fontId="6" fillId="0" borderId="15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16" xfId="0" applyFont="1" applyFill="1" applyBorder="1" applyAlignment="1">
      <alignment horizontal="right"/>
    </xf>
    <xf numFmtId="3" fontId="6" fillId="0" borderId="16" xfId="0" applyNumberFormat="1" applyFont="1" applyFill="1" applyBorder="1" applyAlignment="1">
      <alignment horizontal="right"/>
    </xf>
    <xf numFmtId="3" fontId="6" fillId="0" borderId="27" xfId="0" applyNumberFormat="1" applyFont="1" applyFill="1" applyBorder="1" applyAlignment="1">
      <alignment horizontal="right"/>
    </xf>
    <xf numFmtId="0" fontId="15" fillId="0" borderId="20" xfId="0" applyNumberFormat="1" applyFont="1" applyFill="1" applyBorder="1" applyAlignment="1"/>
    <xf numFmtId="0" fontId="6" fillId="0" borderId="21" xfId="0" applyFont="1" applyFill="1" applyBorder="1" applyAlignment="1"/>
    <xf numFmtId="0" fontId="6" fillId="0" borderId="22" xfId="0" applyFont="1" applyFill="1" applyBorder="1" applyAlignment="1">
      <alignment horizontal="right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2" fontId="6" fillId="0" borderId="9" xfId="0" applyNumberFormat="1" applyFont="1" applyFill="1" applyBorder="1" applyAlignment="1"/>
    <xf numFmtId="0" fontId="15" fillId="0" borderId="9" xfId="0" applyNumberFormat="1" applyFont="1" applyFill="1" applyBorder="1" applyAlignment="1"/>
    <xf numFmtId="0" fontId="6" fillId="0" borderId="27" xfId="0" applyFont="1" applyFill="1" applyBorder="1" applyAlignment="1">
      <alignment horizontal="right"/>
    </xf>
    <xf numFmtId="0" fontId="6" fillId="0" borderId="28" xfId="0" applyFont="1" applyFill="1" applyBorder="1" applyAlignment="1">
      <alignment horizontal="right"/>
    </xf>
    <xf numFmtId="0" fontId="12" fillId="0" borderId="9" xfId="0" applyNumberFormat="1" applyFont="1" applyFill="1" applyBorder="1" applyAlignment="1">
      <alignment horizontal="left"/>
    </xf>
    <xf numFmtId="37" fontId="12" fillId="0" borderId="0" xfId="0" applyNumberFormat="1" applyFont="1" applyFill="1" applyBorder="1" applyAlignment="1"/>
    <xf numFmtId="37" fontId="12" fillId="0" borderId="0" xfId="0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/>
    <xf numFmtId="167" fontId="8" fillId="0" borderId="9" xfId="0" applyNumberFormat="1" applyFont="1" applyFill="1" applyBorder="1" applyAlignment="1"/>
    <xf numFmtId="37" fontId="11" fillId="0" borderId="0" xfId="0" quotePrefix="1" applyNumberFormat="1" applyFont="1" applyFill="1" applyBorder="1" applyAlignment="1">
      <alignment horizontal="right"/>
    </xf>
    <xf numFmtId="0" fontId="10" fillId="0" borderId="0" xfId="0" quotePrefix="1" applyFont="1" applyFill="1" applyBorder="1" applyAlignment="1">
      <alignment horizontal="right"/>
    </xf>
    <xf numFmtId="0" fontId="8" fillId="0" borderId="9" xfId="0" applyNumberFormat="1" applyFont="1" applyFill="1" applyBorder="1" applyAlignment="1">
      <alignment horizontal="left"/>
    </xf>
    <xf numFmtId="37" fontId="8" fillId="0" borderId="0" xfId="0" applyNumberFormat="1" applyFont="1" applyFill="1" applyBorder="1" applyAlignment="1"/>
    <xf numFmtId="37" fontId="8" fillId="0" borderId="0" xfId="0" applyNumberFormat="1" applyFont="1" applyFill="1" applyBorder="1" applyAlignment="1">
      <alignment horizontal="left"/>
    </xf>
    <xf numFmtId="37" fontId="8" fillId="0" borderId="0" xfId="0" applyNumberFormat="1" applyFont="1" applyFill="1" applyBorder="1" applyAlignment="1">
      <alignment horizontal="left"/>
    </xf>
    <xf numFmtId="37" fontId="10" fillId="0" borderId="0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right"/>
    </xf>
    <xf numFmtId="0" fontId="12" fillId="0" borderId="20" xfId="0" applyNumberFormat="1" applyFont="1" applyFill="1" applyBorder="1" applyAlignment="1">
      <alignment horizontal="left"/>
    </xf>
    <xf numFmtId="37" fontId="12" fillId="0" borderId="21" xfId="0" applyNumberFormat="1" applyFont="1" applyFill="1" applyBorder="1" applyAlignment="1"/>
    <xf numFmtId="0" fontId="8" fillId="0" borderId="21" xfId="0" applyFont="1" applyFill="1" applyBorder="1" applyAlignment="1"/>
    <xf numFmtId="37" fontId="12" fillId="0" borderId="24" xfId="0" applyNumberFormat="1" applyFont="1" applyFill="1" applyBorder="1" applyAlignment="1">
      <alignment horizontal="right"/>
    </xf>
    <xf numFmtId="37" fontId="11" fillId="0" borderId="29" xfId="0" quotePrefix="1" applyNumberFormat="1" applyFont="1" applyFill="1" applyBorder="1" applyAlignment="1">
      <alignment horizontal="right"/>
    </xf>
    <xf numFmtId="0" fontId="12" fillId="0" borderId="9" xfId="0" applyNumberFormat="1" applyFont="1" applyFill="1" applyBorder="1" applyAlignment="1"/>
    <xf numFmtId="37" fontId="12" fillId="0" borderId="29" xfId="0" applyNumberFormat="1" applyFont="1" applyFill="1" applyBorder="1" applyAlignment="1">
      <alignment horizontal="right"/>
    </xf>
    <xf numFmtId="165" fontId="6" fillId="0" borderId="15" xfId="1" applyNumberFormat="1" applyFont="1" applyFill="1" applyBorder="1" applyAlignment="1">
      <alignment horizontal="center"/>
    </xf>
    <xf numFmtId="166" fontId="6" fillId="0" borderId="9" xfId="1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left"/>
    </xf>
    <xf numFmtId="37" fontId="11" fillId="0" borderId="29" xfId="0" applyNumberFormat="1" applyFont="1" applyFill="1" applyBorder="1" applyAlignment="1">
      <alignment horizontal="right"/>
    </xf>
    <xf numFmtId="0" fontId="11" fillId="0" borderId="9" xfId="0" applyNumberFormat="1" applyFont="1" applyFill="1" applyBorder="1" applyAlignment="1">
      <alignment horizontal="left" indent="1"/>
    </xf>
    <xf numFmtId="0" fontId="10" fillId="0" borderId="0" xfId="0" applyFont="1" applyFill="1" applyAlignment="1"/>
    <xf numFmtId="0" fontId="10" fillId="0" borderId="0" xfId="0" applyFont="1" applyFill="1" applyBorder="1" applyAlignment="1"/>
    <xf numFmtId="165" fontId="10" fillId="0" borderId="15" xfId="1" applyNumberFormat="1" applyFont="1" applyFill="1" applyBorder="1" applyAlignment="1">
      <alignment horizontal="center"/>
    </xf>
    <xf numFmtId="165" fontId="10" fillId="0" borderId="0" xfId="13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20" xfId="0" applyFont="1" applyFill="1" applyBorder="1" applyAlignment="1">
      <alignment horizontal="left"/>
    </xf>
    <xf numFmtId="0" fontId="8" fillId="0" borderId="21" xfId="0" applyFont="1" applyFill="1" applyBorder="1" applyAlignment="1">
      <alignment horizontal="left"/>
    </xf>
    <xf numFmtId="0" fontId="15" fillId="0" borderId="42" xfId="0" applyNumberFormat="1" applyFont="1" applyFill="1" applyBorder="1" applyAlignment="1"/>
    <xf numFmtId="0" fontId="8" fillId="0" borderId="43" xfId="0" applyFont="1" applyFill="1" applyBorder="1" applyAlignment="1"/>
    <xf numFmtId="37" fontId="12" fillId="0" borderId="43" xfId="0" applyNumberFormat="1" applyFont="1" applyFill="1" applyBorder="1" applyAlignment="1">
      <alignment horizontal="right"/>
    </xf>
    <xf numFmtId="165" fontId="6" fillId="0" borderId="47" xfId="1" applyNumberFormat="1" applyFont="1" applyFill="1" applyBorder="1" applyAlignment="1">
      <alignment horizontal="center"/>
    </xf>
    <xf numFmtId="165" fontId="6" fillId="0" borderId="43" xfId="1" applyNumberFormat="1" applyFont="1" applyFill="1" applyBorder="1" applyAlignment="1">
      <alignment horizontal="center"/>
    </xf>
    <xf numFmtId="165" fontId="6" fillId="0" borderId="45" xfId="1" applyNumberFormat="1" applyFont="1" applyFill="1" applyBorder="1" applyAlignment="1">
      <alignment horizontal="center"/>
    </xf>
    <xf numFmtId="165" fontId="6" fillId="0" borderId="46" xfId="1" applyNumberFormat="1" applyFont="1" applyFill="1" applyBorder="1" applyAlignment="1">
      <alignment horizontal="center"/>
    </xf>
    <xf numFmtId="37" fontId="12" fillId="0" borderId="43" xfId="0" applyNumberFormat="1" applyFont="1" applyFill="1" applyBorder="1" applyAlignment="1"/>
    <xf numFmtId="37" fontId="11" fillId="0" borderId="44" xfId="0" quotePrefix="1" applyNumberFormat="1" applyFont="1" applyFill="1" applyBorder="1" applyAlignment="1">
      <alignment horizontal="right"/>
    </xf>
    <xf numFmtId="165" fontId="6" fillId="0" borderId="43" xfId="0" applyNumberFormat="1" applyFont="1" applyFill="1" applyBorder="1" applyAlignment="1">
      <alignment horizontal="right"/>
    </xf>
    <xf numFmtId="165" fontId="6" fillId="0" borderId="45" xfId="0" applyNumberFormat="1" applyFont="1" applyFill="1" applyBorder="1" applyAlignment="1">
      <alignment horizontal="right"/>
    </xf>
    <xf numFmtId="165" fontId="6" fillId="0" borderId="47" xfId="0" applyNumberFormat="1" applyFont="1" applyFill="1" applyBorder="1" applyAlignment="1">
      <alignment horizontal="right"/>
    </xf>
    <xf numFmtId="165" fontId="6" fillId="0" borderId="46" xfId="0" applyNumberFormat="1" applyFont="1" applyFill="1" applyBorder="1" applyAlignment="1">
      <alignment horizontal="right"/>
    </xf>
    <xf numFmtId="166" fontId="6" fillId="0" borderId="0" xfId="0" applyNumberFormat="1" applyFont="1" applyFill="1" applyBorder="1" applyAlignment="1">
      <alignment horizontal="right"/>
    </xf>
    <xf numFmtId="0" fontId="10" fillId="0" borderId="0" xfId="0" quotePrefix="1" applyFont="1" applyFill="1" applyBorder="1" applyAlignment="1"/>
    <xf numFmtId="37" fontId="11" fillId="0" borderId="37" xfId="0" applyNumberFormat="1" applyFont="1" applyFill="1" applyBorder="1" applyAlignment="1"/>
    <xf numFmtId="165" fontId="12" fillId="0" borderId="0" xfId="1" applyNumberFormat="1" applyFont="1" applyFill="1" applyBorder="1" applyAlignment="1"/>
    <xf numFmtId="165" fontId="8" fillId="0" borderId="0" xfId="1" applyNumberFormat="1" applyFont="1" applyFill="1" applyBorder="1" applyAlignment="1"/>
    <xf numFmtId="0" fontId="11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165" fontId="8" fillId="0" borderId="0" xfId="0" applyNumberFormat="1" applyFont="1" applyFill="1" applyBorder="1"/>
    <xf numFmtId="165" fontId="6" fillId="0" borderId="0" xfId="0" applyNumberFormat="1" applyFont="1" applyFill="1" applyBorder="1"/>
    <xf numFmtId="165" fontId="5" fillId="0" borderId="0" xfId="0" applyNumberFormat="1" applyFont="1" applyFill="1" applyBorder="1"/>
    <xf numFmtId="165" fontId="8" fillId="0" borderId="8" xfId="0" applyNumberFormat="1" applyFont="1" applyFill="1" applyBorder="1"/>
    <xf numFmtId="165" fontId="8" fillId="0" borderId="36" xfId="0" applyNumberFormat="1" applyFont="1" applyFill="1" applyBorder="1"/>
    <xf numFmtId="165" fontId="8" fillId="0" borderId="52" xfId="0" applyNumberFormat="1" applyFont="1" applyFill="1" applyBorder="1"/>
    <xf numFmtId="165" fontId="8" fillId="0" borderId="11" xfId="0" applyNumberFormat="1" applyFont="1" applyFill="1" applyBorder="1"/>
    <xf numFmtId="165" fontId="8" fillId="0" borderId="12" xfId="0" applyNumberFormat="1" applyFont="1" applyFill="1" applyBorder="1"/>
    <xf numFmtId="165" fontId="6" fillId="0" borderId="12" xfId="0" applyNumberFormat="1" applyFont="1" applyFill="1" applyBorder="1" applyAlignment="1">
      <alignment horizontal="center"/>
    </xf>
    <xf numFmtId="165" fontId="6" fillId="0" borderId="12" xfId="0" applyNumberFormat="1" applyFont="1" applyFill="1" applyBorder="1" applyAlignment="1">
      <alignment horizontal="center"/>
    </xf>
    <xf numFmtId="165" fontId="6" fillId="0" borderId="11" xfId="0" applyNumberFormat="1" applyFont="1" applyFill="1" applyBorder="1" applyAlignment="1">
      <alignment horizontal="center"/>
    </xf>
    <xf numFmtId="165" fontId="6" fillId="0" borderId="12" xfId="0" quotePrefix="1" applyNumberFormat="1" applyFont="1" applyFill="1" applyBorder="1" applyAlignment="1">
      <alignment horizontal="center"/>
    </xf>
    <xf numFmtId="165" fontId="6" fillId="0" borderId="14" xfId="0" quotePrefix="1" applyNumberFormat="1" applyFont="1" applyFill="1" applyBorder="1" applyAlignment="1">
      <alignment horizontal="center"/>
    </xf>
    <xf numFmtId="165" fontId="8" fillId="0" borderId="9" xfId="0" applyNumberFormat="1" applyFont="1" applyFill="1" applyBorder="1"/>
    <xf numFmtId="165" fontId="6" fillId="0" borderId="0" xfId="14" applyNumberFormat="1" applyFont="1" applyFill="1" applyBorder="1" applyAlignment="1">
      <alignment horizontal="right"/>
    </xf>
    <xf numFmtId="165" fontId="6" fillId="2" borderId="0" xfId="0" applyNumberFormat="1" applyFont="1" applyFill="1" applyBorder="1" applyAlignment="1">
      <alignment horizontal="right"/>
    </xf>
    <xf numFmtId="165" fontId="6" fillId="0" borderId="20" xfId="0" applyNumberFormat="1" applyFont="1" applyFill="1" applyBorder="1" applyAlignment="1">
      <alignment horizontal="left"/>
    </xf>
    <xf numFmtId="165" fontId="6" fillId="0" borderId="21" xfId="0" applyNumberFormat="1" applyFont="1" applyFill="1" applyBorder="1" applyAlignment="1">
      <alignment horizontal="center"/>
    </xf>
    <xf numFmtId="165" fontId="6" fillId="0" borderId="22" xfId="0" applyNumberFormat="1" applyFont="1" applyFill="1" applyBorder="1" applyAlignment="1">
      <alignment horizontal="right"/>
    </xf>
    <xf numFmtId="165" fontId="6" fillId="0" borderId="21" xfId="14" applyNumberFormat="1" applyFont="1" applyFill="1" applyBorder="1" applyAlignment="1">
      <alignment horizontal="right"/>
    </xf>
    <xf numFmtId="165" fontId="6" fillId="2" borderId="21" xfId="0" applyNumberFormat="1" applyFont="1" applyFill="1" applyBorder="1" applyAlignment="1">
      <alignment horizontal="right"/>
    </xf>
    <xf numFmtId="165" fontId="6" fillId="0" borderId="25" xfId="0" applyNumberFormat="1" applyFont="1" applyFill="1" applyBorder="1" applyAlignment="1">
      <alignment horizontal="right"/>
    </xf>
    <xf numFmtId="165" fontId="8" fillId="0" borderId="28" xfId="0" applyNumberFormat="1" applyFont="1" applyFill="1" applyBorder="1" applyAlignment="1">
      <alignment horizontal="center"/>
    </xf>
    <xf numFmtId="165" fontId="8" fillId="0" borderId="15" xfId="0" applyNumberFormat="1" applyFont="1" applyFill="1" applyBorder="1"/>
    <xf numFmtId="165" fontId="6" fillId="0" borderId="9" xfId="0" applyNumberFormat="1" applyFont="1" applyFill="1" applyBorder="1"/>
    <xf numFmtId="165" fontId="6" fillId="0" borderId="28" xfId="0" applyNumberFormat="1" applyFont="1" applyFill="1" applyBorder="1" applyAlignment="1">
      <alignment horizontal="center"/>
    </xf>
    <xf numFmtId="165" fontId="6" fillId="0" borderId="15" xfId="0" applyNumberFormat="1" applyFont="1" applyFill="1" applyBorder="1"/>
    <xf numFmtId="165" fontId="6" fillId="0" borderId="0" xfId="1" applyNumberFormat="1" applyFont="1" applyFill="1" applyBorder="1"/>
    <xf numFmtId="165" fontId="6" fillId="0" borderId="15" xfId="1" applyNumberFormat="1" applyFont="1" applyFill="1" applyBorder="1"/>
    <xf numFmtId="165" fontId="6" fillId="0" borderId="0" xfId="14" applyNumberFormat="1" applyFont="1" applyFill="1" applyBorder="1"/>
    <xf numFmtId="165" fontId="6" fillId="0" borderId="0" xfId="0" applyNumberFormat="1" applyFont="1" applyFill="1"/>
    <xf numFmtId="165" fontId="8" fillId="0" borderId="27" xfId="0" applyNumberFormat="1" applyFont="1" applyFill="1" applyBorder="1"/>
    <xf numFmtId="165" fontId="8" fillId="0" borderId="18" xfId="0" applyNumberFormat="1" applyFont="1" applyFill="1" applyBorder="1"/>
    <xf numFmtId="165" fontId="8" fillId="0" borderId="17" xfId="0" applyNumberFormat="1" applyFont="1" applyFill="1" applyBorder="1"/>
    <xf numFmtId="165" fontId="8" fillId="0" borderId="18" xfId="1" applyNumberFormat="1" applyFont="1" applyFill="1" applyBorder="1"/>
    <xf numFmtId="165" fontId="8" fillId="0" borderId="57" xfId="1" applyNumberFormat="1" applyFont="1" applyFill="1" applyBorder="1"/>
    <xf numFmtId="165" fontId="8" fillId="0" borderId="18" xfId="14" applyNumberFormat="1" applyFont="1" applyFill="1" applyBorder="1"/>
    <xf numFmtId="165" fontId="8" fillId="0" borderId="16" xfId="14" applyNumberFormat="1" applyFont="1" applyFill="1" applyBorder="1"/>
    <xf numFmtId="165" fontId="8" fillId="0" borderId="29" xfId="0" applyNumberFormat="1" applyFont="1" applyFill="1" applyBorder="1"/>
    <xf numFmtId="165" fontId="8" fillId="0" borderId="16" xfId="0" applyNumberFormat="1" applyFont="1" applyFill="1" applyBorder="1"/>
    <xf numFmtId="165" fontId="8" fillId="0" borderId="28" xfId="0" applyNumberFormat="1" applyFont="1" applyFill="1" applyBorder="1"/>
    <xf numFmtId="165" fontId="8" fillId="0" borderId="28" xfId="14" applyNumberFormat="1" applyFont="1" applyFill="1" applyBorder="1"/>
    <xf numFmtId="165" fontId="8" fillId="0" borderId="23" xfId="14" applyNumberFormat="1" applyFont="1" applyFill="1" applyBorder="1"/>
    <xf numFmtId="165" fontId="8" fillId="0" borderId="23" xfId="0" applyNumberFormat="1" applyFont="1" applyFill="1" applyBorder="1"/>
    <xf numFmtId="165" fontId="8" fillId="0" borderId="0" xfId="14" applyNumberFormat="1" applyFont="1" applyFill="1" applyBorder="1"/>
    <xf numFmtId="165" fontId="8" fillId="0" borderId="9" xfId="0" applyNumberFormat="1" applyFont="1" applyFill="1" applyBorder="1" applyAlignment="1">
      <alignment horizontal="left"/>
    </xf>
    <xf numFmtId="165" fontId="8" fillId="0" borderId="22" xfId="0" applyNumberFormat="1" applyFont="1" applyFill="1" applyBorder="1"/>
    <xf numFmtId="165" fontId="8" fillId="0" borderId="21" xfId="14" applyNumberFormat="1" applyFont="1" applyFill="1" applyBorder="1"/>
    <xf numFmtId="165" fontId="8" fillId="0" borderId="24" xfId="0" applyNumberFormat="1" applyFont="1" applyFill="1" applyBorder="1"/>
    <xf numFmtId="165" fontId="8" fillId="0" borderId="21" xfId="0" applyNumberFormat="1" applyFont="1" applyFill="1" applyBorder="1"/>
    <xf numFmtId="165" fontId="8" fillId="0" borderId="15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5" fontId="6" fillId="0" borderId="15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5" fontId="8" fillId="0" borderId="27" xfId="0" applyNumberFormat="1" applyFont="1" applyFill="1" applyBorder="1" applyAlignment="1">
      <alignment horizontal="center"/>
    </xf>
    <xf numFmtId="168" fontId="8" fillId="0" borderId="28" xfId="0" applyNumberFormat="1" applyFont="1" applyFill="1" applyBorder="1" applyAlignment="1">
      <alignment horizontal="right"/>
    </xf>
    <xf numFmtId="168" fontId="8" fillId="0" borderId="15" xfId="0" applyNumberFormat="1" applyFont="1" applyFill="1" applyBorder="1" applyAlignment="1">
      <alignment horizontal="right"/>
    </xf>
    <xf numFmtId="168" fontId="8" fillId="0" borderId="28" xfId="0" applyNumberFormat="1" applyFont="1" applyFill="1" applyBorder="1" applyAlignment="1">
      <alignment horizontal="center"/>
    </xf>
    <xf numFmtId="168" fontId="8" fillId="0" borderId="15" xfId="0" applyNumberFormat="1" applyFont="1" applyFill="1" applyBorder="1" applyAlignment="1">
      <alignment horizontal="center"/>
    </xf>
    <xf numFmtId="0" fontId="8" fillId="0" borderId="0" xfId="0" applyNumberFormat="1" applyFont="1" applyFill="1" applyBorder="1"/>
    <xf numFmtId="165" fontId="8" fillId="0" borderId="60" xfId="0" applyNumberFormat="1" applyFont="1" applyFill="1" applyBorder="1"/>
    <xf numFmtId="165" fontId="8" fillId="0" borderId="60" xfId="14" applyNumberFormat="1" applyFont="1" applyFill="1" applyBorder="1"/>
    <xf numFmtId="168" fontId="8" fillId="0" borderId="22" xfId="0" applyNumberFormat="1" applyFont="1" applyFill="1" applyBorder="1" applyAlignment="1">
      <alignment horizontal="center"/>
    </xf>
    <xf numFmtId="168" fontId="8" fillId="0" borderId="0" xfId="0" applyNumberFormat="1" applyFont="1" applyFill="1" applyBorder="1" applyAlignment="1">
      <alignment horizontal="center"/>
    </xf>
    <xf numFmtId="168" fontId="8" fillId="0" borderId="0" xfId="0" applyNumberFormat="1" applyFont="1" applyFill="1" applyBorder="1" applyAlignment="1">
      <alignment horizontal="right"/>
    </xf>
    <xf numFmtId="168" fontId="8" fillId="0" borderId="27" xfId="0" applyNumberFormat="1" applyFont="1" applyFill="1" applyBorder="1" applyAlignment="1">
      <alignment horizontal="center"/>
    </xf>
    <xf numFmtId="165" fontId="8" fillId="0" borderId="22" xfId="0" applyNumberFormat="1" applyFont="1" applyFill="1" applyBorder="1" applyAlignment="1">
      <alignment horizontal="center"/>
    </xf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5" fontId="8" fillId="0" borderId="29" xfId="1" applyNumberFormat="1" applyFont="1" applyFill="1" applyBorder="1"/>
    <xf numFmtId="165" fontId="8" fillId="3" borderId="0" xfId="14" applyNumberFormat="1" applyFont="1" applyFill="1" applyBorder="1"/>
    <xf numFmtId="165" fontId="6" fillId="0" borderId="26" xfId="0" applyNumberFormat="1" applyFont="1" applyFill="1" applyBorder="1"/>
    <xf numFmtId="165" fontId="6" fillId="0" borderId="17" xfId="0" applyNumberFormat="1" applyFont="1" applyFill="1" applyBorder="1"/>
    <xf numFmtId="165" fontId="6" fillId="0" borderId="27" xfId="0" applyNumberFormat="1" applyFont="1" applyFill="1" applyBorder="1" applyAlignment="1">
      <alignment horizontal="center"/>
    </xf>
    <xf numFmtId="165" fontId="6" fillId="0" borderId="18" xfId="0" applyNumberFormat="1" applyFont="1" applyFill="1" applyBorder="1" applyAlignment="1">
      <alignment horizontal="center"/>
    </xf>
    <xf numFmtId="165" fontId="6" fillId="0" borderId="18" xfId="0" applyNumberFormat="1" applyFont="1" applyFill="1" applyBorder="1"/>
    <xf numFmtId="165" fontId="6" fillId="0" borderId="27" xfId="0" applyNumberFormat="1" applyFont="1" applyFill="1" applyBorder="1"/>
    <xf numFmtId="165" fontId="6" fillId="0" borderId="18" xfId="14" applyNumberFormat="1" applyFont="1" applyFill="1" applyBorder="1"/>
    <xf numFmtId="165" fontId="6" fillId="0" borderId="19" xfId="0" applyNumberFormat="1" applyFont="1" applyFill="1" applyBorder="1"/>
    <xf numFmtId="0" fontId="10" fillId="0" borderId="37" xfId="0" applyNumberFormat="1" applyFont="1" applyFill="1" applyBorder="1"/>
    <xf numFmtId="165" fontId="8" fillId="0" borderId="37" xfId="0" applyNumberFormat="1" applyFont="1" applyFill="1" applyBorder="1"/>
    <xf numFmtId="169" fontId="8" fillId="0" borderId="0" xfId="0" applyNumberFormat="1" applyFont="1" applyFill="1"/>
    <xf numFmtId="169" fontId="8" fillId="0" borderId="0" xfId="0" applyNumberFormat="1" applyFont="1" applyFill="1" applyBorder="1"/>
    <xf numFmtId="169" fontId="10" fillId="0" borderId="0" xfId="0" applyNumberFormat="1" applyFont="1" applyFill="1" applyBorder="1"/>
    <xf numFmtId="43" fontId="8" fillId="0" borderId="0" xfId="1" applyFont="1" applyFill="1" applyBorder="1"/>
    <xf numFmtId="0" fontId="10" fillId="0" borderId="0" xfId="0" applyNumberFormat="1" applyFont="1" applyFill="1" applyBorder="1"/>
    <xf numFmtId="170" fontId="8" fillId="0" borderId="0" xfId="0" applyNumberFormat="1" applyFont="1" applyFill="1" applyBorder="1"/>
    <xf numFmtId="171" fontId="8" fillId="0" borderId="0" xfId="0" applyNumberFormat="1" applyFont="1" applyFill="1" applyBorder="1"/>
    <xf numFmtId="165" fontId="5" fillId="0" borderId="8" xfId="0" applyNumberFormat="1" applyFont="1" applyFill="1" applyBorder="1"/>
    <xf numFmtId="165" fontId="6" fillId="0" borderId="11" xfId="0" applyNumberFormat="1" applyFont="1" applyFill="1" applyBorder="1"/>
    <xf numFmtId="165" fontId="6" fillId="0" borderId="12" xfId="0" applyNumberFormat="1" applyFont="1" applyFill="1" applyBorder="1"/>
    <xf numFmtId="0" fontId="18" fillId="0" borderId="21" xfId="0" applyFont="1" applyFill="1" applyBorder="1"/>
    <xf numFmtId="0" fontId="18" fillId="0" borderId="22" xfId="0" applyFont="1" applyFill="1" applyBorder="1"/>
    <xf numFmtId="0" fontId="6" fillId="0" borderId="12" xfId="0" quotePrefix="1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5" fontId="6" fillId="0" borderId="22" xfId="0" applyNumberFormat="1" applyFont="1" applyFill="1" applyBorder="1" applyAlignment="1">
      <alignment horizontal="left"/>
    </xf>
    <xf numFmtId="165" fontId="6" fillId="0" borderId="21" xfId="0" applyNumberFormat="1" applyFont="1" applyFill="1" applyBorder="1" applyAlignment="1">
      <alignment horizontal="left"/>
    </xf>
    <xf numFmtId="165" fontId="6" fillId="0" borderId="22" xfId="0" applyNumberFormat="1" applyFont="1" applyFill="1" applyBorder="1" applyAlignment="1">
      <alignment horizontal="center"/>
    </xf>
    <xf numFmtId="165" fontId="8" fillId="0" borderId="9" xfId="0" applyNumberFormat="1" applyFont="1" applyFill="1" applyBorder="1" applyAlignment="1">
      <alignment horizontal="center"/>
    </xf>
    <xf numFmtId="165" fontId="8" fillId="0" borderId="18" xfId="0" applyNumberFormat="1" applyFont="1" applyFill="1" applyBorder="1" applyAlignment="1">
      <alignment horizontal="center"/>
    </xf>
    <xf numFmtId="165" fontId="8" fillId="0" borderId="19" xfId="0" applyNumberFormat="1" applyFont="1" applyFill="1" applyBorder="1"/>
    <xf numFmtId="165" fontId="6" fillId="0" borderId="0" xfId="14" applyNumberFormat="1" applyFont="1" applyFill="1" applyBorder="1" applyAlignment="1">
      <alignment horizontal="center"/>
    </xf>
    <xf numFmtId="165" fontId="8" fillId="0" borderId="18" xfId="14" applyNumberFormat="1" applyFont="1" applyFill="1" applyBorder="1" applyAlignment="1">
      <alignment horizontal="center"/>
    </xf>
    <xf numFmtId="165" fontId="8" fillId="0" borderId="17" xfId="0" applyNumberFormat="1" applyFont="1" applyFill="1" applyBorder="1" applyAlignment="1">
      <alignment horizontal="center"/>
    </xf>
    <xf numFmtId="165" fontId="8" fillId="0" borderId="0" xfId="14" applyNumberFormat="1" applyFont="1" applyFill="1" applyBorder="1" applyAlignment="1">
      <alignment horizontal="center"/>
    </xf>
    <xf numFmtId="165" fontId="8" fillId="0" borderId="29" xfId="0" applyNumberFormat="1" applyFont="1" applyFill="1" applyBorder="1" applyAlignment="1">
      <alignment horizontal="center"/>
    </xf>
    <xf numFmtId="165" fontId="8" fillId="0" borderId="21" xfId="14" applyNumberFormat="1" applyFont="1" applyFill="1" applyBorder="1" applyAlignment="1">
      <alignment horizontal="center"/>
    </xf>
    <xf numFmtId="165" fontId="8" fillId="0" borderId="24" xfId="0" applyNumberFormat="1" applyFont="1" applyFill="1" applyBorder="1" applyAlignment="1">
      <alignment horizontal="center"/>
    </xf>
    <xf numFmtId="165" fontId="8" fillId="0" borderId="21" xfId="0" applyNumberFormat="1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left"/>
    </xf>
    <xf numFmtId="165" fontId="8" fillId="0" borderId="22" xfId="0" applyNumberFormat="1" applyFont="1" applyFill="1" applyBorder="1" applyAlignment="1">
      <alignment horizontal="left"/>
    </xf>
    <xf numFmtId="165" fontId="6" fillId="0" borderId="15" xfId="1" applyNumberFormat="1" applyFont="1" applyFill="1" applyBorder="1" applyAlignment="1">
      <alignment horizontal="right"/>
    </xf>
    <xf numFmtId="43" fontId="6" fillId="0" borderId="0" xfId="1" applyFont="1" applyFill="1"/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6" xfId="0" applyNumberFormat="1" applyFont="1" applyFill="1" applyBorder="1"/>
    <xf numFmtId="165" fontId="8" fillId="0" borderId="57" xfId="1" applyNumberFormat="1" applyFont="1" applyFill="1" applyBorder="1" applyAlignment="1">
      <alignment horizontal="right"/>
    </xf>
    <xf numFmtId="165" fontId="8" fillId="0" borderId="58" xfId="1" applyNumberFormat="1" applyFont="1" applyFill="1" applyBorder="1" applyAlignment="1">
      <alignment horizontal="right"/>
    </xf>
    <xf numFmtId="165" fontId="8" fillId="0" borderId="56" xfId="1" applyNumberFormat="1" applyFont="1" applyFill="1" applyBorder="1" applyAlignment="1">
      <alignment horizontal="right"/>
    </xf>
    <xf numFmtId="165" fontId="8" fillId="0" borderId="57" xfId="1" applyNumberFormat="1" applyFont="1" applyFill="1" applyBorder="1" applyAlignment="1">
      <alignment horizontal="left"/>
    </xf>
    <xf numFmtId="165" fontId="8" fillId="0" borderId="61" xfId="0" applyNumberFormat="1" applyFont="1" applyFill="1" applyBorder="1"/>
    <xf numFmtId="165" fontId="8" fillId="0" borderId="22" xfId="1" applyNumberFormat="1" applyFont="1" applyFill="1" applyBorder="1" applyAlignment="1">
      <alignment horizontal="right"/>
    </xf>
    <xf numFmtId="167" fontId="8" fillId="0" borderId="22" xfId="1" applyNumberFormat="1" applyFont="1" applyFill="1" applyBorder="1" applyAlignment="1">
      <alignment horizontal="right"/>
    </xf>
    <xf numFmtId="167" fontId="8" fillId="0" borderId="24" xfId="1" applyNumberFormat="1" applyFont="1" applyFill="1" applyBorder="1" applyAlignment="1">
      <alignment horizontal="right"/>
    </xf>
    <xf numFmtId="165" fontId="6" fillId="0" borderId="9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5" fontId="8" fillId="0" borderId="62" xfId="0" applyNumberFormat="1" applyFont="1" applyFill="1" applyBorder="1"/>
    <xf numFmtId="165" fontId="8" fillId="0" borderId="32" xfId="0" applyNumberFormat="1" applyFont="1" applyFill="1" applyBorder="1"/>
    <xf numFmtId="165" fontId="8" fillId="0" borderId="32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 applyFill="1" applyBorder="1"/>
    <xf numFmtId="165" fontId="8" fillId="0" borderId="36" xfId="0" applyNumberFormat="1" applyFont="1" applyFill="1" applyBorder="1" applyAlignment="1">
      <alignment horizontal="right"/>
    </xf>
    <xf numFmtId="0" fontId="6" fillId="0" borderId="21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left" indent="1"/>
    </xf>
    <xf numFmtId="165" fontId="8" fillId="0" borderId="27" xfId="0" applyNumberFormat="1" applyFont="1" applyFill="1" applyBorder="1" applyAlignment="1">
      <alignment horizontal="left" indent="1"/>
    </xf>
    <xf numFmtId="165" fontId="8" fillId="0" borderId="18" xfId="0" applyNumberFormat="1" applyFont="1" applyFill="1" applyBorder="1" applyAlignment="1">
      <alignment horizontal="left" indent="1"/>
    </xf>
    <xf numFmtId="165" fontId="8" fillId="0" borderId="22" xfId="0" applyNumberFormat="1" applyFont="1" applyFill="1" applyBorder="1" applyAlignment="1">
      <alignment horizontal="left" indent="1"/>
    </xf>
    <xf numFmtId="165" fontId="8" fillId="0" borderId="21" xfId="0" applyNumberFormat="1" applyFont="1" applyFill="1" applyBorder="1" applyAlignment="1">
      <alignment horizontal="left" indent="1"/>
    </xf>
    <xf numFmtId="165" fontId="6" fillId="0" borderId="15" xfId="0" applyNumberFormat="1" applyFont="1" applyFill="1" applyBorder="1" applyAlignment="1">
      <alignment horizontal="left"/>
    </xf>
    <xf numFmtId="165" fontId="8" fillId="0" borderId="56" xfId="0" applyNumberFormat="1" applyFont="1" applyFill="1" applyBorder="1" applyAlignment="1">
      <alignment horizontal="left" indent="1"/>
    </xf>
    <xf numFmtId="172" fontId="8" fillId="0" borderId="57" xfId="1" applyNumberFormat="1" applyFont="1" applyFill="1" applyBorder="1" applyAlignment="1">
      <alignment horizontal="right"/>
    </xf>
    <xf numFmtId="165" fontId="8" fillId="0" borderId="57" xfId="0" applyNumberFormat="1" applyFont="1" applyFill="1" applyBorder="1"/>
    <xf numFmtId="165" fontId="8" fillId="0" borderId="40" xfId="1" applyNumberFormat="1" applyFont="1" applyFill="1" applyBorder="1" applyAlignment="1">
      <alignment horizontal="right"/>
    </xf>
    <xf numFmtId="165" fontId="5" fillId="0" borderId="0" xfId="0" applyNumberFormat="1" applyFont="1" applyFill="1"/>
    <xf numFmtId="0" fontId="6" fillId="0" borderId="21" xfId="0" quotePrefix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165" fontId="6" fillId="0" borderId="21" xfId="0" applyNumberFormat="1" applyFont="1" applyFill="1" applyBorder="1"/>
    <xf numFmtId="165" fontId="8" fillId="0" borderId="58" xfId="0" applyNumberFormat="1" applyFont="1" applyFill="1" applyBorder="1"/>
    <xf numFmtId="165" fontId="12" fillId="0" borderId="0" xfId="1" applyNumberFormat="1" applyFont="1" applyFill="1" applyBorder="1" applyAlignment="1">
      <alignment horizontal="right"/>
    </xf>
    <xf numFmtId="165" fontId="12" fillId="0" borderId="15" xfId="1" applyNumberFormat="1" applyFont="1" applyFill="1" applyBorder="1" applyAlignment="1">
      <alignment horizontal="right"/>
    </xf>
    <xf numFmtId="165" fontId="8" fillId="0" borderId="31" xfId="0" applyNumberFormat="1" applyFont="1" applyFill="1" applyBorder="1"/>
    <xf numFmtId="165" fontId="12" fillId="0" borderId="8" xfId="1" applyNumberFormat="1" applyFont="1" applyFill="1" applyBorder="1" applyAlignment="1">
      <alignment horizontal="right"/>
    </xf>
    <xf numFmtId="165" fontId="12" fillId="0" borderId="32" xfId="1" applyNumberFormat="1" applyFont="1" applyFill="1" applyBorder="1" applyAlignment="1">
      <alignment horizontal="right"/>
    </xf>
    <xf numFmtId="165" fontId="12" fillId="0" borderId="37" xfId="1" applyNumberFormat="1" applyFont="1" applyFill="1" applyBorder="1" applyAlignment="1">
      <alignment horizontal="right"/>
    </xf>
    <xf numFmtId="165" fontId="8" fillId="0" borderId="37" xfId="1" applyNumberFormat="1" applyFont="1" applyFill="1" applyBorder="1" applyAlignment="1">
      <alignment horizontal="right"/>
    </xf>
    <xf numFmtId="165" fontId="6" fillId="0" borderId="21" xfId="0" applyNumberFormat="1" applyFont="1" applyFill="1" applyBorder="1" applyAlignment="1">
      <alignment horizontal="center"/>
    </xf>
    <xf numFmtId="165" fontId="6" fillId="0" borderId="21" xfId="0" quotePrefix="1" applyNumberFormat="1" applyFont="1" applyFill="1" applyBorder="1" applyAlignment="1">
      <alignment horizontal="center"/>
    </xf>
    <xf numFmtId="165" fontId="6" fillId="0" borderId="25" xfId="0" applyNumberFormat="1" applyFont="1" applyFill="1" applyBorder="1" applyAlignment="1">
      <alignment horizontal="center"/>
    </xf>
    <xf numFmtId="165" fontId="10" fillId="0" borderId="9" xfId="0" applyNumberFormat="1" applyFont="1" applyFill="1" applyBorder="1"/>
    <xf numFmtId="165" fontId="10" fillId="0" borderId="15" xfId="0" applyNumberFormat="1" applyFont="1" applyFill="1" applyBorder="1"/>
    <xf numFmtId="165" fontId="10" fillId="0" borderId="0" xfId="0" applyNumberFormat="1" applyFont="1" applyFill="1" applyBorder="1"/>
    <xf numFmtId="165" fontId="10" fillId="0" borderId="0" xfId="0" applyNumberFormat="1" applyFont="1" applyFill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165" fontId="6" fillId="0" borderId="36" xfId="0" applyNumberFormat="1" applyFont="1" applyFill="1" applyBorder="1"/>
    <xf numFmtId="165" fontId="9" fillId="0" borderId="37" xfId="0" applyNumberFormat="1" applyFont="1" applyFill="1" applyBorder="1" applyAlignment="1">
      <alignment horizontal="right"/>
    </xf>
    <xf numFmtId="165" fontId="6" fillId="0" borderId="10" xfId="0" applyNumberFormat="1" applyFont="1" applyFill="1" applyBorder="1"/>
    <xf numFmtId="165" fontId="6" fillId="0" borderId="37" xfId="0" applyNumberFormat="1" applyFont="1" applyFill="1" applyBorder="1"/>
    <xf numFmtId="165" fontId="6" fillId="0" borderId="37" xfId="0" quotePrefix="1" applyNumberFormat="1" applyFont="1" applyFill="1" applyBorder="1" applyAlignment="1">
      <alignment horizontal="center"/>
    </xf>
    <xf numFmtId="165" fontId="6" fillId="0" borderId="37" xfId="0" applyNumberFormat="1" applyFont="1" applyFill="1" applyBorder="1" applyAlignment="1">
      <alignment horizontal="center"/>
    </xf>
    <xf numFmtId="165" fontId="6" fillId="0" borderId="37" xfId="0" applyNumberFormat="1" applyFont="1" applyFill="1" applyBorder="1" applyAlignment="1">
      <alignment horizontal="center"/>
    </xf>
    <xf numFmtId="165" fontId="6" fillId="0" borderId="10" xfId="0" applyNumberFormat="1" applyFont="1" applyFill="1" applyBorder="1" applyAlignment="1">
      <alignment horizontal="center"/>
    </xf>
    <xf numFmtId="165" fontId="6" fillId="0" borderId="53" xfId="0" applyNumberFormat="1" applyFont="1" applyFill="1" applyBorder="1" applyAlignment="1">
      <alignment horizontal="center"/>
    </xf>
    <xf numFmtId="165" fontId="6" fillId="0" borderId="19" xfId="0" applyNumberFormat="1" applyFont="1" applyFill="1" applyBorder="1" applyAlignment="1">
      <alignment horizontal="right"/>
    </xf>
    <xf numFmtId="165" fontId="9" fillId="0" borderId="21" xfId="0" applyNumberFormat="1" applyFont="1" applyFill="1" applyBorder="1" applyAlignment="1">
      <alignment horizontal="right"/>
    </xf>
    <xf numFmtId="165" fontId="6" fillId="0" borderId="21" xfId="1" applyNumberFormat="1" applyFont="1" applyFill="1" applyBorder="1" applyAlignment="1">
      <alignment horizontal="center"/>
    </xf>
    <xf numFmtId="165" fontId="6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9" xfId="0" quotePrefix="1" applyNumberFormat="1" applyFont="1" applyFill="1" applyBorder="1"/>
    <xf numFmtId="165" fontId="6" fillId="0" borderId="28" xfId="0" applyNumberFormat="1" applyFont="1" applyFill="1" applyBorder="1"/>
    <xf numFmtId="165" fontId="6" fillId="0" borderId="57" xfId="0" applyNumberFormat="1" applyFont="1" applyFill="1" applyBorder="1"/>
    <xf numFmtId="165" fontId="8" fillId="0" borderId="57" xfId="1" applyNumberFormat="1" applyFont="1" applyFill="1" applyBorder="1" applyAlignment="1">
      <alignment horizontal="center"/>
    </xf>
    <xf numFmtId="165" fontId="8" fillId="0" borderId="56" xfId="1" applyNumberFormat="1" applyFont="1" applyFill="1" applyBorder="1" applyAlignment="1">
      <alignment horizontal="center"/>
    </xf>
    <xf numFmtId="165" fontId="6" fillId="0" borderId="58" xfId="1" applyNumberFormat="1" applyFont="1" applyFill="1" applyBorder="1" applyAlignment="1">
      <alignment horizontal="center"/>
    </xf>
    <xf numFmtId="165" fontId="6" fillId="0" borderId="40" xfId="1" applyNumberFormat="1" applyFont="1" applyFill="1" applyBorder="1" applyAlignment="1">
      <alignment horizontal="center"/>
    </xf>
    <xf numFmtId="0" fontId="8" fillId="0" borderId="9" xfId="0" applyNumberFormat="1" applyFont="1" applyFill="1" applyBorder="1"/>
    <xf numFmtId="165" fontId="8" fillId="0" borderId="25" xfId="1" applyNumberFormat="1" applyFont="1" applyFill="1" applyBorder="1" applyAlignment="1">
      <alignment horizontal="center"/>
    </xf>
    <xf numFmtId="174" fontId="8" fillId="0" borderId="0" xfId="0" applyNumberFormat="1" applyFont="1" applyFill="1"/>
    <xf numFmtId="165" fontId="6" fillId="0" borderId="57" xfId="1" applyNumberFormat="1" applyFont="1" applyFill="1" applyBorder="1" applyAlignment="1">
      <alignment horizontal="center"/>
    </xf>
    <xf numFmtId="165" fontId="6" fillId="0" borderId="57" xfId="1" applyNumberFormat="1" applyFont="1" applyFill="1" applyBorder="1" applyAlignment="1">
      <alignment horizontal="right"/>
    </xf>
    <xf numFmtId="165" fontId="6" fillId="0" borderId="56" xfId="1" applyNumberFormat="1" applyFont="1" applyFill="1" applyBorder="1" applyAlignment="1">
      <alignment horizontal="center"/>
    </xf>
    <xf numFmtId="165" fontId="6" fillId="0" borderId="42" xfId="0" applyNumberFormat="1" applyFont="1" applyFill="1" applyBorder="1"/>
    <xf numFmtId="165" fontId="10" fillId="0" borderId="8" xfId="0" applyNumberFormat="1" applyFont="1" applyFill="1" applyBorder="1" applyAlignment="1">
      <alignment horizontal="right"/>
    </xf>
    <xf numFmtId="165" fontId="6" fillId="0" borderId="47" xfId="0" applyNumberFormat="1" applyFont="1" applyFill="1" applyBorder="1"/>
    <xf numFmtId="165" fontId="6" fillId="0" borderId="43" xfId="0" applyNumberFormat="1" applyFont="1" applyFill="1" applyBorder="1"/>
    <xf numFmtId="165" fontId="6" fillId="0" borderId="44" xfId="1" applyNumberFormat="1" applyFont="1" applyFill="1" applyBorder="1" applyAlignment="1">
      <alignment horizontal="center"/>
    </xf>
    <xf numFmtId="165" fontId="10" fillId="0" borderId="37" xfId="0" quotePrefix="1" applyNumberFormat="1" applyFont="1" applyFill="1" applyBorder="1" applyAlignment="1">
      <alignment horizontal="left"/>
    </xf>
    <xf numFmtId="165" fontId="10" fillId="0" borderId="0" xfId="0" quotePrefix="1" applyNumberFormat="1" applyFont="1" applyFill="1"/>
    <xf numFmtId="165" fontId="10" fillId="0" borderId="0" xfId="0" quotePrefix="1" applyNumberFormat="1" applyFont="1" applyFill="1" applyAlignment="1">
      <alignment horizontal="right"/>
    </xf>
    <xf numFmtId="175" fontId="8" fillId="0" borderId="0" xfId="1" applyNumberFormat="1" applyFont="1" applyFill="1"/>
    <xf numFmtId="164" fontId="6" fillId="0" borderId="0" xfId="0" applyNumberFormat="1" applyFont="1" applyFill="1"/>
    <xf numFmtId="176" fontId="8" fillId="0" borderId="0" xfId="0" applyNumberFormat="1" applyFont="1" applyFill="1"/>
    <xf numFmtId="177" fontId="8" fillId="0" borderId="0" xfId="0" applyNumberFormat="1" applyFont="1" applyFill="1"/>
    <xf numFmtId="170" fontId="8" fillId="0" borderId="0" xfId="0" applyNumberFormat="1" applyFont="1" applyFill="1"/>
    <xf numFmtId="178" fontId="8" fillId="0" borderId="0" xfId="1" applyNumberFormat="1" applyFont="1" applyFill="1"/>
    <xf numFmtId="175" fontId="8" fillId="0" borderId="0" xfId="0" applyNumberFormat="1" applyFont="1" applyFill="1"/>
    <xf numFmtId="164" fontId="8" fillId="0" borderId="0" xfId="13" applyFont="1" applyFill="1" applyBorder="1"/>
    <xf numFmtId="165" fontId="8" fillId="0" borderId="0" xfId="13" applyNumberFormat="1" applyFont="1" applyFill="1" applyBorder="1"/>
    <xf numFmtId="179" fontId="8" fillId="0" borderId="0" xfId="0" applyNumberFormat="1" applyFont="1" applyFill="1" applyBorder="1"/>
    <xf numFmtId="164" fontId="8" fillId="0" borderId="0" xfId="13" applyNumberFormat="1" applyFont="1" applyFill="1" applyBorder="1"/>
    <xf numFmtId="179" fontId="8" fillId="0" borderId="0" xfId="13" applyNumberFormat="1" applyFont="1" applyFill="1" applyBorder="1"/>
    <xf numFmtId="164" fontId="8" fillId="0" borderId="0" xfId="0" applyNumberFormat="1" applyFont="1" applyFill="1" applyBorder="1"/>
    <xf numFmtId="164" fontId="8" fillId="0" borderId="0" xfId="13" applyFont="1" applyFill="1"/>
    <xf numFmtId="0" fontId="8" fillId="0" borderId="30" xfId="0" applyFont="1" applyFill="1" applyBorder="1"/>
    <xf numFmtId="0" fontId="6" fillId="0" borderId="36" xfId="0" applyFont="1" applyFill="1" applyBorder="1"/>
    <xf numFmtId="0" fontId="6" fillId="0" borderId="37" xfId="0" applyFont="1" applyFill="1" applyBorder="1"/>
    <xf numFmtId="0" fontId="6" fillId="0" borderId="3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5" xfId="2" applyFont="1" applyFill="1" applyBorder="1" applyAlignment="1">
      <alignment horizontal="right"/>
    </xf>
    <xf numFmtId="0" fontId="6" fillId="0" borderId="39" xfId="0" applyFont="1" applyFill="1" applyBorder="1" applyAlignment="1">
      <alignment horizontal="right"/>
    </xf>
    <xf numFmtId="0" fontId="6" fillId="0" borderId="23" xfId="2" applyFont="1" applyFill="1" applyBorder="1" applyAlignment="1">
      <alignment horizontal="right"/>
    </xf>
    <xf numFmtId="0" fontId="6" fillId="0" borderId="23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" fillId="0" borderId="28" xfId="13" applyNumberFormat="1" applyFont="1" applyFill="1" applyBorder="1" applyAlignment="1">
      <alignment horizontal="right"/>
    </xf>
    <xf numFmtId="165" fontId="6" fillId="0" borderId="40" xfId="13" applyNumberFormat="1" applyFont="1" applyFill="1" applyBorder="1" applyAlignment="1">
      <alignment horizontal="right"/>
    </xf>
    <xf numFmtId="165" fontId="6" fillId="0" borderId="15" xfId="13" applyNumberFormat="1" applyFont="1" applyFill="1" applyBorder="1" applyAlignment="1">
      <alignment horizontal="right"/>
    </xf>
    <xf numFmtId="180" fontId="8" fillId="0" borderId="0" xfId="0" applyNumberFormat="1" applyFont="1" applyFill="1" applyAlignment="1">
      <alignment horizontal="right"/>
    </xf>
    <xf numFmtId="165" fontId="12" fillId="0" borderId="15" xfId="13" applyNumberFormat="1" applyFont="1" applyFill="1" applyBorder="1" applyAlignment="1">
      <alignment horizontal="right"/>
    </xf>
    <xf numFmtId="165" fontId="12" fillId="0" borderId="28" xfId="13" applyNumberFormat="1" applyFont="1" applyFill="1" applyBorder="1" applyAlignment="1">
      <alignment horizontal="right"/>
    </xf>
    <xf numFmtId="165" fontId="8" fillId="0" borderId="28" xfId="13" applyNumberFormat="1" applyFont="1" applyFill="1" applyBorder="1" applyAlignment="1">
      <alignment horizontal="right"/>
    </xf>
    <xf numFmtId="165" fontId="8" fillId="0" borderId="15" xfId="13" applyNumberFormat="1" applyFont="1" applyFill="1" applyBorder="1" applyAlignment="1">
      <alignment horizontal="right"/>
    </xf>
    <xf numFmtId="165" fontId="12" fillId="0" borderId="40" xfId="13" applyNumberFormat="1" applyFont="1" applyFill="1" applyBorder="1" applyAlignment="1">
      <alignment horizontal="right"/>
    </xf>
    <xf numFmtId="165" fontId="8" fillId="0" borderId="40" xfId="13" applyNumberFormat="1" applyFont="1" applyFill="1" applyBorder="1" applyAlignment="1">
      <alignment horizontal="right"/>
    </xf>
    <xf numFmtId="0" fontId="6" fillId="0" borderId="30" xfId="0" applyFont="1" applyFill="1" applyBorder="1"/>
    <xf numFmtId="165" fontId="15" fillId="0" borderId="15" xfId="13" applyNumberFormat="1" applyFont="1" applyFill="1" applyBorder="1" applyAlignment="1">
      <alignment horizontal="right"/>
    </xf>
    <xf numFmtId="165" fontId="15" fillId="0" borderId="28" xfId="13" applyNumberFormat="1" applyFont="1" applyFill="1" applyBorder="1" applyAlignment="1">
      <alignment horizontal="right"/>
    </xf>
    <xf numFmtId="165" fontId="15" fillId="0" borderId="40" xfId="13" applyNumberFormat="1" applyFont="1" applyFill="1" applyBorder="1" applyAlignment="1">
      <alignment horizontal="right"/>
    </xf>
    <xf numFmtId="0" fontId="8" fillId="0" borderId="0" xfId="0" quotePrefix="1" applyFont="1" applyFill="1" applyBorder="1" applyAlignment="1">
      <alignment horizontal="center"/>
    </xf>
    <xf numFmtId="0" fontId="15" fillId="0" borderId="0" xfId="0" applyNumberFormat="1" applyFont="1" applyFill="1" applyBorder="1" applyAlignment="1"/>
    <xf numFmtId="165" fontId="6" fillId="0" borderId="32" xfId="13" applyNumberFormat="1" applyFont="1" applyFill="1" applyBorder="1" applyAlignment="1">
      <alignment horizontal="right"/>
    </xf>
    <xf numFmtId="165" fontId="6" fillId="0" borderId="33" xfId="13" applyNumberFormat="1" applyFont="1" applyFill="1" applyBorder="1" applyAlignment="1">
      <alignment horizontal="right"/>
    </xf>
    <xf numFmtId="165" fontId="6" fillId="0" borderId="63" xfId="13" applyNumberFormat="1" applyFont="1" applyFill="1" applyBorder="1" applyAlignment="1">
      <alignment horizontal="right"/>
    </xf>
    <xf numFmtId="165" fontId="6" fillId="0" borderId="28" xfId="13" applyNumberFormat="1" applyFont="1" applyFill="1" applyBorder="1" applyAlignment="1">
      <alignment horizontal="center"/>
    </xf>
    <xf numFmtId="164" fontId="8" fillId="0" borderId="0" xfId="0" applyNumberFormat="1" applyFont="1" applyFill="1" applyAlignment="1">
      <alignment horizontal="right"/>
    </xf>
    <xf numFmtId="165" fontId="8" fillId="0" borderId="15" xfId="13" applyNumberFormat="1" applyFont="1" applyFill="1" applyBorder="1" applyAlignment="1">
      <alignment horizontal="center"/>
    </xf>
    <xf numFmtId="165" fontId="8" fillId="0" borderId="28" xfId="13" applyNumberFormat="1" applyFont="1" applyFill="1" applyBorder="1" applyAlignment="1">
      <alignment horizontal="center"/>
    </xf>
    <xf numFmtId="165" fontId="8" fillId="0" borderId="40" xfId="13" applyNumberFormat="1" applyFont="1" applyFill="1" applyBorder="1" applyAlignment="1">
      <alignment horizontal="center"/>
    </xf>
    <xf numFmtId="165" fontId="8" fillId="0" borderId="40" xfId="0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10" fillId="0" borderId="29" xfId="0" applyFont="1" applyFill="1" applyBorder="1" applyAlignment="1">
      <alignment horizontal="center"/>
    </xf>
    <xf numFmtId="165" fontId="8" fillId="0" borderId="29" xfId="13" applyNumberFormat="1" applyFont="1" applyFill="1" applyBorder="1" applyAlignment="1">
      <alignment horizontal="right"/>
    </xf>
    <xf numFmtId="0" fontId="8" fillId="0" borderId="8" xfId="0" applyFont="1" applyFill="1" applyBorder="1" applyAlignment="1">
      <alignment horizontal="center"/>
    </xf>
    <xf numFmtId="165" fontId="8" fillId="0" borderId="32" xfId="13" applyNumberFormat="1" applyFont="1" applyFill="1" applyBorder="1" applyAlignment="1">
      <alignment horizontal="right"/>
    </xf>
    <xf numFmtId="165" fontId="8" fillId="0" borderId="33" xfId="13" applyNumberFormat="1" applyFont="1" applyFill="1" applyBorder="1" applyAlignment="1">
      <alignment horizontal="right"/>
    </xf>
    <xf numFmtId="165" fontId="8" fillId="0" borderId="63" xfId="13" applyNumberFormat="1" applyFont="1" applyFill="1" applyBorder="1" applyAlignment="1">
      <alignment horizontal="right"/>
    </xf>
    <xf numFmtId="165" fontId="8" fillId="0" borderId="51" xfId="13" applyNumberFormat="1" applyFont="1" applyFill="1" applyBorder="1" applyAlignment="1">
      <alignment horizontal="right"/>
    </xf>
    <xf numFmtId="0" fontId="12" fillId="0" borderId="36" xfId="0" applyNumberFormat="1" applyFont="1" applyFill="1" applyBorder="1"/>
    <xf numFmtId="0" fontId="19" fillId="0" borderId="37" xfId="0" applyNumberFormat="1" applyFont="1" applyFill="1" applyBorder="1"/>
    <xf numFmtId="0" fontId="8" fillId="0" borderId="37" xfId="0" applyFont="1" applyFill="1" applyBorder="1"/>
    <xf numFmtId="0" fontId="8" fillId="0" borderId="37" xfId="0" applyFont="1" applyFill="1" applyBorder="1" applyAlignment="1">
      <alignment horizontal="center"/>
    </xf>
    <xf numFmtId="165" fontId="8" fillId="0" borderId="10" xfId="13" applyNumberFormat="1" applyFont="1" applyFill="1" applyBorder="1" applyAlignment="1">
      <alignment horizontal="right"/>
    </xf>
    <xf numFmtId="165" fontId="8" fillId="0" borderId="52" xfId="13" applyNumberFormat="1" applyFont="1" applyFill="1" applyBorder="1" applyAlignment="1">
      <alignment horizontal="right"/>
    </xf>
    <xf numFmtId="165" fontId="8" fillId="0" borderId="54" xfId="13" applyNumberFormat="1" applyFont="1" applyFill="1" applyBorder="1" applyAlignment="1">
      <alignment horizontal="right"/>
    </xf>
    <xf numFmtId="0" fontId="15" fillId="0" borderId="9" xfId="0" applyNumberFormat="1" applyFont="1" applyFill="1" applyBorder="1"/>
    <xf numFmtId="0" fontId="20" fillId="0" borderId="0" xfId="0" applyNumberFormat="1" applyFont="1" applyFill="1" applyBorder="1"/>
    <xf numFmtId="0" fontId="19" fillId="0" borderId="9" xfId="0" applyNumberFormat="1" applyFont="1" applyFill="1" applyBorder="1"/>
    <xf numFmtId="0" fontId="19" fillId="0" borderId="0" xfId="0" applyNumberFormat="1" applyFont="1" applyFill="1" applyBorder="1"/>
    <xf numFmtId="165" fontId="8" fillId="0" borderId="15" xfId="2" applyNumberFormat="1" applyFont="1" applyFill="1" applyBorder="1"/>
    <xf numFmtId="0" fontId="12" fillId="0" borderId="9" xfId="0" applyNumberFormat="1" applyFont="1" applyFill="1" applyBorder="1"/>
    <xf numFmtId="0" fontId="12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5" fontId="8" fillId="0" borderId="0" xfId="13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0" fontId="13" fillId="0" borderId="0" xfId="0" applyFont="1" applyFill="1" applyBorder="1" applyAlignment="1">
      <alignment vertical="top"/>
    </xf>
    <xf numFmtId="165" fontId="6" fillId="0" borderId="0" xfId="13" applyNumberFormat="1" applyFont="1" applyFill="1" applyBorder="1" applyAlignment="1">
      <alignment horizontal="right"/>
    </xf>
    <xf numFmtId="167" fontId="8" fillId="0" borderId="0" xfId="13" applyNumberFormat="1" applyFont="1" applyFill="1" applyBorder="1" applyAlignment="1">
      <alignment horizontal="right"/>
    </xf>
    <xf numFmtId="164" fontId="8" fillId="0" borderId="0" xfId="13" applyNumberFormat="1" applyFont="1" applyFill="1" applyBorder="1" applyAlignment="1">
      <alignment horizontal="right"/>
    </xf>
    <xf numFmtId="164" fontId="8" fillId="0" borderId="0" xfId="0" applyNumberFormat="1" applyFont="1" applyFill="1"/>
    <xf numFmtId="0" fontId="8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6" fillId="0" borderId="64" xfId="0" quotePrefix="1" applyNumberFormat="1" applyFont="1" applyFill="1" applyBorder="1" applyAlignment="1">
      <alignment horizontal="center"/>
    </xf>
    <xf numFmtId="0" fontId="12" fillId="0" borderId="21" xfId="0" applyNumberFormat="1" applyFont="1" applyFill="1" applyBorder="1" applyAlignment="1"/>
    <xf numFmtId="165" fontId="8" fillId="0" borderId="21" xfId="0" applyNumberFormat="1" applyFont="1" applyFill="1" applyBorder="1" applyAlignment="1">
      <alignment horizontal="right"/>
    </xf>
    <xf numFmtId="0" fontId="15" fillId="0" borderId="26" xfId="0" applyNumberFormat="1" applyFont="1" applyFill="1" applyBorder="1" applyAlignment="1"/>
    <xf numFmtId="167" fontId="10" fillId="0" borderId="9" xfId="0" applyNumberFormat="1" applyFont="1" applyFill="1" applyBorder="1" applyAlignment="1"/>
    <xf numFmtId="173" fontId="8" fillId="0" borderId="0" xfId="13" applyNumberFormat="1" applyFont="1" applyFill="1" applyBorder="1" applyAlignment="1">
      <alignment horizontal="right"/>
    </xf>
    <xf numFmtId="181" fontId="8" fillId="0" borderId="0" xfId="13" applyNumberFormat="1" applyFont="1" applyFill="1" applyBorder="1" applyAlignment="1">
      <alignment horizontal="right"/>
    </xf>
    <xf numFmtId="0" fontId="4" fillId="0" borderId="0" xfId="0" applyFont="1" applyBorder="1"/>
    <xf numFmtId="0" fontId="5" fillId="0" borderId="8" xfId="0" applyFont="1" applyBorder="1"/>
    <xf numFmtId="0" fontId="4" fillId="0" borderId="8" xfId="0" applyFont="1" applyBorder="1"/>
    <xf numFmtId="0" fontId="4" fillId="0" borderId="0" xfId="0" applyFont="1" applyFill="1" applyBorder="1"/>
    <xf numFmtId="0" fontId="4" fillId="0" borderId="8" xfId="0" applyFont="1" applyFill="1" applyBorder="1"/>
    <xf numFmtId="0" fontId="4" fillId="0" borderId="0" xfId="0" applyFont="1"/>
    <xf numFmtId="0" fontId="6" fillId="0" borderId="36" xfId="0" applyFont="1" applyBorder="1"/>
    <xf numFmtId="0" fontId="6" fillId="0" borderId="37" xfId="0" applyFont="1" applyBorder="1"/>
    <xf numFmtId="0" fontId="6" fillId="0" borderId="37" xfId="0" applyFont="1" applyFill="1" applyBorder="1" applyAlignment="1">
      <alignment horizontal="right"/>
    </xf>
    <xf numFmtId="0" fontId="4" fillId="0" borderId="9" xfId="0" applyFont="1" applyBorder="1"/>
    <xf numFmtId="0" fontId="6" fillId="0" borderId="9" xfId="0" applyFont="1" applyBorder="1"/>
    <xf numFmtId="0" fontId="6" fillId="0" borderId="0" xfId="0" applyFont="1" applyBorder="1"/>
    <xf numFmtId="0" fontId="6" fillId="0" borderId="16" xfId="2" applyFont="1" applyFill="1" applyBorder="1" applyAlignment="1">
      <alignment horizontal="right"/>
    </xf>
    <xf numFmtId="0" fontId="6" fillId="0" borderId="17" xfId="0" applyFont="1" applyFill="1" applyBorder="1" applyAlignment="1">
      <alignment horizontal="right"/>
    </xf>
    <xf numFmtId="0" fontId="6" fillId="0" borderId="20" xfId="0" applyFont="1" applyBorder="1"/>
    <xf numFmtId="0" fontId="6" fillId="0" borderId="2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5" fillId="0" borderId="9" xfId="0" applyNumberFormat="1" applyFont="1" applyBorder="1"/>
    <xf numFmtId="164" fontId="3" fillId="0" borderId="9" xfId="0" applyNumberFormat="1" applyFont="1" applyBorder="1"/>
    <xf numFmtId="165" fontId="4" fillId="0" borderId="0" xfId="0" applyNumberFormat="1" applyFont="1"/>
    <xf numFmtId="0" fontId="8" fillId="0" borderId="0" xfId="0" quotePrefix="1" applyFont="1" applyFill="1" applyBorder="1" applyAlignment="1">
      <alignment horizontal="right"/>
    </xf>
    <xf numFmtId="164" fontId="4" fillId="0" borderId="9" xfId="0" applyNumberFormat="1" applyFont="1" applyBorder="1"/>
    <xf numFmtId="0" fontId="8" fillId="0" borderId="0" xfId="0" applyFont="1" applyBorder="1"/>
    <xf numFmtId="0" fontId="8" fillId="0" borderId="0" xfId="0" applyNumberFormat="1" applyFont="1" applyFill="1" applyBorder="1" applyAlignment="1">
      <alignment horizontal="right"/>
    </xf>
    <xf numFmtId="165" fontId="8" fillId="0" borderId="28" xfId="2" applyNumberFormat="1" applyFont="1" applyFill="1" applyBorder="1" applyAlignment="1">
      <alignment horizontal="right"/>
    </xf>
    <xf numFmtId="164" fontId="4" fillId="0" borderId="0" xfId="0" applyNumberFormat="1" applyFont="1"/>
    <xf numFmtId="164" fontId="4" fillId="0" borderId="9" xfId="0" applyNumberFormat="1" applyFont="1" applyFill="1" applyBorder="1"/>
    <xf numFmtId="0" fontId="4" fillId="0" borderId="0" xfId="0" applyFont="1" applyFill="1"/>
    <xf numFmtId="0" fontId="10" fillId="0" borderId="0" xfId="0" applyNumberFormat="1" applyFont="1" applyFill="1" applyBorder="1" applyAlignment="1">
      <alignment horizontal="right"/>
    </xf>
    <xf numFmtId="0" fontId="20" fillId="0" borderId="9" xfId="0" applyNumberFormat="1" applyFont="1" applyBorder="1"/>
    <xf numFmtId="0" fontId="20" fillId="0" borderId="31" xfId="0" applyNumberFormat="1" applyFont="1" applyBorder="1"/>
    <xf numFmtId="0" fontId="8" fillId="0" borderId="8" xfId="0" quotePrefix="1" applyFont="1" applyFill="1" applyBorder="1"/>
    <xf numFmtId="0" fontId="8" fillId="0" borderId="8" xfId="0" quotePrefix="1" applyFont="1" applyFill="1" applyBorder="1" applyAlignment="1">
      <alignment horizontal="right"/>
    </xf>
    <xf numFmtId="165" fontId="8" fillId="0" borderId="33" xfId="0" applyNumberFormat="1" applyFont="1" applyFill="1" applyBorder="1" applyAlignment="1">
      <alignment horizontal="right"/>
    </xf>
    <xf numFmtId="165" fontId="8" fillId="0" borderId="63" xfId="1" applyNumberFormat="1" applyFont="1" applyFill="1" applyBorder="1" applyAlignment="1">
      <alignment horizontal="right"/>
    </xf>
    <xf numFmtId="0" fontId="12" fillId="0" borderId="31" xfId="0" applyNumberFormat="1" applyFont="1" applyBorder="1"/>
    <xf numFmtId="0" fontId="8" fillId="0" borderId="8" xfId="0" quotePrefix="1" applyFont="1" applyBorder="1"/>
    <xf numFmtId="0" fontId="8" fillId="0" borderId="8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10" fillId="0" borderId="0" xfId="0" applyNumberFormat="1" applyFont="1"/>
    <xf numFmtId="0" fontId="10" fillId="0" borderId="0" xfId="0" applyFont="1"/>
    <xf numFmtId="164" fontId="3" fillId="0" borderId="0" xfId="0" applyNumberFormat="1" applyFont="1" applyBorder="1"/>
    <xf numFmtId="0" fontId="3" fillId="0" borderId="0" xfId="0" applyFont="1" applyBorder="1"/>
    <xf numFmtId="0" fontId="3" fillId="0" borderId="0" xfId="0" applyFont="1"/>
    <xf numFmtId="165" fontId="4" fillId="0" borderId="0" xfId="0" applyNumberFormat="1" applyFont="1" applyFill="1"/>
    <xf numFmtId="165" fontId="3" fillId="0" borderId="0" xfId="0" applyNumberFormat="1" applyFont="1"/>
    <xf numFmtId="0" fontId="21" fillId="0" borderId="0" xfId="0" applyFont="1" applyBorder="1"/>
    <xf numFmtId="0" fontId="22" fillId="0" borderId="0" xfId="0" applyFont="1"/>
    <xf numFmtId="0" fontId="23" fillId="0" borderId="0" xfId="0" applyFont="1" applyFill="1"/>
    <xf numFmtId="43" fontId="4" fillId="0" borderId="0" xfId="1" applyFont="1" applyFill="1"/>
    <xf numFmtId="43" fontId="4" fillId="0" borderId="0" xfId="1" applyFont="1"/>
    <xf numFmtId="165" fontId="4" fillId="0" borderId="0" xfId="1" applyNumberFormat="1" applyFont="1" applyFill="1"/>
    <xf numFmtId="165" fontId="4" fillId="0" borderId="0" xfId="1" applyNumberFormat="1" applyFont="1"/>
    <xf numFmtId="165" fontId="3" fillId="0" borderId="0" xfId="1" applyNumberFormat="1" applyFont="1" applyFill="1"/>
  </cellXfs>
  <cellStyles count="15">
    <cellStyle name="Comma" xfId="1" builtinId="3"/>
    <cellStyle name="Comma 13" xfId="13"/>
    <cellStyle name="Comma 2 2" xfId="3"/>
    <cellStyle name="Comma 35" xfId="8"/>
    <cellStyle name="Comma 37 4" xfId="7"/>
    <cellStyle name="Normal" xfId="0" builtinId="0"/>
    <cellStyle name="Normal 2" xfId="2"/>
    <cellStyle name="Normal 2 2" xfId="6"/>
    <cellStyle name="Normal 4" xfId="14"/>
    <cellStyle name="Normal 49" xfId="4"/>
    <cellStyle name="Normal 50" xfId="5"/>
    <cellStyle name="Normal 51" xfId="9"/>
    <cellStyle name="Normal 52" xfId="10"/>
    <cellStyle name="Normal 53" xfId="11"/>
    <cellStyle name="Normal 54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1\Table%201%20April%20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2\Table%202%20C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3\statement%2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3\statement%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R_Accountant-General\3.%20CD_National%20Accounts\D.%20Directorates\D5.%20D_NRF%20and%20ASB\xiii.%20Exchequer%20Management\2018-2019\Financial%20Statements\FINAL\FINAL%20AFS%202018-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5\Additional%20Inform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5\Additional%20Informati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2.%20MAY\Table%205\Additional%20Informat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3.%20JUN\Table%205\Additional%20Informa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4.%20JULY\Table%205\Additional%20Informa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5.AUG\Table%205\Additional%20Informa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1\Table%201%20May%20202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6.SEP\Table%205\Additional%20Informa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7.OCT\Table%205\Additional%20Informa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8.%20NOV\Table%205\Additional%20Inform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9.%20DEC\Table%205\Additional%20Informat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5\Additional%20Informa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1.%20FEB\Table%205\Additional%20Inform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2.%20MAR\Table%205\Additional%20Inform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_Accountant-General\3.%20CD_National%20Accounts\D.%20Directorates\D5.%20D_NRF%20and%20ASB\xiii.%20Exchequer%20Management\2017-2018\Financial%20Statements\FINAL\FINAL%20AFS%202017-18%2004%20October%202018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4\statement%204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4\statement%20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2\Table%202%20C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4\Recon%20statement%20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4\Recon%20statemen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1.%20APR\Table%204\Recon%20statement%20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4\Recon%20statement%201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3.%20JUN\Table%204\Recon%20statement%20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4.%20JULY\Table%204\Recon%20statement%2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5.AUG\Table%204\Recon%20statement%20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6.SEP\Table%204\Recon%20statement%20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7.OCT\Table%204\Recon%20statement%20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8.%20NOV\Table%204\Recon%20statement%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2\Table%202%20C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9.%20DEC\Table%204\Recon%20statement%20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4\Recon%20statement%20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1.%20FEB\Table%204\Recon%20statement%20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2.%20MAR\Table%204\Recon%20statement%20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R_Accountant-General\3.%20CD_National%20Accounts\D.%20Directorates\D5.%20D_NRF%20and%20ASB\xiii.%20Exchequer%20Management\2020-2021\Exchequer%20Statements\Exchequer%20issues%202020-202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AppData\Local\Microsoft\Windows\INetCache\Content.Outlook\6Y7I356U\Exchequer%20issues%202020-202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2.%20MAR\Table%203\statement%2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3.%20JUN\Table%203\statement%2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4.%20JULY\Table%203\statement%2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5.AUG\Table%203\statement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2\Table%202%20P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6.SEP\Table%203\statement%2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7.OCT\Table%203\statement%2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8.%20NOV\Table%203\statement%2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9.%20DEC\Table%203\statement%2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3\statement%2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1.%20FEB\Table%203\statement%2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2.%20MAY\Table%203\statement%2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1.%20APR\Table%203\statement%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8-2019\APRIL%202018\Table%203\statement%2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8-2019\MAY%202018\Table%203\statement%2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2\Table%202%20P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7-2018\March%202018\Table%203\statement%2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1.%20APR\Table%205\Additional%20Inform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2.%20MAY\Table%205\Additional%20Inform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2\Table%202%20PY.xl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6.SEP\Table%202\Table%202%20C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7.OCT\Table%202\Table%202%20CY.xls%20for%20w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4">
          <cell r="H114">
            <v>1397995559.8169999</v>
          </cell>
          <cell r="U114">
            <v>63095740.380769998</v>
          </cell>
          <cell r="V114">
            <v>1343559182.7453499</v>
          </cell>
          <cell r="W114">
            <v>73824343.085730031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>
        <row r="75">
          <cell r="BG75">
            <v>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9">
          <cell r="H9" t="str">
            <v>Budget</v>
          </cell>
          <cell r="BZ9" t="str">
            <v>Preliminary</v>
          </cell>
        </row>
        <row r="13">
          <cell r="H13">
            <v>48000000</v>
          </cell>
          <cell r="M13">
            <v>37582688</v>
          </cell>
          <cell r="BZ13">
            <v>36077502</v>
          </cell>
          <cell r="CE13">
            <v>32089095</v>
          </cell>
        </row>
        <row r="23">
          <cell r="H23">
            <v>285235000</v>
          </cell>
          <cell r="M23">
            <v>32850713</v>
          </cell>
          <cell r="BZ23">
            <v>286021581</v>
          </cell>
        </row>
        <row r="25">
          <cell r="H25">
            <v>343646000</v>
          </cell>
          <cell r="M25">
            <v>38350619</v>
          </cell>
          <cell r="BZ25">
            <v>335517549</v>
          </cell>
          <cell r="CE25">
            <v>20725876</v>
          </cell>
        </row>
        <row r="26">
          <cell r="H26">
            <v>-5946000</v>
          </cell>
          <cell r="M26">
            <v>-4299769</v>
          </cell>
          <cell r="BZ26">
            <v>-29779023</v>
          </cell>
          <cell r="CE26">
            <v>-1256954</v>
          </cell>
        </row>
        <row r="28">
          <cell r="H28">
            <v>-52465000</v>
          </cell>
          <cell r="M28">
            <v>-1200137</v>
          </cell>
          <cell r="BZ28">
            <v>-19427655</v>
          </cell>
          <cell r="CE28">
            <v>-334512</v>
          </cell>
        </row>
        <row r="32">
          <cell r="H32">
            <v>0</v>
          </cell>
          <cell r="M32">
            <v>0</v>
          </cell>
          <cell r="BZ32">
            <v>14152656</v>
          </cell>
          <cell r="CE32">
            <v>0</v>
          </cell>
        </row>
        <row r="33">
          <cell r="H33">
            <v>0</v>
          </cell>
          <cell r="M33">
            <v>0</v>
          </cell>
          <cell r="BZ33">
            <v>-1646946</v>
          </cell>
          <cell r="CE33">
            <v>0</v>
          </cell>
        </row>
        <row r="34">
          <cell r="H34">
            <v>0</v>
          </cell>
          <cell r="M34">
            <v>0</v>
          </cell>
          <cell r="BZ34">
            <v>-12795000</v>
          </cell>
          <cell r="CE34">
            <v>0</v>
          </cell>
        </row>
        <row r="37">
          <cell r="H37">
            <v>0</v>
          </cell>
          <cell r="M37">
            <v>487336</v>
          </cell>
          <cell r="BZ37">
            <v>4361282</v>
          </cell>
          <cell r="CE37">
            <v>3109689</v>
          </cell>
        </row>
        <row r="38">
          <cell r="H38">
            <v>0</v>
          </cell>
          <cell r="M38">
            <v>-487336</v>
          </cell>
          <cell r="BZ38">
            <v>-4361282</v>
          </cell>
          <cell r="CE38">
            <v>-3109689</v>
          </cell>
        </row>
        <row r="45">
          <cell r="H45">
            <v>17026000</v>
          </cell>
          <cell r="M45">
            <v>-777665</v>
          </cell>
          <cell r="BZ45">
            <v>24823043</v>
          </cell>
        </row>
        <row r="47">
          <cell r="H47">
            <v>29260000</v>
          </cell>
          <cell r="M47">
            <v>0</v>
          </cell>
          <cell r="BZ47">
            <v>76052000</v>
          </cell>
        </row>
        <row r="48">
          <cell r="H48">
            <v>0</v>
          </cell>
          <cell r="M48">
            <v>0</v>
          </cell>
          <cell r="BZ48">
            <v>0</v>
          </cell>
        </row>
        <row r="50">
          <cell r="H50">
            <v>-7961000</v>
          </cell>
          <cell r="M50">
            <v>-391647</v>
          </cell>
          <cell r="BZ50">
            <v>-26952291</v>
          </cell>
        </row>
        <row r="51">
          <cell r="H51">
            <v>-4273000</v>
          </cell>
          <cell r="M51">
            <v>-386018</v>
          </cell>
          <cell r="BZ51">
            <v>-24276666</v>
          </cell>
        </row>
        <row r="68">
          <cell r="H68">
            <v>17737850</v>
          </cell>
          <cell r="M68">
            <v>-18499278.953769997</v>
          </cell>
          <cell r="BZ68">
            <v>-648893.04534983635</v>
          </cell>
        </row>
        <row r="71">
          <cell r="H71">
            <v>0</v>
          </cell>
          <cell r="M71">
            <v>34143659</v>
          </cell>
          <cell r="BZ71">
            <v>-17008126</v>
          </cell>
        </row>
        <row r="72">
          <cell r="H72">
            <v>0</v>
          </cell>
          <cell r="M72">
            <v>0</v>
          </cell>
          <cell r="BZ72">
            <v>0</v>
          </cell>
        </row>
        <row r="73">
          <cell r="M73">
            <v>0</v>
          </cell>
          <cell r="BZ73">
            <v>11826596</v>
          </cell>
        </row>
        <row r="74">
          <cell r="M74">
            <v>0</v>
          </cell>
          <cell r="BZ74">
            <v>-372703</v>
          </cell>
        </row>
      </sheetData>
      <sheetData sheetId="1"/>
      <sheetData sheetId="2"/>
      <sheetData sheetId="3"/>
      <sheetData sheetId="4">
        <row r="14">
          <cell r="H14">
            <v>188785000</v>
          </cell>
          <cell r="BZ14">
            <v>174717635</v>
          </cell>
          <cell r="CE14">
            <v>174717635</v>
          </cell>
        </row>
        <row r="15">
          <cell r="H15">
            <v>50000000</v>
          </cell>
          <cell r="BZ15">
            <v>63418018</v>
          </cell>
          <cell r="CE15">
            <v>63418018</v>
          </cell>
        </row>
        <row r="18">
          <cell r="H18">
            <v>176189000</v>
          </cell>
          <cell r="M18">
            <v>188398825</v>
          </cell>
          <cell r="BZ18">
            <v>191125443</v>
          </cell>
          <cell r="CE18">
            <v>171432024</v>
          </cell>
        </row>
        <row r="19">
          <cell r="H19">
            <v>50000000</v>
          </cell>
          <cell r="M19">
            <v>65747013</v>
          </cell>
          <cell r="BZ19">
            <v>44536225</v>
          </cell>
          <cell r="CE19">
            <v>27541644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2020/21</v>
          </cell>
          <cell r="BZ8" t="str">
            <v>2019/20</v>
          </cell>
        </row>
        <row r="9">
          <cell r="H9" t="str">
            <v>Budget</v>
          </cell>
          <cell r="BZ9" t="str">
            <v>Preliminary</v>
          </cell>
        </row>
        <row r="13">
          <cell r="R13">
            <v>16125619</v>
          </cell>
          <cell r="CJ13">
            <v>12375928</v>
          </cell>
        </row>
        <row r="23">
          <cell r="R23">
            <v>40638036.743999995</v>
          </cell>
          <cell r="CJ23">
            <v>24383035</v>
          </cell>
        </row>
        <row r="25">
          <cell r="R25">
            <v>45031287.743999995</v>
          </cell>
        </row>
        <row r="26">
          <cell r="R26">
            <v>-4058204</v>
          </cell>
        </row>
        <row r="27">
          <cell r="R27">
            <v>-335047</v>
          </cell>
        </row>
        <row r="32">
          <cell r="R32">
            <v>0</v>
          </cell>
        </row>
        <row r="33">
          <cell r="R33">
            <v>0</v>
          </cell>
        </row>
        <row r="36">
          <cell r="R36">
            <v>29682</v>
          </cell>
        </row>
        <row r="37">
          <cell r="R37">
            <v>-29682</v>
          </cell>
        </row>
        <row r="45">
          <cell r="R45">
            <v>-4931986</v>
          </cell>
          <cell r="CJ45">
            <v>-25247385</v>
          </cell>
        </row>
        <row r="47">
          <cell r="R47">
            <v>0</v>
          </cell>
        </row>
        <row r="49">
          <cell r="R49">
            <v>-1962723</v>
          </cell>
        </row>
        <row r="50">
          <cell r="R50">
            <v>-2969263</v>
          </cell>
        </row>
        <row r="67">
          <cell r="R67">
            <v>537410.36356998235</v>
          </cell>
          <cell r="CJ67">
            <v>6028814.930979982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13">
          <cell r="G13">
            <v>343646000</v>
          </cell>
          <cell r="L13">
            <v>38350619</v>
          </cell>
          <cell r="Q13">
            <v>45031287.743999995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83381906.744000003</v>
          </cell>
          <cell r="BY13">
            <v>335517549</v>
          </cell>
          <cell r="CD13">
            <v>20725876</v>
          </cell>
          <cell r="CI13">
            <v>26579251</v>
          </cell>
          <cell r="CN13">
            <v>21124207</v>
          </cell>
          <cell r="CS13">
            <v>24760828</v>
          </cell>
          <cell r="CX13">
            <v>30904734</v>
          </cell>
          <cell r="DC13">
            <v>32089447</v>
          </cell>
          <cell r="DH13">
            <v>33970885</v>
          </cell>
          <cell r="DM13">
            <v>34588835</v>
          </cell>
          <cell r="DR13">
            <v>26476333</v>
          </cell>
          <cell r="DW13">
            <v>21562772</v>
          </cell>
          <cell r="EB13">
            <v>32267535</v>
          </cell>
          <cell r="EG13">
            <v>30466846</v>
          </cell>
          <cell r="EL13">
            <v>47305127</v>
          </cell>
        </row>
        <row r="14">
          <cell r="G14">
            <v>0</v>
          </cell>
          <cell r="L14">
            <v>0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14152656</v>
          </cell>
          <cell r="CD14">
            <v>0</v>
          </cell>
          <cell r="CI14">
            <v>14152656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14152656</v>
          </cell>
        </row>
        <row r="15">
          <cell r="G15">
            <v>0</v>
          </cell>
          <cell r="L15">
            <v>487336</v>
          </cell>
          <cell r="Q15">
            <v>29682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517018</v>
          </cell>
          <cell r="BY15">
            <v>4361282</v>
          </cell>
          <cell r="CD15">
            <v>3109689</v>
          </cell>
          <cell r="CI15">
            <v>0</v>
          </cell>
          <cell r="CN15">
            <v>0</v>
          </cell>
          <cell r="CS15">
            <v>0</v>
          </cell>
          <cell r="CX15">
            <v>289217</v>
          </cell>
          <cell r="DC15">
            <v>235010</v>
          </cell>
          <cell r="DH15">
            <v>0</v>
          </cell>
          <cell r="DM15">
            <v>64127</v>
          </cell>
          <cell r="DR15">
            <v>0</v>
          </cell>
          <cell r="DW15">
            <v>0</v>
          </cell>
          <cell r="EB15">
            <v>0</v>
          </cell>
          <cell r="EG15">
            <v>663239</v>
          </cell>
          <cell r="EL15">
            <v>3109689</v>
          </cell>
        </row>
        <row r="16"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20">
          <cell r="G20">
            <v>5946000</v>
          </cell>
          <cell r="L20">
            <v>4299769</v>
          </cell>
          <cell r="Q20">
            <v>4058204</v>
          </cell>
          <cell r="V20">
            <v>0</v>
          </cell>
          <cell r="AA20">
            <v>0</v>
          </cell>
          <cell r="AF20">
            <v>0</v>
          </cell>
          <cell r="AK20">
            <v>0</v>
          </cell>
          <cell r="AP20">
            <v>0</v>
          </cell>
          <cell r="AU20">
            <v>0</v>
          </cell>
          <cell r="AZ20">
            <v>0</v>
          </cell>
          <cell r="BE20">
            <v>0</v>
          </cell>
          <cell r="BJ20">
            <v>0</v>
          </cell>
          <cell r="BO20">
            <v>0</v>
          </cell>
          <cell r="BT20">
            <v>8357973</v>
          </cell>
          <cell r="BY20">
            <v>29779023</v>
          </cell>
          <cell r="CD20">
            <v>1256954</v>
          </cell>
          <cell r="CI20">
            <v>1652532</v>
          </cell>
          <cell r="CN20">
            <v>1668026</v>
          </cell>
          <cell r="CS20">
            <v>1721005</v>
          </cell>
          <cell r="CX20">
            <v>2422421</v>
          </cell>
          <cell r="DC20">
            <v>2517677</v>
          </cell>
          <cell r="DH20">
            <v>2852893</v>
          </cell>
          <cell r="DM20">
            <v>3497342</v>
          </cell>
          <cell r="DR20">
            <v>2287072</v>
          </cell>
          <cell r="DW20">
            <v>2282238</v>
          </cell>
          <cell r="EB20">
            <v>2868557</v>
          </cell>
          <cell r="EG20">
            <v>4752306</v>
          </cell>
          <cell r="EL20">
            <v>2909486</v>
          </cell>
        </row>
        <row r="217">
          <cell r="G217">
            <v>0</v>
          </cell>
          <cell r="L217">
            <v>0</v>
          </cell>
          <cell r="Q217">
            <v>0</v>
          </cell>
          <cell r="V217">
            <v>0</v>
          </cell>
          <cell r="AA217">
            <v>0</v>
          </cell>
          <cell r="AF217">
            <v>0</v>
          </cell>
          <cell r="AK217">
            <v>0</v>
          </cell>
          <cell r="AP217">
            <v>0</v>
          </cell>
          <cell r="AU217">
            <v>0</v>
          </cell>
          <cell r="AZ217">
            <v>0</v>
          </cell>
          <cell r="BE217">
            <v>0</v>
          </cell>
          <cell r="BJ217">
            <v>0</v>
          </cell>
          <cell r="BO217">
            <v>0</v>
          </cell>
          <cell r="BT217">
            <v>0</v>
          </cell>
          <cell r="BY217">
            <v>1646946</v>
          </cell>
          <cell r="CD217">
            <v>0</v>
          </cell>
          <cell r="CI217">
            <v>1646946</v>
          </cell>
          <cell r="CN217">
            <v>0</v>
          </cell>
          <cell r="CS217">
            <v>0</v>
          </cell>
          <cell r="CX217">
            <v>0</v>
          </cell>
          <cell r="DC217">
            <v>0</v>
          </cell>
          <cell r="DH217">
            <v>0</v>
          </cell>
          <cell r="DM217">
            <v>0</v>
          </cell>
          <cell r="DR217">
            <v>0</v>
          </cell>
          <cell r="DW217">
            <v>0</v>
          </cell>
          <cell r="EB217">
            <v>0</v>
          </cell>
          <cell r="EG217">
            <v>0</v>
          </cell>
          <cell r="EL217">
            <v>1646946</v>
          </cell>
        </row>
        <row r="294">
          <cell r="D294" t="str">
            <v xml:space="preserve">  R2044 (8.75%  2044-45-46/01/31)</v>
          </cell>
        </row>
        <row r="309">
          <cell r="D309" t="str">
            <v xml:space="preserve">  R210 (2.60%  2028/03/31)</v>
          </cell>
        </row>
        <row r="312">
          <cell r="D312" t="str">
            <v xml:space="preserve">  R2037  (8.50%  2037/01/31)</v>
          </cell>
        </row>
        <row r="338">
          <cell r="D338" t="str">
            <v xml:space="preserve">  R209  (6.25%  2036/03/31)</v>
          </cell>
        </row>
      </sheetData>
      <sheetData sheetId="2">
        <row r="9">
          <cell r="G9" t="str">
            <v>Budget</v>
          </cell>
          <cell r="BY9" t="str">
            <v>Preliminary</v>
          </cell>
        </row>
        <row r="13">
          <cell r="G13">
            <v>52465000</v>
          </cell>
          <cell r="L13">
            <v>1200137</v>
          </cell>
          <cell r="Q13">
            <v>335047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1535184</v>
          </cell>
          <cell r="BY13">
            <v>19427655</v>
          </cell>
          <cell r="CD13">
            <v>334512</v>
          </cell>
          <cell r="CI13">
            <v>254394</v>
          </cell>
          <cell r="CN13">
            <v>251090</v>
          </cell>
          <cell r="CS13">
            <v>239599</v>
          </cell>
          <cell r="CX13">
            <v>317003</v>
          </cell>
          <cell r="DC13">
            <v>464401</v>
          </cell>
          <cell r="DH13">
            <v>190972</v>
          </cell>
          <cell r="DM13">
            <v>372701</v>
          </cell>
          <cell r="DR13">
            <v>335951</v>
          </cell>
          <cell r="DW13">
            <v>16129719</v>
          </cell>
          <cell r="EB13">
            <v>239823</v>
          </cell>
          <cell r="EG13">
            <v>297490</v>
          </cell>
          <cell r="EL13">
            <v>588906</v>
          </cell>
        </row>
        <row r="14">
          <cell r="G14">
            <v>0</v>
          </cell>
          <cell r="L14">
            <v>0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12795000</v>
          </cell>
          <cell r="CD14">
            <v>0</v>
          </cell>
          <cell r="CI14">
            <v>12795000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12795000</v>
          </cell>
        </row>
        <row r="15">
          <cell r="G15">
            <v>0</v>
          </cell>
          <cell r="L15">
            <v>487336</v>
          </cell>
          <cell r="Q15">
            <v>29682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517018</v>
          </cell>
          <cell r="BY15">
            <v>4361282</v>
          </cell>
          <cell r="CD15">
            <v>3109689</v>
          </cell>
          <cell r="CI15">
            <v>0</v>
          </cell>
          <cell r="CN15">
            <v>0</v>
          </cell>
          <cell r="CS15">
            <v>0</v>
          </cell>
          <cell r="CX15">
            <v>289217</v>
          </cell>
          <cell r="DC15">
            <v>235010</v>
          </cell>
          <cell r="DH15">
            <v>0</v>
          </cell>
          <cell r="DM15">
            <v>64127</v>
          </cell>
          <cell r="DR15">
            <v>0</v>
          </cell>
          <cell r="DW15">
            <v>0</v>
          </cell>
          <cell r="EB15">
            <v>0</v>
          </cell>
          <cell r="EG15">
            <v>663239</v>
          </cell>
          <cell r="EL15">
            <v>3109689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32">
          <cell r="G32">
            <v>0</v>
          </cell>
          <cell r="L32">
            <v>0</v>
          </cell>
          <cell r="Q32">
            <v>0</v>
          </cell>
          <cell r="V32">
            <v>0</v>
          </cell>
          <cell r="AA32">
            <v>0</v>
          </cell>
          <cell r="AF32">
            <v>0</v>
          </cell>
          <cell r="AK32">
            <v>0</v>
          </cell>
          <cell r="AP32">
            <v>0</v>
          </cell>
          <cell r="AU32">
            <v>0</v>
          </cell>
          <cell r="AZ32">
            <v>0</v>
          </cell>
          <cell r="BE32">
            <v>0</v>
          </cell>
          <cell r="BJ32">
            <v>0</v>
          </cell>
          <cell r="BO32">
            <v>0</v>
          </cell>
          <cell r="BT32">
            <v>0</v>
          </cell>
          <cell r="BY32">
            <v>0</v>
          </cell>
          <cell r="CD32">
            <v>0</v>
          </cell>
          <cell r="CI32">
            <v>0</v>
          </cell>
          <cell r="CN32">
            <v>0</v>
          </cell>
          <cell r="CS32">
            <v>0</v>
          </cell>
          <cell r="CX32">
            <v>0</v>
          </cell>
          <cell r="DC32">
            <v>0</v>
          </cell>
          <cell r="DH32">
            <v>0</v>
          </cell>
          <cell r="DM32">
            <v>0</v>
          </cell>
          <cell r="DR32">
            <v>0</v>
          </cell>
          <cell r="DW32">
            <v>0</v>
          </cell>
          <cell r="EB32">
            <v>0</v>
          </cell>
          <cell r="EG32">
            <v>0</v>
          </cell>
          <cell r="EL32">
            <v>0</v>
          </cell>
        </row>
        <row r="86">
          <cell r="D86" t="str">
            <v xml:space="preserve">  I2029 (1.875%  2029/03/31)</v>
          </cell>
        </row>
        <row r="124">
          <cell r="G124">
            <v>0</v>
          </cell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211">
          <cell r="BV211">
            <v>0</v>
          </cell>
        </row>
      </sheetData>
      <sheetData sheetId="3">
        <row r="9">
          <cell r="G9" t="str">
            <v>Budget</v>
          </cell>
          <cell r="BY9" t="str">
            <v>Preliminary</v>
          </cell>
        </row>
        <row r="13">
          <cell r="BY13">
            <v>76052000</v>
          </cell>
        </row>
        <row r="17">
          <cell r="G17">
            <v>29260000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CD17">
            <v>0</v>
          </cell>
          <cell r="CI17">
            <v>0</v>
          </cell>
          <cell r="CN17">
            <v>0</v>
          </cell>
          <cell r="CS17">
            <v>0</v>
          </cell>
          <cell r="CX17">
            <v>0</v>
          </cell>
          <cell r="DC17">
            <v>76052000</v>
          </cell>
          <cell r="DH17">
            <v>0</v>
          </cell>
          <cell r="DM17">
            <v>0</v>
          </cell>
          <cell r="DR17">
            <v>0</v>
          </cell>
          <cell r="DW17">
            <v>0</v>
          </cell>
          <cell r="EB17">
            <v>0</v>
          </cell>
          <cell r="EG17">
            <v>0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3">
          <cell r="G63">
            <v>0</v>
          </cell>
          <cell r="L63">
            <v>0</v>
          </cell>
          <cell r="Q63">
            <v>0</v>
          </cell>
          <cell r="V63">
            <v>0</v>
          </cell>
          <cell r="AA63">
            <v>0</v>
          </cell>
          <cell r="AF63">
            <v>0</v>
          </cell>
          <cell r="AK63">
            <v>0</v>
          </cell>
          <cell r="AP63">
            <v>0</v>
          </cell>
          <cell r="AU63">
            <v>0</v>
          </cell>
          <cell r="AZ63">
            <v>0</v>
          </cell>
          <cell r="BE63">
            <v>0</v>
          </cell>
          <cell r="BJ63">
            <v>0</v>
          </cell>
          <cell r="BO63">
            <v>0</v>
          </cell>
          <cell r="BT63">
            <v>0</v>
          </cell>
          <cell r="CD63">
            <v>0</v>
          </cell>
          <cell r="CI63">
            <v>0</v>
          </cell>
          <cell r="CN63">
            <v>0</v>
          </cell>
          <cell r="CS63">
            <v>0</v>
          </cell>
          <cell r="CX63">
            <v>0</v>
          </cell>
          <cell r="DC63">
            <v>0</v>
          </cell>
          <cell r="DH63">
            <v>0</v>
          </cell>
          <cell r="DM63">
            <v>0</v>
          </cell>
          <cell r="DR63">
            <v>0</v>
          </cell>
          <cell r="DW63">
            <v>0</v>
          </cell>
          <cell r="EB63">
            <v>0</v>
          </cell>
          <cell r="EG63">
            <v>0</v>
          </cell>
          <cell r="EL63">
            <v>0</v>
          </cell>
        </row>
        <row r="64">
          <cell r="BY64">
            <v>0</v>
          </cell>
        </row>
        <row r="65">
          <cell r="G65">
            <v>0</v>
          </cell>
          <cell r="L65">
            <v>0</v>
          </cell>
          <cell r="Q65">
            <v>0</v>
          </cell>
          <cell r="V65">
            <v>0</v>
          </cell>
          <cell r="AA65">
            <v>0</v>
          </cell>
          <cell r="AF65">
            <v>0</v>
          </cell>
          <cell r="AK65">
            <v>0</v>
          </cell>
          <cell r="AP65">
            <v>0</v>
          </cell>
          <cell r="AU65">
            <v>0</v>
          </cell>
          <cell r="AZ65">
            <v>0</v>
          </cell>
          <cell r="BE65">
            <v>0</v>
          </cell>
          <cell r="BJ65">
            <v>0</v>
          </cell>
          <cell r="BO65">
            <v>0</v>
          </cell>
          <cell r="BT65">
            <v>0</v>
          </cell>
          <cell r="CD65">
            <v>0</v>
          </cell>
          <cell r="CI65">
            <v>0</v>
          </cell>
          <cell r="CN65">
            <v>0</v>
          </cell>
          <cell r="CS65">
            <v>0</v>
          </cell>
          <cell r="CX65">
            <v>0</v>
          </cell>
          <cell r="DC65">
            <v>0</v>
          </cell>
          <cell r="DH65">
            <v>0</v>
          </cell>
          <cell r="DM65">
            <v>0</v>
          </cell>
          <cell r="DR65">
            <v>0</v>
          </cell>
          <cell r="DW65">
            <v>0</v>
          </cell>
          <cell r="EB65">
            <v>0</v>
          </cell>
          <cell r="EG65">
            <v>0</v>
          </cell>
          <cell r="EL65">
            <v>0</v>
          </cell>
        </row>
        <row r="73">
          <cell r="L73">
            <v>0</v>
          </cell>
          <cell r="Q73">
            <v>0</v>
          </cell>
          <cell r="V73">
            <v>0</v>
          </cell>
          <cell r="AA73">
            <v>0</v>
          </cell>
          <cell r="AF73">
            <v>0</v>
          </cell>
          <cell r="AK73">
            <v>0</v>
          </cell>
          <cell r="AP73">
            <v>0</v>
          </cell>
          <cell r="AU73">
            <v>0</v>
          </cell>
          <cell r="AZ73">
            <v>0</v>
          </cell>
          <cell r="BE73">
            <v>0</v>
          </cell>
          <cell r="BJ73">
            <v>0</v>
          </cell>
          <cell r="BO73">
            <v>0</v>
          </cell>
          <cell r="BT73">
            <v>0</v>
          </cell>
          <cell r="CD73">
            <v>0</v>
          </cell>
          <cell r="CI73">
            <v>0</v>
          </cell>
          <cell r="CN73">
            <v>0</v>
          </cell>
          <cell r="CS73">
            <v>0</v>
          </cell>
          <cell r="CX73">
            <v>0</v>
          </cell>
          <cell r="DC73">
            <v>0</v>
          </cell>
          <cell r="DH73">
            <v>0</v>
          </cell>
          <cell r="DM73">
            <v>0</v>
          </cell>
          <cell r="DR73">
            <v>0</v>
          </cell>
          <cell r="DW73">
            <v>0</v>
          </cell>
          <cell r="EB73">
            <v>0</v>
          </cell>
          <cell r="EG73">
            <v>0</v>
          </cell>
          <cell r="EL73">
            <v>0</v>
          </cell>
        </row>
        <row r="75">
          <cell r="L75">
            <v>0</v>
          </cell>
          <cell r="Q75">
            <v>0</v>
          </cell>
          <cell r="V75">
            <v>0</v>
          </cell>
          <cell r="AA75">
            <v>0</v>
          </cell>
          <cell r="AF75">
            <v>0</v>
          </cell>
          <cell r="AK75">
            <v>0</v>
          </cell>
          <cell r="AP75">
            <v>0</v>
          </cell>
          <cell r="AU75">
            <v>0</v>
          </cell>
          <cell r="AZ75">
            <v>0</v>
          </cell>
          <cell r="BE75">
            <v>0</v>
          </cell>
          <cell r="BJ75">
            <v>0</v>
          </cell>
          <cell r="BO75">
            <v>0</v>
          </cell>
          <cell r="BT75">
            <v>0</v>
          </cell>
          <cell r="CD75">
            <v>0</v>
          </cell>
          <cell r="CI75">
            <v>0</v>
          </cell>
          <cell r="CN75">
            <v>0</v>
          </cell>
          <cell r="CS75">
            <v>0</v>
          </cell>
          <cell r="CX75">
            <v>0</v>
          </cell>
          <cell r="DC75">
            <v>0</v>
          </cell>
          <cell r="DH75">
            <v>0</v>
          </cell>
          <cell r="DM75">
            <v>0</v>
          </cell>
          <cell r="DR75">
            <v>0</v>
          </cell>
          <cell r="DW75">
            <v>0</v>
          </cell>
          <cell r="EB75">
            <v>0</v>
          </cell>
          <cell r="EG75">
            <v>0</v>
          </cell>
          <cell r="EL75">
            <v>0</v>
          </cell>
        </row>
        <row r="109">
          <cell r="G109">
            <v>7961000</v>
          </cell>
          <cell r="L109">
            <v>391647</v>
          </cell>
          <cell r="Q109">
            <v>1962723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2354370</v>
          </cell>
          <cell r="BY109">
            <v>26952291</v>
          </cell>
          <cell r="CD109">
            <v>391647</v>
          </cell>
          <cell r="CI109">
            <v>14120864</v>
          </cell>
          <cell r="CN109">
            <v>0</v>
          </cell>
          <cell r="CS109">
            <v>0</v>
          </cell>
          <cell r="CX109">
            <v>0</v>
          </cell>
          <cell r="DC109">
            <v>0</v>
          </cell>
          <cell r="DH109">
            <v>391647</v>
          </cell>
          <cell r="DM109">
            <v>1940</v>
          </cell>
          <cell r="DR109">
            <v>0</v>
          </cell>
          <cell r="DW109">
            <v>0</v>
          </cell>
          <cell r="EB109">
            <v>0</v>
          </cell>
          <cell r="EG109">
            <v>12046193</v>
          </cell>
          <cell r="EL109">
            <v>14512511</v>
          </cell>
        </row>
        <row r="110">
          <cell r="G110">
            <v>4273000</v>
          </cell>
          <cell r="L110">
            <v>386018</v>
          </cell>
          <cell r="Q110">
            <v>2969263</v>
          </cell>
          <cell r="V110">
            <v>0</v>
          </cell>
          <cell r="AA110">
            <v>0</v>
          </cell>
          <cell r="AF110">
            <v>0</v>
          </cell>
          <cell r="AK110">
            <v>0</v>
          </cell>
          <cell r="AP110">
            <v>0</v>
          </cell>
          <cell r="AU110">
            <v>0</v>
          </cell>
          <cell r="AZ110">
            <v>0</v>
          </cell>
          <cell r="BE110">
            <v>0</v>
          </cell>
          <cell r="BJ110">
            <v>0</v>
          </cell>
          <cell r="BO110">
            <v>0</v>
          </cell>
          <cell r="BT110">
            <v>3355281</v>
          </cell>
          <cell r="BY110">
            <v>24276666</v>
          </cell>
          <cell r="CD110">
            <v>236802</v>
          </cell>
          <cell r="CI110">
            <v>11126521</v>
          </cell>
          <cell r="CN110">
            <v>0</v>
          </cell>
          <cell r="CS110">
            <v>0</v>
          </cell>
          <cell r="CX110">
            <v>0</v>
          </cell>
          <cell r="DC110">
            <v>0</v>
          </cell>
          <cell r="DH110">
            <v>262844</v>
          </cell>
          <cell r="DM110">
            <v>4425</v>
          </cell>
          <cell r="DR110">
            <v>0</v>
          </cell>
          <cell r="DW110">
            <v>0</v>
          </cell>
          <cell r="EB110">
            <v>0</v>
          </cell>
          <cell r="EG110">
            <v>12646074</v>
          </cell>
          <cell r="EL110">
            <v>11363323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58">
          <cell r="G158">
            <v>0</v>
          </cell>
          <cell r="L158">
            <v>0</v>
          </cell>
          <cell r="Q158">
            <v>0</v>
          </cell>
          <cell r="V158">
            <v>0</v>
          </cell>
          <cell r="AA158">
            <v>0</v>
          </cell>
          <cell r="AF158">
            <v>0</v>
          </cell>
          <cell r="AK158">
            <v>0</v>
          </cell>
          <cell r="AP158">
            <v>0</v>
          </cell>
          <cell r="AU158">
            <v>0</v>
          </cell>
          <cell r="AZ158">
            <v>0</v>
          </cell>
          <cell r="BE158">
            <v>0</v>
          </cell>
          <cell r="BJ158">
            <v>0</v>
          </cell>
          <cell r="BO158">
            <v>0</v>
          </cell>
          <cell r="BT158">
            <v>0</v>
          </cell>
          <cell r="BY158">
            <v>0</v>
          </cell>
          <cell r="CD158">
            <v>0</v>
          </cell>
          <cell r="CI158">
            <v>0</v>
          </cell>
          <cell r="CN158">
            <v>0</v>
          </cell>
          <cell r="CS158">
            <v>0</v>
          </cell>
          <cell r="CX158">
            <v>0</v>
          </cell>
          <cell r="DC158">
            <v>0</v>
          </cell>
          <cell r="DH158">
            <v>0</v>
          </cell>
          <cell r="DM158">
            <v>0</v>
          </cell>
          <cell r="DR158">
            <v>0</v>
          </cell>
          <cell r="DW158">
            <v>0</v>
          </cell>
          <cell r="EB158">
            <v>0</v>
          </cell>
          <cell r="EG158">
            <v>0</v>
          </cell>
          <cell r="EL15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170">
          <cell r="L170">
            <v>0</v>
          </cell>
          <cell r="Q170">
            <v>0</v>
          </cell>
          <cell r="V170">
            <v>0</v>
          </cell>
          <cell r="AA170">
            <v>0</v>
          </cell>
          <cell r="AF170">
            <v>0</v>
          </cell>
          <cell r="AK170">
            <v>0</v>
          </cell>
          <cell r="AP170">
            <v>0</v>
          </cell>
          <cell r="AU170">
            <v>0</v>
          </cell>
          <cell r="AZ170">
            <v>0</v>
          </cell>
          <cell r="BE170">
            <v>0</v>
          </cell>
          <cell r="BJ170">
            <v>0</v>
          </cell>
          <cell r="BO170">
            <v>0</v>
          </cell>
          <cell r="BT170">
            <v>0</v>
          </cell>
          <cell r="CD170">
            <v>0</v>
          </cell>
          <cell r="CI170">
            <v>0</v>
          </cell>
          <cell r="CN170">
            <v>0</v>
          </cell>
          <cell r="CS170">
            <v>0</v>
          </cell>
          <cell r="CX170">
            <v>0</v>
          </cell>
          <cell r="DC170">
            <v>0</v>
          </cell>
          <cell r="DH170">
            <v>0</v>
          </cell>
          <cell r="DM170">
            <v>0</v>
          </cell>
          <cell r="DR170">
            <v>0</v>
          </cell>
          <cell r="DW170">
            <v>0</v>
          </cell>
          <cell r="EB170">
            <v>0</v>
          </cell>
          <cell r="EG170">
            <v>0</v>
          </cell>
          <cell r="EL170">
            <v>0</v>
          </cell>
        </row>
        <row r="228">
          <cell r="BV228">
            <v>0</v>
          </cell>
        </row>
        <row r="229">
          <cell r="BV229">
            <v>0</v>
          </cell>
        </row>
        <row r="240">
          <cell r="BV240">
            <v>0</v>
          </cell>
        </row>
        <row r="241">
          <cell r="BV241">
            <v>0</v>
          </cell>
        </row>
      </sheetData>
      <sheetData sheetId="4">
        <row r="12">
          <cell r="H12">
            <v>12596000</v>
          </cell>
          <cell r="M12">
            <v>-18484170</v>
          </cell>
          <cell r="R12">
            <v>3349854</v>
          </cell>
          <cell r="W12">
            <v>250795984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-15134316</v>
          </cell>
          <cell r="BZ12">
            <v>2473985</v>
          </cell>
          <cell r="CE12">
            <v>39161985</v>
          </cell>
          <cell r="CJ12">
            <v>6533576</v>
          </cell>
          <cell r="CO12">
            <v>-80194837</v>
          </cell>
          <cell r="CT12">
            <v>71485782</v>
          </cell>
          <cell r="CY12">
            <v>10515236</v>
          </cell>
          <cell r="DD12">
            <v>-104528279</v>
          </cell>
          <cell r="DI12">
            <v>2731873</v>
          </cell>
          <cell r="DN12">
            <v>-9369739</v>
          </cell>
          <cell r="DS12">
            <v>-7896523</v>
          </cell>
          <cell r="DX12">
            <v>33364654</v>
          </cell>
          <cell r="EC12">
            <v>-27939762</v>
          </cell>
          <cell r="EH12">
            <v>68610019</v>
          </cell>
          <cell r="EM12">
            <v>45695561</v>
          </cell>
        </row>
        <row r="18">
          <cell r="R18">
            <v>183966537</v>
          </cell>
        </row>
        <row r="19">
          <cell r="R19">
            <v>66829447</v>
          </cell>
        </row>
        <row r="23">
          <cell r="H23">
            <v>0</v>
          </cell>
          <cell r="M23">
            <v>34143659</v>
          </cell>
          <cell r="R23">
            <v>-4349966</v>
          </cell>
          <cell r="W23">
            <v>0</v>
          </cell>
          <cell r="AB23">
            <v>0</v>
          </cell>
          <cell r="AG23">
            <v>0</v>
          </cell>
          <cell r="AL23">
            <v>0</v>
          </cell>
          <cell r="AQ23">
            <v>0</v>
          </cell>
          <cell r="AV23">
            <v>0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29793693</v>
          </cell>
          <cell r="BZ23">
            <v>-17008126</v>
          </cell>
          <cell r="CE23">
            <v>-17895405</v>
          </cell>
          <cell r="CJ23">
            <v>-2162772</v>
          </cell>
          <cell r="CO23">
            <v>1746060</v>
          </cell>
          <cell r="CT23">
            <v>9207825</v>
          </cell>
          <cell r="CY23">
            <v>-8222766</v>
          </cell>
          <cell r="DD23">
            <v>21412052</v>
          </cell>
          <cell r="DI23">
            <v>67094</v>
          </cell>
          <cell r="DN23">
            <v>5423083</v>
          </cell>
          <cell r="DS23">
            <v>3006040</v>
          </cell>
          <cell r="DX23">
            <v>484408</v>
          </cell>
          <cell r="EC23">
            <v>4553332</v>
          </cell>
          <cell r="EH23">
            <v>-34627077</v>
          </cell>
          <cell r="EM23">
            <v>-20058177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0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0</v>
          </cell>
          <cell r="EM25">
            <v>0</v>
          </cell>
        </row>
        <row r="27">
          <cell r="H27">
            <v>5141850.1830000002</v>
          </cell>
          <cell r="M27">
            <v>0</v>
          </cell>
          <cell r="R27">
            <v>871744.25600000005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871744.25600000005</v>
          </cell>
          <cell r="CE27">
            <v>1285536</v>
          </cell>
          <cell r="CJ27">
            <v>0</v>
          </cell>
          <cell r="CO27">
            <v>12272</v>
          </cell>
          <cell r="CT27">
            <v>0</v>
          </cell>
          <cell r="CY27">
            <v>1736919</v>
          </cell>
          <cell r="DD27">
            <v>245929</v>
          </cell>
          <cell r="DI27">
            <v>2261765</v>
          </cell>
          <cell r="DN27">
            <v>1146180</v>
          </cell>
          <cell r="DS27">
            <v>1005353</v>
          </cell>
          <cell r="DX27">
            <v>41798</v>
          </cell>
          <cell r="EC27">
            <v>360442</v>
          </cell>
          <cell r="EH27">
            <v>3730402</v>
          </cell>
          <cell r="EM27">
            <v>1285536</v>
          </cell>
        </row>
        <row r="28">
          <cell r="BZ28">
            <v>11826596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-372703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-98</v>
          </cell>
          <cell r="DD32">
            <v>0</v>
          </cell>
          <cell r="DI32">
            <v>-372528</v>
          </cell>
          <cell r="DN32">
            <v>0</v>
          </cell>
          <cell r="DS32">
            <v>0</v>
          </cell>
          <cell r="DX32">
            <v>0</v>
          </cell>
          <cell r="EC32">
            <v>0</v>
          </cell>
          <cell r="EH32">
            <v>-77</v>
          </cell>
          <cell r="EM32">
            <v>0</v>
          </cell>
        </row>
        <row r="38">
          <cell r="H38">
            <v>0</v>
          </cell>
          <cell r="M38">
            <v>-34158767.953769997</v>
          </cell>
          <cell r="R38">
            <v>665778.1075699823</v>
          </cell>
          <cell r="W38">
            <v>0</v>
          </cell>
          <cell r="AB38">
            <v>0</v>
          </cell>
          <cell r="AG38">
            <v>0</v>
          </cell>
          <cell r="AL38">
            <v>0</v>
          </cell>
          <cell r="AQ38">
            <v>0</v>
          </cell>
          <cell r="AV38">
            <v>0</v>
          </cell>
          <cell r="BA38">
            <v>0</v>
          </cell>
          <cell r="BF38">
            <v>0</v>
          </cell>
          <cell r="BK38">
            <v>0</v>
          </cell>
          <cell r="BP38">
            <v>0</v>
          </cell>
          <cell r="BU38">
            <v>-33492989.846200015</v>
          </cell>
          <cell r="BZ38">
            <v>2431354.9546501637</v>
          </cell>
          <cell r="CE38">
            <v>-9617047.0857300311</v>
          </cell>
          <cell r="CJ38">
            <v>1658010.930979982</v>
          </cell>
          <cell r="CO38">
            <v>13980252.002719998</v>
          </cell>
          <cell r="CT38">
            <v>-8777405.5292999893</v>
          </cell>
          <cell r="CY38">
            <v>-9967884.6452499926</v>
          </cell>
          <cell r="DD38">
            <v>-4315544.2743200064</v>
          </cell>
          <cell r="DI38">
            <v>-395955.73492997885</v>
          </cell>
          <cell r="DN38">
            <v>-18897629.034100011</v>
          </cell>
          <cell r="DS38">
            <v>-1291051.425060004</v>
          </cell>
          <cell r="DX38">
            <v>-2746121.6662400216</v>
          </cell>
          <cell r="EC38">
            <v>-5785998.0916399956</v>
          </cell>
          <cell r="EH38">
            <v>48587728.50752002</v>
          </cell>
          <cell r="EM38">
            <v>-7959036.1547500491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c Pol pg1"/>
      <sheetName val="Acc Pol pg2"/>
      <sheetName val="Acc Pol pg3"/>
      <sheetName val="Acc Pol pg4"/>
      <sheetName val="Events aft rd"/>
      <sheetName val="Per"/>
      <sheetName val="NA"/>
      <sheetName val="Pos"/>
      <sheetName val="CF"/>
      <sheetName val="N"/>
      <sheetName val="D"/>
      <sheetName val="1A"/>
      <sheetName val="1B"/>
      <sheetName val="1C"/>
      <sheetName val="1D"/>
      <sheetName val="1E"/>
      <sheetName val="2A"/>
      <sheetName val="2B"/>
      <sheetName val="2C"/>
      <sheetName val="2D"/>
      <sheetName val="2E"/>
      <sheetName val="2F"/>
      <sheetName val="3A"/>
      <sheetName val="3B"/>
      <sheetName val="3C"/>
      <sheetName val="4A"/>
      <sheetName val="4B"/>
      <sheetName val="4C"/>
      <sheetName val="4D"/>
      <sheetName val="4E"/>
      <sheetName val="4F"/>
      <sheetName val="5A"/>
      <sheetName val="5B"/>
      <sheetName val="6"/>
      <sheetName val="7A"/>
      <sheetName val="7B"/>
      <sheetName val="7C"/>
      <sheetName val="8A"/>
      <sheetName val="8B"/>
      <sheetName val="8C"/>
      <sheetName val="8D"/>
      <sheetName val="9A"/>
      <sheetName val="9B"/>
      <sheetName val="9C"/>
      <sheetName val="9D"/>
      <sheetName val="10"/>
      <sheetName val="11"/>
      <sheetName val="Current year TB"/>
      <sheetName val="Current YR TB"/>
      <sheetName val="Prior YR TB"/>
      <sheetName val="Exceptions"/>
      <sheetName val="Recon DWS Appropriation"/>
      <sheetName val="Recon STATS SA appropriation"/>
      <sheetName val="Recon to Budget Deficit"/>
      <sheetName val="Recon Note 22"/>
      <sheetName val="Recon Statement 15 Current YR "/>
      <sheetName val="Recon Statement 15 Prior YR"/>
      <sheetName val="Restated Reval New Dev Ba Pri Y"/>
      <sheetName val="ALM AFS"/>
      <sheetName val="ALM amended note 11 2017-2018"/>
      <sheetName val="ALM note 11 2017-2018"/>
      <sheetName val="ALM note 11 2016-2017 f"/>
      <sheetName val="Accounting Officers Review"/>
      <sheetName val="Graphs"/>
      <sheetName val="alm note 11 2016-2017"/>
      <sheetName val="ALM Note 11 2015-2016"/>
      <sheetName val="New Dev Bank CY"/>
      <sheetName val="Recon to Cash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E12">
            <v>1248949211.9916499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7">
          <cell r="C37">
            <v>1287690241</v>
          </cell>
        </row>
        <row r="40">
          <cell r="C40">
            <v>42426677</v>
          </cell>
        </row>
        <row r="41">
          <cell r="C41">
            <v>19116523</v>
          </cell>
        </row>
        <row r="42">
          <cell r="C42">
            <v>8611781</v>
          </cell>
        </row>
        <row r="43">
          <cell r="C43">
            <v>413477</v>
          </cell>
        </row>
        <row r="44">
          <cell r="C44">
            <v>61</v>
          </cell>
        </row>
      </sheetData>
      <sheetData sheetId="18" refreshError="1">
        <row r="80">
          <cell r="J80">
            <v>11449096</v>
          </cell>
        </row>
      </sheetData>
      <sheetData sheetId="19" refreshError="1">
        <row r="38">
          <cell r="C38">
            <v>11999373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3">
          <cell r="D53">
            <v>2816474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63">
          <cell r="H63">
            <v>136862486.72</v>
          </cell>
          <cell r="J63">
            <v>167970512.80999997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6005000</v>
          </cell>
          <cell r="G6">
            <v>1236489</v>
          </cell>
          <cell r="U6">
            <v>1191518</v>
          </cell>
        </row>
        <row r="40">
          <cell r="G40">
            <v>-18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2807140</v>
          </cell>
        </row>
        <row r="40">
          <cell r="H40">
            <v>-111334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5522378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I6">
            <v>193328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236828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K6">
            <v>536881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4">
          <cell r="J114">
            <v>68106446.022430018</v>
          </cell>
          <cell r="X114">
            <v>96920893.069020018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L6">
            <v>309645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149579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389977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143285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307553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558415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1191518</v>
          </cell>
          <cell r="H6">
            <v>5522378</v>
          </cell>
          <cell r="I6">
            <v>193328</v>
          </cell>
          <cell r="J6">
            <v>236828</v>
          </cell>
          <cell r="K6">
            <v>536881</v>
          </cell>
          <cell r="L6">
            <v>309645</v>
          </cell>
          <cell r="M6">
            <v>149579</v>
          </cell>
          <cell r="N6">
            <v>389977</v>
          </cell>
          <cell r="O6">
            <v>143285</v>
          </cell>
          <cell r="P6">
            <v>307553</v>
          </cell>
          <cell r="Q6">
            <v>558415</v>
          </cell>
          <cell r="R6">
            <v>3261946</v>
          </cell>
        </row>
        <row r="40">
          <cell r="G40">
            <v>-131872</v>
          </cell>
          <cell r="H40">
            <v>-83878</v>
          </cell>
          <cell r="I40">
            <v>-23306</v>
          </cell>
          <cell r="J40">
            <v>-119906</v>
          </cell>
          <cell r="K40">
            <v>-230</v>
          </cell>
          <cell r="L40">
            <v>-21</v>
          </cell>
          <cell r="M40">
            <v>-30</v>
          </cell>
          <cell r="N40">
            <v>-1363</v>
          </cell>
          <cell r="O40">
            <v>-107525</v>
          </cell>
          <cell r="P40">
            <v>-298</v>
          </cell>
          <cell r="Q40">
            <v>0</v>
          </cell>
          <cell r="R40">
            <v>-39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c Pol pg1"/>
      <sheetName val="Acc Pol pg2"/>
      <sheetName val="Acc Pol pg3"/>
      <sheetName val="Acc Pol pg4"/>
      <sheetName val="Events aft rd"/>
      <sheetName val="Per"/>
      <sheetName val="NA"/>
      <sheetName val="Pos"/>
      <sheetName val="CF"/>
      <sheetName val="N"/>
      <sheetName val="D"/>
      <sheetName val="1A"/>
      <sheetName val="1B"/>
      <sheetName val="1C"/>
      <sheetName val="1D"/>
      <sheetName val="1E"/>
      <sheetName val="2A"/>
      <sheetName val="2B"/>
      <sheetName val="2C"/>
      <sheetName val="2D"/>
      <sheetName val="2E"/>
      <sheetName val="2F"/>
      <sheetName val="3A"/>
      <sheetName val="3B"/>
      <sheetName val="3C"/>
      <sheetName val="4A"/>
      <sheetName val="4B"/>
      <sheetName val="4C"/>
      <sheetName val="4D"/>
      <sheetName val="4E"/>
      <sheetName val="4F"/>
      <sheetName val="5A"/>
      <sheetName val="5B"/>
      <sheetName val="6"/>
      <sheetName val="7A"/>
      <sheetName val="7B"/>
      <sheetName val="7C"/>
      <sheetName val="8A"/>
      <sheetName val="8B"/>
      <sheetName val="8C"/>
      <sheetName val="8D"/>
      <sheetName val="9A"/>
      <sheetName val="9B"/>
      <sheetName val="9C"/>
      <sheetName val="9D"/>
      <sheetName val="10"/>
      <sheetName val="11"/>
      <sheetName val="Current year TB"/>
      <sheetName val="Prior year TB"/>
      <sheetName val="Exceptions"/>
      <sheetName val="Recon DWS Appropriation"/>
      <sheetName val="Recon STATS SA appropriation"/>
      <sheetName val="Recon to Budget Deficit"/>
      <sheetName val="Recon Note 22"/>
      <sheetName val="Recon Statement 15 Current YR "/>
      <sheetName val="ALM AFS"/>
      <sheetName val="Recon Statement 15 Prior YR"/>
      <sheetName val="ALM note 11 2017-2018"/>
      <sheetName val="Recon to Cash "/>
      <sheetName val="ALM note 11 2016-2017 f"/>
      <sheetName val="Accounting Officers Review"/>
      <sheetName val="Graphs"/>
      <sheetName val="alm note 11 2016-2017"/>
      <sheetName val="ALM Note 11 2015-20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7">
          <cell r="H17">
            <v>917161637240.06995</v>
          </cell>
          <cell r="L17" t="str">
            <v>Inland revenue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10">
          <cell r="G10">
            <v>1397995559.8169999</v>
          </cell>
          <cell r="H10">
            <v>61883148</v>
          </cell>
          <cell r="U10">
            <v>1345429607</v>
          </cell>
          <cell r="V10">
            <v>73561295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10">
          <cell r="I10">
            <v>67969792</v>
          </cell>
          <cell r="T10">
            <v>129852940</v>
          </cell>
          <cell r="W10">
            <v>97483269</v>
          </cell>
          <cell r="AH10">
            <v>171044564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48">
          <cell r="I48">
            <v>963114208</v>
          </cell>
          <cell r="N48">
            <v>63165298</v>
          </cell>
        </row>
        <row r="51">
          <cell r="I51">
            <v>7798</v>
          </cell>
          <cell r="N51">
            <v>475</v>
          </cell>
        </row>
        <row r="52">
          <cell r="I52">
            <v>507157</v>
          </cell>
          <cell r="N52">
            <v>42263</v>
          </cell>
        </row>
        <row r="53">
          <cell r="I53">
            <v>229269955</v>
          </cell>
          <cell r="N53">
            <v>4156462.4270000001</v>
          </cell>
        </row>
        <row r="56">
          <cell r="I56">
            <v>538471528</v>
          </cell>
          <cell r="N56">
            <v>44872627</v>
          </cell>
        </row>
        <row r="57">
          <cell r="I57">
            <v>14026878</v>
          </cell>
          <cell r="N57">
            <v>0</v>
          </cell>
        </row>
        <row r="58">
          <cell r="I58">
            <v>97937</v>
          </cell>
          <cell r="N58">
            <v>18</v>
          </cell>
        </row>
        <row r="59">
          <cell r="I59">
            <v>120001</v>
          </cell>
          <cell r="N59">
            <v>0</v>
          </cell>
        </row>
        <row r="60">
          <cell r="I60">
            <v>19412896</v>
          </cell>
          <cell r="N60">
            <v>1745798</v>
          </cell>
        </row>
        <row r="61">
          <cell r="I61">
            <v>2550227</v>
          </cell>
          <cell r="N61">
            <v>186187</v>
          </cell>
        </row>
        <row r="62">
          <cell r="I62">
            <v>1190937</v>
          </cell>
          <cell r="N62">
            <v>83069</v>
          </cell>
        </row>
        <row r="63">
          <cell r="I63">
            <v>10997</v>
          </cell>
          <cell r="N63">
            <v>0</v>
          </cell>
        </row>
        <row r="65">
          <cell r="A65" t="str">
            <v>Provisional allocation for contingencies not assigned to votes</v>
          </cell>
          <cell r="I65">
            <v>7020587</v>
          </cell>
        </row>
        <row r="66">
          <cell r="A66" t="str">
            <v xml:space="preserve">Provisional allocation for Eskom restructuring </v>
          </cell>
          <cell r="I66">
            <v>23000000</v>
          </cell>
        </row>
        <row r="67">
          <cell r="A67" t="str">
            <v>Compensation of employees adjustment</v>
          </cell>
          <cell r="I67">
            <v>-37806696</v>
          </cell>
        </row>
        <row r="69">
          <cell r="A69" t="str">
            <v>Contingency reserve</v>
          </cell>
          <cell r="I69">
            <v>5000000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>
        <row r="82">
          <cell r="F82">
            <v>34158767.953769997</v>
          </cell>
          <cell r="V82">
            <v>-2431354.9546501637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>
        <row r="82">
          <cell r="G82">
            <v>-665778.1075699823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F83">
            <v>9617047.0857300311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 refreshError="1">
        <row r="82">
          <cell r="X82">
            <v>-1658010.930979982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3">
          <cell r="H83">
            <v>-13980252.002719998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3">
          <cell r="I83">
            <v>8777405.5292999893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J83">
            <v>9967884.6452499926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K83">
            <v>4315544.2743200064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4">
          <cell r="L84">
            <v>395955.73492997885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4">
          <cell r="M84">
            <v>18897629.034100011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48">
          <cell r="S48">
            <v>71995377</v>
          </cell>
        </row>
        <row r="51">
          <cell r="S51">
            <v>475</v>
          </cell>
        </row>
        <row r="52">
          <cell r="S52">
            <v>42263</v>
          </cell>
        </row>
        <row r="53">
          <cell r="S53">
            <v>1746959.1300000001</v>
          </cell>
        </row>
        <row r="56">
          <cell r="S56">
            <v>44872627</v>
          </cell>
        </row>
        <row r="57">
          <cell r="S57">
            <v>0</v>
          </cell>
        </row>
        <row r="58">
          <cell r="S58">
            <v>111334</v>
          </cell>
        </row>
        <row r="59">
          <cell r="S59">
            <v>0</v>
          </cell>
        </row>
        <row r="60">
          <cell r="S60">
            <v>1447692</v>
          </cell>
        </row>
        <row r="61">
          <cell r="S61">
            <v>179319</v>
          </cell>
        </row>
        <row r="62">
          <cell r="S62">
            <v>79480</v>
          </cell>
        </row>
        <row r="63">
          <cell r="S63">
            <v>0</v>
          </cell>
        </row>
      </sheetData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N82">
            <v>1291051.425060004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O82">
            <v>2746121.6662400216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P82">
            <v>5785998.0916399956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Q82">
            <v>-48587728.50752002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2020"/>
      <sheetName val="May 2020"/>
    </sheetNames>
    <sheetDataSet>
      <sheetData sheetId="0">
        <row r="58">
          <cell r="F58">
            <v>651000</v>
          </cell>
        </row>
        <row r="59">
          <cell r="F59">
            <v>42263000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1617743000</v>
          </cell>
        </row>
        <row r="64">
          <cell r="F64">
            <v>204052000</v>
          </cell>
        </row>
        <row r="65">
          <cell r="F65">
            <v>97459000</v>
          </cell>
        </row>
        <row r="66">
          <cell r="F66">
            <v>0</v>
          </cell>
        </row>
        <row r="80">
          <cell r="F80">
            <v>44872627000</v>
          </cell>
        </row>
        <row r="92">
          <cell r="G92">
            <v>4206399562.9699993</v>
          </cell>
        </row>
      </sheetData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2020"/>
      <sheetName val="May 2020"/>
    </sheetNames>
    <sheetDataSet>
      <sheetData sheetId="0" refreshError="1"/>
      <sheetData sheetId="1" refreshError="1">
        <row r="58">
          <cell r="F58">
            <v>651000</v>
          </cell>
        </row>
        <row r="59">
          <cell r="F59">
            <v>42263000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1617741000</v>
          </cell>
        </row>
        <row r="64">
          <cell r="F64">
            <v>202104000</v>
          </cell>
        </row>
        <row r="65">
          <cell r="F65">
            <v>87163000</v>
          </cell>
        </row>
        <row r="66">
          <cell r="F66">
            <v>0</v>
          </cell>
        </row>
        <row r="80">
          <cell r="F80">
            <v>44872627000</v>
          </cell>
        </row>
        <row r="92">
          <cell r="F92">
            <v>1879102871.3900003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12375928</v>
          </cell>
          <cell r="W13">
            <v>21645154</v>
          </cell>
          <cell r="AB13">
            <v>4387554</v>
          </cell>
          <cell r="AG13">
            <v>10613091</v>
          </cell>
          <cell r="AL13">
            <v>-17323880</v>
          </cell>
          <cell r="AQ13">
            <v>7778423</v>
          </cell>
          <cell r="AV13">
            <v>6126860</v>
          </cell>
          <cell r="BA13">
            <v>-16508019</v>
          </cell>
          <cell r="BF13">
            <v>13250851</v>
          </cell>
          <cell r="BK13">
            <v>-2500139</v>
          </cell>
          <cell r="BP13">
            <v>-35857416</v>
          </cell>
        </row>
        <row r="25">
          <cell r="R25">
            <v>26579251</v>
          </cell>
          <cell r="W25">
            <v>21124207</v>
          </cell>
          <cell r="AB25">
            <v>24760828</v>
          </cell>
          <cell r="AG25">
            <v>30904734</v>
          </cell>
          <cell r="AL25">
            <v>32089447</v>
          </cell>
          <cell r="AQ25">
            <v>33970885</v>
          </cell>
          <cell r="AV25">
            <v>34588835</v>
          </cell>
          <cell r="BA25">
            <v>26476333</v>
          </cell>
          <cell r="BF25">
            <v>21562772</v>
          </cell>
          <cell r="BK25">
            <v>32267535</v>
          </cell>
          <cell r="BP25">
            <v>30466846</v>
          </cell>
        </row>
        <row r="26">
          <cell r="R26">
            <v>-1652532</v>
          </cell>
          <cell r="W26">
            <v>-1668026</v>
          </cell>
          <cell r="AB26">
            <v>-1721005</v>
          </cell>
          <cell r="AG26">
            <v>-2422421</v>
          </cell>
          <cell r="AL26">
            <v>-2517677</v>
          </cell>
          <cell r="AQ26">
            <v>-2852893</v>
          </cell>
          <cell r="AV26">
            <v>-3497342</v>
          </cell>
          <cell r="BA26">
            <v>-2287072</v>
          </cell>
          <cell r="BF26">
            <v>-2282238</v>
          </cell>
          <cell r="BK26">
            <v>-2868557</v>
          </cell>
          <cell r="BP26">
            <v>-4752306</v>
          </cell>
        </row>
        <row r="28">
          <cell r="R28">
            <v>-254394</v>
          </cell>
          <cell r="W28">
            <v>-251090</v>
          </cell>
          <cell r="AB28">
            <v>-239599</v>
          </cell>
          <cell r="AG28">
            <v>-317003</v>
          </cell>
          <cell r="AL28">
            <v>-464401</v>
          </cell>
          <cell r="AQ28">
            <v>-190972</v>
          </cell>
          <cell r="AV28">
            <v>-372701</v>
          </cell>
          <cell r="BA28">
            <v>-335951</v>
          </cell>
          <cell r="BF28">
            <v>-16129719</v>
          </cell>
          <cell r="BK28">
            <v>-239823</v>
          </cell>
          <cell r="BP28">
            <v>-297490</v>
          </cell>
        </row>
        <row r="32">
          <cell r="R32">
            <v>14152656</v>
          </cell>
          <cell r="BP32">
            <v>0</v>
          </cell>
        </row>
        <row r="33">
          <cell r="R33">
            <v>-1646946</v>
          </cell>
          <cell r="BP33">
            <v>0</v>
          </cell>
        </row>
        <row r="34">
          <cell r="R34">
            <v>-12795000</v>
          </cell>
          <cell r="BP34">
            <v>0</v>
          </cell>
        </row>
        <row r="37">
          <cell r="AG37">
            <v>289217</v>
          </cell>
          <cell r="AL37">
            <v>235010</v>
          </cell>
          <cell r="AV37">
            <v>64127</v>
          </cell>
          <cell r="BP37">
            <v>663239</v>
          </cell>
        </row>
        <row r="38">
          <cell r="AG38">
            <v>-289217</v>
          </cell>
          <cell r="AL38">
            <v>-235010</v>
          </cell>
          <cell r="AV38">
            <v>-64127</v>
          </cell>
          <cell r="BP38">
            <v>-663239</v>
          </cell>
        </row>
        <row r="47">
          <cell r="AL47">
            <v>76052000</v>
          </cell>
          <cell r="BP47">
            <v>0</v>
          </cell>
        </row>
        <row r="48">
          <cell r="BP48">
            <v>0</v>
          </cell>
        </row>
        <row r="50">
          <cell r="M50">
            <v>-391647</v>
          </cell>
          <cell r="R50">
            <v>-14120864</v>
          </cell>
          <cell r="AQ50">
            <v>-391647</v>
          </cell>
          <cell r="AV50">
            <v>-1940</v>
          </cell>
          <cell r="BP50">
            <v>-12046193</v>
          </cell>
        </row>
        <row r="51">
          <cell r="M51">
            <v>-236802</v>
          </cell>
          <cell r="R51">
            <v>-11126521</v>
          </cell>
          <cell r="AQ51">
            <v>-262844</v>
          </cell>
          <cell r="AV51">
            <v>-4425</v>
          </cell>
          <cell r="BP51">
            <v>-12646074</v>
          </cell>
        </row>
        <row r="71">
          <cell r="M71">
            <v>-17895405</v>
          </cell>
          <cell r="R71">
            <v>-2162772</v>
          </cell>
          <cell r="W71">
            <v>1746060</v>
          </cell>
          <cell r="AB71">
            <v>9207825</v>
          </cell>
          <cell r="AG71">
            <v>-8222766</v>
          </cell>
          <cell r="AL71">
            <v>21412052</v>
          </cell>
          <cell r="AQ71">
            <v>67094</v>
          </cell>
          <cell r="AV71">
            <v>5423083</v>
          </cell>
          <cell r="BA71">
            <v>3006040</v>
          </cell>
          <cell r="BF71">
            <v>484408</v>
          </cell>
          <cell r="BK71">
            <v>4553332</v>
          </cell>
          <cell r="BP71">
            <v>-34627077</v>
          </cell>
        </row>
        <row r="72">
          <cell r="R72">
            <v>0</v>
          </cell>
          <cell r="AL72">
            <v>0</v>
          </cell>
          <cell r="AQ72">
            <v>0</v>
          </cell>
          <cell r="AV72">
            <v>0</v>
          </cell>
          <cell r="BA72">
            <v>0</v>
          </cell>
          <cell r="BF72">
            <v>0</v>
          </cell>
          <cell r="BK72">
            <v>0</v>
          </cell>
          <cell r="BP72">
            <v>0</v>
          </cell>
        </row>
        <row r="73">
          <cell r="M73">
            <v>1285536</v>
          </cell>
          <cell r="R73">
            <v>0</v>
          </cell>
          <cell r="W73">
            <v>12272</v>
          </cell>
          <cell r="AB73">
            <v>0</v>
          </cell>
          <cell r="AG73">
            <v>1736919</v>
          </cell>
          <cell r="AL73">
            <v>245929</v>
          </cell>
          <cell r="AQ73">
            <v>2261765</v>
          </cell>
          <cell r="AV73">
            <v>1146180</v>
          </cell>
          <cell r="BA73">
            <v>1005353</v>
          </cell>
          <cell r="BF73">
            <v>41798</v>
          </cell>
          <cell r="BK73">
            <v>360442</v>
          </cell>
          <cell r="BP73">
            <v>3730402</v>
          </cell>
        </row>
        <row r="74">
          <cell r="M74">
            <v>0</v>
          </cell>
          <cell r="R74">
            <v>0</v>
          </cell>
          <cell r="W74">
            <v>0</v>
          </cell>
          <cell r="AB74">
            <v>0</v>
          </cell>
          <cell r="AG74">
            <v>-98</v>
          </cell>
          <cell r="AL74">
            <v>0</v>
          </cell>
          <cell r="AQ74">
            <v>-372528</v>
          </cell>
          <cell r="AV74">
            <v>0</v>
          </cell>
          <cell r="BA74">
            <v>0</v>
          </cell>
          <cell r="BF74">
            <v>0</v>
          </cell>
          <cell r="BK74">
            <v>0</v>
          </cell>
          <cell r="BP74">
            <v>-77</v>
          </cell>
        </row>
      </sheetData>
      <sheetData sheetId="1"/>
      <sheetData sheetId="2"/>
      <sheetData sheetId="3"/>
      <sheetData sheetId="4">
        <row r="18">
          <cell r="R18">
            <v>159100607</v>
          </cell>
          <cell r="W18">
            <v>157556488</v>
          </cell>
          <cell r="AB18">
            <v>154393121</v>
          </cell>
          <cell r="AG18">
            <v>153790115</v>
          </cell>
          <cell r="AL18">
            <v>226475319</v>
          </cell>
          <cell r="AQ18">
            <v>223710506</v>
          </cell>
          <cell r="AV18">
            <v>222808884</v>
          </cell>
          <cell r="BA18">
            <v>216296990</v>
          </cell>
          <cell r="BF18">
            <v>214990489</v>
          </cell>
          <cell r="BK18">
            <v>214239939</v>
          </cell>
          <cell r="BP18">
            <v>191125443</v>
          </cell>
        </row>
        <row r="19">
          <cell r="R19">
            <v>33339485</v>
          </cell>
          <cell r="W19">
            <v>115078441</v>
          </cell>
          <cell r="AB19">
            <v>46756026</v>
          </cell>
          <cell r="AG19">
            <v>36843796</v>
          </cell>
          <cell r="AL19">
            <v>68686871</v>
          </cell>
          <cell r="AQ19">
            <v>68719811</v>
          </cell>
          <cell r="AV19">
            <v>78991172</v>
          </cell>
          <cell r="BA19">
            <v>93399589</v>
          </cell>
          <cell r="BF19">
            <v>61341436</v>
          </cell>
          <cell r="BK19">
            <v>90031748</v>
          </cell>
          <cell r="BP19">
            <v>44536225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7">
          <cell r="W37">
            <v>0</v>
          </cell>
        </row>
        <row r="38">
          <cell r="W38">
            <v>0</v>
          </cell>
        </row>
        <row r="47">
          <cell r="W47">
            <v>0</v>
          </cell>
        </row>
        <row r="48">
          <cell r="W48">
            <v>0</v>
          </cell>
        </row>
        <row r="50">
          <cell r="W50">
            <v>0</v>
          </cell>
        </row>
        <row r="51">
          <cell r="W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7">
          <cell r="AB37">
            <v>0</v>
          </cell>
        </row>
        <row r="38">
          <cell r="AB38">
            <v>0</v>
          </cell>
        </row>
        <row r="47">
          <cell r="AB47">
            <v>0</v>
          </cell>
        </row>
        <row r="48">
          <cell r="AB48">
            <v>0</v>
          </cell>
        </row>
        <row r="50">
          <cell r="AB50">
            <v>0</v>
          </cell>
        </row>
        <row r="51">
          <cell r="AB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10613091</v>
          </cell>
        </row>
        <row r="32">
          <cell r="AG32">
            <v>0</v>
          </cell>
        </row>
        <row r="33">
          <cell r="AG33">
            <v>0</v>
          </cell>
        </row>
        <row r="34">
          <cell r="AG34">
            <v>0</v>
          </cell>
        </row>
        <row r="47">
          <cell r="AG47">
            <v>0</v>
          </cell>
        </row>
        <row r="48">
          <cell r="AG48">
            <v>0</v>
          </cell>
        </row>
        <row r="50">
          <cell r="AG50">
            <v>0</v>
          </cell>
        </row>
        <row r="51">
          <cell r="AG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>
        <row r="47">
          <cell r="N47">
            <v>76160742</v>
          </cell>
        </row>
        <row r="50">
          <cell r="N50">
            <v>475</v>
          </cell>
        </row>
        <row r="51">
          <cell r="N51">
            <v>43960</v>
          </cell>
        </row>
        <row r="52">
          <cell r="N52">
            <v>3587887</v>
          </cell>
        </row>
        <row r="55">
          <cell r="N55">
            <v>42129484</v>
          </cell>
        </row>
        <row r="57">
          <cell r="N57">
            <v>131872</v>
          </cell>
        </row>
        <row r="64">
          <cell r="N64">
            <v>1549593</v>
          </cell>
        </row>
        <row r="65">
          <cell r="N65">
            <v>170660</v>
          </cell>
        </row>
        <row r="66">
          <cell r="N66">
            <v>79795</v>
          </cell>
        </row>
        <row r="67">
          <cell r="N67">
            <v>0</v>
          </cell>
        </row>
      </sheetData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-17323880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0</v>
          </cell>
        </row>
        <row r="48">
          <cell r="AL48">
            <v>0</v>
          </cell>
        </row>
        <row r="50">
          <cell r="AL50">
            <v>0</v>
          </cell>
        </row>
        <row r="51">
          <cell r="AL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Q13">
            <v>7778423</v>
          </cell>
        </row>
        <row r="32">
          <cell r="AQ32">
            <v>0</v>
          </cell>
        </row>
        <row r="33">
          <cell r="AQ33">
            <v>0</v>
          </cell>
        </row>
        <row r="34">
          <cell r="AQ34">
            <v>0</v>
          </cell>
        </row>
        <row r="37">
          <cell r="AQ37">
            <v>0</v>
          </cell>
        </row>
        <row r="38">
          <cell r="AQ38">
            <v>0</v>
          </cell>
        </row>
        <row r="47">
          <cell r="AQ47">
            <v>0</v>
          </cell>
        </row>
        <row r="48">
          <cell r="AQ4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47">
          <cell r="AV47">
            <v>0</v>
          </cell>
        </row>
        <row r="48">
          <cell r="AV4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A32">
            <v>0</v>
          </cell>
        </row>
        <row r="33">
          <cell r="BA33">
            <v>0</v>
          </cell>
        </row>
        <row r="34">
          <cell r="BA34">
            <v>0</v>
          </cell>
        </row>
        <row r="37">
          <cell r="BA37">
            <v>0</v>
          </cell>
        </row>
        <row r="38">
          <cell r="BA38">
            <v>0</v>
          </cell>
        </row>
        <row r="47">
          <cell r="BA47">
            <v>0</v>
          </cell>
        </row>
        <row r="48">
          <cell r="BA48">
            <v>0</v>
          </cell>
        </row>
        <row r="50">
          <cell r="BA50">
            <v>0</v>
          </cell>
        </row>
        <row r="51">
          <cell r="BA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F32">
            <v>0</v>
          </cell>
        </row>
        <row r="33">
          <cell r="BF33">
            <v>0</v>
          </cell>
        </row>
        <row r="34">
          <cell r="BF34">
            <v>0</v>
          </cell>
        </row>
        <row r="37">
          <cell r="BF37">
            <v>0</v>
          </cell>
        </row>
        <row r="38">
          <cell r="BF38">
            <v>0</v>
          </cell>
        </row>
        <row r="47">
          <cell r="BF47">
            <v>0</v>
          </cell>
        </row>
        <row r="48">
          <cell r="BF48">
            <v>0</v>
          </cell>
        </row>
        <row r="50">
          <cell r="BF50">
            <v>0</v>
          </cell>
        </row>
        <row r="51">
          <cell r="BF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K32">
            <v>0</v>
          </cell>
        </row>
        <row r="33">
          <cell r="BK33">
            <v>0</v>
          </cell>
        </row>
        <row r="34">
          <cell r="BK34">
            <v>0</v>
          </cell>
        </row>
        <row r="37">
          <cell r="BK37">
            <v>0</v>
          </cell>
        </row>
        <row r="38">
          <cell r="BK38">
            <v>0</v>
          </cell>
        </row>
        <row r="47">
          <cell r="BK47">
            <v>0</v>
          </cell>
        </row>
        <row r="48">
          <cell r="BK48">
            <v>0</v>
          </cell>
        </row>
        <row r="50">
          <cell r="BK50">
            <v>0</v>
          </cell>
        </row>
        <row r="51">
          <cell r="BK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7">
          <cell r="R37">
            <v>0</v>
          </cell>
        </row>
        <row r="38">
          <cell r="R38">
            <v>0</v>
          </cell>
        </row>
        <row r="47">
          <cell r="R47">
            <v>0</v>
          </cell>
        </row>
        <row r="48">
          <cell r="R4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47">
          <cell r="BU47">
            <v>0</v>
          </cell>
        </row>
        <row r="48">
          <cell r="BU48">
            <v>0</v>
          </cell>
        </row>
        <row r="73">
          <cell r="BU73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>
        <row r="47">
          <cell r="S47">
            <v>66186499</v>
          </cell>
        </row>
        <row r="50">
          <cell r="S50">
            <v>475</v>
          </cell>
        </row>
        <row r="51">
          <cell r="S51">
            <v>43960</v>
          </cell>
        </row>
        <row r="52">
          <cell r="S52">
            <v>4274259</v>
          </cell>
        </row>
        <row r="55">
          <cell r="S55">
            <v>42129482</v>
          </cell>
        </row>
        <row r="57">
          <cell r="S57">
            <v>83878</v>
          </cell>
        </row>
        <row r="64">
          <cell r="S64">
            <v>1486615</v>
          </cell>
        </row>
        <row r="65">
          <cell r="S65">
            <v>171849</v>
          </cell>
        </row>
        <row r="66">
          <cell r="S66">
            <v>84269</v>
          </cell>
        </row>
      </sheetData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40">
          <cell r="G40">
            <v>-131872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40">
          <cell r="H40">
            <v>-83878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</sheetNames>
    <sheetDataSet>
      <sheetData sheetId="0" refreshError="1">
        <row r="56">
          <cell r="S56">
            <v>0</v>
          </cell>
        </row>
        <row r="58">
          <cell r="S5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60">
          <cell r="A60" t="str">
            <v>South African Airways</v>
          </cell>
        </row>
        <row r="61">
          <cell r="A61" t="str">
            <v>South African Express Airways</v>
          </cell>
        </row>
        <row r="62">
          <cell r="A62" t="str">
            <v xml:space="preserve">Denel 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63">
          <cell r="A63" t="str">
            <v>SABC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38"/>
  <sheetViews>
    <sheetView topLeftCell="A3" workbookViewId="0">
      <selection activeCell="W25" sqref="W25"/>
    </sheetView>
  </sheetViews>
  <sheetFormatPr defaultColWidth="3" defaultRowHeight="12.75" x14ac:dyDescent="0.25"/>
  <cols>
    <col min="1" max="1" width="0.85546875" style="16" customWidth="1"/>
    <col min="2" max="2" width="1" style="16" customWidth="1"/>
    <col min="3" max="3" width="1.28515625" style="16" customWidth="1"/>
    <col min="4" max="4" width="46" style="16" customWidth="1"/>
    <col min="5" max="5" width="4.7109375" style="16" customWidth="1"/>
    <col min="6" max="6" width="5.7109375" style="16" customWidth="1"/>
    <col min="7" max="7" width="16.85546875" style="16" customWidth="1"/>
    <col min="8" max="8" width="15.7109375" style="16" hidden="1" customWidth="1"/>
    <col min="9" max="9" width="16.28515625" style="16" customWidth="1"/>
    <col min="10" max="19" width="16.28515625" style="16" hidden="1" customWidth="1"/>
    <col min="20" max="20" width="15.28515625" style="16" customWidth="1"/>
    <col min="21" max="21" width="16.28515625" style="16" customWidth="1"/>
    <col min="22" max="22" width="14.85546875" style="16" hidden="1" customWidth="1"/>
    <col min="23" max="23" width="16.28515625" style="16" customWidth="1"/>
    <col min="24" max="25" width="14.140625" style="16" hidden="1" customWidth="1"/>
    <col min="26" max="26" width="14.42578125" style="16" hidden="1" customWidth="1"/>
    <col min="27" max="27" width="17.140625" style="16" hidden="1" customWidth="1"/>
    <col min="28" max="28" width="15.7109375" style="16" hidden="1" customWidth="1"/>
    <col min="29" max="29" width="16.7109375" style="16" hidden="1" customWidth="1"/>
    <col min="30" max="30" width="15.7109375" style="16" hidden="1" customWidth="1"/>
    <col min="31" max="32" width="16.85546875" style="16" hidden="1" customWidth="1"/>
    <col min="33" max="33" width="14.7109375" style="16" hidden="1" customWidth="1"/>
    <col min="34" max="34" width="16.28515625" style="16" customWidth="1"/>
    <col min="35" max="35" width="1.7109375" style="16" customWidth="1"/>
    <col min="36" max="36" width="12.7109375" style="16" customWidth="1"/>
    <col min="37" max="37" width="9.28515625" style="16" customWidth="1"/>
    <col min="38" max="49" width="8.7109375" style="16" customWidth="1"/>
    <col min="50" max="50" width="10.28515625" style="16" customWidth="1"/>
    <col min="51" max="51" width="9.28515625" style="16" customWidth="1"/>
    <col min="52" max="52" width="7.7109375" style="16" customWidth="1"/>
    <col min="53" max="53" width="7.28515625" style="16" customWidth="1"/>
    <col min="54" max="54" width="3.7109375" style="16" customWidth="1"/>
    <col min="55" max="58" width="3.140625" style="16" customWidth="1"/>
    <col min="59" max="59" width="4" style="16" customWidth="1"/>
    <col min="60" max="60" width="3.28515625" style="16" customWidth="1"/>
    <col min="61" max="63" width="3.140625" style="16" customWidth="1"/>
    <col min="64" max="64" width="9.28515625" style="16" customWidth="1"/>
    <col min="65" max="66" width="3.140625" style="16" customWidth="1"/>
    <col min="67" max="109" width="1.7109375" style="16" customWidth="1"/>
    <col min="110" max="256" width="3" style="16"/>
    <col min="257" max="257" width="0.85546875" style="16" customWidth="1"/>
    <col min="258" max="258" width="1" style="16" customWidth="1"/>
    <col min="259" max="259" width="1.28515625" style="16" customWidth="1"/>
    <col min="260" max="260" width="46" style="16" customWidth="1"/>
    <col min="261" max="261" width="4.7109375" style="16" customWidth="1"/>
    <col min="262" max="262" width="5.7109375" style="16" customWidth="1"/>
    <col min="263" max="263" width="16.85546875" style="16" customWidth="1"/>
    <col min="264" max="264" width="0" style="16" hidden="1" customWidth="1"/>
    <col min="265" max="265" width="16.28515625" style="16" customWidth="1"/>
    <col min="266" max="275" width="0" style="16" hidden="1" customWidth="1"/>
    <col min="276" max="276" width="15.28515625" style="16" customWidth="1"/>
    <col min="277" max="277" width="16.28515625" style="16" customWidth="1"/>
    <col min="278" max="278" width="0" style="16" hidden="1" customWidth="1"/>
    <col min="279" max="279" width="16.28515625" style="16" customWidth="1"/>
    <col min="280" max="289" width="0" style="16" hidden="1" customWidth="1"/>
    <col min="290" max="290" width="16.28515625" style="16" customWidth="1"/>
    <col min="291" max="291" width="1.7109375" style="16" customWidth="1"/>
    <col min="292" max="292" width="12.7109375" style="16" customWidth="1"/>
    <col min="293" max="293" width="9.28515625" style="16" customWidth="1"/>
    <col min="294" max="305" width="8.7109375" style="16" customWidth="1"/>
    <col min="306" max="306" width="10.28515625" style="16" customWidth="1"/>
    <col min="307" max="307" width="9.28515625" style="16" customWidth="1"/>
    <col min="308" max="308" width="7.7109375" style="16" customWidth="1"/>
    <col min="309" max="309" width="7.28515625" style="16" customWidth="1"/>
    <col min="310" max="310" width="3.7109375" style="16" customWidth="1"/>
    <col min="311" max="314" width="3.140625" style="16" customWidth="1"/>
    <col min="315" max="315" width="4" style="16" customWidth="1"/>
    <col min="316" max="316" width="3.28515625" style="16" customWidth="1"/>
    <col min="317" max="319" width="3.140625" style="16" customWidth="1"/>
    <col min="320" max="320" width="9.28515625" style="16" customWidth="1"/>
    <col min="321" max="322" width="3.140625" style="16" customWidth="1"/>
    <col min="323" max="365" width="1.7109375" style="16" customWidth="1"/>
    <col min="366" max="512" width="3" style="16"/>
    <col min="513" max="513" width="0.85546875" style="16" customWidth="1"/>
    <col min="514" max="514" width="1" style="16" customWidth="1"/>
    <col min="515" max="515" width="1.28515625" style="16" customWidth="1"/>
    <col min="516" max="516" width="46" style="16" customWidth="1"/>
    <col min="517" max="517" width="4.7109375" style="16" customWidth="1"/>
    <col min="518" max="518" width="5.7109375" style="16" customWidth="1"/>
    <col min="519" max="519" width="16.85546875" style="16" customWidth="1"/>
    <col min="520" max="520" width="0" style="16" hidden="1" customWidth="1"/>
    <col min="521" max="521" width="16.28515625" style="16" customWidth="1"/>
    <col min="522" max="531" width="0" style="16" hidden="1" customWidth="1"/>
    <col min="532" max="532" width="15.28515625" style="16" customWidth="1"/>
    <col min="533" max="533" width="16.28515625" style="16" customWidth="1"/>
    <col min="534" max="534" width="0" style="16" hidden="1" customWidth="1"/>
    <col min="535" max="535" width="16.28515625" style="16" customWidth="1"/>
    <col min="536" max="545" width="0" style="16" hidden="1" customWidth="1"/>
    <col min="546" max="546" width="16.28515625" style="16" customWidth="1"/>
    <col min="547" max="547" width="1.7109375" style="16" customWidth="1"/>
    <col min="548" max="548" width="12.7109375" style="16" customWidth="1"/>
    <col min="549" max="549" width="9.28515625" style="16" customWidth="1"/>
    <col min="550" max="561" width="8.7109375" style="16" customWidth="1"/>
    <col min="562" max="562" width="10.28515625" style="16" customWidth="1"/>
    <col min="563" max="563" width="9.28515625" style="16" customWidth="1"/>
    <col min="564" max="564" width="7.7109375" style="16" customWidth="1"/>
    <col min="565" max="565" width="7.28515625" style="16" customWidth="1"/>
    <col min="566" max="566" width="3.7109375" style="16" customWidth="1"/>
    <col min="567" max="570" width="3.140625" style="16" customWidth="1"/>
    <col min="571" max="571" width="4" style="16" customWidth="1"/>
    <col min="572" max="572" width="3.28515625" style="16" customWidth="1"/>
    <col min="573" max="575" width="3.140625" style="16" customWidth="1"/>
    <col min="576" max="576" width="9.28515625" style="16" customWidth="1"/>
    <col min="577" max="578" width="3.140625" style="16" customWidth="1"/>
    <col min="579" max="621" width="1.7109375" style="16" customWidth="1"/>
    <col min="622" max="768" width="3" style="16"/>
    <col min="769" max="769" width="0.85546875" style="16" customWidth="1"/>
    <col min="770" max="770" width="1" style="16" customWidth="1"/>
    <col min="771" max="771" width="1.28515625" style="16" customWidth="1"/>
    <col min="772" max="772" width="46" style="16" customWidth="1"/>
    <col min="773" max="773" width="4.7109375" style="16" customWidth="1"/>
    <col min="774" max="774" width="5.7109375" style="16" customWidth="1"/>
    <col min="775" max="775" width="16.85546875" style="16" customWidth="1"/>
    <col min="776" max="776" width="0" style="16" hidden="1" customWidth="1"/>
    <col min="777" max="777" width="16.28515625" style="16" customWidth="1"/>
    <col min="778" max="787" width="0" style="16" hidden="1" customWidth="1"/>
    <col min="788" max="788" width="15.28515625" style="16" customWidth="1"/>
    <col min="789" max="789" width="16.28515625" style="16" customWidth="1"/>
    <col min="790" max="790" width="0" style="16" hidden="1" customWidth="1"/>
    <col min="791" max="791" width="16.28515625" style="16" customWidth="1"/>
    <col min="792" max="801" width="0" style="16" hidden="1" customWidth="1"/>
    <col min="802" max="802" width="16.28515625" style="16" customWidth="1"/>
    <col min="803" max="803" width="1.7109375" style="16" customWidth="1"/>
    <col min="804" max="804" width="12.7109375" style="16" customWidth="1"/>
    <col min="805" max="805" width="9.28515625" style="16" customWidth="1"/>
    <col min="806" max="817" width="8.7109375" style="16" customWidth="1"/>
    <col min="818" max="818" width="10.28515625" style="16" customWidth="1"/>
    <col min="819" max="819" width="9.28515625" style="16" customWidth="1"/>
    <col min="820" max="820" width="7.7109375" style="16" customWidth="1"/>
    <col min="821" max="821" width="7.28515625" style="16" customWidth="1"/>
    <col min="822" max="822" width="3.7109375" style="16" customWidth="1"/>
    <col min="823" max="826" width="3.140625" style="16" customWidth="1"/>
    <col min="827" max="827" width="4" style="16" customWidth="1"/>
    <col min="828" max="828" width="3.28515625" style="16" customWidth="1"/>
    <col min="829" max="831" width="3.140625" style="16" customWidth="1"/>
    <col min="832" max="832" width="9.28515625" style="16" customWidth="1"/>
    <col min="833" max="834" width="3.140625" style="16" customWidth="1"/>
    <col min="835" max="877" width="1.7109375" style="16" customWidth="1"/>
    <col min="878" max="1024" width="3" style="16"/>
    <col min="1025" max="1025" width="0.85546875" style="16" customWidth="1"/>
    <col min="1026" max="1026" width="1" style="16" customWidth="1"/>
    <col min="1027" max="1027" width="1.28515625" style="16" customWidth="1"/>
    <col min="1028" max="1028" width="46" style="16" customWidth="1"/>
    <col min="1029" max="1029" width="4.7109375" style="16" customWidth="1"/>
    <col min="1030" max="1030" width="5.7109375" style="16" customWidth="1"/>
    <col min="1031" max="1031" width="16.85546875" style="16" customWidth="1"/>
    <col min="1032" max="1032" width="0" style="16" hidden="1" customWidth="1"/>
    <col min="1033" max="1033" width="16.28515625" style="16" customWidth="1"/>
    <col min="1034" max="1043" width="0" style="16" hidden="1" customWidth="1"/>
    <col min="1044" max="1044" width="15.28515625" style="16" customWidth="1"/>
    <col min="1045" max="1045" width="16.28515625" style="16" customWidth="1"/>
    <col min="1046" max="1046" width="0" style="16" hidden="1" customWidth="1"/>
    <col min="1047" max="1047" width="16.28515625" style="16" customWidth="1"/>
    <col min="1048" max="1057" width="0" style="16" hidden="1" customWidth="1"/>
    <col min="1058" max="1058" width="16.28515625" style="16" customWidth="1"/>
    <col min="1059" max="1059" width="1.7109375" style="16" customWidth="1"/>
    <col min="1060" max="1060" width="12.7109375" style="16" customWidth="1"/>
    <col min="1061" max="1061" width="9.28515625" style="16" customWidth="1"/>
    <col min="1062" max="1073" width="8.7109375" style="16" customWidth="1"/>
    <col min="1074" max="1074" width="10.28515625" style="16" customWidth="1"/>
    <col min="1075" max="1075" width="9.28515625" style="16" customWidth="1"/>
    <col min="1076" max="1076" width="7.7109375" style="16" customWidth="1"/>
    <col min="1077" max="1077" width="7.28515625" style="16" customWidth="1"/>
    <col min="1078" max="1078" width="3.7109375" style="16" customWidth="1"/>
    <col min="1079" max="1082" width="3.140625" style="16" customWidth="1"/>
    <col min="1083" max="1083" width="4" style="16" customWidth="1"/>
    <col min="1084" max="1084" width="3.28515625" style="16" customWidth="1"/>
    <col min="1085" max="1087" width="3.140625" style="16" customWidth="1"/>
    <col min="1088" max="1088" width="9.28515625" style="16" customWidth="1"/>
    <col min="1089" max="1090" width="3.140625" style="16" customWidth="1"/>
    <col min="1091" max="1133" width="1.7109375" style="16" customWidth="1"/>
    <col min="1134" max="1280" width="3" style="16"/>
    <col min="1281" max="1281" width="0.85546875" style="16" customWidth="1"/>
    <col min="1282" max="1282" width="1" style="16" customWidth="1"/>
    <col min="1283" max="1283" width="1.28515625" style="16" customWidth="1"/>
    <col min="1284" max="1284" width="46" style="16" customWidth="1"/>
    <col min="1285" max="1285" width="4.7109375" style="16" customWidth="1"/>
    <col min="1286" max="1286" width="5.7109375" style="16" customWidth="1"/>
    <col min="1287" max="1287" width="16.85546875" style="16" customWidth="1"/>
    <col min="1288" max="1288" width="0" style="16" hidden="1" customWidth="1"/>
    <col min="1289" max="1289" width="16.28515625" style="16" customWidth="1"/>
    <col min="1290" max="1299" width="0" style="16" hidden="1" customWidth="1"/>
    <col min="1300" max="1300" width="15.28515625" style="16" customWidth="1"/>
    <col min="1301" max="1301" width="16.28515625" style="16" customWidth="1"/>
    <col min="1302" max="1302" width="0" style="16" hidden="1" customWidth="1"/>
    <col min="1303" max="1303" width="16.28515625" style="16" customWidth="1"/>
    <col min="1304" max="1313" width="0" style="16" hidden="1" customWidth="1"/>
    <col min="1314" max="1314" width="16.28515625" style="16" customWidth="1"/>
    <col min="1315" max="1315" width="1.7109375" style="16" customWidth="1"/>
    <col min="1316" max="1316" width="12.7109375" style="16" customWidth="1"/>
    <col min="1317" max="1317" width="9.28515625" style="16" customWidth="1"/>
    <col min="1318" max="1329" width="8.7109375" style="16" customWidth="1"/>
    <col min="1330" max="1330" width="10.28515625" style="16" customWidth="1"/>
    <col min="1331" max="1331" width="9.28515625" style="16" customWidth="1"/>
    <col min="1332" max="1332" width="7.7109375" style="16" customWidth="1"/>
    <col min="1333" max="1333" width="7.28515625" style="16" customWidth="1"/>
    <col min="1334" max="1334" width="3.7109375" style="16" customWidth="1"/>
    <col min="1335" max="1338" width="3.140625" style="16" customWidth="1"/>
    <col min="1339" max="1339" width="4" style="16" customWidth="1"/>
    <col min="1340" max="1340" width="3.28515625" style="16" customWidth="1"/>
    <col min="1341" max="1343" width="3.140625" style="16" customWidth="1"/>
    <col min="1344" max="1344" width="9.28515625" style="16" customWidth="1"/>
    <col min="1345" max="1346" width="3.140625" style="16" customWidth="1"/>
    <col min="1347" max="1389" width="1.7109375" style="16" customWidth="1"/>
    <col min="1390" max="1536" width="3" style="16"/>
    <col min="1537" max="1537" width="0.85546875" style="16" customWidth="1"/>
    <col min="1538" max="1538" width="1" style="16" customWidth="1"/>
    <col min="1539" max="1539" width="1.28515625" style="16" customWidth="1"/>
    <col min="1540" max="1540" width="46" style="16" customWidth="1"/>
    <col min="1541" max="1541" width="4.7109375" style="16" customWidth="1"/>
    <col min="1542" max="1542" width="5.7109375" style="16" customWidth="1"/>
    <col min="1543" max="1543" width="16.85546875" style="16" customWidth="1"/>
    <col min="1544" max="1544" width="0" style="16" hidden="1" customWidth="1"/>
    <col min="1545" max="1545" width="16.28515625" style="16" customWidth="1"/>
    <col min="1546" max="1555" width="0" style="16" hidden="1" customWidth="1"/>
    <col min="1556" max="1556" width="15.28515625" style="16" customWidth="1"/>
    <col min="1557" max="1557" width="16.28515625" style="16" customWidth="1"/>
    <col min="1558" max="1558" width="0" style="16" hidden="1" customWidth="1"/>
    <col min="1559" max="1559" width="16.28515625" style="16" customWidth="1"/>
    <col min="1560" max="1569" width="0" style="16" hidden="1" customWidth="1"/>
    <col min="1570" max="1570" width="16.28515625" style="16" customWidth="1"/>
    <col min="1571" max="1571" width="1.7109375" style="16" customWidth="1"/>
    <col min="1572" max="1572" width="12.7109375" style="16" customWidth="1"/>
    <col min="1573" max="1573" width="9.28515625" style="16" customWidth="1"/>
    <col min="1574" max="1585" width="8.7109375" style="16" customWidth="1"/>
    <col min="1586" max="1586" width="10.28515625" style="16" customWidth="1"/>
    <col min="1587" max="1587" width="9.28515625" style="16" customWidth="1"/>
    <col min="1588" max="1588" width="7.7109375" style="16" customWidth="1"/>
    <col min="1589" max="1589" width="7.28515625" style="16" customWidth="1"/>
    <col min="1590" max="1590" width="3.7109375" style="16" customWidth="1"/>
    <col min="1591" max="1594" width="3.140625" style="16" customWidth="1"/>
    <col min="1595" max="1595" width="4" style="16" customWidth="1"/>
    <col min="1596" max="1596" width="3.28515625" style="16" customWidth="1"/>
    <col min="1597" max="1599" width="3.140625" style="16" customWidth="1"/>
    <col min="1600" max="1600" width="9.28515625" style="16" customWidth="1"/>
    <col min="1601" max="1602" width="3.140625" style="16" customWidth="1"/>
    <col min="1603" max="1645" width="1.7109375" style="16" customWidth="1"/>
    <col min="1646" max="1792" width="3" style="16"/>
    <col min="1793" max="1793" width="0.85546875" style="16" customWidth="1"/>
    <col min="1794" max="1794" width="1" style="16" customWidth="1"/>
    <col min="1795" max="1795" width="1.28515625" style="16" customWidth="1"/>
    <col min="1796" max="1796" width="46" style="16" customWidth="1"/>
    <col min="1797" max="1797" width="4.7109375" style="16" customWidth="1"/>
    <col min="1798" max="1798" width="5.7109375" style="16" customWidth="1"/>
    <col min="1799" max="1799" width="16.85546875" style="16" customWidth="1"/>
    <col min="1800" max="1800" width="0" style="16" hidden="1" customWidth="1"/>
    <col min="1801" max="1801" width="16.28515625" style="16" customWidth="1"/>
    <col min="1802" max="1811" width="0" style="16" hidden="1" customWidth="1"/>
    <col min="1812" max="1812" width="15.28515625" style="16" customWidth="1"/>
    <col min="1813" max="1813" width="16.28515625" style="16" customWidth="1"/>
    <col min="1814" max="1814" width="0" style="16" hidden="1" customWidth="1"/>
    <col min="1815" max="1815" width="16.28515625" style="16" customWidth="1"/>
    <col min="1816" max="1825" width="0" style="16" hidden="1" customWidth="1"/>
    <col min="1826" max="1826" width="16.28515625" style="16" customWidth="1"/>
    <col min="1827" max="1827" width="1.7109375" style="16" customWidth="1"/>
    <col min="1828" max="1828" width="12.7109375" style="16" customWidth="1"/>
    <col min="1829" max="1829" width="9.28515625" style="16" customWidth="1"/>
    <col min="1830" max="1841" width="8.7109375" style="16" customWidth="1"/>
    <col min="1842" max="1842" width="10.28515625" style="16" customWidth="1"/>
    <col min="1843" max="1843" width="9.28515625" style="16" customWidth="1"/>
    <col min="1844" max="1844" width="7.7109375" style="16" customWidth="1"/>
    <col min="1845" max="1845" width="7.28515625" style="16" customWidth="1"/>
    <col min="1846" max="1846" width="3.7109375" style="16" customWidth="1"/>
    <col min="1847" max="1850" width="3.140625" style="16" customWidth="1"/>
    <col min="1851" max="1851" width="4" style="16" customWidth="1"/>
    <col min="1852" max="1852" width="3.28515625" style="16" customWidth="1"/>
    <col min="1853" max="1855" width="3.140625" style="16" customWidth="1"/>
    <col min="1856" max="1856" width="9.28515625" style="16" customWidth="1"/>
    <col min="1857" max="1858" width="3.140625" style="16" customWidth="1"/>
    <col min="1859" max="1901" width="1.7109375" style="16" customWidth="1"/>
    <col min="1902" max="2048" width="3" style="16"/>
    <col min="2049" max="2049" width="0.85546875" style="16" customWidth="1"/>
    <col min="2050" max="2050" width="1" style="16" customWidth="1"/>
    <col min="2051" max="2051" width="1.28515625" style="16" customWidth="1"/>
    <col min="2052" max="2052" width="46" style="16" customWidth="1"/>
    <col min="2053" max="2053" width="4.7109375" style="16" customWidth="1"/>
    <col min="2054" max="2054" width="5.7109375" style="16" customWidth="1"/>
    <col min="2055" max="2055" width="16.85546875" style="16" customWidth="1"/>
    <col min="2056" max="2056" width="0" style="16" hidden="1" customWidth="1"/>
    <col min="2057" max="2057" width="16.28515625" style="16" customWidth="1"/>
    <col min="2058" max="2067" width="0" style="16" hidden="1" customWidth="1"/>
    <col min="2068" max="2068" width="15.28515625" style="16" customWidth="1"/>
    <col min="2069" max="2069" width="16.28515625" style="16" customWidth="1"/>
    <col min="2070" max="2070" width="0" style="16" hidden="1" customWidth="1"/>
    <col min="2071" max="2071" width="16.28515625" style="16" customWidth="1"/>
    <col min="2072" max="2081" width="0" style="16" hidden="1" customWidth="1"/>
    <col min="2082" max="2082" width="16.28515625" style="16" customWidth="1"/>
    <col min="2083" max="2083" width="1.7109375" style="16" customWidth="1"/>
    <col min="2084" max="2084" width="12.7109375" style="16" customWidth="1"/>
    <col min="2085" max="2085" width="9.28515625" style="16" customWidth="1"/>
    <col min="2086" max="2097" width="8.7109375" style="16" customWidth="1"/>
    <col min="2098" max="2098" width="10.28515625" style="16" customWidth="1"/>
    <col min="2099" max="2099" width="9.28515625" style="16" customWidth="1"/>
    <col min="2100" max="2100" width="7.7109375" style="16" customWidth="1"/>
    <col min="2101" max="2101" width="7.28515625" style="16" customWidth="1"/>
    <col min="2102" max="2102" width="3.7109375" style="16" customWidth="1"/>
    <col min="2103" max="2106" width="3.140625" style="16" customWidth="1"/>
    <col min="2107" max="2107" width="4" style="16" customWidth="1"/>
    <col min="2108" max="2108" width="3.28515625" style="16" customWidth="1"/>
    <col min="2109" max="2111" width="3.140625" style="16" customWidth="1"/>
    <col min="2112" max="2112" width="9.28515625" style="16" customWidth="1"/>
    <col min="2113" max="2114" width="3.140625" style="16" customWidth="1"/>
    <col min="2115" max="2157" width="1.7109375" style="16" customWidth="1"/>
    <col min="2158" max="2304" width="3" style="16"/>
    <col min="2305" max="2305" width="0.85546875" style="16" customWidth="1"/>
    <col min="2306" max="2306" width="1" style="16" customWidth="1"/>
    <col min="2307" max="2307" width="1.28515625" style="16" customWidth="1"/>
    <col min="2308" max="2308" width="46" style="16" customWidth="1"/>
    <col min="2309" max="2309" width="4.7109375" style="16" customWidth="1"/>
    <col min="2310" max="2310" width="5.7109375" style="16" customWidth="1"/>
    <col min="2311" max="2311" width="16.85546875" style="16" customWidth="1"/>
    <col min="2312" max="2312" width="0" style="16" hidden="1" customWidth="1"/>
    <col min="2313" max="2313" width="16.28515625" style="16" customWidth="1"/>
    <col min="2314" max="2323" width="0" style="16" hidden="1" customWidth="1"/>
    <col min="2324" max="2324" width="15.28515625" style="16" customWidth="1"/>
    <col min="2325" max="2325" width="16.28515625" style="16" customWidth="1"/>
    <col min="2326" max="2326" width="0" style="16" hidden="1" customWidth="1"/>
    <col min="2327" max="2327" width="16.28515625" style="16" customWidth="1"/>
    <col min="2328" max="2337" width="0" style="16" hidden="1" customWidth="1"/>
    <col min="2338" max="2338" width="16.28515625" style="16" customWidth="1"/>
    <col min="2339" max="2339" width="1.7109375" style="16" customWidth="1"/>
    <col min="2340" max="2340" width="12.7109375" style="16" customWidth="1"/>
    <col min="2341" max="2341" width="9.28515625" style="16" customWidth="1"/>
    <col min="2342" max="2353" width="8.7109375" style="16" customWidth="1"/>
    <col min="2354" max="2354" width="10.28515625" style="16" customWidth="1"/>
    <col min="2355" max="2355" width="9.28515625" style="16" customWidth="1"/>
    <col min="2356" max="2356" width="7.7109375" style="16" customWidth="1"/>
    <col min="2357" max="2357" width="7.28515625" style="16" customWidth="1"/>
    <col min="2358" max="2358" width="3.7109375" style="16" customWidth="1"/>
    <col min="2359" max="2362" width="3.140625" style="16" customWidth="1"/>
    <col min="2363" max="2363" width="4" style="16" customWidth="1"/>
    <col min="2364" max="2364" width="3.28515625" style="16" customWidth="1"/>
    <col min="2365" max="2367" width="3.140625" style="16" customWidth="1"/>
    <col min="2368" max="2368" width="9.28515625" style="16" customWidth="1"/>
    <col min="2369" max="2370" width="3.140625" style="16" customWidth="1"/>
    <col min="2371" max="2413" width="1.7109375" style="16" customWidth="1"/>
    <col min="2414" max="2560" width="3" style="16"/>
    <col min="2561" max="2561" width="0.85546875" style="16" customWidth="1"/>
    <col min="2562" max="2562" width="1" style="16" customWidth="1"/>
    <col min="2563" max="2563" width="1.28515625" style="16" customWidth="1"/>
    <col min="2564" max="2564" width="46" style="16" customWidth="1"/>
    <col min="2565" max="2565" width="4.7109375" style="16" customWidth="1"/>
    <col min="2566" max="2566" width="5.7109375" style="16" customWidth="1"/>
    <col min="2567" max="2567" width="16.85546875" style="16" customWidth="1"/>
    <col min="2568" max="2568" width="0" style="16" hidden="1" customWidth="1"/>
    <col min="2569" max="2569" width="16.28515625" style="16" customWidth="1"/>
    <col min="2570" max="2579" width="0" style="16" hidden="1" customWidth="1"/>
    <col min="2580" max="2580" width="15.28515625" style="16" customWidth="1"/>
    <col min="2581" max="2581" width="16.28515625" style="16" customWidth="1"/>
    <col min="2582" max="2582" width="0" style="16" hidden="1" customWidth="1"/>
    <col min="2583" max="2583" width="16.28515625" style="16" customWidth="1"/>
    <col min="2584" max="2593" width="0" style="16" hidden="1" customWidth="1"/>
    <col min="2594" max="2594" width="16.28515625" style="16" customWidth="1"/>
    <col min="2595" max="2595" width="1.7109375" style="16" customWidth="1"/>
    <col min="2596" max="2596" width="12.7109375" style="16" customWidth="1"/>
    <col min="2597" max="2597" width="9.28515625" style="16" customWidth="1"/>
    <col min="2598" max="2609" width="8.7109375" style="16" customWidth="1"/>
    <col min="2610" max="2610" width="10.28515625" style="16" customWidth="1"/>
    <col min="2611" max="2611" width="9.28515625" style="16" customWidth="1"/>
    <col min="2612" max="2612" width="7.7109375" style="16" customWidth="1"/>
    <col min="2613" max="2613" width="7.28515625" style="16" customWidth="1"/>
    <col min="2614" max="2614" width="3.7109375" style="16" customWidth="1"/>
    <col min="2615" max="2618" width="3.140625" style="16" customWidth="1"/>
    <col min="2619" max="2619" width="4" style="16" customWidth="1"/>
    <col min="2620" max="2620" width="3.28515625" style="16" customWidth="1"/>
    <col min="2621" max="2623" width="3.140625" style="16" customWidth="1"/>
    <col min="2624" max="2624" width="9.28515625" style="16" customWidth="1"/>
    <col min="2625" max="2626" width="3.140625" style="16" customWidth="1"/>
    <col min="2627" max="2669" width="1.7109375" style="16" customWidth="1"/>
    <col min="2670" max="2816" width="3" style="16"/>
    <col min="2817" max="2817" width="0.85546875" style="16" customWidth="1"/>
    <col min="2818" max="2818" width="1" style="16" customWidth="1"/>
    <col min="2819" max="2819" width="1.28515625" style="16" customWidth="1"/>
    <col min="2820" max="2820" width="46" style="16" customWidth="1"/>
    <col min="2821" max="2821" width="4.7109375" style="16" customWidth="1"/>
    <col min="2822" max="2822" width="5.7109375" style="16" customWidth="1"/>
    <col min="2823" max="2823" width="16.85546875" style="16" customWidth="1"/>
    <col min="2824" max="2824" width="0" style="16" hidden="1" customWidth="1"/>
    <col min="2825" max="2825" width="16.28515625" style="16" customWidth="1"/>
    <col min="2826" max="2835" width="0" style="16" hidden="1" customWidth="1"/>
    <col min="2836" max="2836" width="15.28515625" style="16" customWidth="1"/>
    <col min="2837" max="2837" width="16.28515625" style="16" customWidth="1"/>
    <col min="2838" max="2838" width="0" style="16" hidden="1" customWidth="1"/>
    <col min="2839" max="2839" width="16.28515625" style="16" customWidth="1"/>
    <col min="2840" max="2849" width="0" style="16" hidden="1" customWidth="1"/>
    <col min="2850" max="2850" width="16.28515625" style="16" customWidth="1"/>
    <col min="2851" max="2851" width="1.7109375" style="16" customWidth="1"/>
    <col min="2852" max="2852" width="12.7109375" style="16" customWidth="1"/>
    <col min="2853" max="2853" width="9.28515625" style="16" customWidth="1"/>
    <col min="2854" max="2865" width="8.7109375" style="16" customWidth="1"/>
    <col min="2866" max="2866" width="10.28515625" style="16" customWidth="1"/>
    <col min="2867" max="2867" width="9.28515625" style="16" customWidth="1"/>
    <col min="2868" max="2868" width="7.7109375" style="16" customWidth="1"/>
    <col min="2869" max="2869" width="7.28515625" style="16" customWidth="1"/>
    <col min="2870" max="2870" width="3.7109375" style="16" customWidth="1"/>
    <col min="2871" max="2874" width="3.140625" style="16" customWidth="1"/>
    <col min="2875" max="2875" width="4" style="16" customWidth="1"/>
    <col min="2876" max="2876" width="3.28515625" style="16" customWidth="1"/>
    <col min="2877" max="2879" width="3.140625" style="16" customWidth="1"/>
    <col min="2880" max="2880" width="9.28515625" style="16" customWidth="1"/>
    <col min="2881" max="2882" width="3.140625" style="16" customWidth="1"/>
    <col min="2883" max="2925" width="1.7109375" style="16" customWidth="1"/>
    <col min="2926" max="3072" width="3" style="16"/>
    <col min="3073" max="3073" width="0.85546875" style="16" customWidth="1"/>
    <col min="3074" max="3074" width="1" style="16" customWidth="1"/>
    <col min="3075" max="3075" width="1.28515625" style="16" customWidth="1"/>
    <col min="3076" max="3076" width="46" style="16" customWidth="1"/>
    <col min="3077" max="3077" width="4.7109375" style="16" customWidth="1"/>
    <col min="3078" max="3078" width="5.7109375" style="16" customWidth="1"/>
    <col min="3079" max="3079" width="16.85546875" style="16" customWidth="1"/>
    <col min="3080" max="3080" width="0" style="16" hidden="1" customWidth="1"/>
    <col min="3081" max="3081" width="16.28515625" style="16" customWidth="1"/>
    <col min="3082" max="3091" width="0" style="16" hidden="1" customWidth="1"/>
    <col min="3092" max="3092" width="15.28515625" style="16" customWidth="1"/>
    <col min="3093" max="3093" width="16.28515625" style="16" customWidth="1"/>
    <col min="3094" max="3094" width="0" style="16" hidden="1" customWidth="1"/>
    <col min="3095" max="3095" width="16.28515625" style="16" customWidth="1"/>
    <col min="3096" max="3105" width="0" style="16" hidden="1" customWidth="1"/>
    <col min="3106" max="3106" width="16.28515625" style="16" customWidth="1"/>
    <col min="3107" max="3107" width="1.7109375" style="16" customWidth="1"/>
    <col min="3108" max="3108" width="12.7109375" style="16" customWidth="1"/>
    <col min="3109" max="3109" width="9.28515625" style="16" customWidth="1"/>
    <col min="3110" max="3121" width="8.7109375" style="16" customWidth="1"/>
    <col min="3122" max="3122" width="10.28515625" style="16" customWidth="1"/>
    <col min="3123" max="3123" width="9.28515625" style="16" customWidth="1"/>
    <col min="3124" max="3124" width="7.7109375" style="16" customWidth="1"/>
    <col min="3125" max="3125" width="7.28515625" style="16" customWidth="1"/>
    <col min="3126" max="3126" width="3.7109375" style="16" customWidth="1"/>
    <col min="3127" max="3130" width="3.140625" style="16" customWidth="1"/>
    <col min="3131" max="3131" width="4" style="16" customWidth="1"/>
    <col min="3132" max="3132" width="3.28515625" style="16" customWidth="1"/>
    <col min="3133" max="3135" width="3.140625" style="16" customWidth="1"/>
    <col min="3136" max="3136" width="9.28515625" style="16" customWidth="1"/>
    <col min="3137" max="3138" width="3.140625" style="16" customWidth="1"/>
    <col min="3139" max="3181" width="1.7109375" style="16" customWidth="1"/>
    <col min="3182" max="3328" width="3" style="16"/>
    <col min="3329" max="3329" width="0.85546875" style="16" customWidth="1"/>
    <col min="3330" max="3330" width="1" style="16" customWidth="1"/>
    <col min="3331" max="3331" width="1.28515625" style="16" customWidth="1"/>
    <col min="3332" max="3332" width="46" style="16" customWidth="1"/>
    <col min="3333" max="3333" width="4.7109375" style="16" customWidth="1"/>
    <col min="3334" max="3334" width="5.7109375" style="16" customWidth="1"/>
    <col min="3335" max="3335" width="16.85546875" style="16" customWidth="1"/>
    <col min="3336" max="3336" width="0" style="16" hidden="1" customWidth="1"/>
    <col min="3337" max="3337" width="16.28515625" style="16" customWidth="1"/>
    <col min="3338" max="3347" width="0" style="16" hidden="1" customWidth="1"/>
    <col min="3348" max="3348" width="15.28515625" style="16" customWidth="1"/>
    <col min="3349" max="3349" width="16.28515625" style="16" customWidth="1"/>
    <col min="3350" max="3350" width="0" style="16" hidden="1" customWidth="1"/>
    <col min="3351" max="3351" width="16.28515625" style="16" customWidth="1"/>
    <col min="3352" max="3361" width="0" style="16" hidden="1" customWidth="1"/>
    <col min="3362" max="3362" width="16.28515625" style="16" customWidth="1"/>
    <col min="3363" max="3363" width="1.7109375" style="16" customWidth="1"/>
    <col min="3364" max="3364" width="12.7109375" style="16" customWidth="1"/>
    <col min="3365" max="3365" width="9.28515625" style="16" customWidth="1"/>
    <col min="3366" max="3377" width="8.7109375" style="16" customWidth="1"/>
    <col min="3378" max="3378" width="10.28515625" style="16" customWidth="1"/>
    <col min="3379" max="3379" width="9.28515625" style="16" customWidth="1"/>
    <col min="3380" max="3380" width="7.7109375" style="16" customWidth="1"/>
    <col min="3381" max="3381" width="7.28515625" style="16" customWidth="1"/>
    <col min="3382" max="3382" width="3.7109375" style="16" customWidth="1"/>
    <col min="3383" max="3386" width="3.140625" style="16" customWidth="1"/>
    <col min="3387" max="3387" width="4" style="16" customWidth="1"/>
    <col min="3388" max="3388" width="3.28515625" style="16" customWidth="1"/>
    <col min="3389" max="3391" width="3.140625" style="16" customWidth="1"/>
    <col min="3392" max="3392" width="9.28515625" style="16" customWidth="1"/>
    <col min="3393" max="3394" width="3.140625" style="16" customWidth="1"/>
    <col min="3395" max="3437" width="1.7109375" style="16" customWidth="1"/>
    <col min="3438" max="3584" width="3" style="16"/>
    <col min="3585" max="3585" width="0.85546875" style="16" customWidth="1"/>
    <col min="3586" max="3586" width="1" style="16" customWidth="1"/>
    <col min="3587" max="3587" width="1.28515625" style="16" customWidth="1"/>
    <col min="3588" max="3588" width="46" style="16" customWidth="1"/>
    <col min="3589" max="3589" width="4.7109375" style="16" customWidth="1"/>
    <col min="3590" max="3590" width="5.7109375" style="16" customWidth="1"/>
    <col min="3591" max="3591" width="16.85546875" style="16" customWidth="1"/>
    <col min="3592" max="3592" width="0" style="16" hidden="1" customWidth="1"/>
    <col min="3593" max="3593" width="16.28515625" style="16" customWidth="1"/>
    <col min="3594" max="3603" width="0" style="16" hidden="1" customWidth="1"/>
    <col min="3604" max="3604" width="15.28515625" style="16" customWidth="1"/>
    <col min="3605" max="3605" width="16.28515625" style="16" customWidth="1"/>
    <col min="3606" max="3606" width="0" style="16" hidden="1" customWidth="1"/>
    <col min="3607" max="3607" width="16.28515625" style="16" customWidth="1"/>
    <col min="3608" max="3617" width="0" style="16" hidden="1" customWidth="1"/>
    <col min="3618" max="3618" width="16.28515625" style="16" customWidth="1"/>
    <col min="3619" max="3619" width="1.7109375" style="16" customWidth="1"/>
    <col min="3620" max="3620" width="12.7109375" style="16" customWidth="1"/>
    <col min="3621" max="3621" width="9.28515625" style="16" customWidth="1"/>
    <col min="3622" max="3633" width="8.7109375" style="16" customWidth="1"/>
    <col min="3634" max="3634" width="10.28515625" style="16" customWidth="1"/>
    <col min="3635" max="3635" width="9.28515625" style="16" customWidth="1"/>
    <col min="3636" max="3636" width="7.7109375" style="16" customWidth="1"/>
    <col min="3637" max="3637" width="7.28515625" style="16" customWidth="1"/>
    <col min="3638" max="3638" width="3.7109375" style="16" customWidth="1"/>
    <col min="3639" max="3642" width="3.140625" style="16" customWidth="1"/>
    <col min="3643" max="3643" width="4" style="16" customWidth="1"/>
    <col min="3644" max="3644" width="3.28515625" style="16" customWidth="1"/>
    <col min="3645" max="3647" width="3.140625" style="16" customWidth="1"/>
    <col min="3648" max="3648" width="9.28515625" style="16" customWidth="1"/>
    <col min="3649" max="3650" width="3.140625" style="16" customWidth="1"/>
    <col min="3651" max="3693" width="1.7109375" style="16" customWidth="1"/>
    <col min="3694" max="3840" width="3" style="16"/>
    <col min="3841" max="3841" width="0.85546875" style="16" customWidth="1"/>
    <col min="3842" max="3842" width="1" style="16" customWidth="1"/>
    <col min="3843" max="3843" width="1.28515625" style="16" customWidth="1"/>
    <col min="3844" max="3844" width="46" style="16" customWidth="1"/>
    <col min="3845" max="3845" width="4.7109375" style="16" customWidth="1"/>
    <col min="3846" max="3846" width="5.7109375" style="16" customWidth="1"/>
    <col min="3847" max="3847" width="16.85546875" style="16" customWidth="1"/>
    <col min="3848" max="3848" width="0" style="16" hidden="1" customWidth="1"/>
    <col min="3849" max="3849" width="16.28515625" style="16" customWidth="1"/>
    <col min="3850" max="3859" width="0" style="16" hidden="1" customWidth="1"/>
    <col min="3860" max="3860" width="15.28515625" style="16" customWidth="1"/>
    <col min="3861" max="3861" width="16.28515625" style="16" customWidth="1"/>
    <col min="3862" max="3862" width="0" style="16" hidden="1" customWidth="1"/>
    <col min="3863" max="3863" width="16.28515625" style="16" customWidth="1"/>
    <col min="3864" max="3873" width="0" style="16" hidden="1" customWidth="1"/>
    <col min="3874" max="3874" width="16.28515625" style="16" customWidth="1"/>
    <col min="3875" max="3875" width="1.7109375" style="16" customWidth="1"/>
    <col min="3876" max="3876" width="12.7109375" style="16" customWidth="1"/>
    <col min="3877" max="3877" width="9.28515625" style="16" customWidth="1"/>
    <col min="3878" max="3889" width="8.7109375" style="16" customWidth="1"/>
    <col min="3890" max="3890" width="10.28515625" style="16" customWidth="1"/>
    <col min="3891" max="3891" width="9.28515625" style="16" customWidth="1"/>
    <col min="3892" max="3892" width="7.7109375" style="16" customWidth="1"/>
    <col min="3893" max="3893" width="7.28515625" style="16" customWidth="1"/>
    <col min="3894" max="3894" width="3.7109375" style="16" customWidth="1"/>
    <col min="3895" max="3898" width="3.140625" style="16" customWidth="1"/>
    <col min="3899" max="3899" width="4" style="16" customWidth="1"/>
    <col min="3900" max="3900" width="3.28515625" style="16" customWidth="1"/>
    <col min="3901" max="3903" width="3.140625" style="16" customWidth="1"/>
    <col min="3904" max="3904" width="9.28515625" style="16" customWidth="1"/>
    <col min="3905" max="3906" width="3.140625" style="16" customWidth="1"/>
    <col min="3907" max="3949" width="1.7109375" style="16" customWidth="1"/>
    <col min="3950" max="4096" width="3" style="16"/>
    <col min="4097" max="4097" width="0.85546875" style="16" customWidth="1"/>
    <col min="4098" max="4098" width="1" style="16" customWidth="1"/>
    <col min="4099" max="4099" width="1.28515625" style="16" customWidth="1"/>
    <col min="4100" max="4100" width="46" style="16" customWidth="1"/>
    <col min="4101" max="4101" width="4.7109375" style="16" customWidth="1"/>
    <col min="4102" max="4102" width="5.7109375" style="16" customWidth="1"/>
    <col min="4103" max="4103" width="16.85546875" style="16" customWidth="1"/>
    <col min="4104" max="4104" width="0" style="16" hidden="1" customWidth="1"/>
    <col min="4105" max="4105" width="16.28515625" style="16" customWidth="1"/>
    <col min="4106" max="4115" width="0" style="16" hidden="1" customWidth="1"/>
    <col min="4116" max="4116" width="15.28515625" style="16" customWidth="1"/>
    <col min="4117" max="4117" width="16.28515625" style="16" customWidth="1"/>
    <col min="4118" max="4118" width="0" style="16" hidden="1" customWidth="1"/>
    <col min="4119" max="4119" width="16.28515625" style="16" customWidth="1"/>
    <col min="4120" max="4129" width="0" style="16" hidden="1" customWidth="1"/>
    <col min="4130" max="4130" width="16.28515625" style="16" customWidth="1"/>
    <col min="4131" max="4131" width="1.7109375" style="16" customWidth="1"/>
    <col min="4132" max="4132" width="12.7109375" style="16" customWidth="1"/>
    <col min="4133" max="4133" width="9.28515625" style="16" customWidth="1"/>
    <col min="4134" max="4145" width="8.7109375" style="16" customWidth="1"/>
    <col min="4146" max="4146" width="10.28515625" style="16" customWidth="1"/>
    <col min="4147" max="4147" width="9.28515625" style="16" customWidth="1"/>
    <col min="4148" max="4148" width="7.7109375" style="16" customWidth="1"/>
    <col min="4149" max="4149" width="7.28515625" style="16" customWidth="1"/>
    <col min="4150" max="4150" width="3.7109375" style="16" customWidth="1"/>
    <col min="4151" max="4154" width="3.140625" style="16" customWidth="1"/>
    <col min="4155" max="4155" width="4" style="16" customWidth="1"/>
    <col min="4156" max="4156" width="3.28515625" style="16" customWidth="1"/>
    <col min="4157" max="4159" width="3.140625" style="16" customWidth="1"/>
    <col min="4160" max="4160" width="9.28515625" style="16" customWidth="1"/>
    <col min="4161" max="4162" width="3.140625" style="16" customWidth="1"/>
    <col min="4163" max="4205" width="1.7109375" style="16" customWidth="1"/>
    <col min="4206" max="4352" width="3" style="16"/>
    <col min="4353" max="4353" width="0.85546875" style="16" customWidth="1"/>
    <col min="4354" max="4354" width="1" style="16" customWidth="1"/>
    <col min="4355" max="4355" width="1.28515625" style="16" customWidth="1"/>
    <col min="4356" max="4356" width="46" style="16" customWidth="1"/>
    <col min="4357" max="4357" width="4.7109375" style="16" customWidth="1"/>
    <col min="4358" max="4358" width="5.7109375" style="16" customWidth="1"/>
    <col min="4359" max="4359" width="16.85546875" style="16" customWidth="1"/>
    <col min="4360" max="4360" width="0" style="16" hidden="1" customWidth="1"/>
    <col min="4361" max="4361" width="16.28515625" style="16" customWidth="1"/>
    <col min="4362" max="4371" width="0" style="16" hidden="1" customWidth="1"/>
    <col min="4372" max="4372" width="15.28515625" style="16" customWidth="1"/>
    <col min="4373" max="4373" width="16.28515625" style="16" customWidth="1"/>
    <col min="4374" max="4374" width="0" style="16" hidden="1" customWidth="1"/>
    <col min="4375" max="4375" width="16.28515625" style="16" customWidth="1"/>
    <col min="4376" max="4385" width="0" style="16" hidden="1" customWidth="1"/>
    <col min="4386" max="4386" width="16.28515625" style="16" customWidth="1"/>
    <col min="4387" max="4387" width="1.7109375" style="16" customWidth="1"/>
    <col min="4388" max="4388" width="12.7109375" style="16" customWidth="1"/>
    <col min="4389" max="4389" width="9.28515625" style="16" customWidth="1"/>
    <col min="4390" max="4401" width="8.7109375" style="16" customWidth="1"/>
    <col min="4402" max="4402" width="10.28515625" style="16" customWidth="1"/>
    <col min="4403" max="4403" width="9.28515625" style="16" customWidth="1"/>
    <col min="4404" max="4404" width="7.7109375" style="16" customWidth="1"/>
    <col min="4405" max="4405" width="7.28515625" style="16" customWidth="1"/>
    <col min="4406" max="4406" width="3.7109375" style="16" customWidth="1"/>
    <col min="4407" max="4410" width="3.140625" style="16" customWidth="1"/>
    <col min="4411" max="4411" width="4" style="16" customWidth="1"/>
    <col min="4412" max="4412" width="3.28515625" style="16" customWidth="1"/>
    <col min="4413" max="4415" width="3.140625" style="16" customWidth="1"/>
    <col min="4416" max="4416" width="9.28515625" style="16" customWidth="1"/>
    <col min="4417" max="4418" width="3.140625" style="16" customWidth="1"/>
    <col min="4419" max="4461" width="1.7109375" style="16" customWidth="1"/>
    <col min="4462" max="4608" width="3" style="16"/>
    <col min="4609" max="4609" width="0.85546875" style="16" customWidth="1"/>
    <col min="4610" max="4610" width="1" style="16" customWidth="1"/>
    <col min="4611" max="4611" width="1.28515625" style="16" customWidth="1"/>
    <col min="4612" max="4612" width="46" style="16" customWidth="1"/>
    <col min="4613" max="4613" width="4.7109375" style="16" customWidth="1"/>
    <col min="4614" max="4614" width="5.7109375" style="16" customWidth="1"/>
    <col min="4615" max="4615" width="16.85546875" style="16" customWidth="1"/>
    <col min="4616" max="4616" width="0" style="16" hidden="1" customWidth="1"/>
    <col min="4617" max="4617" width="16.28515625" style="16" customWidth="1"/>
    <col min="4618" max="4627" width="0" style="16" hidden="1" customWidth="1"/>
    <col min="4628" max="4628" width="15.28515625" style="16" customWidth="1"/>
    <col min="4629" max="4629" width="16.28515625" style="16" customWidth="1"/>
    <col min="4630" max="4630" width="0" style="16" hidden="1" customWidth="1"/>
    <col min="4631" max="4631" width="16.28515625" style="16" customWidth="1"/>
    <col min="4632" max="4641" width="0" style="16" hidden="1" customWidth="1"/>
    <col min="4642" max="4642" width="16.28515625" style="16" customWidth="1"/>
    <col min="4643" max="4643" width="1.7109375" style="16" customWidth="1"/>
    <col min="4644" max="4644" width="12.7109375" style="16" customWidth="1"/>
    <col min="4645" max="4645" width="9.28515625" style="16" customWidth="1"/>
    <col min="4646" max="4657" width="8.7109375" style="16" customWidth="1"/>
    <col min="4658" max="4658" width="10.28515625" style="16" customWidth="1"/>
    <col min="4659" max="4659" width="9.28515625" style="16" customWidth="1"/>
    <col min="4660" max="4660" width="7.7109375" style="16" customWidth="1"/>
    <col min="4661" max="4661" width="7.28515625" style="16" customWidth="1"/>
    <col min="4662" max="4662" width="3.7109375" style="16" customWidth="1"/>
    <col min="4663" max="4666" width="3.140625" style="16" customWidth="1"/>
    <col min="4667" max="4667" width="4" style="16" customWidth="1"/>
    <col min="4668" max="4668" width="3.28515625" style="16" customWidth="1"/>
    <col min="4669" max="4671" width="3.140625" style="16" customWidth="1"/>
    <col min="4672" max="4672" width="9.28515625" style="16" customWidth="1"/>
    <col min="4673" max="4674" width="3.140625" style="16" customWidth="1"/>
    <col min="4675" max="4717" width="1.7109375" style="16" customWidth="1"/>
    <col min="4718" max="4864" width="3" style="16"/>
    <col min="4865" max="4865" width="0.85546875" style="16" customWidth="1"/>
    <col min="4866" max="4866" width="1" style="16" customWidth="1"/>
    <col min="4867" max="4867" width="1.28515625" style="16" customWidth="1"/>
    <col min="4868" max="4868" width="46" style="16" customWidth="1"/>
    <col min="4869" max="4869" width="4.7109375" style="16" customWidth="1"/>
    <col min="4870" max="4870" width="5.7109375" style="16" customWidth="1"/>
    <col min="4871" max="4871" width="16.85546875" style="16" customWidth="1"/>
    <col min="4872" max="4872" width="0" style="16" hidden="1" customWidth="1"/>
    <col min="4873" max="4873" width="16.28515625" style="16" customWidth="1"/>
    <col min="4874" max="4883" width="0" style="16" hidden="1" customWidth="1"/>
    <col min="4884" max="4884" width="15.28515625" style="16" customWidth="1"/>
    <col min="4885" max="4885" width="16.28515625" style="16" customWidth="1"/>
    <col min="4886" max="4886" width="0" style="16" hidden="1" customWidth="1"/>
    <col min="4887" max="4887" width="16.28515625" style="16" customWidth="1"/>
    <col min="4888" max="4897" width="0" style="16" hidden="1" customWidth="1"/>
    <col min="4898" max="4898" width="16.28515625" style="16" customWidth="1"/>
    <col min="4899" max="4899" width="1.7109375" style="16" customWidth="1"/>
    <col min="4900" max="4900" width="12.7109375" style="16" customWidth="1"/>
    <col min="4901" max="4901" width="9.28515625" style="16" customWidth="1"/>
    <col min="4902" max="4913" width="8.7109375" style="16" customWidth="1"/>
    <col min="4914" max="4914" width="10.28515625" style="16" customWidth="1"/>
    <col min="4915" max="4915" width="9.28515625" style="16" customWidth="1"/>
    <col min="4916" max="4916" width="7.7109375" style="16" customWidth="1"/>
    <col min="4917" max="4917" width="7.28515625" style="16" customWidth="1"/>
    <col min="4918" max="4918" width="3.7109375" style="16" customWidth="1"/>
    <col min="4919" max="4922" width="3.140625" style="16" customWidth="1"/>
    <col min="4923" max="4923" width="4" style="16" customWidth="1"/>
    <col min="4924" max="4924" width="3.28515625" style="16" customWidth="1"/>
    <col min="4925" max="4927" width="3.140625" style="16" customWidth="1"/>
    <col min="4928" max="4928" width="9.28515625" style="16" customWidth="1"/>
    <col min="4929" max="4930" width="3.140625" style="16" customWidth="1"/>
    <col min="4931" max="4973" width="1.7109375" style="16" customWidth="1"/>
    <col min="4974" max="5120" width="3" style="16"/>
    <col min="5121" max="5121" width="0.85546875" style="16" customWidth="1"/>
    <col min="5122" max="5122" width="1" style="16" customWidth="1"/>
    <col min="5123" max="5123" width="1.28515625" style="16" customWidth="1"/>
    <col min="5124" max="5124" width="46" style="16" customWidth="1"/>
    <col min="5125" max="5125" width="4.7109375" style="16" customWidth="1"/>
    <col min="5126" max="5126" width="5.7109375" style="16" customWidth="1"/>
    <col min="5127" max="5127" width="16.85546875" style="16" customWidth="1"/>
    <col min="5128" max="5128" width="0" style="16" hidden="1" customWidth="1"/>
    <col min="5129" max="5129" width="16.28515625" style="16" customWidth="1"/>
    <col min="5130" max="5139" width="0" style="16" hidden="1" customWidth="1"/>
    <col min="5140" max="5140" width="15.28515625" style="16" customWidth="1"/>
    <col min="5141" max="5141" width="16.28515625" style="16" customWidth="1"/>
    <col min="5142" max="5142" width="0" style="16" hidden="1" customWidth="1"/>
    <col min="5143" max="5143" width="16.28515625" style="16" customWidth="1"/>
    <col min="5144" max="5153" width="0" style="16" hidden="1" customWidth="1"/>
    <col min="5154" max="5154" width="16.28515625" style="16" customWidth="1"/>
    <col min="5155" max="5155" width="1.7109375" style="16" customWidth="1"/>
    <col min="5156" max="5156" width="12.7109375" style="16" customWidth="1"/>
    <col min="5157" max="5157" width="9.28515625" style="16" customWidth="1"/>
    <col min="5158" max="5169" width="8.7109375" style="16" customWidth="1"/>
    <col min="5170" max="5170" width="10.28515625" style="16" customWidth="1"/>
    <col min="5171" max="5171" width="9.28515625" style="16" customWidth="1"/>
    <col min="5172" max="5172" width="7.7109375" style="16" customWidth="1"/>
    <col min="5173" max="5173" width="7.28515625" style="16" customWidth="1"/>
    <col min="5174" max="5174" width="3.7109375" style="16" customWidth="1"/>
    <col min="5175" max="5178" width="3.140625" style="16" customWidth="1"/>
    <col min="5179" max="5179" width="4" style="16" customWidth="1"/>
    <col min="5180" max="5180" width="3.28515625" style="16" customWidth="1"/>
    <col min="5181" max="5183" width="3.140625" style="16" customWidth="1"/>
    <col min="5184" max="5184" width="9.28515625" style="16" customWidth="1"/>
    <col min="5185" max="5186" width="3.140625" style="16" customWidth="1"/>
    <col min="5187" max="5229" width="1.7109375" style="16" customWidth="1"/>
    <col min="5230" max="5376" width="3" style="16"/>
    <col min="5377" max="5377" width="0.85546875" style="16" customWidth="1"/>
    <col min="5378" max="5378" width="1" style="16" customWidth="1"/>
    <col min="5379" max="5379" width="1.28515625" style="16" customWidth="1"/>
    <col min="5380" max="5380" width="46" style="16" customWidth="1"/>
    <col min="5381" max="5381" width="4.7109375" style="16" customWidth="1"/>
    <col min="5382" max="5382" width="5.7109375" style="16" customWidth="1"/>
    <col min="5383" max="5383" width="16.85546875" style="16" customWidth="1"/>
    <col min="5384" max="5384" width="0" style="16" hidden="1" customWidth="1"/>
    <col min="5385" max="5385" width="16.28515625" style="16" customWidth="1"/>
    <col min="5386" max="5395" width="0" style="16" hidden="1" customWidth="1"/>
    <col min="5396" max="5396" width="15.28515625" style="16" customWidth="1"/>
    <col min="5397" max="5397" width="16.28515625" style="16" customWidth="1"/>
    <col min="5398" max="5398" width="0" style="16" hidden="1" customWidth="1"/>
    <col min="5399" max="5399" width="16.28515625" style="16" customWidth="1"/>
    <col min="5400" max="5409" width="0" style="16" hidden="1" customWidth="1"/>
    <col min="5410" max="5410" width="16.28515625" style="16" customWidth="1"/>
    <col min="5411" max="5411" width="1.7109375" style="16" customWidth="1"/>
    <col min="5412" max="5412" width="12.7109375" style="16" customWidth="1"/>
    <col min="5413" max="5413" width="9.28515625" style="16" customWidth="1"/>
    <col min="5414" max="5425" width="8.7109375" style="16" customWidth="1"/>
    <col min="5426" max="5426" width="10.28515625" style="16" customWidth="1"/>
    <col min="5427" max="5427" width="9.28515625" style="16" customWidth="1"/>
    <col min="5428" max="5428" width="7.7109375" style="16" customWidth="1"/>
    <col min="5429" max="5429" width="7.28515625" style="16" customWidth="1"/>
    <col min="5430" max="5430" width="3.7109375" style="16" customWidth="1"/>
    <col min="5431" max="5434" width="3.140625" style="16" customWidth="1"/>
    <col min="5435" max="5435" width="4" style="16" customWidth="1"/>
    <col min="5436" max="5436" width="3.28515625" style="16" customWidth="1"/>
    <col min="5437" max="5439" width="3.140625" style="16" customWidth="1"/>
    <col min="5440" max="5440" width="9.28515625" style="16" customWidth="1"/>
    <col min="5441" max="5442" width="3.140625" style="16" customWidth="1"/>
    <col min="5443" max="5485" width="1.7109375" style="16" customWidth="1"/>
    <col min="5486" max="5632" width="3" style="16"/>
    <col min="5633" max="5633" width="0.85546875" style="16" customWidth="1"/>
    <col min="5634" max="5634" width="1" style="16" customWidth="1"/>
    <col min="5635" max="5635" width="1.28515625" style="16" customWidth="1"/>
    <col min="5636" max="5636" width="46" style="16" customWidth="1"/>
    <col min="5637" max="5637" width="4.7109375" style="16" customWidth="1"/>
    <col min="5638" max="5638" width="5.7109375" style="16" customWidth="1"/>
    <col min="5639" max="5639" width="16.85546875" style="16" customWidth="1"/>
    <col min="5640" max="5640" width="0" style="16" hidden="1" customWidth="1"/>
    <col min="5641" max="5641" width="16.28515625" style="16" customWidth="1"/>
    <col min="5642" max="5651" width="0" style="16" hidden="1" customWidth="1"/>
    <col min="5652" max="5652" width="15.28515625" style="16" customWidth="1"/>
    <col min="5653" max="5653" width="16.28515625" style="16" customWidth="1"/>
    <col min="5654" max="5654" width="0" style="16" hidden="1" customWidth="1"/>
    <col min="5655" max="5655" width="16.28515625" style="16" customWidth="1"/>
    <col min="5656" max="5665" width="0" style="16" hidden="1" customWidth="1"/>
    <col min="5666" max="5666" width="16.28515625" style="16" customWidth="1"/>
    <col min="5667" max="5667" width="1.7109375" style="16" customWidth="1"/>
    <col min="5668" max="5668" width="12.7109375" style="16" customWidth="1"/>
    <col min="5669" max="5669" width="9.28515625" style="16" customWidth="1"/>
    <col min="5670" max="5681" width="8.7109375" style="16" customWidth="1"/>
    <col min="5682" max="5682" width="10.28515625" style="16" customWidth="1"/>
    <col min="5683" max="5683" width="9.28515625" style="16" customWidth="1"/>
    <col min="5684" max="5684" width="7.7109375" style="16" customWidth="1"/>
    <col min="5685" max="5685" width="7.28515625" style="16" customWidth="1"/>
    <col min="5686" max="5686" width="3.7109375" style="16" customWidth="1"/>
    <col min="5687" max="5690" width="3.140625" style="16" customWidth="1"/>
    <col min="5691" max="5691" width="4" style="16" customWidth="1"/>
    <col min="5692" max="5692" width="3.28515625" style="16" customWidth="1"/>
    <col min="5693" max="5695" width="3.140625" style="16" customWidth="1"/>
    <col min="5696" max="5696" width="9.28515625" style="16" customWidth="1"/>
    <col min="5697" max="5698" width="3.140625" style="16" customWidth="1"/>
    <col min="5699" max="5741" width="1.7109375" style="16" customWidth="1"/>
    <col min="5742" max="5888" width="3" style="16"/>
    <col min="5889" max="5889" width="0.85546875" style="16" customWidth="1"/>
    <col min="5890" max="5890" width="1" style="16" customWidth="1"/>
    <col min="5891" max="5891" width="1.28515625" style="16" customWidth="1"/>
    <col min="5892" max="5892" width="46" style="16" customWidth="1"/>
    <col min="5893" max="5893" width="4.7109375" style="16" customWidth="1"/>
    <col min="5894" max="5894" width="5.7109375" style="16" customWidth="1"/>
    <col min="5895" max="5895" width="16.85546875" style="16" customWidth="1"/>
    <col min="5896" max="5896" width="0" style="16" hidden="1" customWidth="1"/>
    <col min="5897" max="5897" width="16.28515625" style="16" customWidth="1"/>
    <col min="5898" max="5907" width="0" style="16" hidden="1" customWidth="1"/>
    <col min="5908" max="5908" width="15.28515625" style="16" customWidth="1"/>
    <col min="5909" max="5909" width="16.28515625" style="16" customWidth="1"/>
    <col min="5910" max="5910" width="0" style="16" hidden="1" customWidth="1"/>
    <col min="5911" max="5911" width="16.28515625" style="16" customWidth="1"/>
    <col min="5912" max="5921" width="0" style="16" hidden="1" customWidth="1"/>
    <col min="5922" max="5922" width="16.28515625" style="16" customWidth="1"/>
    <col min="5923" max="5923" width="1.7109375" style="16" customWidth="1"/>
    <col min="5924" max="5924" width="12.7109375" style="16" customWidth="1"/>
    <col min="5925" max="5925" width="9.28515625" style="16" customWidth="1"/>
    <col min="5926" max="5937" width="8.7109375" style="16" customWidth="1"/>
    <col min="5938" max="5938" width="10.28515625" style="16" customWidth="1"/>
    <col min="5939" max="5939" width="9.28515625" style="16" customWidth="1"/>
    <col min="5940" max="5940" width="7.7109375" style="16" customWidth="1"/>
    <col min="5941" max="5941" width="7.28515625" style="16" customWidth="1"/>
    <col min="5942" max="5942" width="3.7109375" style="16" customWidth="1"/>
    <col min="5943" max="5946" width="3.140625" style="16" customWidth="1"/>
    <col min="5947" max="5947" width="4" style="16" customWidth="1"/>
    <col min="5948" max="5948" width="3.28515625" style="16" customWidth="1"/>
    <col min="5949" max="5951" width="3.140625" style="16" customWidth="1"/>
    <col min="5952" max="5952" width="9.28515625" style="16" customWidth="1"/>
    <col min="5953" max="5954" width="3.140625" style="16" customWidth="1"/>
    <col min="5955" max="5997" width="1.7109375" style="16" customWidth="1"/>
    <col min="5998" max="6144" width="3" style="16"/>
    <col min="6145" max="6145" width="0.85546875" style="16" customWidth="1"/>
    <col min="6146" max="6146" width="1" style="16" customWidth="1"/>
    <col min="6147" max="6147" width="1.28515625" style="16" customWidth="1"/>
    <col min="6148" max="6148" width="46" style="16" customWidth="1"/>
    <col min="6149" max="6149" width="4.7109375" style="16" customWidth="1"/>
    <col min="6150" max="6150" width="5.7109375" style="16" customWidth="1"/>
    <col min="6151" max="6151" width="16.85546875" style="16" customWidth="1"/>
    <col min="6152" max="6152" width="0" style="16" hidden="1" customWidth="1"/>
    <col min="6153" max="6153" width="16.28515625" style="16" customWidth="1"/>
    <col min="6154" max="6163" width="0" style="16" hidden="1" customWidth="1"/>
    <col min="6164" max="6164" width="15.28515625" style="16" customWidth="1"/>
    <col min="6165" max="6165" width="16.28515625" style="16" customWidth="1"/>
    <col min="6166" max="6166" width="0" style="16" hidden="1" customWidth="1"/>
    <col min="6167" max="6167" width="16.28515625" style="16" customWidth="1"/>
    <col min="6168" max="6177" width="0" style="16" hidden="1" customWidth="1"/>
    <col min="6178" max="6178" width="16.28515625" style="16" customWidth="1"/>
    <col min="6179" max="6179" width="1.7109375" style="16" customWidth="1"/>
    <col min="6180" max="6180" width="12.7109375" style="16" customWidth="1"/>
    <col min="6181" max="6181" width="9.28515625" style="16" customWidth="1"/>
    <col min="6182" max="6193" width="8.7109375" style="16" customWidth="1"/>
    <col min="6194" max="6194" width="10.28515625" style="16" customWidth="1"/>
    <col min="6195" max="6195" width="9.28515625" style="16" customWidth="1"/>
    <col min="6196" max="6196" width="7.7109375" style="16" customWidth="1"/>
    <col min="6197" max="6197" width="7.28515625" style="16" customWidth="1"/>
    <col min="6198" max="6198" width="3.7109375" style="16" customWidth="1"/>
    <col min="6199" max="6202" width="3.140625" style="16" customWidth="1"/>
    <col min="6203" max="6203" width="4" style="16" customWidth="1"/>
    <col min="6204" max="6204" width="3.28515625" style="16" customWidth="1"/>
    <col min="6205" max="6207" width="3.140625" style="16" customWidth="1"/>
    <col min="6208" max="6208" width="9.28515625" style="16" customWidth="1"/>
    <col min="6209" max="6210" width="3.140625" style="16" customWidth="1"/>
    <col min="6211" max="6253" width="1.7109375" style="16" customWidth="1"/>
    <col min="6254" max="6400" width="3" style="16"/>
    <col min="6401" max="6401" width="0.85546875" style="16" customWidth="1"/>
    <col min="6402" max="6402" width="1" style="16" customWidth="1"/>
    <col min="6403" max="6403" width="1.28515625" style="16" customWidth="1"/>
    <col min="6404" max="6404" width="46" style="16" customWidth="1"/>
    <col min="6405" max="6405" width="4.7109375" style="16" customWidth="1"/>
    <col min="6406" max="6406" width="5.7109375" style="16" customWidth="1"/>
    <col min="6407" max="6407" width="16.85546875" style="16" customWidth="1"/>
    <col min="6408" max="6408" width="0" style="16" hidden="1" customWidth="1"/>
    <col min="6409" max="6409" width="16.28515625" style="16" customWidth="1"/>
    <col min="6410" max="6419" width="0" style="16" hidden="1" customWidth="1"/>
    <col min="6420" max="6420" width="15.28515625" style="16" customWidth="1"/>
    <col min="6421" max="6421" width="16.28515625" style="16" customWidth="1"/>
    <col min="6422" max="6422" width="0" style="16" hidden="1" customWidth="1"/>
    <col min="6423" max="6423" width="16.28515625" style="16" customWidth="1"/>
    <col min="6424" max="6433" width="0" style="16" hidden="1" customWidth="1"/>
    <col min="6434" max="6434" width="16.28515625" style="16" customWidth="1"/>
    <col min="6435" max="6435" width="1.7109375" style="16" customWidth="1"/>
    <col min="6436" max="6436" width="12.7109375" style="16" customWidth="1"/>
    <col min="6437" max="6437" width="9.28515625" style="16" customWidth="1"/>
    <col min="6438" max="6449" width="8.7109375" style="16" customWidth="1"/>
    <col min="6450" max="6450" width="10.28515625" style="16" customWidth="1"/>
    <col min="6451" max="6451" width="9.28515625" style="16" customWidth="1"/>
    <col min="6452" max="6452" width="7.7109375" style="16" customWidth="1"/>
    <col min="6453" max="6453" width="7.28515625" style="16" customWidth="1"/>
    <col min="6454" max="6454" width="3.7109375" style="16" customWidth="1"/>
    <col min="6455" max="6458" width="3.140625" style="16" customWidth="1"/>
    <col min="6459" max="6459" width="4" style="16" customWidth="1"/>
    <col min="6460" max="6460" width="3.28515625" style="16" customWidth="1"/>
    <col min="6461" max="6463" width="3.140625" style="16" customWidth="1"/>
    <col min="6464" max="6464" width="9.28515625" style="16" customWidth="1"/>
    <col min="6465" max="6466" width="3.140625" style="16" customWidth="1"/>
    <col min="6467" max="6509" width="1.7109375" style="16" customWidth="1"/>
    <col min="6510" max="6656" width="3" style="16"/>
    <col min="6657" max="6657" width="0.85546875" style="16" customWidth="1"/>
    <col min="6658" max="6658" width="1" style="16" customWidth="1"/>
    <col min="6659" max="6659" width="1.28515625" style="16" customWidth="1"/>
    <col min="6660" max="6660" width="46" style="16" customWidth="1"/>
    <col min="6661" max="6661" width="4.7109375" style="16" customWidth="1"/>
    <col min="6662" max="6662" width="5.7109375" style="16" customWidth="1"/>
    <col min="6663" max="6663" width="16.85546875" style="16" customWidth="1"/>
    <col min="6664" max="6664" width="0" style="16" hidden="1" customWidth="1"/>
    <col min="6665" max="6665" width="16.28515625" style="16" customWidth="1"/>
    <col min="6666" max="6675" width="0" style="16" hidden="1" customWidth="1"/>
    <col min="6676" max="6676" width="15.28515625" style="16" customWidth="1"/>
    <col min="6677" max="6677" width="16.28515625" style="16" customWidth="1"/>
    <col min="6678" max="6678" width="0" style="16" hidden="1" customWidth="1"/>
    <col min="6679" max="6679" width="16.28515625" style="16" customWidth="1"/>
    <col min="6680" max="6689" width="0" style="16" hidden="1" customWidth="1"/>
    <col min="6690" max="6690" width="16.28515625" style="16" customWidth="1"/>
    <col min="6691" max="6691" width="1.7109375" style="16" customWidth="1"/>
    <col min="6692" max="6692" width="12.7109375" style="16" customWidth="1"/>
    <col min="6693" max="6693" width="9.28515625" style="16" customWidth="1"/>
    <col min="6694" max="6705" width="8.7109375" style="16" customWidth="1"/>
    <col min="6706" max="6706" width="10.28515625" style="16" customWidth="1"/>
    <col min="6707" max="6707" width="9.28515625" style="16" customWidth="1"/>
    <col min="6708" max="6708" width="7.7109375" style="16" customWidth="1"/>
    <col min="6709" max="6709" width="7.28515625" style="16" customWidth="1"/>
    <col min="6710" max="6710" width="3.7109375" style="16" customWidth="1"/>
    <col min="6711" max="6714" width="3.140625" style="16" customWidth="1"/>
    <col min="6715" max="6715" width="4" style="16" customWidth="1"/>
    <col min="6716" max="6716" width="3.28515625" style="16" customWidth="1"/>
    <col min="6717" max="6719" width="3.140625" style="16" customWidth="1"/>
    <col min="6720" max="6720" width="9.28515625" style="16" customWidth="1"/>
    <col min="6721" max="6722" width="3.140625" style="16" customWidth="1"/>
    <col min="6723" max="6765" width="1.7109375" style="16" customWidth="1"/>
    <col min="6766" max="6912" width="3" style="16"/>
    <col min="6913" max="6913" width="0.85546875" style="16" customWidth="1"/>
    <col min="6914" max="6914" width="1" style="16" customWidth="1"/>
    <col min="6915" max="6915" width="1.28515625" style="16" customWidth="1"/>
    <col min="6916" max="6916" width="46" style="16" customWidth="1"/>
    <col min="6917" max="6917" width="4.7109375" style="16" customWidth="1"/>
    <col min="6918" max="6918" width="5.7109375" style="16" customWidth="1"/>
    <col min="6919" max="6919" width="16.85546875" style="16" customWidth="1"/>
    <col min="6920" max="6920" width="0" style="16" hidden="1" customWidth="1"/>
    <col min="6921" max="6921" width="16.28515625" style="16" customWidth="1"/>
    <col min="6922" max="6931" width="0" style="16" hidden="1" customWidth="1"/>
    <col min="6932" max="6932" width="15.28515625" style="16" customWidth="1"/>
    <col min="6933" max="6933" width="16.28515625" style="16" customWidth="1"/>
    <col min="6934" max="6934" width="0" style="16" hidden="1" customWidth="1"/>
    <col min="6935" max="6935" width="16.28515625" style="16" customWidth="1"/>
    <col min="6936" max="6945" width="0" style="16" hidden="1" customWidth="1"/>
    <col min="6946" max="6946" width="16.28515625" style="16" customWidth="1"/>
    <col min="6947" max="6947" width="1.7109375" style="16" customWidth="1"/>
    <col min="6948" max="6948" width="12.7109375" style="16" customWidth="1"/>
    <col min="6949" max="6949" width="9.28515625" style="16" customWidth="1"/>
    <col min="6950" max="6961" width="8.7109375" style="16" customWidth="1"/>
    <col min="6962" max="6962" width="10.28515625" style="16" customWidth="1"/>
    <col min="6963" max="6963" width="9.28515625" style="16" customWidth="1"/>
    <col min="6964" max="6964" width="7.7109375" style="16" customWidth="1"/>
    <col min="6965" max="6965" width="7.28515625" style="16" customWidth="1"/>
    <col min="6966" max="6966" width="3.7109375" style="16" customWidth="1"/>
    <col min="6967" max="6970" width="3.140625" style="16" customWidth="1"/>
    <col min="6971" max="6971" width="4" style="16" customWidth="1"/>
    <col min="6972" max="6972" width="3.28515625" style="16" customWidth="1"/>
    <col min="6973" max="6975" width="3.140625" style="16" customWidth="1"/>
    <col min="6976" max="6976" width="9.28515625" style="16" customWidth="1"/>
    <col min="6977" max="6978" width="3.140625" style="16" customWidth="1"/>
    <col min="6979" max="7021" width="1.7109375" style="16" customWidth="1"/>
    <col min="7022" max="7168" width="3" style="16"/>
    <col min="7169" max="7169" width="0.85546875" style="16" customWidth="1"/>
    <col min="7170" max="7170" width="1" style="16" customWidth="1"/>
    <col min="7171" max="7171" width="1.28515625" style="16" customWidth="1"/>
    <col min="7172" max="7172" width="46" style="16" customWidth="1"/>
    <col min="7173" max="7173" width="4.7109375" style="16" customWidth="1"/>
    <col min="7174" max="7174" width="5.7109375" style="16" customWidth="1"/>
    <col min="7175" max="7175" width="16.85546875" style="16" customWidth="1"/>
    <col min="7176" max="7176" width="0" style="16" hidden="1" customWidth="1"/>
    <col min="7177" max="7177" width="16.28515625" style="16" customWidth="1"/>
    <col min="7178" max="7187" width="0" style="16" hidden="1" customWidth="1"/>
    <col min="7188" max="7188" width="15.28515625" style="16" customWidth="1"/>
    <col min="7189" max="7189" width="16.28515625" style="16" customWidth="1"/>
    <col min="7190" max="7190" width="0" style="16" hidden="1" customWidth="1"/>
    <col min="7191" max="7191" width="16.28515625" style="16" customWidth="1"/>
    <col min="7192" max="7201" width="0" style="16" hidden="1" customWidth="1"/>
    <col min="7202" max="7202" width="16.28515625" style="16" customWidth="1"/>
    <col min="7203" max="7203" width="1.7109375" style="16" customWidth="1"/>
    <col min="7204" max="7204" width="12.7109375" style="16" customWidth="1"/>
    <col min="7205" max="7205" width="9.28515625" style="16" customWidth="1"/>
    <col min="7206" max="7217" width="8.7109375" style="16" customWidth="1"/>
    <col min="7218" max="7218" width="10.28515625" style="16" customWidth="1"/>
    <col min="7219" max="7219" width="9.28515625" style="16" customWidth="1"/>
    <col min="7220" max="7220" width="7.7109375" style="16" customWidth="1"/>
    <col min="7221" max="7221" width="7.28515625" style="16" customWidth="1"/>
    <col min="7222" max="7222" width="3.7109375" style="16" customWidth="1"/>
    <col min="7223" max="7226" width="3.140625" style="16" customWidth="1"/>
    <col min="7227" max="7227" width="4" style="16" customWidth="1"/>
    <col min="7228" max="7228" width="3.28515625" style="16" customWidth="1"/>
    <col min="7229" max="7231" width="3.140625" style="16" customWidth="1"/>
    <col min="7232" max="7232" width="9.28515625" style="16" customWidth="1"/>
    <col min="7233" max="7234" width="3.140625" style="16" customWidth="1"/>
    <col min="7235" max="7277" width="1.7109375" style="16" customWidth="1"/>
    <col min="7278" max="7424" width="3" style="16"/>
    <col min="7425" max="7425" width="0.85546875" style="16" customWidth="1"/>
    <col min="7426" max="7426" width="1" style="16" customWidth="1"/>
    <col min="7427" max="7427" width="1.28515625" style="16" customWidth="1"/>
    <col min="7428" max="7428" width="46" style="16" customWidth="1"/>
    <col min="7429" max="7429" width="4.7109375" style="16" customWidth="1"/>
    <col min="7430" max="7430" width="5.7109375" style="16" customWidth="1"/>
    <col min="7431" max="7431" width="16.85546875" style="16" customWidth="1"/>
    <col min="7432" max="7432" width="0" style="16" hidden="1" customWidth="1"/>
    <col min="7433" max="7433" width="16.28515625" style="16" customWidth="1"/>
    <col min="7434" max="7443" width="0" style="16" hidden="1" customWidth="1"/>
    <col min="7444" max="7444" width="15.28515625" style="16" customWidth="1"/>
    <col min="7445" max="7445" width="16.28515625" style="16" customWidth="1"/>
    <col min="7446" max="7446" width="0" style="16" hidden="1" customWidth="1"/>
    <col min="7447" max="7447" width="16.28515625" style="16" customWidth="1"/>
    <col min="7448" max="7457" width="0" style="16" hidden="1" customWidth="1"/>
    <col min="7458" max="7458" width="16.28515625" style="16" customWidth="1"/>
    <col min="7459" max="7459" width="1.7109375" style="16" customWidth="1"/>
    <col min="7460" max="7460" width="12.7109375" style="16" customWidth="1"/>
    <col min="7461" max="7461" width="9.28515625" style="16" customWidth="1"/>
    <col min="7462" max="7473" width="8.7109375" style="16" customWidth="1"/>
    <col min="7474" max="7474" width="10.28515625" style="16" customWidth="1"/>
    <col min="7475" max="7475" width="9.28515625" style="16" customWidth="1"/>
    <col min="7476" max="7476" width="7.7109375" style="16" customWidth="1"/>
    <col min="7477" max="7477" width="7.28515625" style="16" customWidth="1"/>
    <col min="7478" max="7478" width="3.7109375" style="16" customWidth="1"/>
    <col min="7479" max="7482" width="3.140625" style="16" customWidth="1"/>
    <col min="7483" max="7483" width="4" style="16" customWidth="1"/>
    <col min="7484" max="7484" width="3.28515625" style="16" customWidth="1"/>
    <col min="7485" max="7487" width="3.140625" style="16" customWidth="1"/>
    <col min="7488" max="7488" width="9.28515625" style="16" customWidth="1"/>
    <col min="7489" max="7490" width="3.140625" style="16" customWidth="1"/>
    <col min="7491" max="7533" width="1.7109375" style="16" customWidth="1"/>
    <col min="7534" max="7680" width="3" style="16"/>
    <col min="7681" max="7681" width="0.85546875" style="16" customWidth="1"/>
    <col min="7682" max="7682" width="1" style="16" customWidth="1"/>
    <col min="7683" max="7683" width="1.28515625" style="16" customWidth="1"/>
    <col min="7684" max="7684" width="46" style="16" customWidth="1"/>
    <col min="7685" max="7685" width="4.7109375" style="16" customWidth="1"/>
    <col min="7686" max="7686" width="5.7109375" style="16" customWidth="1"/>
    <col min="7687" max="7687" width="16.85546875" style="16" customWidth="1"/>
    <col min="7688" max="7688" width="0" style="16" hidden="1" customWidth="1"/>
    <col min="7689" max="7689" width="16.28515625" style="16" customWidth="1"/>
    <col min="7690" max="7699" width="0" style="16" hidden="1" customWidth="1"/>
    <col min="7700" max="7700" width="15.28515625" style="16" customWidth="1"/>
    <col min="7701" max="7701" width="16.28515625" style="16" customWidth="1"/>
    <col min="7702" max="7702" width="0" style="16" hidden="1" customWidth="1"/>
    <col min="7703" max="7703" width="16.28515625" style="16" customWidth="1"/>
    <col min="7704" max="7713" width="0" style="16" hidden="1" customWidth="1"/>
    <col min="7714" max="7714" width="16.28515625" style="16" customWidth="1"/>
    <col min="7715" max="7715" width="1.7109375" style="16" customWidth="1"/>
    <col min="7716" max="7716" width="12.7109375" style="16" customWidth="1"/>
    <col min="7717" max="7717" width="9.28515625" style="16" customWidth="1"/>
    <col min="7718" max="7729" width="8.7109375" style="16" customWidth="1"/>
    <col min="7730" max="7730" width="10.28515625" style="16" customWidth="1"/>
    <col min="7731" max="7731" width="9.28515625" style="16" customWidth="1"/>
    <col min="7732" max="7732" width="7.7109375" style="16" customWidth="1"/>
    <col min="7733" max="7733" width="7.28515625" style="16" customWidth="1"/>
    <col min="7734" max="7734" width="3.7109375" style="16" customWidth="1"/>
    <col min="7735" max="7738" width="3.140625" style="16" customWidth="1"/>
    <col min="7739" max="7739" width="4" style="16" customWidth="1"/>
    <col min="7740" max="7740" width="3.28515625" style="16" customWidth="1"/>
    <col min="7741" max="7743" width="3.140625" style="16" customWidth="1"/>
    <col min="7744" max="7744" width="9.28515625" style="16" customWidth="1"/>
    <col min="7745" max="7746" width="3.140625" style="16" customWidth="1"/>
    <col min="7747" max="7789" width="1.7109375" style="16" customWidth="1"/>
    <col min="7790" max="7936" width="3" style="16"/>
    <col min="7937" max="7937" width="0.85546875" style="16" customWidth="1"/>
    <col min="7938" max="7938" width="1" style="16" customWidth="1"/>
    <col min="7939" max="7939" width="1.28515625" style="16" customWidth="1"/>
    <col min="7940" max="7940" width="46" style="16" customWidth="1"/>
    <col min="7941" max="7941" width="4.7109375" style="16" customWidth="1"/>
    <col min="7942" max="7942" width="5.7109375" style="16" customWidth="1"/>
    <col min="7943" max="7943" width="16.85546875" style="16" customWidth="1"/>
    <col min="7944" max="7944" width="0" style="16" hidden="1" customWidth="1"/>
    <col min="7945" max="7945" width="16.28515625" style="16" customWidth="1"/>
    <col min="7946" max="7955" width="0" style="16" hidden="1" customWidth="1"/>
    <col min="7956" max="7956" width="15.28515625" style="16" customWidth="1"/>
    <col min="7957" max="7957" width="16.28515625" style="16" customWidth="1"/>
    <col min="7958" max="7958" width="0" style="16" hidden="1" customWidth="1"/>
    <col min="7959" max="7959" width="16.28515625" style="16" customWidth="1"/>
    <col min="7960" max="7969" width="0" style="16" hidden="1" customWidth="1"/>
    <col min="7970" max="7970" width="16.28515625" style="16" customWidth="1"/>
    <col min="7971" max="7971" width="1.7109375" style="16" customWidth="1"/>
    <col min="7972" max="7972" width="12.7109375" style="16" customWidth="1"/>
    <col min="7973" max="7973" width="9.28515625" style="16" customWidth="1"/>
    <col min="7974" max="7985" width="8.7109375" style="16" customWidth="1"/>
    <col min="7986" max="7986" width="10.28515625" style="16" customWidth="1"/>
    <col min="7987" max="7987" width="9.28515625" style="16" customWidth="1"/>
    <col min="7988" max="7988" width="7.7109375" style="16" customWidth="1"/>
    <col min="7989" max="7989" width="7.28515625" style="16" customWidth="1"/>
    <col min="7990" max="7990" width="3.7109375" style="16" customWidth="1"/>
    <col min="7991" max="7994" width="3.140625" style="16" customWidth="1"/>
    <col min="7995" max="7995" width="4" style="16" customWidth="1"/>
    <col min="7996" max="7996" width="3.28515625" style="16" customWidth="1"/>
    <col min="7997" max="7999" width="3.140625" style="16" customWidth="1"/>
    <col min="8000" max="8000" width="9.28515625" style="16" customWidth="1"/>
    <col min="8001" max="8002" width="3.140625" style="16" customWidth="1"/>
    <col min="8003" max="8045" width="1.7109375" style="16" customWidth="1"/>
    <col min="8046" max="8192" width="3" style="16"/>
    <col min="8193" max="8193" width="0.85546875" style="16" customWidth="1"/>
    <col min="8194" max="8194" width="1" style="16" customWidth="1"/>
    <col min="8195" max="8195" width="1.28515625" style="16" customWidth="1"/>
    <col min="8196" max="8196" width="46" style="16" customWidth="1"/>
    <col min="8197" max="8197" width="4.7109375" style="16" customWidth="1"/>
    <col min="8198" max="8198" width="5.7109375" style="16" customWidth="1"/>
    <col min="8199" max="8199" width="16.85546875" style="16" customWidth="1"/>
    <col min="8200" max="8200" width="0" style="16" hidden="1" customWidth="1"/>
    <col min="8201" max="8201" width="16.28515625" style="16" customWidth="1"/>
    <col min="8202" max="8211" width="0" style="16" hidden="1" customWidth="1"/>
    <col min="8212" max="8212" width="15.28515625" style="16" customWidth="1"/>
    <col min="8213" max="8213" width="16.28515625" style="16" customWidth="1"/>
    <col min="8214" max="8214" width="0" style="16" hidden="1" customWidth="1"/>
    <col min="8215" max="8215" width="16.28515625" style="16" customWidth="1"/>
    <col min="8216" max="8225" width="0" style="16" hidden="1" customWidth="1"/>
    <col min="8226" max="8226" width="16.28515625" style="16" customWidth="1"/>
    <col min="8227" max="8227" width="1.7109375" style="16" customWidth="1"/>
    <col min="8228" max="8228" width="12.7109375" style="16" customWidth="1"/>
    <col min="8229" max="8229" width="9.28515625" style="16" customWidth="1"/>
    <col min="8230" max="8241" width="8.7109375" style="16" customWidth="1"/>
    <col min="8242" max="8242" width="10.28515625" style="16" customWidth="1"/>
    <col min="8243" max="8243" width="9.28515625" style="16" customWidth="1"/>
    <col min="8244" max="8244" width="7.7109375" style="16" customWidth="1"/>
    <col min="8245" max="8245" width="7.28515625" style="16" customWidth="1"/>
    <col min="8246" max="8246" width="3.7109375" style="16" customWidth="1"/>
    <col min="8247" max="8250" width="3.140625" style="16" customWidth="1"/>
    <col min="8251" max="8251" width="4" style="16" customWidth="1"/>
    <col min="8252" max="8252" width="3.28515625" style="16" customWidth="1"/>
    <col min="8253" max="8255" width="3.140625" style="16" customWidth="1"/>
    <col min="8256" max="8256" width="9.28515625" style="16" customWidth="1"/>
    <col min="8257" max="8258" width="3.140625" style="16" customWidth="1"/>
    <col min="8259" max="8301" width="1.7109375" style="16" customWidth="1"/>
    <col min="8302" max="8448" width="3" style="16"/>
    <col min="8449" max="8449" width="0.85546875" style="16" customWidth="1"/>
    <col min="8450" max="8450" width="1" style="16" customWidth="1"/>
    <col min="8451" max="8451" width="1.28515625" style="16" customWidth="1"/>
    <col min="8452" max="8452" width="46" style="16" customWidth="1"/>
    <col min="8453" max="8453" width="4.7109375" style="16" customWidth="1"/>
    <col min="8454" max="8454" width="5.7109375" style="16" customWidth="1"/>
    <col min="8455" max="8455" width="16.85546875" style="16" customWidth="1"/>
    <col min="8456" max="8456" width="0" style="16" hidden="1" customWidth="1"/>
    <col min="8457" max="8457" width="16.28515625" style="16" customWidth="1"/>
    <col min="8458" max="8467" width="0" style="16" hidden="1" customWidth="1"/>
    <col min="8468" max="8468" width="15.28515625" style="16" customWidth="1"/>
    <col min="8469" max="8469" width="16.28515625" style="16" customWidth="1"/>
    <col min="8470" max="8470" width="0" style="16" hidden="1" customWidth="1"/>
    <col min="8471" max="8471" width="16.28515625" style="16" customWidth="1"/>
    <col min="8472" max="8481" width="0" style="16" hidden="1" customWidth="1"/>
    <col min="8482" max="8482" width="16.28515625" style="16" customWidth="1"/>
    <col min="8483" max="8483" width="1.7109375" style="16" customWidth="1"/>
    <col min="8484" max="8484" width="12.7109375" style="16" customWidth="1"/>
    <col min="8485" max="8485" width="9.28515625" style="16" customWidth="1"/>
    <col min="8486" max="8497" width="8.7109375" style="16" customWidth="1"/>
    <col min="8498" max="8498" width="10.28515625" style="16" customWidth="1"/>
    <col min="8499" max="8499" width="9.28515625" style="16" customWidth="1"/>
    <col min="8500" max="8500" width="7.7109375" style="16" customWidth="1"/>
    <col min="8501" max="8501" width="7.28515625" style="16" customWidth="1"/>
    <col min="8502" max="8502" width="3.7109375" style="16" customWidth="1"/>
    <col min="8503" max="8506" width="3.140625" style="16" customWidth="1"/>
    <col min="8507" max="8507" width="4" style="16" customWidth="1"/>
    <col min="8508" max="8508" width="3.28515625" style="16" customWidth="1"/>
    <col min="8509" max="8511" width="3.140625" style="16" customWidth="1"/>
    <col min="8512" max="8512" width="9.28515625" style="16" customWidth="1"/>
    <col min="8513" max="8514" width="3.140625" style="16" customWidth="1"/>
    <col min="8515" max="8557" width="1.7109375" style="16" customWidth="1"/>
    <col min="8558" max="8704" width="3" style="16"/>
    <col min="8705" max="8705" width="0.85546875" style="16" customWidth="1"/>
    <col min="8706" max="8706" width="1" style="16" customWidth="1"/>
    <col min="8707" max="8707" width="1.28515625" style="16" customWidth="1"/>
    <col min="8708" max="8708" width="46" style="16" customWidth="1"/>
    <col min="8709" max="8709" width="4.7109375" style="16" customWidth="1"/>
    <col min="8710" max="8710" width="5.7109375" style="16" customWidth="1"/>
    <col min="8711" max="8711" width="16.85546875" style="16" customWidth="1"/>
    <col min="8712" max="8712" width="0" style="16" hidden="1" customWidth="1"/>
    <col min="8713" max="8713" width="16.28515625" style="16" customWidth="1"/>
    <col min="8714" max="8723" width="0" style="16" hidden="1" customWidth="1"/>
    <col min="8724" max="8724" width="15.28515625" style="16" customWidth="1"/>
    <col min="8725" max="8725" width="16.28515625" style="16" customWidth="1"/>
    <col min="8726" max="8726" width="0" style="16" hidden="1" customWidth="1"/>
    <col min="8727" max="8727" width="16.28515625" style="16" customWidth="1"/>
    <col min="8728" max="8737" width="0" style="16" hidden="1" customWidth="1"/>
    <col min="8738" max="8738" width="16.28515625" style="16" customWidth="1"/>
    <col min="8739" max="8739" width="1.7109375" style="16" customWidth="1"/>
    <col min="8740" max="8740" width="12.7109375" style="16" customWidth="1"/>
    <col min="8741" max="8741" width="9.28515625" style="16" customWidth="1"/>
    <col min="8742" max="8753" width="8.7109375" style="16" customWidth="1"/>
    <col min="8754" max="8754" width="10.28515625" style="16" customWidth="1"/>
    <col min="8755" max="8755" width="9.28515625" style="16" customWidth="1"/>
    <col min="8756" max="8756" width="7.7109375" style="16" customWidth="1"/>
    <col min="8757" max="8757" width="7.28515625" style="16" customWidth="1"/>
    <col min="8758" max="8758" width="3.7109375" style="16" customWidth="1"/>
    <col min="8759" max="8762" width="3.140625" style="16" customWidth="1"/>
    <col min="8763" max="8763" width="4" style="16" customWidth="1"/>
    <col min="8764" max="8764" width="3.28515625" style="16" customWidth="1"/>
    <col min="8765" max="8767" width="3.140625" style="16" customWidth="1"/>
    <col min="8768" max="8768" width="9.28515625" style="16" customWidth="1"/>
    <col min="8769" max="8770" width="3.140625" style="16" customWidth="1"/>
    <col min="8771" max="8813" width="1.7109375" style="16" customWidth="1"/>
    <col min="8814" max="8960" width="3" style="16"/>
    <col min="8961" max="8961" width="0.85546875" style="16" customWidth="1"/>
    <col min="8962" max="8962" width="1" style="16" customWidth="1"/>
    <col min="8963" max="8963" width="1.28515625" style="16" customWidth="1"/>
    <col min="8964" max="8964" width="46" style="16" customWidth="1"/>
    <col min="8965" max="8965" width="4.7109375" style="16" customWidth="1"/>
    <col min="8966" max="8966" width="5.7109375" style="16" customWidth="1"/>
    <col min="8967" max="8967" width="16.85546875" style="16" customWidth="1"/>
    <col min="8968" max="8968" width="0" style="16" hidden="1" customWidth="1"/>
    <col min="8969" max="8969" width="16.28515625" style="16" customWidth="1"/>
    <col min="8970" max="8979" width="0" style="16" hidden="1" customWidth="1"/>
    <col min="8980" max="8980" width="15.28515625" style="16" customWidth="1"/>
    <col min="8981" max="8981" width="16.28515625" style="16" customWidth="1"/>
    <col min="8982" max="8982" width="0" style="16" hidden="1" customWidth="1"/>
    <col min="8983" max="8983" width="16.28515625" style="16" customWidth="1"/>
    <col min="8984" max="8993" width="0" style="16" hidden="1" customWidth="1"/>
    <col min="8994" max="8994" width="16.28515625" style="16" customWidth="1"/>
    <col min="8995" max="8995" width="1.7109375" style="16" customWidth="1"/>
    <col min="8996" max="8996" width="12.7109375" style="16" customWidth="1"/>
    <col min="8997" max="8997" width="9.28515625" style="16" customWidth="1"/>
    <col min="8998" max="9009" width="8.7109375" style="16" customWidth="1"/>
    <col min="9010" max="9010" width="10.28515625" style="16" customWidth="1"/>
    <col min="9011" max="9011" width="9.28515625" style="16" customWidth="1"/>
    <col min="9012" max="9012" width="7.7109375" style="16" customWidth="1"/>
    <col min="9013" max="9013" width="7.28515625" style="16" customWidth="1"/>
    <col min="9014" max="9014" width="3.7109375" style="16" customWidth="1"/>
    <col min="9015" max="9018" width="3.140625" style="16" customWidth="1"/>
    <col min="9019" max="9019" width="4" style="16" customWidth="1"/>
    <col min="9020" max="9020" width="3.28515625" style="16" customWidth="1"/>
    <col min="9021" max="9023" width="3.140625" style="16" customWidth="1"/>
    <col min="9024" max="9024" width="9.28515625" style="16" customWidth="1"/>
    <col min="9025" max="9026" width="3.140625" style="16" customWidth="1"/>
    <col min="9027" max="9069" width="1.7109375" style="16" customWidth="1"/>
    <col min="9070" max="9216" width="3" style="16"/>
    <col min="9217" max="9217" width="0.85546875" style="16" customWidth="1"/>
    <col min="9218" max="9218" width="1" style="16" customWidth="1"/>
    <col min="9219" max="9219" width="1.28515625" style="16" customWidth="1"/>
    <col min="9220" max="9220" width="46" style="16" customWidth="1"/>
    <col min="9221" max="9221" width="4.7109375" style="16" customWidth="1"/>
    <col min="9222" max="9222" width="5.7109375" style="16" customWidth="1"/>
    <col min="9223" max="9223" width="16.85546875" style="16" customWidth="1"/>
    <col min="9224" max="9224" width="0" style="16" hidden="1" customWidth="1"/>
    <col min="9225" max="9225" width="16.28515625" style="16" customWidth="1"/>
    <col min="9226" max="9235" width="0" style="16" hidden="1" customWidth="1"/>
    <col min="9236" max="9236" width="15.28515625" style="16" customWidth="1"/>
    <col min="9237" max="9237" width="16.28515625" style="16" customWidth="1"/>
    <col min="9238" max="9238" width="0" style="16" hidden="1" customWidth="1"/>
    <col min="9239" max="9239" width="16.28515625" style="16" customWidth="1"/>
    <col min="9240" max="9249" width="0" style="16" hidden="1" customWidth="1"/>
    <col min="9250" max="9250" width="16.28515625" style="16" customWidth="1"/>
    <col min="9251" max="9251" width="1.7109375" style="16" customWidth="1"/>
    <col min="9252" max="9252" width="12.7109375" style="16" customWidth="1"/>
    <col min="9253" max="9253" width="9.28515625" style="16" customWidth="1"/>
    <col min="9254" max="9265" width="8.7109375" style="16" customWidth="1"/>
    <col min="9266" max="9266" width="10.28515625" style="16" customWidth="1"/>
    <col min="9267" max="9267" width="9.28515625" style="16" customWidth="1"/>
    <col min="9268" max="9268" width="7.7109375" style="16" customWidth="1"/>
    <col min="9269" max="9269" width="7.28515625" style="16" customWidth="1"/>
    <col min="9270" max="9270" width="3.7109375" style="16" customWidth="1"/>
    <col min="9271" max="9274" width="3.140625" style="16" customWidth="1"/>
    <col min="9275" max="9275" width="4" style="16" customWidth="1"/>
    <col min="9276" max="9276" width="3.28515625" style="16" customWidth="1"/>
    <col min="9277" max="9279" width="3.140625" style="16" customWidth="1"/>
    <col min="9280" max="9280" width="9.28515625" style="16" customWidth="1"/>
    <col min="9281" max="9282" width="3.140625" style="16" customWidth="1"/>
    <col min="9283" max="9325" width="1.7109375" style="16" customWidth="1"/>
    <col min="9326" max="9472" width="3" style="16"/>
    <col min="9473" max="9473" width="0.85546875" style="16" customWidth="1"/>
    <col min="9474" max="9474" width="1" style="16" customWidth="1"/>
    <col min="9475" max="9475" width="1.28515625" style="16" customWidth="1"/>
    <col min="9476" max="9476" width="46" style="16" customWidth="1"/>
    <col min="9477" max="9477" width="4.7109375" style="16" customWidth="1"/>
    <col min="9478" max="9478" width="5.7109375" style="16" customWidth="1"/>
    <col min="9479" max="9479" width="16.85546875" style="16" customWidth="1"/>
    <col min="9480" max="9480" width="0" style="16" hidden="1" customWidth="1"/>
    <col min="9481" max="9481" width="16.28515625" style="16" customWidth="1"/>
    <col min="9482" max="9491" width="0" style="16" hidden="1" customWidth="1"/>
    <col min="9492" max="9492" width="15.28515625" style="16" customWidth="1"/>
    <col min="9493" max="9493" width="16.28515625" style="16" customWidth="1"/>
    <col min="9494" max="9494" width="0" style="16" hidden="1" customWidth="1"/>
    <col min="9495" max="9495" width="16.28515625" style="16" customWidth="1"/>
    <col min="9496" max="9505" width="0" style="16" hidden="1" customWidth="1"/>
    <col min="9506" max="9506" width="16.28515625" style="16" customWidth="1"/>
    <col min="9507" max="9507" width="1.7109375" style="16" customWidth="1"/>
    <col min="9508" max="9508" width="12.7109375" style="16" customWidth="1"/>
    <col min="9509" max="9509" width="9.28515625" style="16" customWidth="1"/>
    <col min="9510" max="9521" width="8.7109375" style="16" customWidth="1"/>
    <col min="9522" max="9522" width="10.28515625" style="16" customWidth="1"/>
    <col min="9523" max="9523" width="9.28515625" style="16" customWidth="1"/>
    <col min="9524" max="9524" width="7.7109375" style="16" customWidth="1"/>
    <col min="9525" max="9525" width="7.28515625" style="16" customWidth="1"/>
    <col min="9526" max="9526" width="3.7109375" style="16" customWidth="1"/>
    <col min="9527" max="9530" width="3.140625" style="16" customWidth="1"/>
    <col min="9531" max="9531" width="4" style="16" customWidth="1"/>
    <col min="9532" max="9532" width="3.28515625" style="16" customWidth="1"/>
    <col min="9533" max="9535" width="3.140625" style="16" customWidth="1"/>
    <col min="9536" max="9536" width="9.28515625" style="16" customWidth="1"/>
    <col min="9537" max="9538" width="3.140625" style="16" customWidth="1"/>
    <col min="9539" max="9581" width="1.7109375" style="16" customWidth="1"/>
    <col min="9582" max="9728" width="3" style="16"/>
    <col min="9729" max="9729" width="0.85546875" style="16" customWidth="1"/>
    <col min="9730" max="9730" width="1" style="16" customWidth="1"/>
    <col min="9731" max="9731" width="1.28515625" style="16" customWidth="1"/>
    <col min="9732" max="9732" width="46" style="16" customWidth="1"/>
    <col min="9733" max="9733" width="4.7109375" style="16" customWidth="1"/>
    <col min="9734" max="9734" width="5.7109375" style="16" customWidth="1"/>
    <col min="9735" max="9735" width="16.85546875" style="16" customWidth="1"/>
    <col min="9736" max="9736" width="0" style="16" hidden="1" customWidth="1"/>
    <col min="9737" max="9737" width="16.28515625" style="16" customWidth="1"/>
    <col min="9738" max="9747" width="0" style="16" hidden="1" customWidth="1"/>
    <col min="9748" max="9748" width="15.28515625" style="16" customWidth="1"/>
    <col min="9749" max="9749" width="16.28515625" style="16" customWidth="1"/>
    <col min="9750" max="9750" width="0" style="16" hidden="1" customWidth="1"/>
    <col min="9751" max="9751" width="16.28515625" style="16" customWidth="1"/>
    <col min="9752" max="9761" width="0" style="16" hidden="1" customWidth="1"/>
    <col min="9762" max="9762" width="16.28515625" style="16" customWidth="1"/>
    <col min="9763" max="9763" width="1.7109375" style="16" customWidth="1"/>
    <col min="9764" max="9764" width="12.7109375" style="16" customWidth="1"/>
    <col min="9765" max="9765" width="9.28515625" style="16" customWidth="1"/>
    <col min="9766" max="9777" width="8.7109375" style="16" customWidth="1"/>
    <col min="9778" max="9778" width="10.28515625" style="16" customWidth="1"/>
    <col min="9779" max="9779" width="9.28515625" style="16" customWidth="1"/>
    <col min="9780" max="9780" width="7.7109375" style="16" customWidth="1"/>
    <col min="9781" max="9781" width="7.28515625" style="16" customWidth="1"/>
    <col min="9782" max="9782" width="3.7109375" style="16" customWidth="1"/>
    <col min="9783" max="9786" width="3.140625" style="16" customWidth="1"/>
    <col min="9787" max="9787" width="4" style="16" customWidth="1"/>
    <col min="9788" max="9788" width="3.28515625" style="16" customWidth="1"/>
    <col min="9789" max="9791" width="3.140625" style="16" customWidth="1"/>
    <col min="9792" max="9792" width="9.28515625" style="16" customWidth="1"/>
    <col min="9793" max="9794" width="3.140625" style="16" customWidth="1"/>
    <col min="9795" max="9837" width="1.7109375" style="16" customWidth="1"/>
    <col min="9838" max="9984" width="3" style="16"/>
    <col min="9985" max="9985" width="0.85546875" style="16" customWidth="1"/>
    <col min="9986" max="9986" width="1" style="16" customWidth="1"/>
    <col min="9987" max="9987" width="1.28515625" style="16" customWidth="1"/>
    <col min="9988" max="9988" width="46" style="16" customWidth="1"/>
    <col min="9989" max="9989" width="4.7109375" style="16" customWidth="1"/>
    <col min="9990" max="9990" width="5.7109375" style="16" customWidth="1"/>
    <col min="9991" max="9991" width="16.85546875" style="16" customWidth="1"/>
    <col min="9992" max="9992" width="0" style="16" hidden="1" customWidth="1"/>
    <col min="9993" max="9993" width="16.28515625" style="16" customWidth="1"/>
    <col min="9994" max="10003" width="0" style="16" hidden="1" customWidth="1"/>
    <col min="10004" max="10004" width="15.28515625" style="16" customWidth="1"/>
    <col min="10005" max="10005" width="16.28515625" style="16" customWidth="1"/>
    <col min="10006" max="10006" width="0" style="16" hidden="1" customWidth="1"/>
    <col min="10007" max="10007" width="16.28515625" style="16" customWidth="1"/>
    <col min="10008" max="10017" width="0" style="16" hidden="1" customWidth="1"/>
    <col min="10018" max="10018" width="16.28515625" style="16" customWidth="1"/>
    <col min="10019" max="10019" width="1.7109375" style="16" customWidth="1"/>
    <col min="10020" max="10020" width="12.7109375" style="16" customWidth="1"/>
    <col min="10021" max="10021" width="9.28515625" style="16" customWidth="1"/>
    <col min="10022" max="10033" width="8.7109375" style="16" customWidth="1"/>
    <col min="10034" max="10034" width="10.28515625" style="16" customWidth="1"/>
    <col min="10035" max="10035" width="9.28515625" style="16" customWidth="1"/>
    <col min="10036" max="10036" width="7.7109375" style="16" customWidth="1"/>
    <col min="10037" max="10037" width="7.28515625" style="16" customWidth="1"/>
    <col min="10038" max="10038" width="3.7109375" style="16" customWidth="1"/>
    <col min="10039" max="10042" width="3.140625" style="16" customWidth="1"/>
    <col min="10043" max="10043" width="4" style="16" customWidth="1"/>
    <col min="10044" max="10044" width="3.28515625" style="16" customWidth="1"/>
    <col min="10045" max="10047" width="3.140625" style="16" customWidth="1"/>
    <col min="10048" max="10048" width="9.28515625" style="16" customWidth="1"/>
    <col min="10049" max="10050" width="3.140625" style="16" customWidth="1"/>
    <col min="10051" max="10093" width="1.7109375" style="16" customWidth="1"/>
    <col min="10094" max="10240" width="3" style="16"/>
    <col min="10241" max="10241" width="0.85546875" style="16" customWidth="1"/>
    <col min="10242" max="10242" width="1" style="16" customWidth="1"/>
    <col min="10243" max="10243" width="1.28515625" style="16" customWidth="1"/>
    <col min="10244" max="10244" width="46" style="16" customWidth="1"/>
    <col min="10245" max="10245" width="4.7109375" style="16" customWidth="1"/>
    <col min="10246" max="10246" width="5.7109375" style="16" customWidth="1"/>
    <col min="10247" max="10247" width="16.85546875" style="16" customWidth="1"/>
    <col min="10248" max="10248" width="0" style="16" hidden="1" customWidth="1"/>
    <col min="10249" max="10249" width="16.28515625" style="16" customWidth="1"/>
    <col min="10250" max="10259" width="0" style="16" hidden="1" customWidth="1"/>
    <col min="10260" max="10260" width="15.28515625" style="16" customWidth="1"/>
    <col min="10261" max="10261" width="16.28515625" style="16" customWidth="1"/>
    <col min="10262" max="10262" width="0" style="16" hidden="1" customWidth="1"/>
    <col min="10263" max="10263" width="16.28515625" style="16" customWidth="1"/>
    <col min="10264" max="10273" width="0" style="16" hidden="1" customWidth="1"/>
    <col min="10274" max="10274" width="16.28515625" style="16" customWidth="1"/>
    <col min="10275" max="10275" width="1.7109375" style="16" customWidth="1"/>
    <col min="10276" max="10276" width="12.7109375" style="16" customWidth="1"/>
    <col min="10277" max="10277" width="9.28515625" style="16" customWidth="1"/>
    <col min="10278" max="10289" width="8.7109375" style="16" customWidth="1"/>
    <col min="10290" max="10290" width="10.28515625" style="16" customWidth="1"/>
    <col min="10291" max="10291" width="9.28515625" style="16" customWidth="1"/>
    <col min="10292" max="10292" width="7.7109375" style="16" customWidth="1"/>
    <col min="10293" max="10293" width="7.28515625" style="16" customWidth="1"/>
    <col min="10294" max="10294" width="3.7109375" style="16" customWidth="1"/>
    <col min="10295" max="10298" width="3.140625" style="16" customWidth="1"/>
    <col min="10299" max="10299" width="4" style="16" customWidth="1"/>
    <col min="10300" max="10300" width="3.28515625" style="16" customWidth="1"/>
    <col min="10301" max="10303" width="3.140625" style="16" customWidth="1"/>
    <col min="10304" max="10304" width="9.28515625" style="16" customWidth="1"/>
    <col min="10305" max="10306" width="3.140625" style="16" customWidth="1"/>
    <col min="10307" max="10349" width="1.7109375" style="16" customWidth="1"/>
    <col min="10350" max="10496" width="3" style="16"/>
    <col min="10497" max="10497" width="0.85546875" style="16" customWidth="1"/>
    <col min="10498" max="10498" width="1" style="16" customWidth="1"/>
    <col min="10499" max="10499" width="1.28515625" style="16" customWidth="1"/>
    <col min="10500" max="10500" width="46" style="16" customWidth="1"/>
    <col min="10501" max="10501" width="4.7109375" style="16" customWidth="1"/>
    <col min="10502" max="10502" width="5.7109375" style="16" customWidth="1"/>
    <col min="10503" max="10503" width="16.85546875" style="16" customWidth="1"/>
    <col min="10504" max="10504" width="0" style="16" hidden="1" customWidth="1"/>
    <col min="10505" max="10505" width="16.28515625" style="16" customWidth="1"/>
    <col min="10506" max="10515" width="0" style="16" hidden="1" customWidth="1"/>
    <col min="10516" max="10516" width="15.28515625" style="16" customWidth="1"/>
    <col min="10517" max="10517" width="16.28515625" style="16" customWidth="1"/>
    <col min="10518" max="10518" width="0" style="16" hidden="1" customWidth="1"/>
    <col min="10519" max="10519" width="16.28515625" style="16" customWidth="1"/>
    <col min="10520" max="10529" width="0" style="16" hidden="1" customWidth="1"/>
    <col min="10530" max="10530" width="16.28515625" style="16" customWidth="1"/>
    <col min="10531" max="10531" width="1.7109375" style="16" customWidth="1"/>
    <col min="10532" max="10532" width="12.7109375" style="16" customWidth="1"/>
    <col min="10533" max="10533" width="9.28515625" style="16" customWidth="1"/>
    <col min="10534" max="10545" width="8.7109375" style="16" customWidth="1"/>
    <col min="10546" max="10546" width="10.28515625" style="16" customWidth="1"/>
    <col min="10547" max="10547" width="9.28515625" style="16" customWidth="1"/>
    <col min="10548" max="10548" width="7.7109375" style="16" customWidth="1"/>
    <col min="10549" max="10549" width="7.28515625" style="16" customWidth="1"/>
    <col min="10550" max="10550" width="3.7109375" style="16" customWidth="1"/>
    <col min="10551" max="10554" width="3.140625" style="16" customWidth="1"/>
    <col min="10555" max="10555" width="4" style="16" customWidth="1"/>
    <col min="10556" max="10556" width="3.28515625" style="16" customWidth="1"/>
    <col min="10557" max="10559" width="3.140625" style="16" customWidth="1"/>
    <col min="10560" max="10560" width="9.28515625" style="16" customWidth="1"/>
    <col min="10561" max="10562" width="3.140625" style="16" customWidth="1"/>
    <col min="10563" max="10605" width="1.7109375" style="16" customWidth="1"/>
    <col min="10606" max="10752" width="3" style="16"/>
    <col min="10753" max="10753" width="0.85546875" style="16" customWidth="1"/>
    <col min="10754" max="10754" width="1" style="16" customWidth="1"/>
    <col min="10755" max="10755" width="1.28515625" style="16" customWidth="1"/>
    <col min="10756" max="10756" width="46" style="16" customWidth="1"/>
    <col min="10757" max="10757" width="4.7109375" style="16" customWidth="1"/>
    <col min="10758" max="10758" width="5.7109375" style="16" customWidth="1"/>
    <col min="10759" max="10759" width="16.85546875" style="16" customWidth="1"/>
    <col min="10760" max="10760" width="0" style="16" hidden="1" customWidth="1"/>
    <col min="10761" max="10761" width="16.28515625" style="16" customWidth="1"/>
    <col min="10762" max="10771" width="0" style="16" hidden="1" customWidth="1"/>
    <col min="10772" max="10772" width="15.28515625" style="16" customWidth="1"/>
    <col min="10773" max="10773" width="16.28515625" style="16" customWidth="1"/>
    <col min="10774" max="10774" width="0" style="16" hidden="1" customWidth="1"/>
    <col min="10775" max="10775" width="16.28515625" style="16" customWidth="1"/>
    <col min="10776" max="10785" width="0" style="16" hidden="1" customWidth="1"/>
    <col min="10786" max="10786" width="16.28515625" style="16" customWidth="1"/>
    <col min="10787" max="10787" width="1.7109375" style="16" customWidth="1"/>
    <col min="10788" max="10788" width="12.7109375" style="16" customWidth="1"/>
    <col min="10789" max="10789" width="9.28515625" style="16" customWidth="1"/>
    <col min="10790" max="10801" width="8.7109375" style="16" customWidth="1"/>
    <col min="10802" max="10802" width="10.28515625" style="16" customWidth="1"/>
    <col min="10803" max="10803" width="9.28515625" style="16" customWidth="1"/>
    <col min="10804" max="10804" width="7.7109375" style="16" customWidth="1"/>
    <col min="10805" max="10805" width="7.28515625" style="16" customWidth="1"/>
    <col min="10806" max="10806" width="3.7109375" style="16" customWidth="1"/>
    <col min="10807" max="10810" width="3.140625" style="16" customWidth="1"/>
    <col min="10811" max="10811" width="4" style="16" customWidth="1"/>
    <col min="10812" max="10812" width="3.28515625" style="16" customWidth="1"/>
    <col min="10813" max="10815" width="3.140625" style="16" customWidth="1"/>
    <col min="10816" max="10816" width="9.28515625" style="16" customWidth="1"/>
    <col min="10817" max="10818" width="3.140625" style="16" customWidth="1"/>
    <col min="10819" max="10861" width="1.7109375" style="16" customWidth="1"/>
    <col min="10862" max="11008" width="3" style="16"/>
    <col min="11009" max="11009" width="0.85546875" style="16" customWidth="1"/>
    <col min="11010" max="11010" width="1" style="16" customWidth="1"/>
    <col min="11011" max="11011" width="1.28515625" style="16" customWidth="1"/>
    <col min="11012" max="11012" width="46" style="16" customWidth="1"/>
    <col min="11013" max="11013" width="4.7109375" style="16" customWidth="1"/>
    <col min="11014" max="11014" width="5.7109375" style="16" customWidth="1"/>
    <col min="11015" max="11015" width="16.85546875" style="16" customWidth="1"/>
    <col min="11016" max="11016" width="0" style="16" hidden="1" customWidth="1"/>
    <col min="11017" max="11017" width="16.28515625" style="16" customWidth="1"/>
    <col min="11018" max="11027" width="0" style="16" hidden="1" customWidth="1"/>
    <col min="11028" max="11028" width="15.28515625" style="16" customWidth="1"/>
    <col min="11029" max="11029" width="16.28515625" style="16" customWidth="1"/>
    <col min="11030" max="11030" width="0" style="16" hidden="1" customWidth="1"/>
    <col min="11031" max="11031" width="16.28515625" style="16" customWidth="1"/>
    <col min="11032" max="11041" width="0" style="16" hidden="1" customWidth="1"/>
    <col min="11042" max="11042" width="16.28515625" style="16" customWidth="1"/>
    <col min="11043" max="11043" width="1.7109375" style="16" customWidth="1"/>
    <col min="11044" max="11044" width="12.7109375" style="16" customWidth="1"/>
    <col min="11045" max="11045" width="9.28515625" style="16" customWidth="1"/>
    <col min="11046" max="11057" width="8.7109375" style="16" customWidth="1"/>
    <col min="11058" max="11058" width="10.28515625" style="16" customWidth="1"/>
    <col min="11059" max="11059" width="9.28515625" style="16" customWidth="1"/>
    <col min="11060" max="11060" width="7.7109375" style="16" customWidth="1"/>
    <col min="11061" max="11061" width="7.28515625" style="16" customWidth="1"/>
    <col min="11062" max="11062" width="3.7109375" style="16" customWidth="1"/>
    <col min="11063" max="11066" width="3.140625" style="16" customWidth="1"/>
    <col min="11067" max="11067" width="4" style="16" customWidth="1"/>
    <col min="11068" max="11068" width="3.28515625" style="16" customWidth="1"/>
    <col min="11069" max="11071" width="3.140625" style="16" customWidth="1"/>
    <col min="11072" max="11072" width="9.28515625" style="16" customWidth="1"/>
    <col min="11073" max="11074" width="3.140625" style="16" customWidth="1"/>
    <col min="11075" max="11117" width="1.7109375" style="16" customWidth="1"/>
    <col min="11118" max="11264" width="3" style="16"/>
    <col min="11265" max="11265" width="0.85546875" style="16" customWidth="1"/>
    <col min="11266" max="11266" width="1" style="16" customWidth="1"/>
    <col min="11267" max="11267" width="1.28515625" style="16" customWidth="1"/>
    <col min="11268" max="11268" width="46" style="16" customWidth="1"/>
    <col min="11269" max="11269" width="4.7109375" style="16" customWidth="1"/>
    <col min="11270" max="11270" width="5.7109375" style="16" customWidth="1"/>
    <col min="11271" max="11271" width="16.85546875" style="16" customWidth="1"/>
    <col min="11272" max="11272" width="0" style="16" hidden="1" customWidth="1"/>
    <col min="11273" max="11273" width="16.28515625" style="16" customWidth="1"/>
    <col min="11274" max="11283" width="0" style="16" hidden="1" customWidth="1"/>
    <col min="11284" max="11284" width="15.28515625" style="16" customWidth="1"/>
    <col min="11285" max="11285" width="16.28515625" style="16" customWidth="1"/>
    <col min="11286" max="11286" width="0" style="16" hidden="1" customWidth="1"/>
    <col min="11287" max="11287" width="16.28515625" style="16" customWidth="1"/>
    <col min="11288" max="11297" width="0" style="16" hidden="1" customWidth="1"/>
    <col min="11298" max="11298" width="16.28515625" style="16" customWidth="1"/>
    <col min="11299" max="11299" width="1.7109375" style="16" customWidth="1"/>
    <col min="11300" max="11300" width="12.7109375" style="16" customWidth="1"/>
    <col min="11301" max="11301" width="9.28515625" style="16" customWidth="1"/>
    <col min="11302" max="11313" width="8.7109375" style="16" customWidth="1"/>
    <col min="11314" max="11314" width="10.28515625" style="16" customWidth="1"/>
    <col min="11315" max="11315" width="9.28515625" style="16" customWidth="1"/>
    <col min="11316" max="11316" width="7.7109375" style="16" customWidth="1"/>
    <col min="11317" max="11317" width="7.28515625" style="16" customWidth="1"/>
    <col min="11318" max="11318" width="3.7109375" style="16" customWidth="1"/>
    <col min="11319" max="11322" width="3.140625" style="16" customWidth="1"/>
    <col min="11323" max="11323" width="4" style="16" customWidth="1"/>
    <col min="11324" max="11324" width="3.28515625" style="16" customWidth="1"/>
    <col min="11325" max="11327" width="3.140625" style="16" customWidth="1"/>
    <col min="11328" max="11328" width="9.28515625" style="16" customWidth="1"/>
    <col min="11329" max="11330" width="3.140625" style="16" customWidth="1"/>
    <col min="11331" max="11373" width="1.7109375" style="16" customWidth="1"/>
    <col min="11374" max="11520" width="3" style="16"/>
    <col min="11521" max="11521" width="0.85546875" style="16" customWidth="1"/>
    <col min="11522" max="11522" width="1" style="16" customWidth="1"/>
    <col min="11523" max="11523" width="1.28515625" style="16" customWidth="1"/>
    <col min="11524" max="11524" width="46" style="16" customWidth="1"/>
    <col min="11525" max="11525" width="4.7109375" style="16" customWidth="1"/>
    <col min="11526" max="11526" width="5.7109375" style="16" customWidth="1"/>
    <col min="11527" max="11527" width="16.85546875" style="16" customWidth="1"/>
    <col min="11528" max="11528" width="0" style="16" hidden="1" customWidth="1"/>
    <col min="11529" max="11529" width="16.28515625" style="16" customWidth="1"/>
    <col min="11530" max="11539" width="0" style="16" hidden="1" customWidth="1"/>
    <col min="11540" max="11540" width="15.28515625" style="16" customWidth="1"/>
    <col min="11541" max="11541" width="16.28515625" style="16" customWidth="1"/>
    <col min="11542" max="11542" width="0" style="16" hidden="1" customWidth="1"/>
    <col min="11543" max="11543" width="16.28515625" style="16" customWidth="1"/>
    <col min="11544" max="11553" width="0" style="16" hidden="1" customWidth="1"/>
    <col min="11554" max="11554" width="16.28515625" style="16" customWidth="1"/>
    <col min="11555" max="11555" width="1.7109375" style="16" customWidth="1"/>
    <col min="11556" max="11556" width="12.7109375" style="16" customWidth="1"/>
    <col min="11557" max="11557" width="9.28515625" style="16" customWidth="1"/>
    <col min="11558" max="11569" width="8.7109375" style="16" customWidth="1"/>
    <col min="11570" max="11570" width="10.28515625" style="16" customWidth="1"/>
    <col min="11571" max="11571" width="9.28515625" style="16" customWidth="1"/>
    <col min="11572" max="11572" width="7.7109375" style="16" customWidth="1"/>
    <col min="11573" max="11573" width="7.28515625" style="16" customWidth="1"/>
    <col min="11574" max="11574" width="3.7109375" style="16" customWidth="1"/>
    <col min="11575" max="11578" width="3.140625" style="16" customWidth="1"/>
    <col min="11579" max="11579" width="4" style="16" customWidth="1"/>
    <col min="11580" max="11580" width="3.28515625" style="16" customWidth="1"/>
    <col min="11581" max="11583" width="3.140625" style="16" customWidth="1"/>
    <col min="11584" max="11584" width="9.28515625" style="16" customWidth="1"/>
    <col min="11585" max="11586" width="3.140625" style="16" customWidth="1"/>
    <col min="11587" max="11629" width="1.7109375" style="16" customWidth="1"/>
    <col min="11630" max="11776" width="3" style="16"/>
    <col min="11777" max="11777" width="0.85546875" style="16" customWidth="1"/>
    <col min="11778" max="11778" width="1" style="16" customWidth="1"/>
    <col min="11779" max="11779" width="1.28515625" style="16" customWidth="1"/>
    <col min="11780" max="11780" width="46" style="16" customWidth="1"/>
    <col min="11781" max="11781" width="4.7109375" style="16" customWidth="1"/>
    <col min="11782" max="11782" width="5.7109375" style="16" customWidth="1"/>
    <col min="11783" max="11783" width="16.85546875" style="16" customWidth="1"/>
    <col min="11784" max="11784" width="0" style="16" hidden="1" customWidth="1"/>
    <col min="11785" max="11785" width="16.28515625" style="16" customWidth="1"/>
    <col min="11786" max="11795" width="0" style="16" hidden="1" customWidth="1"/>
    <col min="11796" max="11796" width="15.28515625" style="16" customWidth="1"/>
    <col min="11797" max="11797" width="16.28515625" style="16" customWidth="1"/>
    <col min="11798" max="11798" width="0" style="16" hidden="1" customWidth="1"/>
    <col min="11799" max="11799" width="16.28515625" style="16" customWidth="1"/>
    <col min="11800" max="11809" width="0" style="16" hidden="1" customWidth="1"/>
    <col min="11810" max="11810" width="16.28515625" style="16" customWidth="1"/>
    <col min="11811" max="11811" width="1.7109375" style="16" customWidth="1"/>
    <col min="11812" max="11812" width="12.7109375" style="16" customWidth="1"/>
    <col min="11813" max="11813" width="9.28515625" style="16" customWidth="1"/>
    <col min="11814" max="11825" width="8.7109375" style="16" customWidth="1"/>
    <col min="11826" max="11826" width="10.28515625" style="16" customWidth="1"/>
    <col min="11827" max="11827" width="9.28515625" style="16" customWidth="1"/>
    <col min="11828" max="11828" width="7.7109375" style="16" customWidth="1"/>
    <col min="11829" max="11829" width="7.28515625" style="16" customWidth="1"/>
    <col min="11830" max="11830" width="3.7109375" style="16" customWidth="1"/>
    <col min="11831" max="11834" width="3.140625" style="16" customWidth="1"/>
    <col min="11835" max="11835" width="4" style="16" customWidth="1"/>
    <col min="11836" max="11836" width="3.28515625" style="16" customWidth="1"/>
    <col min="11837" max="11839" width="3.140625" style="16" customWidth="1"/>
    <col min="11840" max="11840" width="9.28515625" style="16" customWidth="1"/>
    <col min="11841" max="11842" width="3.140625" style="16" customWidth="1"/>
    <col min="11843" max="11885" width="1.7109375" style="16" customWidth="1"/>
    <col min="11886" max="12032" width="3" style="16"/>
    <col min="12033" max="12033" width="0.85546875" style="16" customWidth="1"/>
    <col min="12034" max="12034" width="1" style="16" customWidth="1"/>
    <col min="12035" max="12035" width="1.28515625" style="16" customWidth="1"/>
    <col min="12036" max="12036" width="46" style="16" customWidth="1"/>
    <col min="12037" max="12037" width="4.7109375" style="16" customWidth="1"/>
    <col min="12038" max="12038" width="5.7109375" style="16" customWidth="1"/>
    <col min="12039" max="12039" width="16.85546875" style="16" customWidth="1"/>
    <col min="12040" max="12040" width="0" style="16" hidden="1" customWidth="1"/>
    <col min="12041" max="12041" width="16.28515625" style="16" customWidth="1"/>
    <col min="12042" max="12051" width="0" style="16" hidden="1" customWidth="1"/>
    <col min="12052" max="12052" width="15.28515625" style="16" customWidth="1"/>
    <col min="12053" max="12053" width="16.28515625" style="16" customWidth="1"/>
    <col min="12054" max="12054" width="0" style="16" hidden="1" customWidth="1"/>
    <col min="12055" max="12055" width="16.28515625" style="16" customWidth="1"/>
    <col min="12056" max="12065" width="0" style="16" hidden="1" customWidth="1"/>
    <col min="12066" max="12066" width="16.28515625" style="16" customWidth="1"/>
    <col min="12067" max="12067" width="1.7109375" style="16" customWidth="1"/>
    <col min="12068" max="12068" width="12.7109375" style="16" customWidth="1"/>
    <col min="12069" max="12069" width="9.28515625" style="16" customWidth="1"/>
    <col min="12070" max="12081" width="8.7109375" style="16" customWidth="1"/>
    <col min="12082" max="12082" width="10.28515625" style="16" customWidth="1"/>
    <col min="12083" max="12083" width="9.28515625" style="16" customWidth="1"/>
    <col min="12084" max="12084" width="7.7109375" style="16" customWidth="1"/>
    <col min="12085" max="12085" width="7.28515625" style="16" customWidth="1"/>
    <col min="12086" max="12086" width="3.7109375" style="16" customWidth="1"/>
    <col min="12087" max="12090" width="3.140625" style="16" customWidth="1"/>
    <col min="12091" max="12091" width="4" style="16" customWidth="1"/>
    <col min="12092" max="12092" width="3.28515625" style="16" customWidth="1"/>
    <col min="12093" max="12095" width="3.140625" style="16" customWidth="1"/>
    <col min="12096" max="12096" width="9.28515625" style="16" customWidth="1"/>
    <col min="12097" max="12098" width="3.140625" style="16" customWidth="1"/>
    <col min="12099" max="12141" width="1.7109375" style="16" customWidth="1"/>
    <col min="12142" max="12288" width="3" style="16"/>
    <col min="12289" max="12289" width="0.85546875" style="16" customWidth="1"/>
    <col min="12290" max="12290" width="1" style="16" customWidth="1"/>
    <col min="12291" max="12291" width="1.28515625" style="16" customWidth="1"/>
    <col min="12292" max="12292" width="46" style="16" customWidth="1"/>
    <col min="12293" max="12293" width="4.7109375" style="16" customWidth="1"/>
    <col min="12294" max="12294" width="5.7109375" style="16" customWidth="1"/>
    <col min="12295" max="12295" width="16.85546875" style="16" customWidth="1"/>
    <col min="12296" max="12296" width="0" style="16" hidden="1" customWidth="1"/>
    <col min="12297" max="12297" width="16.28515625" style="16" customWidth="1"/>
    <col min="12298" max="12307" width="0" style="16" hidden="1" customWidth="1"/>
    <col min="12308" max="12308" width="15.28515625" style="16" customWidth="1"/>
    <col min="12309" max="12309" width="16.28515625" style="16" customWidth="1"/>
    <col min="12310" max="12310" width="0" style="16" hidden="1" customWidth="1"/>
    <col min="12311" max="12311" width="16.28515625" style="16" customWidth="1"/>
    <col min="12312" max="12321" width="0" style="16" hidden="1" customWidth="1"/>
    <col min="12322" max="12322" width="16.28515625" style="16" customWidth="1"/>
    <col min="12323" max="12323" width="1.7109375" style="16" customWidth="1"/>
    <col min="12324" max="12324" width="12.7109375" style="16" customWidth="1"/>
    <col min="12325" max="12325" width="9.28515625" style="16" customWidth="1"/>
    <col min="12326" max="12337" width="8.7109375" style="16" customWidth="1"/>
    <col min="12338" max="12338" width="10.28515625" style="16" customWidth="1"/>
    <col min="12339" max="12339" width="9.28515625" style="16" customWidth="1"/>
    <col min="12340" max="12340" width="7.7109375" style="16" customWidth="1"/>
    <col min="12341" max="12341" width="7.28515625" style="16" customWidth="1"/>
    <col min="12342" max="12342" width="3.7109375" style="16" customWidth="1"/>
    <col min="12343" max="12346" width="3.140625" style="16" customWidth="1"/>
    <col min="12347" max="12347" width="4" style="16" customWidth="1"/>
    <col min="12348" max="12348" width="3.28515625" style="16" customWidth="1"/>
    <col min="12349" max="12351" width="3.140625" style="16" customWidth="1"/>
    <col min="12352" max="12352" width="9.28515625" style="16" customWidth="1"/>
    <col min="12353" max="12354" width="3.140625" style="16" customWidth="1"/>
    <col min="12355" max="12397" width="1.7109375" style="16" customWidth="1"/>
    <col min="12398" max="12544" width="3" style="16"/>
    <col min="12545" max="12545" width="0.85546875" style="16" customWidth="1"/>
    <col min="12546" max="12546" width="1" style="16" customWidth="1"/>
    <col min="12547" max="12547" width="1.28515625" style="16" customWidth="1"/>
    <col min="12548" max="12548" width="46" style="16" customWidth="1"/>
    <col min="12549" max="12549" width="4.7109375" style="16" customWidth="1"/>
    <col min="12550" max="12550" width="5.7109375" style="16" customWidth="1"/>
    <col min="12551" max="12551" width="16.85546875" style="16" customWidth="1"/>
    <col min="12552" max="12552" width="0" style="16" hidden="1" customWidth="1"/>
    <col min="12553" max="12553" width="16.28515625" style="16" customWidth="1"/>
    <col min="12554" max="12563" width="0" style="16" hidden="1" customWidth="1"/>
    <col min="12564" max="12564" width="15.28515625" style="16" customWidth="1"/>
    <col min="12565" max="12565" width="16.28515625" style="16" customWidth="1"/>
    <col min="12566" max="12566" width="0" style="16" hidden="1" customWidth="1"/>
    <col min="12567" max="12567" width="16.28515625" style="16" customWidth="1"/>
    <col min="12568" max="12577" width="0" style="16" hidden="1" customWidth="1"/>
    <col min="12578" max="12578" width="16.28515625" style="16" customWidth="1"/>
    <col min="12579" max="12579" width="1.7109375" style="16" customWidth="1"/>
    <col min="12580" max="12580" width="12.7109375" style="16" customWidth="1"/>
    <col min="12581" max="12581" width="9.28515625" style="16" customWidth="1"/>
    <col min="12582" max="12593" width="8.7109375" style="16" customWidth="1"/>
    <col min="12594" max="12594" width="10.28515625" style="16" customWidth="1"/>
    <col min="12595" max="12595" width="9.28515625" style="16" customWidth="1"/>
    <col min="12596" max="12596" width="7.7109375" style="16" customWidth="1"/>
    <col min="12597" max="12597" width="7.28515625" style="16" customWidth="1"/>
    <col min="12598" max="12598" width="3.7109375" style="16" customWidth="1"/>
    <col min="12599" max="12602" width="3.140625" style="16" customWidth="1"/>
    <col min="12603" max="12603" width="4" style="16" customWidth="1"/>
    <col min="12604" max="12604" width="3.28515625" style="16" customWidth="1"/>
    <col min="12605" max="12607" width="3.140625" style="16" customWidth="1"/>
    <col min="12608" max="12608" width="9.28515625" style="16" customWidth="1"/>
    <col min="12609" max="12610" width="3.140625" style="16" customWidth="1"/>
    <col min="12611" max="12653" width="1.7109375" style="16" customWidth="1"/>
    <col min="12654" max="12800" width="3" style="16"/>
    <col min="12801" max="12801" width="0.85546875" style="16" customWidth="1"/>
    <col min="12802" max="12802" width="1" style="16" customWidth="1"/>
    <col min="12803" max="12803" width="1.28515625" style="16" customWidth="1"/>
    <col min="12804" max="12804" width="46" style="16" customWidth="1"/>
    <col min="12805" max="12805" width="4.7109375" style="16" customWidth="1"/>
    <col min="12806" max="12806" width="5.7109375" style="16" customWidth="1"/>
    <col min="12807" max="12807" width="16.85546875" style="16" customWidth="1"/>
    <col min="12808" max="12808" width="0" style="16" hidden="1" customWidth="1"/>
    <col min="12809" max="12809" width="16.28515625" style="16" customWidth="1"/>
    <col min="12810" max="12819" width="0" style="16" hidden="1" customWidth="1"/>
    <col min="12820" max="12820" width="15.28515625" style="16" customWidth="1"/>
    <col min="12821" max="12821" width="16.28515625" style="16" customWidth="1"/>
    <col min="12822" max="12822" width="0" style="16" hidden="1" customWidth="1"/>
    <col min="12823" max="12823" width="16.28515625" style="16" customWidth="1"/>
    <col min="12824" max="12833" width="0" style="16" hidden="1" customWidth="1"/>
    <col min="12834" max="12834" width="16.28515625" style="16" customWidth="1"/>
    <col min="12835" max="12835" width="1.7109375" style="16" customWidth="1"/>
    <col min="12836" max="12836" width="12.7109375" style="16" customWidth="1"/>
    <col min="12837" max="12837" width="9.28515625" style="16" customWidth="1"/>
    <col min="12838" max="12849" width="8.7109375" style="16" customWidth="1"/>
    <col min="12850" max="12850" width="10.28515625" style="16" customWidth="1"/>
    <col min="12851" max="12851" width="9.28515625" style="16" customWidth="1"/>
    <col min="12852" max="12852" width="7.7109375" style="16" customWidth="1"/>
    <col min="12853" max="12853" width="7.28515625" style="16" customWidth="1"/>
    <col min="12854" max="12854" width="3.7109375" style="16" customWidth="1"/>
    <col min="12855" max="12858" width="3.140625" style="16" customWidth="1"/>
    <col min="12859" max="12859" width="4" style="16" customWidth="1"/>
    <col min="12860" max="12860" width="3.28515625" style="16" customWidth="1"/>
    <col min="12861" max="12863" width="3.140625" style="16" customWidth="1"/>
    <col min="12864" max="12864" width="9.28515625" style="16" customWidth="1"/>
    <col min="12865" max="12866" width="3.140625" style="16" customWidth="1"/>
    <col min="12867" max="12909" width="1.7109375" style="16" customWidth="1"/>
    <col min="12910" max="13056" width="3" style="16"/>
    <col min="13057" max="13057" width="0.85546875" style="16" customWidth="1"/>
    <col min="13058" max="13058" width="1" style="16" customWidth="1"/>
    <col min="13059" max="13059" width="1.28515625" style="16" customWidth="1"/>
    <col min="13060" max="13060" width="46" style="16" customWidth="1"/>
    <col min="13061" max="13061" width="4.7109375" style="16" customWidth="1"/>
    <col min="13062" max="13062" width="5.7109375" style="16" customWidth="1"/>
    <col min="13063" max="13063" width="16.85546875" style="16" customWidth="1"/>
    <col min="13064" max="13064" width="0" style="16" hidden="1" customWidth="1"/>
    <col min="13065" max="13065" width="16.28515625" style="16" customWidth="1"/>
    <col min="13066" max="13075" width="0" style="16" hidden="1" customWidth="1"/>
    <col min="13076" max="13076" width="15.28515625" style="16" customWidth="1"/>
    <col min="13077" max="13077" width="16.28515625" style="16" customWidth="1"/>
    <col min="13078" max="13078" width="0" style="16" hidden="1" customWidth="1"/>
    <col min="13079" max="13079" width="16.28515625" style="16" customWidth="1"/>
    <col min="13080" max="13089" width="0" style="16" hidden="1" customWidth="1"/>
    <col min="13090" max="13090" width="16.28515625" style="16" customWidth="1"/>
    <col min="13091" max="13091" width="1.7109375" style="16" customWidth="1"/>
    <col min="13092" max="13092" width="12.7109375" style="16" customWidth="1"/>
    <col min="13093" max="13093" width="9.28515625" style="16" customWidth="1"/>
    <col min="13094" max="13105" width="8.7109375" style="16" customWidth="1"/>
    <col min="13106" max="13106" width="10.28515625" style="16" customWidth="1"/>
    <col min="13107" max="13107" width="9.28515625" style="16" customWidth="1"/>
    <col min="13108" max="13108" width="7.7109375" style="16" customWidth="1"/>
    <col min="13109" max="13109" width="7.28515625" style="16" customWidth="1"/>
    <col min="13110" max="13110" width="3.7109375" style="16" customWidth="1"/>
    <col min="13111" max="13114" width="3.140625" style="16" customWidth="1"/>
    <col min="13115" max="13115" width="4" style="16" customWidth="1"/>
    <col min="13116" max="13116" width="3.28515625" style="16" customWidth="1"/>
    <col min="13117" max="13119" width="3.140625" style="16" customWidth="1"/>
    <col min="13120" max="13120" width="9.28515625" style="16" customWidth="1"/>
    <col min="13121" max="13122" width="3.140625" style="16" customWidth="1"/>
    <col min="13123" max="13165" width="1.7109375" style="16" customWidth="1"/>
    <col min="13166" max="13312" width="3" style="16"/>
    <col min="13313" max="13313" width="0.85546875" style="16" customWidth="1"/>
    <col min="13314" max="13314" width="1" style="16" customWidth="1"/>
    <col min="13315" max="13315" width="1.28515625" style="16" customWidth="1"/>
    <col min="13316" max="13316" width="46" style="16" customWidth="1"/>
    <col min="13317" max="13317" width="4.7109375" style="16" customWidth="1"/>
    <col min="13318" max="13318" width="5.7109375" style="16" customWidth="1"/>
    <col min="13319" max="13319" width="16.85546875" style="16" customWidth="1"/>
    <col min="13320" max="13320" width="0" style="16" hidden="1" customWidth="1"/>
    <col min="13321" max="13321" width="16.28515625" style="16" customWidth="1"/>
    <col min="13322" max="13331" width="0" style="16" hidden="1" customWidth="1"/>
    <col min="13332" max="13332" width="15.28515625" style="16" customWidth="1"/>
    <col min="13333" max="13333" width="16.28515625" style="16" customWidth="1"/>
    <col min="13334" max="13334" width="0" style="16" hidden="1" customWidth="1"/>
    <col min="13335" max="13335" width="16.28515625" style="16" customWidth="1"/>
    <col min="13336" max="13345" width="0" style="16" hidden="1" customWidth="1"/>
    <col min="13346" max="13346" width="16.28515625" style="16" customWidth="1"/>
    <col min="13347" max="13347" width="1.7109375" style="16" customWidth="1"/>
    <col min="13348" max="13348" width="12.7109375" style="16" customWidth="1"/>
    <col min="13349" max="13349" width="9.28515625" style="16" customWidth="1"/>
    <col min="13350" max="13361" width="8.7109375" style="16" customWidth="1"/>
    <col min="13362" max="13362" width="10.28515625" style="16" customWidth="1"/>
    <col min="13363" max="13363" width="9.28515625" style="16" customWidth="1"/>
    <col min="13364" max="13364" width="7.7109375" style="16" customWidth="1"/>
    <col min="13365" max="13365" width="7.28515625" style="16" customWidth="1"/>
    <col min="13366" max="13366" width="3.7109375" style="16" customWidth="1"/>
    <col min="13367" max="13370" width="3.140625" style="16" customWidth="1"/>
    <col min="13371" max="13371" width="4" style="16" customWidth="1"/>
    <col min="13372" max="13372" width="3.28515625" style="16" customWidth="1"/>
    <col min="13373" max="13375" width="3.140625" style="16" customWidth="1"/>
    <col min="13376" max="13376" width="9.28515625" style="16" customWidth="1"/>
    <col min="13377" max="13378" width="3.140625" style="16" customWidth="1"/>
    <col min="13379" max="13421" width="1.7109375" style="16" customWidth="1"/>
    <col min="13422" max="13568" width="3" style="16"/>
    <col min="13569" max="13569" width="0.85546875" style="16" customWidth="1"/>
    <col min="13570" max="13570" width="1" style="16" customWidth="1"/>
    <col min="13571" max="13571" width="1.28515625" style="16" customWidth="1"/>
    <col min="13572" max="13572" width="46" style="16" customWidth="1"/>
    <col min="13573" max="13573" width="4.7109375" style="16" customWidth="1"/>
    <col min="13574" max="13574" width="5.7109375" style="16" customWidth="1"/>
    <col min="13575" max="13575" width="16.85546875" style="16" customWidth="1"/>
    <col min="13576" max="13576" width="0" style="16" hidden="1" customWidth="1"/>
    <col min="13577" max="13577" width="16.28515625" style="16" customWidth="1"/>
    <col min="13578" max="13587" width="0" style="16" hidden="1" customWidth="1"/>
    <col min="13588" max="13588" width="15.28515625" style="16" customWidth="1"/>
    <col min="13589" max="13589" width="16.28515625" style="16" customWidth="1"/>
    <col min="13590" max="13590" width="0" style="16" hidden="1" customWidth="1"/>
    <col min="13591" max="13591" width="16.28515625" style="16" customWidth="1"/>
    <col min="13592" max="13601" width="0" style="16" hidden="1" customWidth="1"/>
    <col min="13602" max="13602" width="16.28515625" style="16" customWidth="1"/>
    <col min="13603" max="13603" width="1.7109375" style="16" customWidth="1"/>
    <col min="13604" max="13604" width="12.7109375" style="16" customWidth="1"/>
    <col min="13605" max="13605" width="9.28515625" style="16" customWidth="1"/>
    <col min="13606" max="13617" width="8.7109375" style="16" customWidth="1"/>
    <col min="13618" max="13618" width="10.28515625" style="16" customWidth="1"/>
    <col min="13619" max="13619" width="9.28515625" style="16" customWidth="1"/>
    <col min="13620" max="13620" width="7.7109375" style="16" customWidth="1"/>
    <col min="13621" max="13621" width="7.28515625" style="16" customWidth="1"/>
    <col min="13622" max="13622" width="3.7109375" style="16" customWidth="1"/>
    <col min="13623" max="13626" width="3.140625" style="16" customWidth="1"/>
    <col min="13627" max="13627" width="4" style="16" customWidth="1"/>
    <col min="13628" max="13628" width="3.28515625" style="16" customWidth="1"/>
    <col min="13629" max="13631" width="3.140625" style="16" customWidth="1"/>
    <col min="13632" max="13632" width="9.28515625" style="16" customWidth="1"/>
    <col min="13633" max="13634" width="3.140625" style="16" customWidth="1"/>
    <col min="13635" max="13677" width="1.7109375" style="16" customWidth="1"/>
    <col min="13678" max="13824" width="3" style="16"/>
    <col min="13825" max="13825" width="0.85546875" style="16" customWidth="1"/>
    <col min="13826" max="13826" width="1" style="16" customWidth="1"/>
    <col min="13827" max="13827" width="1.28515625" style="16" customWidth="1"/>
    <col min="13828" max="13828" width="46" style="16" customWidth="1"/>
    <col min="13829" max="13829" width="4.7109375" style="16" customWidth="1"/>
    <col min="13830" max="13830" width="5.7109375" style="16" customWidth="1"/>
    <col min="13831" max="13831" width="16.85546875" style="16" customWidth="1"/>
    <col min="13832" max="13832" width="0" style="16" hidden="1" customWidth="1"/>
    <col min="13833" max="13833" width="16.28515625" style="16" customWidth="1"/>
    <col min="13834" max="13843" width="0" style="16" hidden="1" customWidth="1"/>
    <col min="13844" max="13844" width="15.28515625" style="16" customWidth="1"/>
    <col min="13845" max="13845" width="16.28515625" style="16" customWidth="1"/>
    <col min="13846" max="13846" width="0" style="16" hidden="1" customWidth="1"/>
    <col min="13847" max="13847" width="16.28515625" style="16" customWidth="1"/>
    <col min="13848" max="13857" width="0" style="16" hidden="1" customWidth="1"/>
    <col min="13858" max="13858" width="16.28515625" style="16" customWidth="1"/>
    <col min="13859" max="13859" width="1.7109375" style="16" customWidth="1"/>
    <col min="13860" max="13860" width="12.7109375" style="16" customWidth="1"/>
    <col min="13861" max="13861" width="9.28515625" style="16" customWidth="1"/>
    <col min="13862" max="13873" width="8.7109375" style="16" customWidth="1"/>
    <col min="13874" max="13874" width="10.28515625" style="16" customWidth="1"/>
    <col min="13875" max="13875" width="9.28515625" style="16" customWidth="1"/>
    <col min="13876" max="13876" width="7.7109375" style="16" customWidth="1"/>
    <col min="13877" max="13877" width="7.28515625" style="16" customWidth="1"/>
    <col min="13878" max="13878" width="3.7109375" style="16" customWidth="1"/>
    <col min="13879" max="13882" width="3.140625" style="16" customWidth="1"/>
    <col min="13883" max="13883" width="4" style="16" customWidth="1"/>
    <col min="13884" max="13884" width="3.28515625" style="16" customWidth="1"/>
    <col min="13885" max="13887" width="3.140625" style="16" customWidth="1"/>
    <col min="13888" max="13888" width="9.28515625" style="16" customWidth="1"/>
    <col min="13889" max="13890" width="3.140625" style="16" customWidth="1"/>
    <col min="13891" max="13933" width="1.7109375" style="16" customWidth="1"/>
    <col min="13934" max="14080" width="3" style="16"/>
    <col min="14081" max="14081" width="0.85546875" style="16" customWidth="1"/>
    <col min="14082" max="14082" width="1" style="16" customWidth="1"/>
    <col min="14083" max="14083" width="1.28515625" style="16" customWidth="1"/>
    <col min="14084" max="14084" width="46" style="16" customWidth="1"/>
    <col min="14085" max="14085" width="4.7109375" style="16" customWidth="1"/>
    <col min="14086" max="14086" width="5.7109375" style="16" customWidth="1"/>
    <col min="14087" max="14087" width="16.85546875" style="16" customWidth="1"/>
    <col min="14088" max="14088" width="0" style="16" hidden="1" customWidth="1"/>
    <col min="14089" max="14089" width="16.28515625" style="16" customWidth="1"/>
    <col min="14090" max="14099" width="0" style="16" hidden="1" customWidth="1"/>
    <col min="14100" max="14100" width="15.28515625" style="16" customWidth="1"/>
    <col min="14101" max="14101" width="16.28515625" style="16" customWidth="1"/>
    <col min="14102" max="14102" width="0" style="16" hidden="1" customWidth="1"/>
    <col min="14103" max="14103" width="16.28515625" style="16" customWidth="1"/>
    <col min="14104" max="14113" width="0" style="16" hidden="1" customWidth="1"/>
    <col min="14114" max="14114" width="16.28515625" style="16" customWidth="1"/>
    <col min="14115" max="14115" width="1.7109375" style="16" customWidth="1"/>
    <col min="14116" max="14116" width="12.7109375" style="16" customWidth="1"/>
    <col min="14117" max="14117" width="9.28515625" style="16" customWidth="1"/>
    <col min="14118" max="14129" width="8.7109375" style="16" customWidth="1"/>
    <col min="14130" max="14130" width="10.28515625" style="16" customWidth="1"/>
    <col min="14131" max="14131" width="9.28515625" style="16" customWidth="1"/>
    <col min="14132" max="14132" width="7.7109375" style="16" customWidth="1"/>
    <col min="14133" max="14133" width="7.28515625" style="16" customWidth="1"/>
    <col min="14134" max="14134" width="3.7109375" style="16" customWidth="1"/>
    <col min="14135" max="14138" width="3.140625" style="16" customWidth="1"/>
    <col min="14139" max="14139" width="4" style="16" customWidth="1"/>
    <col min="14140" max="14140" width="3.28515625" style="16" customWidth="1"/>
    <col min="14141" max="14143" width="3.140625" style="16" customWidth="1"/>
    <col min="14144" max="14144" width="9.28515625" style="16" customWidth="1"/>
    <col min="14145" max="14146" width="3.140625" style="16" customWidth="1"/>
    <col min="14147" max="14189" width="1.7109375" style="16" customWidth="1"/>
    <col min="14190" max="14336" width="3" style="16"/>
    <col min="14337" max="14337" width="0.85546875" style="16" customWidth="1"/>
    <col min="14338" max="14338" width="1" style="16" customWidth="1"/>
    <col min="14339" max="14339" width="1.28515625" style="16" customWidth="1"/>
    <col min="14340" max="14340" width="46" style="16" customWidth="1"/>
    <col min="14341" max="14341" width="4.7109375" style="16" customWidth="1"/>
    <col min="14342" max="14342" width="5.7109375" style="16" customWidth="1"/>
    <col min="14343" max="14343" width="16.85546875" style="16" customWidth="1"/>
    <col min="14344" max="14344" width="0" style="16" hidden="1" customWidth="1"/>
    <col min="14345" max="14345" width="16.28515625" style="16" customWidth="1"/>
    <col min="14346" max="14355" width="0" style="16" hidden="1" customWidth="1"/>
    <col min="14356" max="14356" width="15.28515625" style="16" customWidth="1"/>
    <col min="14357" max="14357" width="16.28515625" style="16" customWidth="1"/>
    <col min="14358" max="14358" width="0" style="16" hidden="1" customWidth="1"/>
    <col min="14359" max="14359" width="16.28515625" style="16" customWidth="1"/>
    <col min="14360" max="14369" width="0" style="16" hidden="1" customWidth="1"/>
    <col min="14370" max="14370" width="16.28515625" style="16" customWidth="1"/>
    <col min="14371" max="14371" width="1.7109375" style="16" customWidth="1"/>
    <col min="14372" max="14372" width="12.7109375" style="16" customWidth="1"/>
    <col min="14373" max="14373" width="9.28515625" style="16" customWidth="1"/>
    <col min="14374" max="14385" width="8.7109375" style="16" customWidth="1"/>
    <col min="14386" max="14386" width="10.28515625" style="16" customWidth="1"/>
    <col min="14387" max="14387" width="9.28515625" style="16" customWidth="1"/>
    <col min="14388" max="14388" width="7.7109375" style="16" customWidth="1"/>
    <col min="14389" max="14389" width="7.28515625" style="16" customWidth="1"/>
    <col min="14390" max="14390" width="3.7109375" style="16" customWidth="1"/>
    <col min="14391" max="14394" width="3.140625" style="16" customWidth="1"/>
    <col min="14395" max="14395" width="4" style="16" customWidth="1"/>
    <col min="14396" max="14396" width="3.28515625" style="16" customWidth="1"/>
    <col min="14397" max="14399" width="3.140625" style="16" customWidth="1"/>
    <col min="14400" max="14400" width="9.28515625" style="16" customWidth="1"/>
    <col min="14401" max="14402" width="3.140625" style="16" customWidth="1"/>
    <col min="14403" max="14445" width="1.7109375" style="16" customWidth="1"/>
    <col min="14446" max="14592" width="3" style="16"/>
    <col min="14593" max="14593" width="0.85546875" style="16" customWidth="1"/>
    <col min="14594" max="14594" width="1" style="16" customWidth="1"/>
    <col min="14595" max="14595" width="1.28515625" style="16" customWidth="1"/>
    <col min="14596" max="14596" width="46" style="16" customWidth="1"/>
    <col min="14597" max="14597" width="4.7109375" style="16" customWidth="1"/>
    <col min="14598" max="14598" width="5.7109375" style="16" customWidth="1"/>
    <col min="14599" max="14599" width="16.85546875" style="16" customWidth="1"/>
    <col min="14600" max="14600" width="0" style="16" hidden="1" customWidth="1"/>
    <col min="14601" max="14601" width="16.28515625" style="16" customWidth="1"/>
    <col min="14602" max="14611" width="0" style="16" hidden="1" customWidth="1"/>
    <col min="14612" max="14612" width="15.28515625" style="16" customWidth="1"/>
    <col min="14613" max="14613" width="16.28515625" style="16" customWidth="1"/>
    <col min="14614" max="14614" width="0" style="16" hidden="1" customWidth="1"/>
    <col min="14615" max="14615" width="16.28515625" style="16" customWidth="1"/>
    <col min="14616" max="14625" width="0" style="16" hidden="1" customWidth="1"/>
    <col min="14626" max="14626" width="16.28515625" style="16" customWidth="1"/>
    <col min="14627" max="14627" width="1.7109375" style="16" customWidth="1"/>
    <col min="14628" max="14628" width="12.7109375" style="16" customWidth="1"/>
    <col min="14629" max="14629" width="9.28515625" style="16" customWidth="1"/>
    <col min="14630" max="14641" width="8.7109375" style="16" customWidth="1"/>
    <col min="14642" max="14642" width="10.28515625" style="16" customWidth="1"/>
    <col min="14643" max="14643" width="9.28515625" style="16" customWidth="1"/>
    <col min="14644" max="14644" width="7.7109375" style="16" customWidth="1"/>
    <col min="14645" max="14645" width="7.28515625" style="16" customWidth="1"/>
    <col min="14646" max="14646" width="3.7109375" style="16" customWidth="1"/>
    <col min="14647" max="14650" width="3.140625" style="16" customWidth="1"/>
    <col min="14651" max="14651" width="4" style="16" customWidth="1"/>
    <col min="14652" max="14652" width="3.28515625" style="16" customWidth="1"/>
    <col min="14653" max="14655" width="3.140625" style="16" customWidth="1"/>
    <col min="14656" max="14656" width="9.28515625" style="16" customWidth="1"/>
    <col min="14657" max="14658" width="3.140625" style="16" customWidth="1"/>
    <col min="14659" max="14701" width="1.7109375" style="16" customWidth="1"/>
    <col min="14702" max="14848" width="3" style="16"/>
    <col min="14849" max="14849" width="0.85546875" style="16" customWidth="1"/>
    <col min="14850" max="14850" width="1" style="16" customWidth="1"/>
    <col min="14851" max="14851" width="1.28515625" style="16" customWidth="1"/>
    <col min="14852" max="14852" width="46" style="16" customWidth="1"/>
    <col min="14853" max="14853" width="4.7109375" style="16" customWidth="1"/>
    <col min="14854" max="14854" width="5.7109375" style="16" customWidth="1"/>
    <col min="14855" max="14855" width="16.85546875" style="16" customWidth="1"/>
    <col min="14856" max="14856" width="0" style="16" hidden="1" customWidth="1"/>
    <col min="14857" max="14857" width="16.28515625" style="16" customWidth="1"/>
    <col min="14858" max="14867" width="0" style="16" hidden="1" customWidth="1"/>
    <col min="14868" max="14868" width="15.28515625" style="16" customWidth="1"/>
    <col min="14869" max="14869" width="16.28515625" style="16" customWidth="1"/>
    <col min="14870" max="14870" width="0" style="16" hidden="1" customWidth="1"/>
    <col min="14871" max="14871" width="16.28515625" style="16" customWidth="1"/>
    <col min="14872" max="14881" width="0" style="16" hidden="1" customWidth="1"/>
    <col min="14882" max="14882" width="16.28515625" style="16" customWidth="1"/>
    <col min="14883" max="14883" width="1.7109375" style="16" customWidth="1"/>
    <col min="14884" max="14884" width="12.7109375" style="16" customWidth="1"/>
    <col min="14885" max="14885" width="9.28515625" style="16" customWidth="1"/>
    <col min="14886" max="14897" width="8.7109375" style="16" customWidth="1"/>
    <col min="14898" max="14898" width="10.28515625" style="16" customWidth="1"/>
    <col min="14899" max="14899" width="9.28515625" style="16" customWidth="1"/>
    <col min="14900" max="14900" width="7.7109375" style="16" customWidth="1"/>
    <col min="14901" max="14901" width="7.28515625" style="16" customWidth="1"/>
    <col min="14902" max="14902" width="3.7109375" style="16" customWidth="1"/>
    <col min="14903" max="14906" width="3.140625" style="16" customWidth="1"/>
    <col min="14907" max="14907" width="4" style="16" customWidth="1"/>
    <col min="14908" max="14908" width="3.28515625" style="16" customWidth="1"/>
    <col min="14909" max="14911" width="3.140625" style="16" customWidth="1"/>
    <col min="14912" max="14912" width="9.28515625" style="16" customWidth="1"/>
    <col min="14913" max="14914" width="3.140625" style="16" customWidth="1"/>
    <col min="14915" max="14957" width="1.7109375" style="16" customWidth="1"/>
    <col min="14958" max="15104" width="3" style="16"/>
    <col min="15105" max="15105" width="0.85546875" style="16" customWidth="1"/>
    <col min="15106" max="15106" width="1" style="16" customWidth="1"/>
    <col min="15107" max="15107" width="1.28515625" style="16" customWidth="1"/>
    <col min="15108" max="15108" width="46" style="16" customWidth="1"/>
    <col min="15109" max="15109" width="4.7109375" style="16" customWidth="1"/>
    <col min="15110" max="15110" width="5.7109375" style="16" customWidth="1"/>
    <col min="15111" max="15111" width="16.85546875" style="16" customWidth="1"/>
    <col min="15112" max="15112" width="0" style="16" hidden="1" customWidth="1"/>
    <col min="15113" max="15113" width="16.28515625" style="16" customWidth="1"/>
    <col min="15114" max="15123" width="0" style="16" hidden="1" customWidth="1"/>
    <col min="15124" max="15124" width="15.28515625" style="16" customWidth="1"/>
    <col min="15125" max="15125" width="16.28515625" style="16" customWidth="1"/>
    <col min="15126" max="15126" width="0" style="16" hidden="1" customWidth="1"/>
    <col min="15127" max="15127" width="16.28515625" style="16" customWidth="1"/>
    <col min="15128" max="15137" width="0" style="16" hidden="1" customWidth="1"/>
    <col min="15138" max="15138" width="16.28515625" style="16" customWidth="1"/>
    <col min="15139" max="15139" width="1.7109375" style="16" customWidth="1"/>
    <col min="15140" max="15140" width="12.7109375" style="16" customWidth="1"/>
    <col min="15141" max="15141" width="9.28515625" style="16" customWidth="1"/>
    <col min="15142" max="15153" width="8.7109375" style="16" customWidth="1"/>
    <col min="15154" max="15154" width="10.28515625" style="16" customWidth="1"/>
    <col min="15155" max="15155" width="9.28515625" style="16" customWidth="1"/>
    <col min="15156" max="15156" width="7.7109375" style="16" customWidth="1"/>
    <col min="15157" max="15157" width="7.28515625" style="16" customWidth="1"/>
    <col min="15158" max="15158" width="3.7109375" style="16" customWidth="1"/>
    <col min="15159" max="15162" width="3.140625" style="16" customWidth="1"/>
    <col min="15163" max="15163" width="4" style="16" customWidth="1"/>
    <col min="15164" max="15164" width="3.28515625" style="16" customWidth="1"/>
    <col min="15165" max="15167" width="3.140625" style="16" customWidth="1"/>
    <col min="15168" max="15168" width="9.28515625" style="16" customWidth="1"/>
    <col min="15169" max="15170" width="3.140625" style="16" customWidth="1"/>
    <col min="15171" max="15213" width="1.7109375" style="16" customWidth="1"/>
    <col min="15214" max="15360" width="3" style="16"/>
    <col min="15361" max="15361" width="0.85546875" style="16" customWidth="1"/>
    <col min="15362" max="15362" width="1" style="16" customWidth="1"/>
    <col min="15363" max="15363" width="1.28515625" style="16" customWidth="1"/>
    <col min="15364" max="15364" width="46" style="16" customWidth="1"/>
    <col min="15365" max="15365" width="4.7109375" style="16" customWidth="1"/>
    <col min="15366" max="15366" width="5.7109375" style="16" customWidth="1"/>
    <col min="15367" max="15367" width="16.85546875" style="16" customWidth="1"/>
    <col min="15368" max="15368" width="0" style="16" hidden="1" customWidth="1"/>
    <col min="15369" max="15369" width="16.28515625" style="16" customWidth="1"/>
    <col min="15370" max="15379" width="0" style="16" hidden="1" customWidth="1"/>
    <col min="15380" max="15380" width="15.28515625" style="16" customWidth="1"/>
    <col min="15381" max="15381" width="16.28515625" style="16" customWidth="1"/>
    <col min="15382" max="15382" width="0" style="16" hidden="1" customWidth="1"/>
    <col min="15383" max="15383" width="16.28515625" style="16" customWidth="1"/>
    <col min="15384" max="15393" width="0" style="16" hidden="1" customWidth="1"/>
    <col min="15394" max="15394" width="16.28515625" style="16" customWidth="1"/>
    <col min="15395" max="15395" width="1.7109375" style="16" customWidth="1"/>
    <col min="15396" max="15396" width="12.7109375" style="16" customWidth="1"/>
    <col min="15397" max="15397" width="9.28515625" style="16" customWidth="1"/>
    <col min="15398" max="15409" width="8.7109375" style="16" customWidth="1"/>
    <col min="15410" max="15410" width="10.28515625" style="16" customWidth="1"/>
    <col min="15411" max="15411" width="9.28515625" style="16" customWidth="1"/>
    <col min="15412" max="15412" width="7.7109375" style="16" customWidth="1"/>
    <col min="15413" max="15413" width="7.28515625" style="16" customWidth="1"/>
    <col min="15414" max="15414" width="3.7109375" style="16" customWidth="1"/>
    <col min="15415" max="15418" width="3.140625" style="16" customWidth="1"/>
    <col min="15419" max="15419" width="4" style="16" customWidth="1"/>
    <col min="15420" max="15420" width="3.28515625" style="16" customWidth="1"/>
    <col min="15421" max="15423" width="3.140625" style="16" customWidth="1"/>
    <col min="15424" max="15424" width="9.28515625" style="16" customWidth="1"/>
    <col min="15425" max="15426" width="3.140625" style="16" customWidth="1"/>
    <col min="15427" max="15469" width="1.7109375" style="16" customWidth="1"/>
    <col min="15470" max="15616" width="3" style="16"/>
    <col min="15617" max="15617" width="0.85546875" style="16" customWidth="1"/>
    <col min="15618" max="15618" width="1" style="16" customWidth="1"/>
    <col min="15619" max="15619" width="1.28515625" style="16" customWidth="1"/>
    <col min="15620" max="15620" width="46" style="16" customWidth="1"/>
    <col min="15621" max="15621" width="4.7109375" style="16" customWidth="1"/>
    <col min="15622" max="15622" width="5.7109375" style="16" customWidth="1"/>
    <col min="15623" max="15623" width="16.85546875" style="16" customWidth="1"/>
    <col min="15624" max="15624" width="0" style="16" hidden="1" customWidth="1"/>
    <col min="15625" max="15625" width="16.28515625" style="16" customWidth="1"/>
    <col min="15626" max="15635" width="0" style="16" hidden="1" customWidth="1"/>
    <col min="15636" max="15636" width="15.28515625" style="16" customWidth="1"/>
    <col min="15637" max="15637" width="16.28515625" style="16" customWidth="1"/>
    <col min="15638" max="15638" width="0" style="16" hidden="1" customWidth="1"/>
    <col min="15639" max="15639" width="16.28515625" style="16" customWidth="1"/>
    <col min="15640" max="15649" width="0" style="16" hidden="1" customWidth="1"/>
    <col min="15650" max="15650" width="16.28515625" style="16" customWidth="1"/>
    <col min="15651" max="15651" width="1.7109375" style="16" customWidth="1"/>
    <col min="15652" max="15652" width="12.7109375" style="16" customWidth="1"/>
    <col min="15653" max="15653" width="9.28515625" style="16" customWidth="1"/>
    <col min="15654" max="15665" width="8.7109375" style="16" customWidth="1"/>
    <col min="15666" max="15666" width="10.28515625" style="16" customWidth="1"/>
    <col min="15667" max="15667" width="9.28515625" style="16" customWidth="1"/>
    <col min="15668" max="15668" width="7.7109375" style="16" customWidth="1"/>
    <col min="15669" max="15669" width="7.28515625" style="16" customWidth="1"/>
    <col min="15670" max="15670" width="3.7109375" style="16" customWidth="1"/>
    <col min="15671" max="15674" width="3.140625" style="16" customWidth="1"/>
    <col min="15675" max="15675" width="4" style="16" customWidth="1"/>
    <col min="15676" max="15676" width="3.28515625" style="16" customWidth="1"/>
    <col min="15677" max="15679" width="3.140625" style="16" customWidth="1"/>
    <col min="15680" max="15680" width="9.28515625" style="16" customWidth="1"/>
    <col min="15681" max="15682" width="3.140625" style="16" customWidth="1"/>
    <col min="15683" max="15725" width="1.7109375" style="16" customWidth="1"/>
    <col min="15726" max="15872" width="3" style="16"/>
    <col min="15873" max="15873" width="0.85546875" style="16" customWidth="1"/>
    <col min="15874" max="15874" width="1" style="16" customWidth="1"/>
    <col min="15875" max="15875" width="1.28515625" style="16" customWidth="1"/>
    <col min="15876" max="15876" width="46" style="16" customWidth="1"/>
    <col min="15877" max="15877" width="4.7109375" style="16" customWidth="1"/>
    <col min="15878" max="15878" width="5.7109375" style="16" customWidth="1"/>
    <col min="15879" max="15879" width="16.85546875" style="16" customWidth="1"/>
    <col min="15880" max="15880" width="0" style="16" hidden="1" customWidth="1"/>
    <col min="15881" max="15881" width="16.28515625" style="16" customWidth="1"/>
    <col min="15882" max="15891" width="0" style="16" hidden="1" customWidth="1"/>
    <col min="15892" max="15892" width="15.28515625" style="16" customWidth="1"/>
    <col min="15893" max="15893" width="16.28515625" style="16" customWidth="1"/>
    <col min="15894" max="15894" width="0" style="16" hidden="1" customWidth="1"/>
    <col min="15895" max="15895" width="16.28515625" style="16" customWidth="1"/>
    <col min="15896" max="15905" width="0" style="16" hidden="1" customWidth="1"/>
    <col min="15906" max="15906" width="16.28515625" style="16" customWidth="1"/>
    <col min="15907" max="15907" width="1.7109375" style="16" customWidth="1"/>
    <col min="15908" max="15908" width="12.7109375" style="16" customWidth="1"/>
    <col min="15909" max="15909" width="9.28515625" style="16" customWidth="1"/>
    <col min="15910" max="15921" width="8.7109375" style="16" customWidth="1"/>
    <col min="15922" max="15922" width="10.28515625" style="16" customWidth="1"/>
    <col min="15923" max="15923" width="9.28515625" style="16" customWidth="1"/>
    <col min="15924" max="15924" width="7.7109375" style="16" customWidth="1"/>
    <col min="15925" max="15925" width="7.28515625" style="16" customWidth="1"/>
    <col min="15926" max="15926" width="3.7109375" style="16" customWidth="1"/>
    <col min="15927" max="15930" width="3.140625" style="16" customWidth="1"/>
    <col min="15931" max="15931" width="4" style="16" customWidth="1"/>
    <col min="15932" max="15932" width="3.28515625" style="16" customWidth="1"/>
    <col min="15933" max="15935" width="3.140625" style="16" customWidth="1"/>
    <col min="15936" max="15936" width="9.28515625" style="16" customWidth="1"/>
    <col min="15937" max="15938" width="3.140625" style="16" customWidth="1"/>
    <col min="15939" max="15981" width="1.7109375" style="16" customWidth="1"/>
    <col min="15982" max="16128" width="3" style="16"/>
    <col min="16129" max="16129" width="0.85546875" style="16" customWidth="1"/>
    <col min="16130" max="16130" width="1" style="16" customWidth="1"/>
    <col min="16131" max="16131" width="1.28515625" style="16" customWidth="1"/>
    <col min="16132" max="16132" width="46" style="16" customWidth="1"/>
    <col min="16133" max="16133" width="4.7109375" style="16" customWidth="1"/>
    <col min="16134" max="16134" width="5.7109375" style="16" customWidth="1"/>
    <col min="16135" max="16135" width="16.85546875" style="16" customWidth="1"/>
    <col min="16136" max="16136" width="0" style="16" hidden="1" customWidth="1"/>
    <col min="16137" max="16137" width="16.28515625" style="16" customWidth="1"/>
    <col min="16138" max="16147" width="0" style="16" hidden="1" customWidth="1"/>
    <col min="16148" max="16148" width="15.28515625" style="16" customWidth="1"/>
    <col min="16149" max="16149" width="16.28515625" style="16" customWidth="1"/>
    <col min="16150" max="16150" width="0" style="16" hidden="1" customWidth="1"/>
    <col min="16151" max="16151" width="16.28515625" style="16" customWidth="1"/>
    <col min="16152" max="16161" width="0" style="16" hidden="1" customWidth="1"/>
    <col min="16162" max="16162" width="16.28515625" style="16" customWidth="1"/>
    <col min="16163" max="16163" width="1.7109375" style="16" customWidth="1"/>
    <col min="16164" max="16164" width="12.7109375" style="16" customWidth="1"/>
    <col min="16165" max="16165" width="9.28515625" style="16" customWidth="1"/>
    <col min="16166" max="16177" width="8.7109375" style="16" customWidth="1"/>
    <col min="16178" max="16178" width="10.28515625" style="16" customWidth="1"/>
    <col min="16179" max="16179" width="9.28515625" style="16" customWidth="1"/>
    <col min="16180" max="16180" width="7.7109375" style="16" customWidth="1"/>
    <col min="16181" max="16181" width="7.28515625" style="16" customWidth="1"/>
    <col min="16182" max="16182" width="3.7109375" style="16" customWidth="1"/>
    <col min="16183" max="16186" width="3.140625" style="16" customWidth="1"/>
    <col min="16187" max="16187" width="4" style="16" customWidth="1"/>
    <col min="16188" max="16188" width="3.28515625" style="16" customWidth="1"/>
    <col min="16189" max="16191" width="3.140625" style="16" customWidth="1"/>
    <col min="16192" max="16192" width="9.28515625" style="16" customWidth="1"/>
    <col min="16193" max="16194" width="3.140625" style="16" customWidth="1"/>
    <col min="16195" max="16237" width="1.7109375" style="16" customWidth="1"/>
    <col min="16238" max="16384" width="3" style="16"/>
  </cols>
  <sheetData>
    <row r="1" spans="2:80" s="1" customFormat="1" hidden="1" x14ac:dyDescent="0.2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5"/>
    </row>
    <row r="2" spans="2:80" s="6" customFormat="1" ht="13.5" hidden="1" thickBot="1" x14ac:dyDescent="0.3">
      <c r="B2" s="7" t="s">
        <v>1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9"/>
      <c r="AI2" s="10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</row>
    <row r="3" spans="2:80" s="6" customFormat="1" ht="15.75" x14ac:dyDescent="0.25">
      <c r="B3" s="12"/>
      <c r="C3" s="13"/>
      <c r="F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2:80" ht="15.75" x14ac:dyDescent="0.25">
      <c r="B4" s="17" t="s">
        <v>2</v>
      </c>
      <c r="C4" s="18"/>
      <c r="D4" s="19"/>
      <c r="E4" s="19"/>
      <c r="F4" s="20"/>
      <c r="G4" s="19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0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6"/>
    </row>
    <row r="5" spans="2:80" s="22" customFormat="1" x14ac:dyDescent="0.2">
      <c r="B5" s="23"/>
      <c r="C5" s="13"/>
      <c r="D5" s="13"/>
      <c r="E5" s="13"/>
      <c r="F5" s="24"/>
      <c r="G5" s="25" t="s">
        <v>3</v>
      </c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7"/>
      <c r="U5" s="25" t="s">
        <v>4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8"/>
      <c r="AI5" s="29"/>
    </row>
    <row r="6" spans="2:80" s="22" customFormat="1" x14ac:dyDescent="0.2">
      <c r="B6" s="23"/>
      <c r="C6" s="13"/>
      <c r="D6" s="13"/>
      <c r="E6" s="13"/>
      <c r="F6" s="30"/>
      <c r="G6" s="31" t="s">
        <v>5</v>
      </c>
      <c r="H6" s="31" t="s">
        <v>6</v>
      </c>
      <c r="I6" s="32" t="s">
        <v>7</v>
      </c>
      <c r="J6" s="32" t="s">
        <v>8</v>
      </c>
      <c r="K6" s="32" t="s">
        <v>9</v>
      </c>
      <c r="L6" s="32" t="s">
        <v>10</v>
      </c>
      <c r="M6" s="32" t="s">
        <v>11</v>
      </c>
      <c r="N6" s="32" t="s">
        <v>12</v>
      </c>
      <c r="O6" s="32" t="s">
        <v>13</v>
      </c>
      <c r="P6" s="32" t="s">
        <v>14</v>
      </c>
      <c r="Q6" s="32" t="s">
        <v>15</v>
      </c>
      <c r="R6" s="32" t="s">
        <v>16</v>
      </c>
      <c r="S6" s="32" t="s">
        <v>17</v>
      </c>
      <c r="T6" s="32" t="s">
        <v>18</v>
      </c>
      <c r="U6" s="33" t="s">
        <v>19</v>
      </c>
      <c r="V6" s="31" t="s">
        <v>6</v>
      </c>
      <c r="W6" s="31" t="s">
        <v>7</v>
      </c>
      <c r="X6" s="31" t="s">
        <v>8</v>
      </c>
      <c r="Y6" s="31" t="s">
        <v>9</v>
      </c>
      <c r="Z6" s="31" t="s">
        <v>10</v>
      </c>
      <c r="AA6" s="31" t="s">
        <v>11</v>
      </c>
      <c r="AB6" s="31" t="s">
        <v>12</v>
      </c>
      <c r="AC6" s="31" t="s">
        <v>13</v>
      </c>
      <c r="AD6" s="31" t="s">
        <v>14</v>
      </c>
      <c r="AE6" s="31" t="s">
        <v>15</v>
      </c>
      <c r="AF6" s="31" t="s">
        <v>16</v>
      </c>
      <c r="AG6" s="31" t="s">
        <v>17</v>
      </c>
      <c r="AH6" s="34" t="s">
        <v>18</v>
      </c>
      <c r="AI6" s="29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</row>
    <row r="7" spans="2:80" s="22" customFormat="1" x14ac:dyDescent="0.2">
      <c r="B7" s="36" t="s">
        <v>20</v>
      </c>
      <c r="C7" s="37"/>
      <c r="D7" s="37"/>
      <c r="E7" s="37"/>
      <c r="F7" s="38" t="s">
        <v>21</v>
      </c>
      <c r="G7" s="39" t="s">
        <v>22</v>
      </c>
      <c r="H7" s="39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1"/>
      <c r="U7" s="42" t="s">
        <v>23</v>
      </c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3"/>
      <c r="AI7" s="29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</row>
    <row r="8" spans="2:80" s="22" customFormat="1" x14ac:dyDescent="0.2">
      <c r="B8" s="44"/>
      <c r="C8" s="45"/>
      <c r="D8" s="45"/>
      <c r="E8" s="45"/>
      <c r="F8" s="46"/>
      <c r="G8" s="47"/>
      <c r="H8" s="48"/>
      <c r="I8" s="48"/>
      <c r="J8" s="48"/>
      <c r="K8" s="48"/>
      <c r="L8" s="48"/>
      <c r="M8" s="49"/>
      <c r="N8" s="49"/>
      <c r="O8" s="49"/>
      <c r="P8" s="49"/>
      <c r="Q8" s="49"/>
      <c r="R8" s="49"/>
      <c r="S8" s="49"/>
      <c r="T8" s="50"/>
      <c r="U8" s="51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52"/>
      <c r="AI8" s="29"/>
      <c r="AJ8" s="53"/>
      <c r="AK8" s="743"/>
      <c r="AL8" s="743"/>
      <c r="AM8" s="743"/>
      <c r="AN8" s="743"/>
      <c r="AO8" s="743"/>
      <c r="AP8" s="743"/>
      <c r="AQ8" s="743"/>
      <c r="AR8" s="743"/>
      <c r="AS8" s="743"/>
      <c r="AT8" s="743"/>
      <c r="AU8" s="743"/>
      <c r="AV8" s="743"/>
      <c r="AW8" s="743"/>
      <c r="AX8" s="743"/>
      <c r="AZ8" s="54"/>
      <c r="BA8" s="54"/>
      <c r="BB8" s="54"/>
      <c r="BC8" s="54"/>
    </row>
    <row r="9" spans="2:80" s="22" customFormat="1" x14ac:dyDescent="0.2">
      <c r="B9" s="23" t="s">
        <v>24</v>
      </c>
      <c r="C9" s="13"/>
      <c r="D9" s="55"/>
      <c r="E9" s="55"/>
      <c r="F9" s="30">
        <v>1</v>
      </c>
      <c r="G9" s="48">
        <f>+'[1]Statement 1'!$H$114</f>
        <v>1397995559.8169999</v>
      </c>
      <c r="H9" s="48">
        <f>+'[1]Statement 1'!$U$114</f>
        <v>63095740.380769998</v>
      </c>
      <c r="I9" s="56">
        <f>+'[2]Statement 1'!$J$114</f>
        <v>68106446.022430018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7">
        <f>SUM(H9:S9)</f>
        <v>131202186.40320002</v>
      </c>
      <c r="U9" s="58">
        <f>+'[1]Statement 1'!$V$114</f>
        <v>1343559182.7453499</v>
      </c>
      <c r="V9" s="48">
        <f>+'[1]Statement 1'!$W$114</f>
        <v>73824343.085730031</v>
      </c>
      <c r="W9" s="48">
        <f>+'[2]Statement 1'!$X$114</f>
        <v>96920893.069020018</v>
      </c>
      <c r="X9" s="48"/>
      <c r="Y9" s="48"/>
      <c r="Z9" s="48"/>
      <c r="AA9" s="48"/>
      <c r="AB9" s="48"/>
      <c r="AC9" s="48"/>
      <c r="AD9" s="48"/>
      <c r="AE9" s="48"/>
      <c r="AF9" s="48"/>
      <c r="AG9" s="48"/>
      <c r="AH9" s="57">
        <f>SUM(V9:AG9)</f>
        <v>170745236.15475005</v>
      </c>
      <c r="AI9" s="59"/>
      <c r="AJ9" s="60"/>
      <c r="AK9" s="158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</row>
    <row r="10" spans="2:80" s="22" customFormat="1" x14ac:dyDescent="0.2">
      <c r="B10" s="29"/>
      <c r="C10" s="55"/>
      <c r="D10" s="55"/>
      <c r="E10" s="55"/>
      <c r="F10" s="62"/>
      <c r="G10" s="63"/>
      <c r="H10" s="64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6"/>
      <c r="U10" s="67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8"/>
      <c r="AI10" s="59"/>
      <c r="AJ10" s="60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</row>
    <row r="11" spans="2:80" s="22" customFormat="1" x14ac:dyDescent="0.2">
      <c r="B11" s="23" t="s">
        <v>25</v>
      </c>
      <c r="C11" s="13"/>
      <c r="D11" s="55"/>
      <c r="E11" s="55"/>
      <c r="F11" s="30">
        <v>2</v>
      </c>
      <c r="G11" s="48">
        <f>+G13+G15+G28+G29+G30+G32</f>
        <v>1765994410</v>
      </c>
      <c r="H11" s="48">
        <f>+H13+H15+H28+H29+H30+H32</f>
        <v>114252197.427</v>
      </c>
      <c r="I11" s="48">
        <f>+I13+I15+I28+I29+I30+I32</f>
        <v>120475526.13</v>
      </c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>
        <f>+T13+T15+T30</f>
        <v>234727723.55699998</v>
      </c>
      <c r="U11" s="48">
        <f>+U13+U15</f>
        <v>1689832415</v>
      </c>
      <c r="V11" s="48">
        <f>+V13+V15</f>
        <v>137354468</v>
      </c>
      <c r="W11" s="48">
        <f>+W13+W15</f>
        <v>114461286</v>
      </c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>
        <f>+AH13+AH15</f>
        <v>251815754</v>
      </c>
      <c r="AI11" s="59"/>
      <c r="AJ11" s="69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</row>
    <row r="12" spans="2:80" s="22" customFormat="1" x14ac:dyDescent="0.2">
      <c r="B12" s="23"/>
      <c r="C12" s="13"/>
      <c r="D12" s="55"/>
      <c r="E12" s="55"/>
      <c r="F12" s="30"/>
      <c r="G12" s="48"/>
      <c r="H12" s="48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71"/>
      <c r="AI12" s="59"/>
      <c r="AJ12" s="69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</row>
    <row r="13" spans="2:80" s="22" customFormat="1" x14ac:dyDescent="0.2">
      <c r="B13" s="72"/>
      <c r="C13" s="13" t="s">
        <v>26</v>
      </c>
      <c r="D13" s="55"/>
      <c r="E13" s="55"/>
      <c r="F13" s="30">
        <v>2</v>
      </c>
      <c r="G13" s="73">
        <f>+'[3]20-21'!$I$48</f>
        <v>963114208</v>
      </c>
      <c r="H13" s="73">
        <f>+'[3]20-21'!$N$48</f>
        <v>63165298</v>
      </c>
      <c r="I13" s="57">
        <f>+'[4]20-21'!$S$48</f>
        <v>71995377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>
        <f>SUM(H13:S13)</f>
        <v>135160675</v>
      </c>
      <c r="U13" s="74">
        <v>943831322</v>
      </c>
      <c r="V13" s="73">
        <f>+'[5]19-20'!$N$47</f>
        <v>76160742</v>
      </c>
      <c r="W13" s="73">
        <f>+'[6]19-20'!$S$47</f>
        <v>66186499</v>
      </c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5">
        <f>SUM(V13:AG13)</f>
        <v>142347241</v>
      </c>
      <c r="AI13" s="59"/>
      <c r="AJ13" s="69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</row>
    <row r="14" spans="2:80" s="22" customFormat="1" x14ac:dyDescent="0.2">
      <c r="B14" s="23"/>
      <c r="C14" s="13"/>
      <c r="D14" s="55"/>
      <c r="E14" s="55"/>
      <c r="F14" s="30"/>
      <c r="G14" s="48"/>
      <c r="H14" s="48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71"/>
      <c r="AI14" s="59"/>
      <c r="AJ14" s="6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</row>
    <row r="15" spans="2:80" s="22" customFormat="1" x14ac:dyDescent="0.2">
      <c r="B15" s="72"/>
      <c r="C15" s="13" t="s">
        <v>27</v>
      </c>
      <c r="D15" s="55"/>
      <c r="E15" s="55"/>
      <c r="F15" s="30">
        <v>2</v>
      </c>
      <c r="G15" s="73">
        <f>SUM(G16:G26)</f>
        <v>805666311</v>
      </c>
      <c r="H15" s="73">
        <f>SUM(H16:H26)</f>
        <v>51086899.427000001</v>
      </c>
      <c r="I15" s="73">
        <f>SUM(I16:I26)</f>
        <v>48480149.130000003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>
        <f>SUM(T16:T26)</f>
        <v>99567048.556999996</v>
      </c>
      <c r="U15" s="73">
        <f>SUM(U16:U26)</f>
        <v>746001093</v>
      </c>
      <c r="V15" s="73">
        <f>SUM(V16:V30)</f>
        <v>61193726</v>
      </c>
      <c r="W15" s="73">
        <f>SUM(W16:W30)</f>
        <v>48274787</v>
      </c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>
        <f>SUM(AH16:AH26)</f>
        <v>109468513</v>
      </c>
      <c r="AI15" s="59"/>
      <c r="AJ15" s="69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</row>
    <row r="16" spans="2:80" s="22" customFormat="1" x14ac:dyDescent="0.2">
      <c r="B16" s="72"/>
      <c r="C16" s="13"/>
      <c r="D16" s="76" t="s">
        <v>28</v>
      </c>
      <c r="E16" s="76"/>
      <c r="F16" s="77"/>
      <c r="G16" s="78">
        <f>+'[3]20-21'!$I$53</f>
        <v>229269955</v>
      </c>
      <c r="H16" s="78">
        <f>+'[3]20-21'!$N$53</f>
        <v>4156462.4270000001</v>
      </c>
      <c r="I16" s="79">
        <f>+'[4]20-21'!$S$53</f>
        <v>1746959.1300000001</v>
      </c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>
        <f>SUM(H16:S16)</f>
        <v>5903421.557</v>
      </c>
      <c r="U16" s="78">
        <v>204769350</v>
      </c>
      <c r="V16" s="78">
        <f>+'[5]19-20'!$N$52</f>
        <v>3587887</v>
      </c>
      <c r="W16" s="78">
        <f>+'[6]19-20'!$S$52</f>
        <v>4274259</v>
      </c>
      <c r="X16" s="80"/>
      <c r="Y16" s="78"/>
      <c r="Z16" s="78"/>
      <c r="AA16" s="78"/>
      <c r="AB16" s="78"/>
      <c r="AC16" s="78"/>
      <c r="AD16" s="78"/>
      <c r="AE16" s="78"/>
      <c r="AF16" s="78"/>
      <c r="AG16" s="78"/>
      <c r="AH16" s="80">
        <f>SUM(V16:AG16)</f>
        <v>7862146</v>
      </c>
      <c r="AI16" s="5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</row>
    <row r="17" spans="2:64" s="22" customFormat="1" x14ac:dyDescent="0.2">
      <c r="B17" s="72"/>
      <c r="C17" s="13"/>
      <c r="D17" s="76" t="s">
        <v>29</v>
      </c>
      <c r="E17" s="76"/>
      <c r="F17" s="30"/>
      <c r="G17" s="78">
        <f>+'[3]20-21'!$I$56</f>
        <v>538471528</v>
      </c>
      <c r="H17" s="78">
        <f>+'[3]20-21'!$N$56</f>
        <v>44872627</v>
      </c>
      <c r="I17" s="79">
        <f>+'[4]20-21'!$S$56</f>
        <v>44872627</v>
      </c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>
        <f>SUM(H17:S17)</f>
        <v>89745254</v>
      </c>
      <c r="U17" s="80">
        <v>505553753</v>
      </c>
      <c r="V17" s="78">
        <f>+'[5]19-20'!$N$55</f>
        <v>42129484</v>
      </c>
      <c r="W17" s="78">
        <f>+'[6]19-20'!$S$55</f>
        <v>42129482</v>
      </c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81">
        <f>SUM(V17:AG17)</f>
        <v>84258966</v>
      </c>
      <c r="AI17" s="5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</row>
    <row r="18" spans="2:64" s="22" customFormat="1" x14ac:dyDescent="0.2">
      <c r="B18" s="72"/>
      <c r="C18" s="13"/>
      <c r="D18" s="76" t="s">
        <v>30</v>
      </c>
      <c r="E18" s="76"/>
      <c r="F18" s="30"/>
      <c r="G18" s="78">
        <f>+'[3]20-21'!$I$57</f>
        <v>14026878</v>
      </c>
      <c r="H18" s="78">
        <f>+'[3]20-21'!$N$57</f>
        <v>0</v>
      </c>
      <c r="I18" s="79">
        <f>+'[4]20-21'!$S$57</f>
        <v>0</v>
      </c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>
        <f>SUM(H18:S18)</f>
        <v>0</v>
      </c>
      <c r="U18" s="80">
        <v>13166793</v>
      </c>
      <c r="V18" s="78">
        <v>0</v>
      </c>
      <c r="W18" s="78">
        <f>+'[7]19-20'!$S$56</f>
        <v>0</v>
      </c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81">
        <f>SUM(V18:AG18)</f>
        <v>0</v>
      </c>
      <c r="AI18" s="5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</row>
    <row r="19" spans="2:64" s="22" customFormat="1" x14ac:dyDescent="0.2">
      <c r="B19" s="72"/>
      <c r="C19" s="13"/>
      <c r="D19" s="76" t="s">
        <v>31</v>
      </c>
      <c r="E19" s="76"/>
      <c r="F19" s="30"/>
      <c r="G19" s="78">
        <v>0</v>
      </c>
      <c r="H19" s="78">
        <v>0</v>
      </c>
      <c r="I19" s="79">
        <v>0</v>
      </c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>
        <f>SUM(H19:S19)</f>
        <v>0</v>
      </c>
      <c r="U19" s="80">
        <v>0</v>
      </c>
      <c r="V19" s="78">
        <v>13500000</v>
      </c>
      <c r="W19" s="78">
        <f>+'[7]19-20'!$S$58</f>
        <v>0</v>
      </c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81">
        <f>SUM(V19:AG19)</f>
        <v>13500000</v>
      </c>
      <c r="AI19" s="5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</row>
    <row r="20" spans="2:64" s="22" customFormat="1" hidden="1" x14ac:dyDescent="0.2">
      <c r="B20" s="82"/>
      <c r="C20" s="55"/>
      <c r="D20" s="76" t="s">
        <v>32</v>
      </c>
      <c r="E20" s="76"/>
      <c r="F20" s="83"/>
      <c r="G20" s="78">
        <v>0</v>
      </c>
      <c r="H20" s="78">
        <v>0</v>
      </c>
      <c r="I20" s="79">
        <v>0</v>
      </c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>
        <f>SUM(T21:T24)</f>
        <v>0</v>
      </c>
      <c r="U20" s="79">
        <v>0</v>
      </c>
      <c r="V20" s="79">
        <v>0</v>
      </c>
      <c r="W20" s="79">
        <v>0</v>
      </c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>
        <f>SUM(AH21:AH24)</f>
        <v>0</v>
      </c>
      <c r="AI20" s="5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</row>
    <row r="21" spans="2:64" s="22" customFormat="1" hidden="1" x14ac:dyDescent="0.2">
      <c r="B21" s="72"/>
      <c r="C21" s="13"/>
      <c r="D21" s="84" t="str">
        <f>+'[8]19-20'!$A$60</f>
        <v>South African Airways</v>
      </c>
      <c r="E21" s="76"/>
      <c r="F21" s="77"/>
      <c r="G21" s="78">
        <v>0</v>
      </c>
      <c r="H21" s="78">
        <v>0</v>
      </c>
      <c r="I21" s="79">
        <v>0</v>
      </c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>
        <f t="shared" ref="T21:T26" si="0">SUM(H21:S21)</f>
        <v>0</v>
      </c>
      <c r="U21" s="80">
        <v>0</v>
      </c>
      <c r="V21" s="78">
        <v>0</v>
      </c>
      <c r="W21" s="78">
        <v>0</v>
      </c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81">
        <v>0</v>
      </c>
      <c r="AI21" s="5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</row>
    <row r="22" spans="2:64" s="22" customFormat="1" hidden="1" x14ac:dyDescent="0.2">
      <c r="B22" s="72"/>
      <c r="C22" s="13"/>
      <c r="D22" s="84" t="str">
        <f>+'[8]19-20'!$A$61</f>
        <v>South African Express Airways</v>
      </c>
      <c r="E22" s="76"/>
      <c r="F22" s="77"/>
      <c r="G22" s="78">
        <v>0</v>
      </c>
      <c r="H22" s="78">
        <v>0</v>
      </c>
      <c r="I22" s="79">
        <v>0</v>
      </c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>
        <f t="shared" si="0"/>
        <v>0</v>
      </c>
      <c r="U22" s="80">
        <v>0</v>
      </c>
      <c r="V22" s="78">
        <v>0</v>
      </c>
      <c r="W22" s="78">
        <v>0</v>
      </c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81">
        <v>0</v>
      </c>
      <c r="AI22" s="5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</row>
    <row r="23" spans="2:64" s="22" customFormat="1" hidden="1" x14ac:dyDescent="0.2">
      <c r="B23" s="72"/>
      <c r="C23" s="13"/>
      <c r="D23" s="84" t="str">
        <f>+'[8]19-20'!$A$62</f>
        <v xml:space="preserve">Denel </v>
      </c>
      <c r="E23" s="76"/>
      <c r="F23" s="77"/>
      <c r="G23" s="78">
        <v>0</v>
      </c>
      <c r="H23" s="78">
        <v>0</v>
      </c>
      <c r="I23" s="79">
        <v>0</v>
      </c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>
        <f t="shared" si="0"/>
        <v>0</v>
      </c>
      <c r="U23" s="80">
        <v>0</v>
      </c>
      <c r="V23" s="78">
        <v>0</v>
      </c>
      <c r="W23" s="78">
        <v>0</v>
      </c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81">
        <v>0</v>
      </c>
      <c r="AI23" s="5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</row>
    <row r="24" spans="2:64" s="22" customFormat="1" hidden="1" x14ac:dyDescent="0.2">
      <c r="B24" s="72"/>
      <c r="C24" s="13"/>
      <c r="D24" s="84" t="str">
        <f>+'[9]19-20'!$A$63</f>
        <v>SABC</v>
      </c>
      <c r="E24" s="76"/>
      <c r="F24" s="77"/>
      <c r="G24" s="78"/>
      <c r="H24" s="78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>
        <f t="shared" si="0"/>
        <v>0</v>
      </c>
      <c r="U24" s="80">
        <v>0</v>
      </c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81">
        <v>0</v>
      </c>
      <c r="AI24" s="5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</row>
    <row r="25" spans="2:64" s="22" customFormat="1" x14ac:dyDescent="0.2">
      <c r="B25" s="72"/>
      <c r="C25" s="13"/>
      <c r="D25" s="76" t="s">
        <v>33</v>
      </c>
      <c r="E25" s="76"/>
      <c r="F25" s="30"/>
      <c r="G25" s="78">
        <f>+'[3]20-21'!$I$60</f>
        <v>19412896</v>
      </c>
      <c r="H25" s="78">
        <f>+'[3]20-21'!$N$60</f>
        <v>1745798</v>
      </c>
      <c r="I25" s="79">
        <f>+'[4]20-21'!$S$60</f>
        <v>1447692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>
        <f t="shared" si="0"/>
        <v>3193490</v>
      </c>
      <c r="U25" s="80">
        <v>18283843</v>
      </c>
      <c r="V25" s="78">
        <f>+'[5]19-20'!$N$64</f>
        <v>1549593</v>
      </c>
      <c r="W25" s="78">
        <f>+'[6]19-20'!$S$64</f>
        <v>1486615</v>
      </c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81">
        <f>SUM(V25:AG25)</f>
        <v>3036208</v>
      </c>
      <c r="AI25" s="5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</row>
    <row r="26" spans="2:64" s="22" customFormat="1" x14ac:dyDescent="0.2">
      <c r="B26" s="72"/>
      <c r="C26" s="13"/>
      <c r="D26" s="76" t="s">
        <v>34</v>
      </c>
      <c r="E26" s="76"/>
      <c r="F26" s="30"/>
      <c r="G26" s="78">
        <f>+'[3]20-21'!$I$51+'[3]20-21'!$I$52+'[3]20-21'!$I$58+'[3]20-21'!$I$59+'[3]20-21'!$I$61+'[3]20-21'!$I$62+'[3]20-21'!$I$63</f>
        <v>4485054</v>
      </c>
      <c r="H26" s="78">
        <f>+'[3]20-21'!$N$51+'[3]20-21'!$N$52+'[3]20-21'!$N$58+'[3]20-21'!$N$59+'[3]20-21'!$N$61+'[3]20-21'!$N$62+'[3]20-21'!$N$63</f>
        <v>312012</v>
      </c>
      <c r="I26" s="79">
        <f>+'[4]20-21'!$S$51+'[4]20-21'!$S$52+'[4]20-21'!$S$58+'[4]20-21'!$S$59+'[4]20-21'!$S$61+'[4]20-21'!$S$62+'[4]20-21'!$S$63</f>
        <v>412871</v>
      </c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>
        <f t="shared" si="0"/>
        <v>724883</v>
      </c>
      <c r="U26" s="80">
        <v>4227354</v>
      </c>
      <c r="V26" s="78">
        <f>+'[5]19-20'!$N$50+'[5]19-20'!$N$51+'[5]19-20'!$N$57+'[5]19-20'!$N$65+'[5]19-20'!$N$66+'[5]19-20'!$N$67</f>
        <v>426762</v>
      </c>
      <c r="W26" s="78">
        <f>+'[6]19-20'!$S$50+'[6]19-20'!$S$51+'[6]19-20'!$S$57+'[6]19-20'!$S$65+'[6]19-20'!$S$66</f>
        <v>384431</v>
      </c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81">
        <f>SUM(V26:AG26)</f>
        <v>811193</v>
      </c>
      <c r="AI26" s="5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</row>
    <row r="27" spans="2:64" s="35" customFormat="1" x14ac:dyDescent="0.2">
      <c r="B27" s="72"/>
      <c r="C27" s="85"/>
      <c r="D27" s="13"/>
      <c r="E27" s="13"/>
      <c r="F27" s="30"/>
      <c r="G27" s="86"/>
      <c r="H27" s="86"/>
      <c r="I27" s="87"/>
      <c r="J27" s="87"/>
      <c r="K27" s="87"/>
      <c r="L27" s="87"/>
      <c r="M27" s="87"/>
      <c r="N27" s="87"/>
      <c r="O27" s="87"/>
      <c r="P27" s="57"/>
      <c r="Q27" s="57"/>
      <c r="R27" s="57"/>
      <c r="S27" s="57"/>
      <c r="T27" s="87"/>
      <c r="U27" s="88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9"/>
      <c r="AI27" s="90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</row>
    <row r="28" spans="2:64" s="35" customFormat="1" x14ac:dyDescent="0.2">
      <c r="B28" s="72"/>
      <c r="C28" s="85" t="str">
        <f>+'[3]20-21'!$A$65</f>
        <v>Provisional allocation for contingencies not assigned to votes</v>
      </c>
      <c r="D28" s="13"/>
      <c r="E28" s="13"/>
      <c r="F28" s="30"/>
      <c r="G28" s="86">
        <f>+'[3]20-21'!$I$65</f>
        <v>7020587</v>
      </c>
      <c r="H28" s="86">
        <v>0</v>
      </c>
      <c r="I28" s="87">
        <v>0</v>
      </c>
      <c r="J28" s="87"/>
      <c r="K28" s="87"/>
      <c r="L28" s="87"/>
      <c r="M28" s="87"/>
      <c r="N28" s="87"/>
      <c r="O28" s="87"/>
      <c r="P28" s="57"/>
      <c r="Q28" s="57"/>
      <c r="R28" s="57"/>
      <c r="S28" s="57"/>
      <c r="T28" s="87">
        <v>0</v>
      </c>
      <c r="U28" s="86">
        <v>0</v>
      </c>
      <c r="V28" s="86">
        <v>0</v>
      </c>
      <c r="W28" s="87">
        <v>0</v>
      </c>
      <c r="X28" s="87"/>
      <c r="Y28" s="87"/>
      <c r="Z28" s="87"/>
      <c r="AA28" s="87"/>
      <c r="AB28" s="87"/>
      <c r="AC28" s="87"/>
      <c r="AD28" s="86"/>
      <c r="AE28" s="86"/>
      <c r="AF28" s="86"/>
      <c r="AG28" s="86"/>
      <c r="AH28" s="89">
        <v>0</v>
      </c>
      <c r="AI28" s="90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</row>
    <row r="29" spans="2:64" s="35" customFormat="1" x14ac:dyDescent="0.2">
      <c r="B29" s="72"/>
      <c r="C29" s="85" t="str">
        <f>+'[3]20-21'!$A$66</f>
        <v xml:space="preserve">Provisional allocation for Eskom restructuring </v>
      </c>
      <c r="D29" s="13"/>
      <c r="E29" s="13"/>
      <c r="F29" s="30"/>
      <c r="G29" s="86">
        <f>+'[3]20-21'!$I$66</f>
        <v>23000000</v>
      </c>
      <c r="H29" s="86">
        <v>0</v>
      </c>
      <c r="I29" s="87">
        <v>0</v>
      </c>
      <c r="J29" s="87"/>
      <c r="K29" s="87"/>
      <c r="L29" s="87"/>
      <c r="M29" s="87"/>
      <c r="N29" s="87"/>
      <c r="O29" s="87"/>
      <c r="P29" s="57"/>
      <c r="Q29" s="57"/>
      <c r="R29" s="57"/>
      <c r="S29" s="57"/>
      <c r="T29" s="87">
        <v>0</v>
      </c>
      <c r="U29" s="86">
        <v>0</v>
      </c>
      <c r="V29" s="86">
        <v>0</v>
      </c>
      <c r="W29" s="87">
        <v>0</v>
      </c>
      <c r="X29" s="87"/>
      <c r="Y29" s="87"/>
      <c r="Z29" s="87"/>
      <c r="AA29" s="87"/>
      <c r="AB29" s="87"/>
      <c r="AC29" s="87"/>
      <c r="AD29" s="86"/>
      <c r="AE29" s="86"/>
      <c r="AF29" s="86"/>
      <c r="AG29" s="86"/>
      <c r="AH29" s="89">
        <v>0</v>
      </c>
      <c r="AI29" s="90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</row>
    <row r="30" spans="2:64" s="35" customFormat="1" x14ac:dyDescent="0.2">
      <c r="B30" s="72"/>
      <c r="C30" s="91" t="str">
        <f>+'[3]20-21'!$A$67</f>
        <v>Compensation of employees adjustment</v>
      </c>
      <c r="D30" s="13"/>
      <c r="E30" s="92"/>
      <c r="F30" s="30"/>
      <c r="G30" s="86">
        <f>+'[3]20-21'!$I$67</f>
        <v>-37806696</v>
      </c>
      <c r="H30" s="86">
        <v>0</v>
      </c>
      <c r="I30" s="87">
        <v>0</v>
      </c>
      <c r="J30" s="87"/>
      <c r="K30" s="87"/>
      <c r="L30" s="87"/>
      <c r="M30" s="87"/>
      <c r="N30" s="87"/>
      <c r="O30" s="87">
        <v>0</v>
      </c>
      <c r="P30" s="87">
        <v>0</v>
      </c>
      <c r="Q30" s="87">
        <f>+'[10]19-20'!$BG$75</f>
        <v>0</v>
      </c>
      <c r="R30" s="87">
        <v>0</v>
      </c>
      <c r="S30" s="87">
        <v>0</v>
      </c>
      <c r="T30" s="87">
        <f>SUM(H30:S30)</f>
        <v>0</v>
      </c>
      <c r="U30" s="86">
        <v>0</v>
      </c>
      <c r="V30" s="86">
        <v>0</v>
      </c>
      <c r="W30" s="87">
        <v>0</v>
      </c>
      <c r="X30" s="87"/>
      <c r="Y30" s="87"/>
      <c r="Z30" s="87"/>
      <c r="AA30" s="87"/>
      <c r="AB30" s="87"/>
      <c r="AC30" s="87"/>
      <c r="AD30" s="86"/>
      <c r="AE30" s="86"/>
      <c r="AF30" s="86"/>
      <c r="AG30" s="86"/>
      <c r="AH30" s="89">
        <f>SUM(V30:AG30)</f>
        <v>0</v>
      </c>
      <c r="AI30" s="90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</row>
    <row r="31" spans="2:64" s="35" customFormat="1" x14ac:dyDescent="0.2">
      <c r="B31" s="72"/>
      <c r="C31" s="91"/>
      <c r="D31" s="13"/>
      <c r="E31" s="92"/>
      <c r="F31" s="30"/>
      <c r="G31" s="86"/>
      <c r="H31" s="86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6"/>
      <c r="V31" s="86"/>
      <c r="W31" s="87"/>
      <c r="X31" s="87"/>
      <c r="Y31" s="87"/>
      <c r="Z31" s="87"/>
      <c r="AA31" s="87"/>
      <c r="AB31" s="87"/>
      <c r="AC31" s="87"/>
      <c r="AD31" s="86"/>
      <c r="AE31" s="86"/>
      <c r="AF31" s="86"/>
      <c r="AG31" s="86"/>
      <c r="AH31" s="89"/>
      <c r="AI31" s="90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</row>
    <row r="32" spans="2:64" s="35" customFormat="1" x14ac:dyDescent="0.2">
      <c r="B32" s="72"/>
      <c r="C32" s="91" t="str">
        <f>+'[3]20-21'!$A$69</f>
        <v>Contingency reserve</v>
      </c>
      <c r="D32" s="13"/>
      <c r="E32" s="92"/>
      <c r="F32" s="30"/>
      <c r="G32" s="86">
        <f>+'[3]20-21'!$I$69</f>
        <v>5000000</v>
      </c>
      <c r="H32" s="86">
        <v>0</v>
      </c>
      <c r="I32" s="87">
        <v>0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>
        <v>0</v>
      </c>
      <c r="U32" s="86">
        <v>0</v>
      </c>
      <c r="V32" s="86">
        <v>0</v>
      </c>
      <c r="W32" s="87">
        <v>0</v>
      </c>
      <c r="X32" s="87"/>
      <c r="Y32" s="87"/>
      <c r="Z32" s="87"/>
      <c r="AA32" s="87"/>
      <c r="AB32" s="87"/>
      <c r="AC32" s="87"/>
      <c r="AD32" s="86"/>
      <c r="AE32" s="86"/>
      <c r="AF32" s="86"/>
      <c r="AG32" s="86"/>
      <c r="AH32" s="89">
        <v>0</v>
      </c>
      <c r="AI32" s="90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</row>
    <row r="33" spans="2:66" s="35" customFormat="1" x14ac:dyDescent="0.2">
      <c r="B33" s="72"/>
      <c r="C33" s="85"/>
      <c r="D33" s="13"/>
      <c r="E33" s="13"/>
      <c r="F33" s="30"/>
      <c r="G33" s="86"/>
      <c r="H33" s="86"/>
      <c r="I33" s="57"/>
      <c r="J33" s="57"/>
      <c r="K33" s="87"/>
      <c r="L33" s="87"/>
      <c r="M33" s="57"/>
      <c r="N33" s="87"/>
      <c r="O33" s="57"/>
      <c r="P33" s="57"/>
      <c r="Q33" s="57"/>
      <c r="R33" s="57"/>
      <c r="S33" s="57"/>
      <c r="T33" s="87"/>
      <c r="U33" s="88"/>
      <c r="V33" s="86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5"/>
      <c r="AI33" s="90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</row>
    <row r="34" spans="2:66" s="22" customFormat="1" x14ac:dyDescent="0.2">
      <c r="B34" s="23" t="s">
        <v>35</v>
      </c>
      <c r="C34" s="13"/>
      <c r="D34" s="13"/>
      <c r="E34" s="13"/>
      <c r="F34" s="30"/>
      <c r="G34" s="93">
        <f>+G9-G11</f>
        <v>-367998850.18300009</v>
      </c>
      <c r="H34" s="93">
        <f t="shared" ref="H34:S34" si="1">+H9-H11</f>
        <v>-51156457.046230003</v>
      </c>
      <c r="I34" s="93">
        <f t="shared" si="1"/>
        <v>-52369080.107569978</v>
      </c>
      <c r="J34" s="93">
        <f t="shared" si="1"/>
        <v>0</v>
      </c>
      <c r="K34" s="93">
        <f t="shared" si="1"/>
        <v>0</v>
      </c>
      <c r="L34" s="93">
        <f t="shared" si="1"/>
        <v>0</v>
      </c>
      <c r="M34" s="93">
        <f t="shared" si="1"/>
        <v>0</v>
      </c>
      <c r="N34" s="93">
        <f t="shared" si="1"/>
        <v>0</v>
      </c>
      <c r="O34" s="93">
        <f t="shared" si="1"/>
        <v>0</v>
      </c>
      <c r="P34" s="93">
        <f t="shared" si="1"/>
        <v>0</v>
      </c>
      <c r="Q34" s="93">
        <f t="shared" si="1"/>
        <v>0</v>
      </c>
      <c r="R34" s="93">
        <f t="shared" si="1"/>
        <v>0</v>
      </c>
      <c r="S34" s="93">
        <f t="shared" si="1"/>
        <v>0</v>
      </c>
      <c r="T34" s="94">
        <f>+T9-T11</f>
        <v>-103525537.15379997</v>
      </c>
      <c r="U34" s="94">
        <f>+U9-U11-1</f>
        <v>-346273233.25465012</v>
      </c>
      <c r="V34" s="93">
        <f t="shared" ref="V34:AF34" si="2">+V9-V11</f>
        <v>-63530124.914269969</v>
      </c>
      <c r="W34" s="93">
        <f t="shared" si="2"/>
        <v>-17540392.930979982</v>
      </c>
      <c r="X34" s="93">
        <f t="shared" si="2"/>
        <v>0</v>
      </c>
      <c r="Y34" s="93">
        <f t="shared" si="2"/>
        <v>0</v>
      </c>
      <c r="Z34" s="93">
        <f t="shared" si="2"/>
        <v>0</v>
      </c>
      <c r="AA34" s="93">
        <f t="shared" si="2"/>
        <v>0</v>
      </c>
      <c r="AB34" s="93">
        <f t="shared" si="2"/>
        <v>0</v>
      </c>
      <c r="AC34" s="93">
        <f t="shared" si="2"/>
        <v>0</v>
      </c>
      <c r="AD34" s="93">
        <f t="shared" si="2"/>
        <v>0</v>
      </c>
      <c r="AE34" s="93">
        <f t="shared" si="2"/>
        <v>0</v>
      </c>
      <c r="AF34" s="93">
        <f t="shared" si="2"/>
        <v>0</v>
      </c>
      <c r="AG34" s="93">
        <f>+AG9-AG11</f>
        <v>0</v>
      </c>
      <c r="AH34" s="95">
        <f>+AH9-AH11</f>
        <v>-81070517.845249951</v>
      </c>
      <c r="AI34" s="59"/>
      <c r="AJ34" s="60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9"/>
      <c r="BN34" s="69"/>
    </row>
    <row r="35" spans="2:66" s="22" customFormat="1" x14ac:dyDescent="0.2">
      <c r="B35" s="29"/>
      <c r="C35" s="55"/>
      <c r="D35" s="55"/>
      <c r="E35" s="55"/>
      <c r="F35" s="30"/>
      <c r="G35" s="96"/>
      <c r="H35" s="96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8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9"/>
      <c r="AI35" s="5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</row>
    <row r="36" spans="2:66" s="22" customFormat="1" x14ac:dyDescent="0.2">
      <c r="B36" s="23"/>
      <c r="C36" s="13"/>
      <c r="D36" s="55"/>
      <c r="E36" s="55"/>
      <c r="F36" s="77"/>
      <c r="G36" s="100"/>
      <c r="H36" s="100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2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3"/>
      <c r="AI36" s="5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</row>
    <row r="37" spans="2:66" s="22" customFormat="1" x14ac:dyDescent="0.2">
      <c r="B37" s="23" t="s">
        <v>36</v>
      </c>
      <c r="C37" s="13"/>
      <c r="D37" s="55"/>
      <c r="E37" s="55"/>
      <c r="F37" s="77"/>
      <c r="G37" s="104"/>
      <c r="H37" s="104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7"/>
      <c r="AI37" s="5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</row>
    <row r="38" spans="2:66" s="22" customFormat="1" x14ac:dyDescent="0.2">
      <c r="B38" s="23"/>
      <c r="C38" s="13"/>
      <c r="D38" s="55"/>
      <c r="E38" s="55"/>
      <c r="F38" s="77"/>
      <c r="G38" s="104"/>
      <c r="H38" s="104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6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7"/>
      <c r="AI38" s="5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</row>
    <row r="39" spans="2:66" s="22" customFormat="1" x14ac:dyDescent="0.2">
      <c r="B39" s="23" t="s">
        <v>37</v>
      </c>
      <c r="C39" s="108"/>
      <c r="D39" s="55"/>
      <c r="E39" s="55"/>
      <c r="F39" s="30">
        <v>3</v>
      </c>
      <c r="G39" s="73">
        <f>+[11]summary!$H$13</f>
        <v>48000000</v>
      </c>
      <c r="H39" s="73">
        <f>+[11]summary!$M$13</f>
        <v>37582688</v>
      </c>
      <c r="I39" s="57">
        <f>+[12]summary!$R$13</f>
        <v>16125619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6">
        <f>SUM(H39:S39)</f>
        <v>53708307</v>
      </c>
      <c r="U39" s="58">
        <f>+[11]summary!$BZ$13</f>
        <v>36077502</v>
      </c>
      <c r="V39" s="48">
        <v>32089095</v>
      </c>
      <c r="W39" s="48">
        <f>+[12]summary!$CJ$13</f>
        <v>12375928</v>
      </c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71">
        <f>SUM(V39:AG39)</f>
        <v>44465023</v>
      </c>
      <c r="AI39" s="59"/>
      <c r="AJ39" s="69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</row>
    <row r="40" spans="2:66" s="22" customFormat="1" x14ac:dyDescent="0.2">
      <c r="B40" s="23"/>
      <c r="C40" s="108"/>
      <c r="D40" s="55"/>
      <c r="E40" s="55"/>
      <c r="F40" s="30"/>
      <c r="G40" s="73"/>
      <c r="H40" s="73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74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5"/>
      <c r="AI40" s="5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</row>
    <row r="41" spans="2:66" s="22" customFormat="1" x14ac:dyDescent="0.2">
      <c r="B41" s="23" t="s">
        <v>38</v>
      </c>
      <c r="C41" s="108"/>
      <c r="D41" s="55"/>
      <c r="E41" s="55"/>
      <c r="F41" s="30">
        <v>3</v>
      </c>
      <c r="G41" s="73">
        <f>+[11]summary!$H$23</f>
        <v>285235000</v>
      </c>
      <c r="H41" s="73">
        <f>+[11]summary!$M$23</f>
        <v>32850713</v>
      </c>
      <c r="I41" s="57">
        <f>+[12]summary!$R$23</f>
        <v>40638036.743999995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6">
        <f>SUM(H41:S41)</f>
        <v>73488749.743999988</v>
      </c>
      <c r="U41" s="58">
        <f>+[11]summary!$BZ$23</f>
        <v>286021581</v>
      </c>
      <c r="V41" s="48">
        <v>19134410</v>
      </c>
      <c r="W41" s="48">
        <f>+[12]summary!$CJ$23</f>
        <v>24383035</v>
      </c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71">
        <f>SUM(V41:AG41)</f>
        <v>43517445</v>
      </c>
      <c r="AI41" s="59"/>
      <c r="AJ41" s="69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</row>
    <row r="42" spans="2:66" s="22" customFormat="1" x14ac:dyDescent="0.2">
      <c r="B42" s="29"/>
      <c r="C42" s="55"/>
      <c r="D42" s="55"/>
      <c r="E42" s="55"/>
      <c r="F42" s="30"/>
      <c r="G42" s="63"/>
      <c r="H42" s="63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7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8"/>
      <c r="AI42" s="5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</row>
    <row r="43" spans="2:66" s="22" customFormat="1" x14ac:dyDescent="0.2">
      <c r="B43" s="23" t="s">
        <v>39</v>
      </c>
      <c r="C43" s="108"/>
      <c r="D43" s="55"/>
      <c r="E43" s="55"/>
      <c r="F43" s="30">
        <v>3</v>
      </c>
      <c r="G43" s="48">
        <f>+[11]summary!$H$45</f>
        <v>17026000</v>
      </c>
      <c r="H43" s="48">
        <f>+[11]summary!$M$45</f>
        <v>-777665</v>
      </c>
      <c r="I43" s="56">
        <f>+[12]summary!$R$45</f>
        <v>-4931986</v>
      </c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>
        <f>SUM(H43:S43)</f>
        <v>-5709651</v>
      </c>
      <c r="U43" s="58">
        <f>+[11]summary!$BZ$45</f>
        <v>24823043</v>
      </c>
      <c r="V43" s="48">
        <v>-628449</v>
      </c>
      <c r="W43" s="48">
        <f>+[12]summary!$CJ$45</f>
        <v>-25247385</v>
      </c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71">
        <f>SUM(V43:AG43)</f>
        <v>-25875834</v>
      </c>
      <c r="AI43" s="109"/>
      <c r="AJ43" s="11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</row>
    <row r="44" spans="2:66" s="22" customFormat="1" x14ac:dyDescent="0.2">
      <c r="B44" s="23"/>
      <c r="C44" s="108"/>
      <c r="D44" s="55"/>
      <c r="E44" s="55"/>
      <c r="F44" s="62"/>
      <c r="G44" s="63"/>
      <c r="H44" s="63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7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8"/>
      <c r="AI44" s="109"/>
      <c r="AJ44" s="110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</row>
    <row r="45" spans="2:66" s="22" customFormat="1" x14ac:dyDescent="0.2">
      <c r="B45" s="23" t="s">
        <v>40</v>
      </c>
      <c r="C45" s="108"/>
      <c r="D45" s="55"/>
      <c r="E45" s="55"/>
      <c r="F45" s="30">
        <v>3</v>
      </c>
      <c r="G45" s="48">
        <f>+[11]summary!$H$68</f>
        <v>17737850</v>
      </c>
      <c r="H45" s="48">
        <f>+[11]summary!$M$68</f>
        <v>-18499278.953769997</v>
      </c>
      <c r="I45" s="56">
        <f>+[12]summary!$R$67</f>
        <v>537410.36356998235</v>
      </c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>
        <f>SUM(H45:S45)</f>
        <v>-17961868.590200014</v>
      </c>
      <c r="U45" s="58">
        <f>+[11]summary!$BZ$68</f>
        <v>-648893.04534983635</v>
      </c>
      <c r="V45" s="48">
        <v>12935069</v>
      </c>
      <c r="W45" s="48">
        <f>+[12]summary!$CJ$67</f>
        <v>6028814.930979982</v>
      </c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71">
        <f>SUM(V45:AG45)</f>
        <v>18963883.930979982</v>
      </c>
      <c r="AI45" s="109"/>
      <c r="AJ45" s="11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</row>
    <row r="46" spans="2:66" s="22" customFormat="1" x14ac:dyDescent="0.2">
      <c r="B46" s="23"/>
      <c r="C46" s="108"/>
      <c r="D46" s="55"/>
      <c r="E46" s="55"/>
      <c r="F46" s="30"/>
      <c r="G46" s="111"/>
      <c r="H46" s="111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3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4"/>
      <c r="AI46" s="109"/>
      <c r="AJ46" s="110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</row>
    <row r="47" spans="2:66" s="22" customFormat="1" x14ac:dyDescent="0.2">
      <c r="B47" s="23" t="s">
        <v>41</v>
      </c>
      <c r="C47" s="13"/>
      <c r="D47" s="13"/>
      <c r="E47" s="13"/>
      <c r="F47" s="62"/>
      <c r="G47" s="115">
        <f>+G39+G41+G43+G45</f>
        <v>367998850</v>
      </c>
      <c r="H47" s="115">
        <f t="shared" ref="H47:S47" si="3">+H39+H41+H43+H45</f>
        <v>51156457.046230003</v>
      </c>
      <c r="I47" s="115">
        <f t="shared" si="3"/>
        <v>52369080.107569978</v>
      </c>
      <c r="J47" s="115">
        <f t="shared" si="3"/>
        <v>0</v>
      </c>
      <c r="K47" s="115">
        <f t="shared" si="3"/>
        <v>0</v>
      </c>
      <c r="L47" s="115">
        <f t="shared" si="3"/>
        <v>0</v>
      </c>
      <c r="M47" s="115">
        <f t="shared" si="3"/>
        <v>0</v>
      </c>
      <c r="N47" s="115">
        <f t="shared" si="3"/>
        <v>0</v>
      </c>
      <c r="O47" s="115">
        <f t="shared" si="3"/>
        <v>0</v>
      </c>
      <c r="P47" s="115">
        <f t="shared" si="3"/>
        <v>0</v>
      </c>
      <c r="Q47" s="115">
        <f t="shared" si="3"/>
        <v>0</v>
      </c>
      <c r="R47" s="115">
        <f t="shared" si="3"/>
        <v>0</v>
      </c>
      <c r="S47" s="115">
        <f t="shared" si="3"/>
        <v>0</v>
      </c>
      <c r="T47" s="116">
        <f>+T39+T41+T43+T45</f>
        <v>103525537.15379998</v>
      </c>
      <c r="U47" s="117">
        <f>+U39+U41+U43+U45</f>
        <v>346273232.95465016</v>
      </c>
      <c r="V47" s="115">
        <f>+V39+V41+V43+V45</f>
        <v>63530125</v>
      </c>
      <c r="W47" s="115">
        <f t="shared" ref="W47:AF47" si="4">+W39+W41+W43+W45</f>
        <v>17540392.930979982</v>
      </c>
      <c r="X47" s="115">
        <f t="shared" si="4"/>
        <v>0</v>
      </c>
      <c r="Y47" s="115">
        <f t="shared" si="4"/>
        <v>0</v>
      </c>
      <c r="Z47" s="115">
        <f t="shared" si="4"/>
        <v>0</v>
      </c>
      <c r="AA47" s="115">
        <f t="shared" si="4"/>
        <v>0</v>
      </c>
      <c r="AB47" s="115">
        <f t="shared" si="4"/>
        <v>0</v>
      </c>
      <c r="AC47" s="115">
        <f t="shared" si="4"/>
        <v>0</v>
      </c>
      <c r="AD47" s="115">
        <f t="shared" si="4"/>
        <v>0</v>
      </c>
      <c r="AE47" s="115">
        <f t="shared" si="4"/>
        <v>0</v>
      </c>
      <c r="AF47" s="115">
        <f t="shared" si="4"/>
        <v>0</v>
      </c>
      <c r="AG47" s="115">
        <f>+AG39+AG41+AG43+AG45</f>
        <v>0</v>
      </c>
      <c r="AH47" s="118">
        <f>+AH39+AH41+AH43+AH45</f>
        <v>81070517.930979982</v>
      </c>
      <c r="AI47" s="109"/>
      <c r="AJ47" s="11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</row>
    <row r="48" spans="2:66" s="22" customFormat="1" x14ac:dyDescent="0.2">
      <c r="B48" s="120"/>
      <c r="C48" s="121"/>
      <c r="D48" s="121"/>
      <c r="E48" s="121"/>
      <c r="F48" s="122"/>
      <c r="G48" s="123"/>
      <c r="H48" s="123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5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6"/>
      <c r="AI48" s="5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</row>
    <row r="49" spans="1:64" s="22" customFormat="1" ht="13.5" x14ac:dyDescent="0.25">
      <c r="B49" s="127" t="s">
        <v>42</v>
      </c>
      <c r="C49" s="55"/>
      <c r="D49" s="55"/>
      <c r="E49" s="55"/>
      <c r="F49" s="128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12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</row>
    <row r="51" spans="1:64" x14ac:dyDescent="0.25">
      <c r="A51" s="130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</row>
    <row r="52" spans="1:64" hidden="1" x14ac:dyDescent="0.25">
      <c r="G52" s="131">
        <f t="shared" ref="G52:AH52" si="5">+G34+G47</f>
        <v>-0.18300008773803711</v>
      </c>
      <c r="H52" s="131">
        <f t="shared" si="5"/>
        <v>0</v>
      </c>
      <c r="I52" s="131">
        <f t="shared" si="5"/>
        <v>0</v>
      </c>
      <c r="J52" s="131">
        <f t="shared" si="5"/>
        <v>0</v>
      </c>
      <c r="K52" s="131">
        <f t="shared" si="5"/>
        <v>0</v>
      </c>
      <c r="L52" s="131">
        <f t="shared" si="5"/>
        <v>0</v>
      </c>
      <c r="M52" s="131">
        <f t="shared" si="5"/>
        <v>0</v>
      </c>
      <c r="N52" s="131">
        <f t="shared" si="5"/>
        <v>0</v>
      </c>
      <c r="O52" s="131">
        <f t="shared" si="5"/>
        <v>0</v>
      </c>
      <c r="P52" s="131">
        <f t="shared" si="5"/>
        <v>0</v>
      </c>
      <c r="Q52" s="131">
        <f t="shared" si="5"/>
        <v>0</v>
      </c>
      <c r="R52" s="131">
        <f t="shared" si="5"/>
        <v>0</v>
      </c>
      <c r="S52" s="131">
        <f t="shared" si="5"/>
        <v>0</v>
      </c>
      <c r="T52" s="131">
        <f>+T34+T47</f>
        <v>0</v>
      </c>
      <c r="U52" s="131">
        <f t="shared" si="5"/>
        <v>-0.29999995231628418</v>
      </c>
      <c r="V52" s="131">
        <f t="shared" si="5"/>
        <v>8.5730031132698059E-2</v>
      </c>
      <c r="W52" s="131">
        <f>+W34+W47</f>
        <v>0</v>
      </c>
      <c r="X52" s="131">
        <f t="shared" si="5"/>
        <v>0</v>
      </c>
      <c r="Y52" s="131">
        <f t="shared" si="5"/>
        <v>0</v>
      </c>
      <c r="Z52" s="131">
        <f t="shared" si="5"/>
        <v>0</v>
      </c>
      <c r="AA52" s="131">
        <f t="shared" si="5"/>
        <v>0</v>
      </c>
      <c r="AB52" s="131">
        <f t="shared" si="5"/>
        <v>0</v>
      </c>
      <c r="AC52" s="131">
        <f t="shared" si="5"/>
        <v>0</v>
      </c>
      <c r="AD52" s="131">
        <f t="shared" si="5"/>
        <v>0</v>
      </c>
      <c r="AE52" s="131">
        <f t="shared" si="5"/>
        <v>0</v>
      </c>
      <c r="AF52" s="131">
        <f>+AF34+AF47</f>
        <v>0</v>
      </c>
      <c r="AG52" s="131">
        <f t="shared" si="5"/>
        <v>0</v>
      </c>
      <c r="AH52" s="131">
        <f t="shared" si="5"/>
        <v>8.5730031132698059E-2</v>
      </c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</row>
    <row r="53" spans="1:64" hidden="1" x14ac:dyDescent="0.25"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</row>
    <row r="54" spans="1:64" hidden="1" x14ac:dyDescent="0.25"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3"/>
      <c r="V54" s="133"/>
      <c r="W54" s="133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</row>
    <row r="55" spans="1:64" hidden="1" x14ac:dyDescent="0.25">
      <c r="C55" s="16" t="s">
        <v>43</v>
      </c>
      <c r="F55" s="16" t="s">
        <v>44</v>
      </c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3" t="s">
        <v>45</v>
      </c>
      <c r="V55" s="133"/>
      <c r="W55" s="133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</row>
    <row r="56" spans="1:64" hidden="1" x14ac:dyDescent="0.25"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4"/>
      <c r="V56" s="134"/>
      <c r="W56" s="134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</row>
    <row r="57" spans="1:64" hidden="1" x14ac:dyDescent="0.25"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</row>
    <row r="58" spans="1:64" hidden="1" x14ac:dyDescent="0.25">
      <c r="C58" s="16" t="s">
        <v>46</v>
      </c>
      <c r="F58" s="16" t="s">
        <v>46</v>
      </c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5" t="s">
        <v>46</v>
      </c>
      <c r="V58" s="135"/>
      <c r="W58" s="135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</row>
    <row r="59" spans="1:64" hidden="1" x14ac:dyDescent="0.25"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</row>
    <row r="60" spans="1:64" hidden="1" x14ac:dyDescent="0.25"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</row>
    <row r="61" spans="1:64" x14ac:dyDescent="0.25"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</row>
    <row r="62" spans="1:64" x14ac:dyDescent="0.25"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</row>
    <row r="63" spans="1:64" x14ac:dyDescent="0.25"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</row>
    <row r="64" spans="1:64" x14ac:dyDescent="0.25"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</row>
    <row r="65" spans="7:64" x14ac:dyDescent="0.25"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</row>
    <row r="66" spans="7:64" x14ac:dyDescent="0.25"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</row>
    <row r="67" spans="7:64" x14ac:dyDescent="0.25"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</row>
    <row r="68" spans="7:64" x14ac:dyDescent="0.25"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</row>
    <row r="69" spans="7:64" x14ac:dyDescent="0.25"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</row>
    <row r="70" spans="7:64" x14ac:dyDescent="0.25"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</row>
    <row r="71" spans="7:64" x14ac:dyDescent="0.25"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</row>
    <row r="72" spans="7:64" x14ac:dyDescent="0.25"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</row>
    <row r="73" spans="7:64" x14ac:dyDescent="0.25"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</row>
    <row r="74" spans="7:64" x14ac:dyDescent="0.25"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</row>
    <row r="75" spans="7:64" x14ac:dyDescent="0.25"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</row>
    <row r="76" spans="7:64" x14ac:dyDescent="0.25"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</row>
    <row r="77" spans="7:64" x14ac:dyDescent="0.25"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</row>
    <row r="78" spans="7:64" x14ac:dyDescent="0.25"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</row>
    <row r="79" spans="7:64" x14ac:dyDescent="0.25"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</row>
    <row r="80" spans="7:64" x14ac:dyDescent="0.25"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</row>
    <row r="81" spans="7:64" x14ac:dyDescent="0.25"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</row>
    <row r="82" spans="7:64" x14ac:dyDescent="0.25"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</row>
    <row r="83" spans="7:64" x14ac:dyDescent="0.25"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</row>
    <row r="84" spans="7:64" x14ac:dyDescent="0.25"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</row>
    <row r="85" spans="7:64" x14ac:dyDescent="0.25"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</row>
    <row r="86" spans="7:64" x14ac:dyDescent="0.25"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</row>
    <row r="87" spans="7:64" x14ac:dyDescent="0.25"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</row>
    <row r="88" spans="7:64" x14ac:dyDescent="0.25"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</row>
    <row r="89" spans="7:64" x14ac:dyDescent="0.25"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</row>
    <row r="90" spans="7:64" x14ac:dyDescent="0.25"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</row>
    <row r="91" spans="7:64" x14ac:dyDescent="0.25"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</row>
    <row r="92" spans="7:64" x14ac:dyDescent="0.25"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</row>
    <row r="93" spans="7:64" x14ac:dyDescent="0.25"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</row>
    <row r="94" spans="7:64" x14ac:dyDescent="0.25"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</row>
    <row r="95" spans="7:64" x14ac:dyDescent="0.25"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</row>
    <row r="96" spans="7:64" x14ac:dyDescent="0.25"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</row>
    <row r="97" spans="7:64" x14ac:dyDescent="0.25"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</row>
    <row r="98" spans="7:64" x14ac:dyDescent="0.25"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</row>
    <row r="99" spans="7:64" x14ac:dyDescent="0.25"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</row>
    <row r="100" spans="7:64" x14ac:dyDescent="0.25"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</row>
    <row r="101" spans="7:64" x14ac:dyDescent="0.25"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</row>
    <row r="102" spans="7:64" x14ac:dyDescent="0.25"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</row>
    <row r="103" spans="7:64" x14ac:dyDescent="0.25"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</row>
    <row r="104" spans="7:64" x14ac:dyDescent="0.25"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</row>
    <row r="105" spans="7:64" x14ac:dyDescent="0.25"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</row>
    <row r="106" spans="7:64" x14ac:dyDescent="0.25"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</row>
    <row r="107" spans="7:64" x14ac:dyDescent="0.25"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</row>
    <row r="108" spans="7:64" x14ac:dyDescent="0.25"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</row>
    <row r="109" spans="7:64" x14ac:dyDescent="0.25"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</row>
    <row r="110" spans="7:64" x14ac:dyDescent="0.25"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</row>
    <row r="111" spans="7:64" x14ac:dyDescent="0.25"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</row>
    <row r="112" spans="7:64" x14ac:dyDescent="0.25"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</row>
    <row r="113" spans="7:64" x14ac:dyDescent="0.25"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</row>
    <row r="114" spans="7:64" x14ac:dyDescent="0.25"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</row>
    <row r="115" spans="7:64" x14ac:dyDescent="0.25"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</row>
    <row r="116" spans="7:64" x14ac:dyDescent="0.25"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</row>
    <row r="117" spans="7:64" x14ac:dyDescent="0.25"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</row>
    <row r="118" spans="7:64" x14ac:dyDescent="0.25"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</row>
    <row r="119" spans="7:64" x14ac:dyDescent="0.25"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</row>
    <row r="120" spans="7:64" x14ac:dyDescent="0.25"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</row>
    <row r="121" spans="7:64" x14ac:dyDescent="0.25"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</row>
    <row r="122" spans="7:64" x14ac:dyDescent="0.25"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</row>
    <row r="123" spans="7:64" x14ac:dyDescent="0.25"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</row>
    <row r="124" spans="7:64" x14ac:dyDescent="0.25"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</row>
    <row r="125" spans="7:64" x14ac:dyDescent="0.25"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</row>
    <row r="126" spans="7:64" x14ac:dyDescent="0.25"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</row>
    <row r="127" spans="7:64" x14ac:dyDescent="0.25"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</row>
    <row r="128" spans="7:64" x14ac:dyDescent="0.25"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</row>
    <row r="129" spans="7:64" x14ac:dyDescent="0.25"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</row>
    <row r="130" spans="7:64" x14ac:dyDescent="0.25"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</row>
    <row r="131" spans="7:64" x14ac:dyDescent="0.25"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</row>
    <row r="132" spans="7:64" x14ac:dyDescent="0.25"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</row>
    <row r="133" spans="7:64" x14ac:dyDescent="0.25"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</row>
    <row r="134" spans="7:64" x14ac:dyDescent="0.25"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</row>
    <row r="135" spans="7:64" x14ac:dyDescent="0.25"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</row>
    <row r="136" spans="7:64" x14ac:dyDescent="0.25"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</row>
    <row r="137" spans="7:64" x14ac:dyDescent="0.25"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</row>
    <row r="138" spans="7:64" x14ac:dyDescent="0.25"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</row>
    <row r="139" spans="7:64" x14ac:dyDescent="0.25"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</row>
    <row r="140" spans="7:64" x14ac:dyDescent="0.25"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</row>
    <row r="141" spans="7:64" x14ac:dyDescent="0.25"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7:64" x14ac:dyDescent="0.25"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</row>
    <row r="143" spans="7:64" x14ac:dyDescent="0.25"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</row>
    <row r="144" spans="7:64" x14ac:dyDescent="0.25"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</row>
    <row r="145" spans="7:64" x14ac:dyDescent="0.25"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</row>
    <row r="146" spans="7:64" x14ac:dyDescent="0.25"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</row>
    <row r="147" spans="7:64" x14ac:dyDescent="0.25"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</row>
    <row r="148" spans="7:64" x14ac:dyDescent="0.25"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</row>
    <row r="149" spans="7:64" x14ac:dyDescent="0.25"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</row>
    <row r="150" spans="7:64" x14ac:dyDescent="0.25"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</row>
    <row r="151" spans="7:64" x14ac:dyDescent="0.25"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</row>
    <row r="152" spans="7:64" x14ac:dyDescent="0.25"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</row>
    <row r="153" spans="7:64" x14ac:dyDescent="0.25"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</row>
    <row r="154" spans="7:64" x14ac:dyDescent="0.25"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</row>
    <row r="155" spans="7:64" x14ac:dyDescent="0.25"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</row>
    <row r="156" spans="7:64" x14ac:dyDescent="0.25"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</row>
    <row r="157" spans="7:64" x14ac:dyDescent="0.25"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</row>
    <row r="158" spans="7:64" x14ac:dyDescent="0.25"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</row>
    <row r="159" spans="7:64" x14ac:dyDescent="0.25"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</row>
    <row r="160" spans="7:64" x14ac:dyDescent="0.25"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</row>
    <row r="161" spans="7:64" x14ac:dyDescent="0.25"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</row>
    <row r="162" spans="7:64" x14ac:dyDescent="0.25"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</row>
    <row r="163" spans="7:64" x14ac:dyDescent="0.25"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</row>
    <row r="164" spans="7:64" x14ac:dyDescent="0.25"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</row>
    <row r="165" spans="7:64" x14ac:dyDescent="0.25"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</row>
    <row r="166" spans="7:64" x14ac:dyDescent="0.25"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</row>
    <row r="167" spans="7:64" x14ac:dyDescent="0.25"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</row>
    <row r="168" spans="7:64" x14ac:dyDescent="0.25"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</row>
    <row r="169" spans="7:64" x14ac:dyDescent="0.25"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</row>
    <row r="170" spans="7:64" x14ac:dyDescent="0.25"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</row>
    <row r="171" spans="7:64" x14ac:dyDescent="0.25"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</row>
    <row r="172" spans="7:64" x14ac:dyDescent="0.25"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</row>
    <row r="173" spans="7:64" x14ac:dyDescent="0.25"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</row>
    <row r="174" spans="7:64" x14ac:dyDescent="0.25"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</row>
    <row r="175" spans="7:64" x14ac:dyDescent="0.25"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</row>
    <row r="176" spans="7:64" x14ac:dyDescent="0.25"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</row>
    <row r="177" spans="7:64" x14ac:dyDescent="0.25"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</row>
    <row r="178" spans="7:64" x14ac:dyDescent="0.25"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</row>
    <row r="179" spans="7:64" x14ac:dyDescent="0.25"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</row>
    <row r="180" spans="7:64" x14ac:dyDescent="0.25"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</row>
    <row r="181" spans="7:64" x14ac:dyDescent="0.25"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</row>
    <row r="182" spans="7:64" x14ac:dyDescent="0.25"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</row>
    <row r="183" spans="7:64" x14ac:dyDescent="0.25"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</row>
    <row r="184" spans="7:64" x14ac:dyDescent="0.25"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</row>
    <row r="185" spans="7:64" x14ac:dyDescent="0.25"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</row>
    <row r="186" spans="7:64" x14ac:dyDescent="0.25"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</row>
    <row r="187" spans="7:64" x14ac:dyDescent="0.25"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</row>
    <row r="188" spans="7:64" x14ac:dyDescent="0.25"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</row>
    <row r="189" spans="7:64" x14ac:dyDescent="0.25"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</row>
    <row r="190" spans="7:64" x14ac:dyDescent="0.25"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</row>
    <row r="191" spans="7:64" x14ac:dyDescent="0.25"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</row>
    <row r="192" spans="7:64" x14ac:dyDescent="0.25"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</row>
    <row r="193" spans="7:64" x14ac:dyDescent="0.25"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</row>
    <row r="194" spans="7:64" x14ac:dyDescent="0.25"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</row>
    <row r="195" spans="7:64" x14ac:dyDescent="0.25"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</row>
    <row r="196" spans="7:64" x14ac:dyDescent="0.25"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7:64" x14ac:dyDescent="0.25"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7:64" x14ac:dyDescent="0.25"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7:64" x14ac:dyDescent="0.25"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7:64" x14ac:dyDescent="0.25"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7:64" x14ac:dyDescent="0.25"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7:64" x14ac:dyDescent="0.25"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7:64" x14ac:dyDescent="0.25"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7:64" x14ac:dyDescent="0.25"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7:64" x14ac:dyDescent="0.25"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7:64" x14ac:dyDescent="0.25"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7:64" x14ac:dyDescent="0.25"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7:64" x14ac:dyDescent="0.25"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7:64" x14ac:dyDescent="0.25"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7:64" x14ac:dyDescent="0.25"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7:64" x14ac:dyDescent="0.25"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7:64" x14ac:dyDescent="0.25"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7:64" x14ac:dyDescent="0.25"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7:64" x14ac:dyDescent="0.25"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7:64" x14ac:dyDescent="0.25"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7:64" x14ac:dyDescent="0.25"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7:64" x14ac:dyDescent="0.25"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7:64" x14ac:dyDescent="0.25"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7:64" x14ac:dyDescent="0.25"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7:64" x14ac:dyDescent="0.25"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7:64" x14ac:dyDescent="0.25"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7:64" x14ac:dyDescent="0.25"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7:64" x14ac:dyDescent="0.25"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7:64" x14ac:dyDescent="0.25"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7:64" x14ac:dyDescent="0.25"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7:64" x14ac:dyDescent="0.25"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7:64" x14ac:dyDescent="0.25"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7:64" x14ac:dyDescent="0.25"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32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7:64" x14ac:dyDescent="0.25"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7:64" x14ac:dyDescent="0.25"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7:64" x14ac:dyDescent="0.25"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7:64" x14ac:dyDescent="0.25"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7:64" x14ac:dyDescent="0.25"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7:64" x14ac:dyDescent="0.25"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7:64" x14ac:dyDescent="0.25"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7:64" x14ac:dyDescent="0.25"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2"/>
      <c r="AM236" s="132"/>
      <c r="AN236" s="132"/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7:64" x14ac:dyDescent="0.25"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7:64" x14ac:dyDescent="0.25"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</sheetData>
  <mergeCells count="7">
    <mergeCell ref="U58:W58"/>
    <mergeCell ref="B1:AH1"/>
    <mergeCell ref="B2:AH2"/>
    <mergeCell ref="G5:T5"/>
    <mergeCell ref="U5:AH5"/>
    <mergeCell ref="AK8:AX8"/>
    <mergeCell ref="AZ8:BC8"/>
  </mergeCells>
  <pageMargins left="0.70866141732283472" right="0.70866141732283472" top="0.74803149606299213" bottom="0.74803149606299213" header="0.31496062992125984" footer="0.31496062992125984"/>
  <pageSetup scale="78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3"/>
  <sheetViews>
    <sheetView view="pageBreakPreview" zoomScale="98" zoomScaleNormal="100" zoomScaleSheetLayoutView="98" workbookViewId="0">
      <selection activeCell="A112" sqref="A112:XFD112"/>
    </sheetView>
  </sheetViews>
  <sheetFormatPr defaultColWidth="8.85546875" defaultRowHeight="12.75" x14ac:dyDescent="0.2"/>
  <cols>
    <col min="1" max="1" width="1.7109375" style="22" customWidth="1"/>
    <col min="2" max="2" width="3" style="22" customWidth="1"/>
    <col min="3" max="4" width="1.85546875" style="22" customWidth="1"/>
    <col min="5" max="5" width="55.85546875" style="22" customWidth="1"/>
    <col min="6" max="6" width="4.7109375" style="742" customWidth="1"/>
    <col min="7" max="7" width="16.28515625" style="22" customWidth="1"/>
    <col min="8" max="8" width="15.7109375" style="22" hidden="1" customWidth="1"/>
    <col min="9" max="9" width="16.28515625" style="22" customWidth="1"/>
    <col min="10" max="10" width="14" style="22" hidden="1" customWidth="1"/>
    <col min="11" max="11" width="14.5703125" style="22" hidden="1" customWidth="1"/>
    <col min="12" max="14" width="15.7109375" style="22" hidden="1" customWidth="1"/>
    <col min="15" max="15" width="15.85546875" style="22" hidden="1" customWidth="1"/>
    <col min="16" max="16" width="14.42578125" style="22" hidden="1" customWidth="1"/>
    <col min="17" max="17" width="15.7109375" style="22" hidden="1" customWidth="1"/>
    <col min="18" max="19" width="11.28515625" style="22" hidden="1" customWidth="1"/>
    <col min="20" max="21" width="16.28515625" style="22" customWidth="1"/>
    <col min="22" max="22" width="15.7109375" style="22" hidden="1" customWidth="1"/>
    <col min="23" max="23" width="16.28515625" style="22" customWidth="1"/>
    <col min="24" max="24" width="14.140625" style="22" hidden="1" customWidth="1"/>
    <col min="25" max="25" width="14.5703125" style="22" hidden="1" customWidth="1"/>
    <col min="26" max="28" width="15.7109375" style="22" hidden="1" customWidth="1"/>
    <col min="29" max="29" width="14.28515625" style="22" hidden="1" customWidth="1"/>
    <col min="30" max="30" width="14.140625" style="22" hidden="1" customWidth="1"/>
    <col min="31" max="32" width="13.85546875" style="22" hidden="1" customWidth="1"/>
    <col min="33" max="33" width="13.7109375" style="22" hidden="1" customWidth="1"/>
    <col min="34" max="34" width="16.28515625" style="22" customWidth="1"/>
    <col min="35" max="35" width="3" style="22" customWidth="1"/>
    <col min="36" max="36" width="1.7109375" style="22" customWidth="1"/>
    <col min="37" max="37" width="16.42578125" style="22" hidden="1" customWidth="1"/>
    <col min="38" max="38" width="12.5703125" style="22" hidden="1" customWidth="1"/>
    <col min="39" max="39" width="9.85546875" style="22" customWidth="1"/>
    <col min="40" max="40" width="12.85546875" style="22" hidden="1" customWidth="1"/>
    <col min="41" max="45" width="8.85546875" style="22" customWidth="1"/>
    <col min="46" max="16384" width="8.85546875" style="22"/>
  </cols>
  <sheetData>
    <row r="1" spans="1:40" x14ac:dyDescent="0.2">
      <c r="B1" s="55"/>
      <c r="C1" s="55"/>
      <c r="D1" s="55"/>
      <c r="E1" s="442"/>
      <c r="F1" s="493"/>
      <c r="G1" s="55"/>
      <c r="H1" s="55"/>
      <c r="I1" s="55"/>
      <c r="J1" s="55"/>
      <c r="K1" s="55"/>
      <c r="L1" s="55"/>
      <c r="M1" s="55"/>
      <c r="N1" s="664"/>
      <c r="O1" s="664"/>
      <c r="P1" s="55"/>
      <c r="Q1" s="664"/>
      <c r="R1" s="665"/>
      <c r="S1" s="55"/>
      <c r="T1" s="666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</row>
    <row r="2" spans="1:40" x14ac:dyDescent="0.2">
      <c r="A2" s="55"/>
      <c r="B2" s="55"/>
      <c r="C2" s="55"/>
      <c r="D2" s="55"/>
      <c r="E2" s="55"/>
      <c r="F2" s="128"/>
      <c r="G2" s="55"/>
      <c r="H2" s="55"/>
      <c r="I2" s="55"/>
      <c r="J2" s="55"/>
      <c r="K2" s="664"/>
      <c r="L2" s="665"/>
      <c r="M2" s="665"/>
      <c r="N2" s="664"/>
      <c r="O2" s="667"/>
      <c r="P2" s="55"/>
      <c r="Q2" s="664"/>
      <c r="R2" s="55"/>
      <c r="S2" s="55"/>
      <c r="T2" s="668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</row>
    <row r="3" spans="1:40" x14ac:dyDescent="0.2">
      <c r="A3" s="55"/>
      <c r="B3" s="55"/>
      <c r="C3" s="55"/>
      <c r="D3" s="55"/>
      <c r="E3" s="55"/>
      <c r="F3" s="128"/>
      <c r="G3" s="55"/>
      <c r="H3" s="55"/>
      <c r="I3" s="55"/>
      <c r="J3" s="55"/>
      <c r="K3" s="669"/>
      <c r="L3" s="665"/>
      <c r="M3" s="670"/>
      <c r="N3" s="664"/>
      <c r="O3" s="665"/>
      <c r="P3" s="665"/>
      <c r="Q3" s="665"/>
      <c r="R3" s="665"/>
      <c r="S3" s="665"/>
      <c r="T3" s="66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</row>
    <row r="4" spans="1:40" x14ac:dyDescent="0.2">
      <c r="A4" s="55"/>
      <c r="B4" s="55"/>
      <c r="D4" s="55"/>
      <c r="E4" s="55"/>
      <c r="F4" s="12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442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</row>
    <row r="5" spans="1:40" ht="15.75" x14ac:dyDescent="0.25">
      <c r="A5" s="55"/>
      <c r="B5" s="55"/>
      <c r="C5" s="12" t="s">
        <v>511</v>
      </c>
      <c r="D5" s="55"/>
      <c r="E5" s="55"/>
      <c r="F5" s="12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3"/>
    </row>
    <row r="6" spans="1:40" x14ac:dyDescent="0.2">
      <c r="A6" s="55"/>
      <c r="B6" s="671"/>
      <c r="C6" s="672"/>
      <c r="D6" s="673"/>
      <c r="E6" s="673"/>
      <c r="F6" s="674"/>
      <c r="G6" s="362" t="s">
        <v>3</v>
      </c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6"/>
      <c r="U6" s="362" t="s">
        <v>4</v>
      </c>
      <c r="V6" s="675"/>
      <c r="W6" s="675"/>
      <c r="X6" s="675"/>
      <c r="Y6" s="675"/>
      <c r="Z6" s="675"/>
      <c r="AA6" s="675"/>
      <c r="AB6" s="675"/>
      <c r="AC6" s="675"/>
      <c r="AD6" s="675"/>
      <c r="AE6" s="675"/>
      <c r="AF6" s="675"/>
      <c r="AG6" s="675"/>
      <c r="AH6" s="677"/>
      <c r="AI6" s="29"/>
      <c r="AJ6" s="55"/>
    </row>
    <row r="7" spans="1:40" ht="15.75" customHeight="1" x14ac:dyDescent="0.2">
      <c r="A7" s="55"/>
      <c r="B7" s="671"/>
      <c r="C7" s="23"/>
      <c r="D7" s="13"/>
      <c r="E7" s="13"/>
      <c r="F7" s="678"/>
      <c r="G7" s="679" t="str">
        <f>[11]summary!$H$9</f>
        <v>Budget</v>
      </c>
      <c r="H7" s="387" t="s">
        <v>6</v>
      </c>
      <c r="I7" s="387" t="s">
        <v>7</v>
      </c>
      <c r="J7" s="387" t="s">
        <v>8</v>
      </c>
      <c r="K7" s="387" t="s">
        <v>9</v>
      </c>
      <c r="L7" s="376" t="s">
        <v>10</v>
      </c>
      <c r="M7" s="376" t="s">
        <v>11</v>
      </c>
      <c r="N7" s="387" t="s">
        <v>12</v>
      </c>
      <c r="O7" s="376" t="s">
        <v>13</v>
      </c>
      <c r="P7" s="387" t="s">
        <v>14</v>
      </c>
      <c r="Q7" s="376" t="s">
        <v>15</v>
      </c>
      <c r="R7" s="387" t="s">
        <v>16</v>
      </c>
      <c r="S7" s="376" t="s">
        <v>17</v>
      </c>
      <c r="T7" s="376" t="s">
        <v>18</v>
      </c>
      <c r="U7" s="376" t="str">
        <f>[11]summary!$BZ$9</f>
        <v>Preliminary</v>
      </c>
      <c r="V7" s="374" t="s">
        <v>6</v>
      </c>
      <c r="W7" s="387" t="s">
        <v>7</v>
      </c>
      <c r="X7" s="387" t="s">
        <v>8</v>
      </c>
      <c r="Y7" s="387" t="s">
        <v>9</v>
      </c>
      <c r="Z7" s="376" t="s">
        <v>10</v>
      </c>
      <c r="AA7" s="376" t="s">
        <v>11</v>
      </c>
      <c r="AB7" s="387" t="s">
        <v>12</v>
      </c>
      <c r="AC7" s="376" t="s">
        <v>13</v>
      </c>
      <c r="AD7" s="387" t="s">
        <v>14</v>
      </c>
      <c r="AE7" s="376" t="s">
        <v>15</v>
      </c>
      <c r="AF7" s="387" t="s">
        <v>16</v>
      </c>
      <c r="AG7" s="376" t="s">
        <v>17</v>
      </c>
      <c r="AH7" s="680" t="s">
        <v>18</v>
      </c>
      <c r="AI7" s="29"/>
      <c r="AJ7" s="55"/>
      <c r="AK7" s="670"/>
    </row>
    <row r="8" spans="1:40" x14ac:dyDescent="0.2">
      <c r="A8" s="55"/>
      <c r="B8" s="671"/>
      <c r="C8" s="36" t="s">
        <v>20</v>
      </c>
      <c r="D8" s="37"/>
      <c r="E8" s="37"/>
      <c r="F8" s="580"/>
      <c r="G8" s="681" t="s">
        <v>22</v>
      </c>
      <c r="H8" s="383"/>
      <c r="I8" s="682"/>
      <c r="J8" s="682"/>
      <c r="K8" s="682"/>
      <c r="L8" s="682"/>
      <c r="M8" s="682"/>
      <c r="N8" s="682"/>
      <c r="O8" s="682"/>
      <c r="P8" s="682"/>
      <c r="Q8" s="682"/>
      <c r="R8" s="682"/>
      <c r="S8" s="682"/>
      <c r="T8" s="682"/>
      <c r="U8" s="383" t="s">
        <v>23</v>
      </c>
      <c r="V8" s="381"/>
      <c r="W8" s="682"/>
      <c r="X8" s="682"/>
      <c r="Y8" s="682"/>
      <c r="Z8" s="38"/>
      <c r="AA8" s="682"/>
      <c r="AB8" s="682"/>
      <c r="AC8" s="682"/>
      <c r="AD8" s="682"/>
      <c r="AE8" s="682"/>
      <c r="AF8" s="682"/>
      <c r="AG8" s="682"/>
      <c r="AH8" s="683"/>
      <c r="AI8" s="29"/>
      <c r="AJ8" s="55"/>
      <c r="AK8" s="60"/>
    </row>
    <row r="9" spans="1:40" x14ac:dyDescent="0.2">
      <c r="A9" s="55"/>
      <c r="B9" s="671"/>
      <c r="C9" s="29"/>
      <c r="D9" s="55"/>
      <c r="E9" s="55"/>
      <c r="F9" s="128"/>
      <c r="G9" s="62"/>
      <c r="H9" s="684"/>
      <c r="I9" s="684"/>
      <c r="J9" s="684"/>
      <c r="K9" s="684"/>
      <c r="L9" s="684"/>
      <c r="M9" s="684"/>
      <c r="N9" s="684"/>
      <c r="O9" s="684"/>
      <c r="P9" s="684"/>
      <c r="Q9" s="684"/>
      <c r="R9" s="684"/>
      <c r="S9" s="684"/>
      <c r="T9" s="684"/>
      <c r="U9" s="62"/>
      <c r="V9" s="62"/>
      <c r="W9" s="684"/>
      <c r="X9" s="684"/>
      <c r="Y9" s="684"/>
      <c r="Z9" s="62"/>
      <c r="AA9" s="684"/>
      <c r="AB9" s="684"/>
      <c r="AC9" s="684"/>
      <c r="AD9" s="684"/>
      <c r="AE9" s="684"/>
      <c r="AF9" s="684"/>
      <c r="AG9" s="684"/>
      <c r="AH9" s="685"/>
      <c r="AI9" s="29"/>
      <c r="AJ9" s="55"/>
      <c r="AK9" s="60"/>
    </row>
    <row r="10" spans="1:40" x14ac:dyDescent="0.2">
      <c r="A10" s="55"/>
      <c r="B10" s="671"/>
      <c r="C10" s="23" t="s">
        <v>512</v>
      </c>
      <c r="D10" s="13"/>
      <c r="E10" s="13"/>
      <c r="F10" s="686" t="s">
        <v>513</v>
      </c>
      <c r="G10" s="687">
        <f>+'[1]Statement 1'!$H$114</f>
        <v>1397995559.8169999</v>
      </c>
      <c r="H10" s="687">
        <f>60646659+[14]original!$G$6</f>
        <v>61883148</v>
      </c>
      <c r="I10" s="687">
        <f>65162652+[15]original!$H$6</f>
        <v>67969792</v>
      </c>
      <c r="J10" s="687">
        <v>0</v>
      </c>
      <c r="K10" s="687">
        <v>0</v>
      </c>
      <c r="L10" s="687">
        <v>0</v>
      </c>
      <c r="M10" s="687">
        <v>0</v>
      </c>
      <c r="N10" s="687">
        <v>0</v>
      </c>
      <c r="O10" s="687">
        <v>0</v>
      </c>
      <c r="P10" s="687">
        <v>0</v>
      </c>
      <c r="Q10" s="687">
        <v>0</v>
      </c>
      <c r="R10" s="687">
        <v>0</v>
      </c>
      <c r="S10" s="687">
        <v>0</v>
      </c>
      <c r="T10" s="687">
        <f>SUM(H10:S10)</f>
        <v>129852940</v>
      </c>
      <c r="U10" s="687">
        <v>1345429607</v>
      </c>
      <c r="V10" s="687">
        <f>72369777+[26]original!$G$6</f>
        <v>73561295</v>
      </c>
      <c r="W10" s="687">
        <f>91960891+[26]original!$H$6</f>
        <v>97483269</v>
      </c>
      <c r="X10" s="687">
        <f>146983292+[26]original!$I$6</f>
        <v>147176620</v>
      </c>
      <c r="Y10" s="687">
        <f>74358637+[26]original!$J$6</f>
        <v>74595465</v>
      </c>
      <c r="Z10" s="687">
        <f>117746720+[26]original!$K$6</f>
        <v>118283601</v>
      </c>
      <c r="AA10" s="687">
        <f>117996432+[26]original!$L$6</f>
        <v>118306077</v>
      </c>
      <c r="AB10" s="687">
        <f>83965060+[26]original!$M$6</f>
        <v>84114639</v>
      </c>
      <c r="AC10" s="687">
        <f>95537530+[26]original!$N$6</f>
        <v>95927507</v>
      </c>
      <c r="AD10" s="687">
        <f>160586770+[26]original!$O$6</f>
        <v>160730055</v>
      </c>
      <c r="AE10" s="687">
        <f>90700237+[26]original!$P$6</f>
        <v>91007790</v>
      </c>
      <c r="AF10" s="687">
        <f>144219625+[26]original!$Q$6</f>
        <v>144778040</v>
      </c>
      <c r="AG10" s="687">
        <f>136203303+[26]original!$R$6</f>
        <v>139465249</v>
      </c>
      <c r="AH10" s="688">
        <f>SUM(V10:W10)</f>
        <v>171044564</v>
      </c>
      <c r="AI10" s="59"/>
      <c r="AJ10" s="129"/>
      <c r="AK10" s="60">
        <f>AH10-U10</f>
        <v>-1174385043</v>
      </c>
      <c r="AL10" s="53">
        <f t="shared" ref="AL10:AL21" si="0">SUM(V10:AG10)-AH10</f>
        <v>1174385043</v>
      </c>
      <c r="AN10" s="670"/>
    </row>
    <row r="11" spans="1:40" x14ac:dyDescent="0.2">
      <c r="A11" s="55"/>
      <c r="B11" s="671"/>
      <c r="C11" s="23"/>
      <c r="D11" s="13"/>
      <c r="E11" s="13"/>
      <c r="F11" s="128"/>
      <c r="G11" s="689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9"/>
      <c r="V11" s="687"/>
      <c r="W11" s="687"/>
      <c r="X11" s="687"/>
      <c r="Y11" s="687"/>
      <c r="Z11" s="687"/>
      <c r="AA11" s="687"/>
      <c r="AB11" s="687"/>
      <c r="AC11" s="687"/>
      <c r="AD11" s="687"/>
      <c r="AE11" s="687"/>
      <c r="AF11" s="687"/>
      <c r="AG11" s="687"/>
      <c r="AH11" s="688"/>
      <c r="AI11" s="59"/>
      <c r="AJ11" s="129"/>
      <c r="AK11" s="60"/>
      <c r="AL11" s="53"/>
    </row>
    <row r="12" spans="1:40" x14ac:dyDescent="0.2">
      <c r="A12" s="55"/>
      <c r="B12" s="671"/>
      <c r="C12" s="23" t="s">
        <v>514</v>
      </c>
      <c r="D12" s="13"/>
      <c r="E12" s="13"/>
      <c r="F12" s="686" t="s">
        <v>515</v>
      </c>
      <c r="G12" s="689">
        <f>+G14+G16+G23+G24+G25+G27</f>
        <v>1765994410</v>
      </c>
      <c r="H12" s="689">
        <f>147198355-[14]original!$G$40</f>
        <v>147198373</v>
      </c>
      <c r="I12" s="689">
        <f>119561760-[15]original!$H$40</f>
        <v>119673094</v>
      </c>
      <c r="J12" s="689">
        <v>0</v>
      </c>
      <c r="K12" s="689">
        <v>0</v>
      </c>
      <c r="L12" s="689">
        <v>0</v>
      </c>
      <c r="M12" s="689">
        <v>0</v>
      </c>
      <c r="N12" s="689">
        <v>0</v>
      </c>
      <c r="O12" s="689">
        <v>0</v>
      </c>
      <c r="P12" s="689">
        <v>0</v>
      </c>
      <c r="Q12" s="689">
        <v>0</v>
      </c>
      <c r="R12" s="689">
        <v>0</v>
      </c>
      <c r="S12" s="689">
        <v>0</v>
      </c>
      <c r="T12" s="689">
        <f>SUM(H12:S12)</f>
        <v>266871467</v>
      </c>
      <c r="U12" s="689">
        <v>1689271491</v>
      </c>
      <c r="V12" s="689">
        <f>146576599-[26]original!$G$40</f>
        <v>146708471</v>
      </c>
      <c r="W12" s="689">
        <f>113281775-[26]original!$H$40</f>
        <v>113365653</v>
      </c>
      <c r="X12" s="689">
        <f>109567054-[26]original!$I$40</f>
        <v>109590360</v>
      </c>
      <c r="Y12" s="689">
        <f>182356944-[26]original!$J$40</f>
        <v>182476850</v>
      </c>
      <c r="Z12" s="689">
        <f>161091063-[26]original!$K$40</f>
        <v>161091293</v>
      </c>
      <c r="AA12" s="689">
        <f>123271247-[26]original!$L$40</f>
        <v>123271268</v>
      </c>
      <c r="AB12" s="689">
        <f>126853765-[26]original!$M$40</f>
        <v>126853795</v>
      </c>
      <c r="AC12" s="689">
        <f>129964955-[26]original!$N$40</f>
        <v>129966318</v>
      </c>
      <c r="AD12" s="689">
        <f>164082691-[26]original!$O$40</f>
        <v>164190216</v>
      </c>
      <c r="AE12" s="689">
        <f>141300018-[26]original!$P$40</f>
        <v>141300316</v>
      </c>
      <c r="AF12" s="689">
        <f>148411068-[26]original!$Q$40</f>
        <v>148411068</v>
      </c>
      <c r="AG12" s="689">
        <f>142045844-[26]original!$R$40</f>
        <v>142045883</v>
      </c>
      <c r="AH12" s="688">
        <f>SUM(V12:W12)</f>
        <v>260074124</v>
      </c>
      <c r="AI12" s="59"/>
      <c r="AJ12" s="185">
        <f>+AH14+AH16</f>
        <v>260074124</v>
      </c>
      <c r="AK12" s="690">
        <f>AH12-U12</f>
        <v>-1429197367</v>
      </c>
      <c r="AL12" s="53">
        <f t="shared" si="0"/>
        <v>1429197367</v>
      </c>
      <c r="AN12" s="670"/>
    </row>
    <row r="13" spans="1:40" x14ac:dyDescent="0.2">
      <c r="A13" s="55"/>
      <c r="B13" s="671"/>
      <c r="C13" s="29"/>
      <c r="D13" s="55"/>
      <c r="E13" s="55"/>
      <c r="F13" s="128"/>
      <c r="G13" s="691"/>
      <c r="H13" s="692"/>
      <c r="I13" s="692"/>
      <c r="J13" s="692"/>
      <c r="K13" s="692"/>
      <c r="L13" s="692"/>
      <c r="M13" s="692"/>
      <c r="N13" s="693"/>
      <c r="O13" s="692"/>
      <c r="P13" s="692"/>
      <c r="Q13" s="692"/>
      <c r="R13" s="692"/>
      <c r="S13" s="692"/>
      <c r="T13" s="692"/>
      <c r="U13" s="694"/>
      <c r="V13" s="692"/>
      <c r="W13" s="692"/>
      <c r="X13" s="692"/>
      <c r="Y13" s="692"/>
      <c r="Z13" s="692"/>
      <c r="AA13" s="692"/>
      <c r="AB13" s="693"/>
      <c r="AC13" s="692"/>
      <c r="AD13" s="692"/>
      <c r="AE13" s="692"/>
      <c r="AF13" s="692"/>
      <c r="AG13" s="692"/>
      <c r="AH13" s="695"/>
      <c r="AI13" s="59"/>
      <c r="AJ13" s="129"/>
      <c r="AK13" s="60"/>
      <c r="AL13" s="53"/>
      <c r="AM13" s="60"/>
    </row>
    <row r="14" spans="1:40" x14ac:dyDescent="0.2">
      <c r="A14" s="55"/>
      <c r="B14" s="671"/>
      <c r="C14" s="29"/>
      <c r="D14" s="55" t="s">
        <v>516</v>
      </c>
      <c r="E14" s="55"/>
      <c r="F14" s="686" t="s">
        <v>517</v>
      </c>
      <c r="G14" s="691">
        <f>+'[3]20-21'!$I$48</f>
        <v>963114208</v>
      </c>
      <c r="H14" s="691">
        <f>+H12-H16-H23</f>
        <v>96157178.437030002</v>
      </c>
      <c r="I14" s="692">
        <f>+I12-I16-I23</f>
        <v>70971442.12861</v>
      </c>
      <c r="J14" s="692">
        <f>+J12-J16-J23</f>
        <v>0</v>
      </c>
      <c r="K14" s="692">
        <f t="shared" ref="K14:M14" si="1">+K12-K16-K23</f>
        <v>0</v>
      </c>
      <c r="L14" s="692">
        <f t="shared" si="1"/>
        <v>0</v>
      </c>
      <c r="M14" s="692">
        <f t="shared" si="1"/>
        <v>0</v>
      </c>
      <c r="N14" s="692">
        <f>+N12-N16-N23</f>
        <v>0</v>
      </c>
      <c r="O14" s="692">
        <f t="shared" ref="O14:S14" si="2">+O12-O16-O23</f>
        <v>0</v>
      </c>
      <c r="P14" s="692">
        <f t="shared" si="2"/>
        <v>0</v>
      </c>
      <c r="Q14" s="692">
        <f t="shared" si="2"/>
        <v>0</v>
      </c>
      <c r="R14" s="692">
        <f t="shared" si="2"/>
        <v>0</v>
      </c>
      <c r="S14" s="692">
        <f t="shared" si="2"/>
        <v>0</v>
      </c>
      <c r="T14" s="693">
        <f>SUM(H14:S14)</f>
        <v>167128620.56564</v>
      </c>
      <c r="U14" s="694">
        <v>943282850</v>
      </c>
      <c r="V14" s="691">
        <f>+V12-V16-V23</f>
        <v>99111775</v>
      </c>
      <c r="W14" s="692">
        <f>+W12-W16-W23</f>
        <v>65175332</v>
      </c>
      <c r="X14" s="692">
        <f>+X12-X16-X23</f>
        <v>45269219</v>
      </c>
      <c r="Y14" s="692">
        <f t="shared" ref="Y14:AB14" si="3">+Y12-Y16-Y23</f>
        <v>111091158</v>
      </c>
      <c r="Z14" s="692">
        <f t="shared" si="3"/>
        <v>84998676</v>
      </c>
      <c r="AA14" s="692">
        <f t="shared" si="3"/>
        <v>62652526</v>
      </c>
      <c r="AB14" s="692">
        <f t="shared" si="3"/>
        <v>78309040</v>
      </c>
      <c r="AC14" s="692">
        <v>83881189</v>
      </c>
      <c r="AD14" s="692">
        <v>94439753</v>
      </c>
      <c r="AE14" s="692">
        <v>68500090</v>
      </c>
      <c r="AF14" s="692">
        <v>75007448</v>
      </c>
      <c r="AG14" s="692">
        <v>74846644</v>
      </c>
      <c r="AH14" s="696">
        <f>SUM(V14:W14)</f>
        <v>164287107</v>
      </c>
      <c r="AI14" s="59"/>
      <c r="AJ14" s="129"/>
      <c r="AK14" s="60">
        <f>AH14-U14</f>
        <v>-778995743</v>
      </c>
      <c r="AL14" s="53">
        <f>SUM(V14:AG14)-AH14</f>
        <v>778995743</v>
      </c>
    </row>
    <row r="15" spans="1:40" x14ac:dyDescent="0.2">
      <c r="A15" s="55"/>
      <c r="B15" s="671"/>
      <c r="C15" s="29"/>
      <c r="D15" s="55"/>
      <c r="E15" s="55"/>
      <c r="F15" s="128"/>
      <c r="G15" s="691"/>
      <c r="H15" s="692"/>
      <c r="I15" s="692"/>
      <c r="J15" s="692"/>
      <c r="K15" s="692"/>
      <c r="L15" s="692"/>
      <c r="M15" s="692"/>
      <c r="N15" s="693"/>
      <c r="O15" s="692"/>
      <c r="P15" s="692"/>
      <c r="Q15" s="692"/>
      <c r="R15" s="692"/>
      <c r="S15" s="692"/>
      <c r="T15" s="692"/>
      <c r="U15" s="694"/>
      <c r="V15" s="692"/>
      <c r="W15" s="692"/>
      <c r="X15" s="692"/>
      <c r="Y15" s="692"/>
      <c r="Z15" s="692"/>
      <c r="AA15" s="692"/>
      <c r="AB15" s="693"/>
      <c r="AC15" s="692"/>
      <c r="AD15" s="692"/>
      <c r="AE15" s="692"/>
      <c r="AF15" s="692"/>
      <c r="AG15" s="692"/>
      <c r="AH15" s="695"/>
      <c r="AI15" s="59"/>
      <c r="AJ15" s="129"/>
      <c r="AK15" s="60"/>
      <c r="AL15" s="53"/>
    </row>
    <row r="16" spans="1:40" s="35" customFormat="1" x14ac:dyDescent="0.2">
      <c r="A16" s="13"/>
      <c r="B16" s="697"/>
      <c r="C16" s="23"/>
      <c r="D16" s="13" t="s">
        <v>518</v>
      </c>
      <c r="E16" s="13"/>
      <c r="F16" s="678"/>
      <c r="G16" s="698">
        <f>SUM(G17:G21)</f>
        <v>805666311</v>
      </c>
      <c r="H16" s="699">
        <f t="shared" ref="H16:S16" si="4">SUM(H17:H21)</f>
        <v>51041194.562969998</v>
      </c>
      <c r="I16" s="699">
        <f t="shared" si="4"/>
        <v>48701651.87139</v>
      </c>
      <c r="J16" s="699">
        <f t="shared" si="4"/>
        <v>0</v>
      </c>
      <c r="K16" s="699">
        <f t="shared" si="4"/>
        <v>0</v>
      </c>
      <c r="L16" s="699">
        <f t="shared" si="4"/>
        <v>0</v>
      </c>
      <c r="M16" s="699">
        <f t="shared" si="4"/>
        <v>0</v>
      </c>
      <c r="N16" s="687">
        <f t="shared" si="4"/>
        <v>0</v>
      </c>
      <c r="O16" s="699">
        <f t="shared" si="4"/>
        <v>0</v>
      </c>
      <c r="P16" s="699">
        <f t="shared" si="4"/>
        <v>0</v>
      </c>
      <c r="Q16" s="699">
        <f t="shared" si="4"/>
        <v>0</v>
      </c>
      <c r="R16" s="699">
        <f>SUM(R17:R21)</f>
        <v>0</v>
      </c>
      <c r="S16" s="699">
        <f t="shared" si="4"/>
        <v>0</v>
      </c>
      <c r="T16" s="699">
        <f>SUM(T17:T21)</f>
        <v>99742846.434359998</v>
      </c>
      <c r="U16" s="689">
        <v>745909355</v>
      </c>
      <c r="V16" s="699">
        <f t="shared" ref="V16:W16" si="5">SUM(V17:V21)</f>
        <v>47596696</v>
      </c>
      <c r="W16" s="699">
        <f t="shared" si="5"/>
        <v>48190321</v>
      </c>
      <c r="X16" s="699">
        <f>SUM(X17:X21)</f>
        <v>64321141</v>
      </c>
      <c r="Y16" s="699">
        <f>SUM(Y17:Y21)</f>
        <v>71385692</v>
      </c>
      <c r="Z16" s="699">
        <f>SUM(Z17:Z21)</f>
        <v>76092617</v>
      </c>
      <c r="AA16" s="699">
        <f>SUM(AA17:AA21)</f>
        <v>60618742</v>
      </c>
      <c r="AB16" s="687">
        <f>SUM(AB17:AB21)</f>
        <v>48544755</v>
      </c>
      <c r="AC16" s="699">
        <f t="shared" ref="AC16:AE16" si="6">SUM(AC17:AC21)</f>
        <v>46113766</v>
      </c>
      <c r="AD16" s="699">
        <f t="shared" si="6"/>
        <v>69642875</v>
      </c>
      <c r="AE16" s="699">
        <f t="shared" si="6"/>
        <v>72799928</v>
      </c>
      <c r="AF16" s="699">
        <f>SUM(AF17:AF21)</f>
        <v>73403620</v>
      </c>
      <c r="AG16" s="699">
        <f t="shared" ref="AG16" si="7">SUM(AG17:AG21)</f>
        <v>67199202</v>
      </c>
      <c r="AH16" s="700">
        <f>SUM(AH17:AH21)</f>
        <v>95787017</v>
      </c>
      <c r="AI16" s="90"/>
      <c r="AJ16" s="375"/>
      <c r="AK16" s="60">
        <f>AH16-U16</f>
        <v>-650122338</v>
      </c>
      <c r="AL16" s="53">
        <f t="shared" si="0"/>
        <v>650122338</v>
      </c>
    </row>
    <row r="17" spans="1:40" x14ac:dyDescent="0.2">
      <c r="A17" s="55"/>
      <c r="B17" s="671"/>
      <c r="C17" s="29"/>
      <c r="D17" s="55"/>
      <c r="E17" s="55" t="s">
        <v>28</v>
      </c>
      <c r="F17" s="701"/>
      <c r="G17" s="691">
        <f>+'[3]20-21'!$I$53</f>
        <v>229269955</v>
      </c>
      <c r="H17" s="692">
        <f>+'[44]April 2020'!$G$92/1000</f>
        <v>4206399.5629699994</v>
      </c>
      <c r="I17" s="692">
        <f>+'[45]May 2020'!$F$92/1000</f>
        <v>1879102.8713900005</v>
      </c>
      <c r="J17" s="692">
        <v>0</v>
      </c>
      <c r="K17" s="692">
        <v>0</v>
      </c>
      <c r="L17" s="692">
        <v>0</v>
      </c>
      <c r="M17" s="692">
        <v>0</v>
      </c>
      <c r="N17" s="693">
        <v>0</v>
      </c>
      <c r="O17" s="692">
        <v>0</v>
      </c>
      <c r="P17" s="692">
        <v>0</v>
      </c>
      <c r="Q17" s="692">
        <v>0</v>
      </c>
      <c r="R17" s="692">
        <v>0</v>
      </c>
      <c r="S17" s="692">
        <v>0</v>
      </c>
      <c r="T17" s="693">
        <f>SUM(H17:S17)</f>
        <v>6085502.4343599994</v>
      </c>
      <c r="U17" s="693">
        <v>204894526</v>
      </c>
      <c r="V17" s="692">
        <v>3596440</v>
      </c>
      <c r="W17" s="692">
        <v>4188052</v>
      </c>
      <c r="X17" s="692">
        <v>20309211</v>
      </c>
      <c r="Y17" s="692">
        <v>27304283</v>
      </c>
      <c r="Z17" s="692">
        <v>27624724</v>
      </c>
      <c r="AA17" s="692">
        <v>16591374</v>
      </c>
      <c r="AB17" s="693">
        <v>4518126</v>
      </c>
      <c r="AC17" s="692">
        <v>2237241</v>
      </c>
      <c r="AD17" s="692">
        <v>21222195</v>
      </c>
      <c r="AE17" s="692">
        <v>28812513</v>
      </c>
      <c r="AF17" s="692">
        <v>29395974</v>
      </c>
      <c r="AG17" s="692">
        <v>19094393</v>
      </c>
      <c r="AH17" s="696">
        <f t="shared" ref="AH17:AH21" si="8">SUM(V17:W17)</f>
        <v>7784492</v>
      </c>
      <c r="AI17" s="59"/>
      <c r="AJ17" s="129"/>
      <c r="AK17" s="60">
        <f>AH17-U17</f>
        <v>-197110034</v>
      </c>
      <c r="AL17" s="53">
        <f t="shared" si="0"/>
        <v>197110034</v>
      </c>
      <c r="AM17" s="53"/>
    </row>
    <row r="18" spans="1:40" x14ac:dyDescent="0.2">
      <c r="A18" s="55"/>
      <c r="B18" s="671"/>
      <c r="C18" s="29"/>
      <c r="D18" s="55"/>
      <c r="E18" s="55" t="s">
        <v>29</v>
      </c>
      <c r="F18" s="493"/>
      <c r="G18" s="691">
        <f>+'[3]20-21'!$I$56</f>
        <v>538471528</v>
      </c>
      <c r="H18" s="692">
        <f>+'[44]April 2020'!$F$80/1000</f>
        <v>44872627</v>
      </c>
      <c r="I18" s="692">
        <f>+'[45]May 2020'!$F$80/1000</f>
        <v>44872627</v>
      </c>
      <c r="J18" s="692">
        <v>0</v>
      </c>
      <c r="K18" s="692">
        <v>0</v>
      </c>
      <c r="L18" s="692">
        <v>0</v>
      </c>
      <c r="M18" s="692">
        <v>0</v>
      </c>
      <c r="N18" s="693">
        <v>0</v>
      </c>
      <c r="O18" s="692">
        <v>0</v>
      </c>
      <c r="P18" s="692">
        <v>0</v>
      </c>
      <c r="Q18" s="692">
        <v>0</v>
      </c>
      <c r="R18" s="692">
        <v>0</v>
      </c>
      <c r="S18" s="692">
        <v>0</v>
      </c>
      <c r="T18" s="693">
        <f>SUM(H18:S18)</f>
        <v>89745254</v>
      </c>
      <c r="U18" s="693">
        <v>505553753</v>
      </c>
      <c r="V18" s="692">
        <v>42129484</v>
      </c>
      <c r="W18" s="692">
        <v>42129482</v>
      </c>
      <c r="X18" s="692">
        <v>42129482</v>
      </c>
      <c r="Y18" s="692">
        <v>42129482</v>
      </c>
      <c r="Z18" s="692">
        <v>42129480</v>
      </c>
      <c r="AA18" s="692">
        <v>42129480</v>
      </c>
      <c r="AB18" s="693">
        <v>42129479</v>
      </c>
      <c r="AC18" s="692">
        <v>42129479</v>
      </c>
      <c r="AD18" s="692">
        <v>42129478</v>
      </c>
      <c r="AE18" s="692">
        <v>42129477</v>
      </c>
      <c r="AF18" s="692">
        <v>42129475</v>
      </c>
      <c r="AG18" s="692">
        <v>42129475</v>
      </c>
      <c r="AH18" s="696">
        <f t="shared" si="8"/>
        <v>84258966</v>
      </c>
      <c r="AI18" s="59"/>
      <c r="AJ18" s="129"/>
      <c r="AK18" s="60">
        <f t="shared" ref="AK18:AK81" si="9">AH18-U18</f>
        <v>-421294787</v>
      </c>
      <c r="AL18" s="53">
        <f t="shared" si="0"/>
        <v>421294787</v>
      </c>
      <c r="AM18" s="53"/>
      <c r="AN18" s="53"/>
    </row>
    <row r="19" spans="1:40" ht="14.45" customHeight="1" x14ac:dyDescent="0.2">
      <c r="A19" s="55"/>
      <c r="B19" s="671"/>
      <c r="C19" s="29"/>
      <c r="D19" s="55"/>
      <c r="E19" s="55" t="s">
        <v>30</v>
      </c>
      <c r="F19" s="128"/>
      <c r="G19" s="691">
        <f>+'[3]20-21'!$I$57</f>
        <v>14026878</v>
      </c>
      <c r="H19" s="692">
        <v>0</v>
      </c>
      <c r="I19" s="692">
        <f>+'[45]May 2020'!$F$60</f>
        <v>0</v>
      </c>
      <c r="J19" s="692">
        <v>0</v>
      </c>
      <c r="K19" s="692">
        <v>0</v>
      </c>
      <c r="L19" s="692">
        <v>0</v>
      </c>
      <c r="M19" s="692">
        <v>0</v>
      </c>
      <c r="N19" s="693">
        <v>0</v>
      </c>
      <c r="O19" s="692">
        <v>0</v>
      </c>
      <c r="P19" s="692">
        <v>0</v>
      </c>
      <c r="Q19" s="692">
        <v>0</v>
      </c>
      <c r="R19" s="692">
        <v>0</v>
      </c>
      <c r="S19" s="692">
        <v>0</v>
      </c>
      <c r="T19" s="693">
        <f>SUM(H19:S19)</f>
        <v>0</v>
      </c>
      <c r="U19" s="693">
        <v>13166793</v>
      </c>
      <c r="V19" s="692">
        <v>0</v>
      </c>
      <c r="W19" s="692">
        <v>0</v>
      </c>
      <c r="X19" s="692">
        <v>0</v>
      </c>
      <c r="Y19" s="692">
        <v>0</v>
      </c>
      <c r="Z19" s="692">
        <v>4388931</v>
      </c>
      <c r="AA19" s="692">
        <v>0</v>
      </c>
      <c r="AB19" s="693">
        <v>0</v>
      </c>
      <c r="AC19" s="692">
        <v>0</v>
      </c>
      <c r="AD19" s="692">
        <v>4388931</v>
      </c>
      <c r="AE19" s="692">
        <v>0</v>
      </c>
      <c r="AF19" s="692">
        <v>0</v>
      </c>
      <c r="AG19" s="692">
        <v>4388931</v>
      </c>
      <c r="AH19" s="696">
        <f t="shared" si="8"/>
        <v>0</v>
      </c>
      <c r="AI19" s="59"/>
      <c r="AJ19" s="129"/>
      <c r="AK19" s="60">
        <f t="shared" si="9"/>
        <v>-13166793</v>
      </c>
      <c r="AL19" s="53">
        <f t="shared" si="0"/>
        <v>13166793</v>
      </c>
      <c r="AM19" s="53"/>
    </row>
    <row r="20" spans="1:40" ht="14.45" customHeight="1" x14ac:dyDescent="0.2">
      <c r="A20" s="55"/>
      <c r="B20" s="671"/>
      <c r="C20" s="29"/>
      <c r="D20" s="55"/>
      <c r="E20" s="55" t="s">
        <v>519</v>
      </c>
      <c r="F20" s="128"/>
      <c r="G20" s="691">
        <f>+'[3]20-21'!$I$60</f>
        <v>19412896</v>
      </c>
      <c r="H20" s="692">
        <f>+'[44]April 2020'!$F$63/1000</f>
        <v>1617743</v>
      </c>
      <c r="I20" s="692">
        <f>+'[45]May 2020'!$F$63/1000</f>
        <v>1617741</v>
      </c>
      <c r="J20" s="692">
        <v>0</v>
      </c>
      <c r="K20" s="692">
        <v>0</v>
      </c>
      <c r="L20" s="692">
        <v>0</v>
      </c>
      <c r="M20" s="692">
        <v>0</v>
      </c>
      <c r="N20" s="693">
        <v>0</v>
      </c>
      <c r="O20" s="692">
        <v>0</v>
      </c>
      <c r="P20" s="692">
        <v>0</v>
      </c>
      <c r="Q20" s="692">
        <v>0</v>
      </c>
      <c r="R20" s="692">
        <v>0</v>
      </c>
      <c r="S20" s="692">
        <v>0</v>
      </c>
      <c r="T20" s="693">
        <f>SUM(H20:S20)</f>
        <v>3235484</v>
      </c>
      <c r="U20" s="693">
        <v>18283844</v>
      </c>
      <c r="V20" s="692">
        <v>1563208</v>
      </c>
      <c r="W20" s="692">
        <v>1563208</v>
      </c>
      <c r="X20" s="692">
        <v>1563209</v>
      </c>
      <c r="Y20" s="692">
        <v>1563209</v>
      </c>
      <c r="Z20" s="692">
        <v>1563209</v>
      </c>
      <c r="AA20" s="692">
        <v>1563209</v>
      </c>
      <c r="AB20" s="693">
        <v>1563209</v>
      </c>
      <c r="AC20" s="692">
        <v>1381004</v>
      </c>
      <c r="AD20" s="692">
        <v>1563210</v>
      </c>
      <c r="AE20" s="692">
        <v>1563210</v>
      </c>
      <c r="AF20" s="692">
        <v>1563210</v>
      </c>
      <c r="AG20" s="692">
        <v>1270749</v>
      </c>
      <c r="AH20" s="696">
        <f t="shared" si="8"/>
        <v>3126416</v>
      </c>
      <c r="AI20" s="59"/>
      <c r="AJ20" s="129"/>
      <c r="AK20" s="60">
        <f t="shared" si="9"/>
        <v>-15157428</v>
      </c>
      <c r="AL20" s="53">
        <f t="shared" si="0"/>
        <v>15157428</v>
      </c>
      <c r="AM20" s="53"/>
    </row>
    <row r="21" spans="1:40" x14ac:dyDescent="0.2">
      <c r="A21" s="55"/>
      <c r="B21" s="671"/>
      <c r="C21" s="29"/>
      <c r="D21" s="55"/>
      <c r="E21" s="55" t="s">
        <v>34</v>
      </c>
      <c r="F21" s="128"/>
      <c r="G21" s="691">
        <f>+'[3]20-21'!$I$51+'[3]20-21'!$I$52+'[3]20-21'!$I$58+'[3]20-21'!$I$59+'[3]20-21'!$I$61+'[3]20-21'!$I$62+'[3]20-21'!$I$63</f>
        <v>4485054</v>
      </c>
      <c r="H21" s="692">
        <f>(+'[44]April 2020'!$F$58+'[44]April 2020'!$F$59+'[44]April 2020'!$F$60+'[44]April 2020'!$F$61+'[44]April 2020'!$F$62+'[44]April 2020'!$F$64+'[44]April 2020'!$F$65+'[44]April 2020'!$F$66)/1000</f>
        <v>344425</v>
      </c>
      <c r="I21" s="692">
        <f>(+'[45]May 2020'!$F$58+'[45]May 2020'!$F$59+'[45]May 2020'!$F$60+'[45]May 2020'!$F$61+'[45]May 2020'!$F$62+'[45]May 2020'!$F$64+'[45]May 2020'!$F$65+'[45]May 2020'!$F$66)/1000</f>
        <v>332181</v>
      </c>
      <c r="J21" s="692">
        <v>0</v>
      </c>
      <c r="K21" s="692">
        <v>0</v>
      </c>
      <c r="L21" s="692">
        <v>0</v>
      </c>
      <c r="M21" s="692">
        <v>0</v>
      </c>
      <c r="N21" s="693">
        <v>0</v>
      </c>
      <c r="O21" s="692">
        <v>0</v>
      </c>
      <c r="P21" s="692">
        <v>0</v>
      </c>
      <c r="Q21" s="692">
        <v>0</v>
      </c>
      <c r="R21" s="692">
        <v>0</v>
      </c>
      <c r="S21" s="692">
        <v>0</v>
      </c>
      <c r="T21" s="693">
        <f>SUM(H21:S21)</f>
        <v>676606</v>
      </c>
      <c r="U21" s="693">
        <v>4010439</v>
      </c>
      <c r="V21" s="692">
        <v>307564</v>
      </c>
      <c r="W21" s="692">
        <v>309579</v>
      </c>
      <c r="X21" s="692">
        <v>319239</v>
      </c>
      <c r="Y21" s="692">
        <v>388718</v>
      </c>
      <c r="Z21" s="692">
        <v>386273</v>
      </c>
      <c r="AA21" s="692">
        <v>334679</v>
      </c>
      <c r="AB21" s="693">
        <v>333941</v>
      </c>
      <c r="AC21" s="692">
        <v>366042</v>
      </c>
      <c r="AD21" s="692">
        <v>339061</v>
      </c>
      <c r="AE21" s="692">
        <v>294728</v>
      </c>
      <c r="AF21" s="692">
        <v>314961</v>
      </c>
      <c r="AG21" s="692">
        <v>315654</v>
      </c>
      <c r="AH21" s="696">
        <f t="shared" si="8"/>
        <v>617143</v>
      </c>
      <c r="AI21" s="59"/>
      <c r="AJ21" s="129"/>
      <c r="AK21" s="60">
        <f t="shared" si="9"/>
        <v>-3393296</v>
      </c>
      <c r="AL21" s="53">
        <f t="shared" si="0"/>
        <v>3393296</v>
      </c>
      <c r="AM21" s="53"/>
    </row>
    <row r="22" spans="1:40" x14ac:dyDescent="0.2">
      <c r="A22" s="55"/>
      <c r="B22" s="671"/>
      <c r="C22" s="55"/>
      <c r="D22" s="13"/>
      <c r="E22" s="55"/>
      <c r="F22" s="128"/>
      <c r="G22" s="698"/>
      <c r="H22" s="699"/>
      <c r="I22" s="699"/>
      <c r="J22" s="699"/>
      <c r="K22" s="699"/>
      <c r="L22" s="699"/>
      <c r="M22" s="699"/>
      <c r="N22" s="687"/>
      <c r="O22" s="699"/>
      <c r="P22" s="699"/>
      <c r="Q22" s="699"/>
      <c r="R22" s="699"/>
      <c r="S22" s="699"/>
      <c r="T22" s="699"/>
      <c r="U22" s="689"/>
      <c r="V22" s="699"/>
      <c r="W22" s="699"/>
      <c r="X22" s="699"/>
      <c r="Y22" s="699"/>
      <c r="Z22" s="699"/>
      <c r="AA22" s="699"/>
      <c r="AB22" s="687"/>
      <c r="AC22" s="699"/>
      <c r="AD22" s="699"/>
      <c r="AE22" s="699"/>
      <c r="AF22" s="699"/>
      <c r="AG22" s="699"/>
      <c r="AH22" s="700"/>
      <c r="AI22" s="59"/>
      <c r="AJ22" s="129"/>
      <c r="AK22" s="60"/>
      <c r="AL22" s="53"/>
    </row>
    <row r="23" spans="1:40" x14ac:dyDescent="0.2">
      <c r="A23" s="55"/>
      <c r="B23" s="671"/>
      <c r="C23" s="55"/>
      <c r="D23" s="22" t="str">
        <f>+'[3]20-21'!$A$65</f>
        <v>Provisional allocation for contingencies not assigned to votes</v>
      </c>
      <c r="E23" s="55"/>
      <c r="F23" s="128"/>
      <c r="G23" s="691">
        <f>+'[3]20-21'!$I$65</f>
        <v>7020587</v>
      </c>
      <c r="H23" s="692">
        <v>0</v>
      </c>
      <c r="I23" s="692">
        <v>0</v>
      </c>
      <c r="J23" s="692">
        <v>0</v>
      </c>
      <c r="K23" s="692">
        <v>0</v>
      </c>
      <c r="L23" s="692">
        <v>0</v>
      </c>
      <c r="M23" s="692">
        <v>0</v>
      </c>
      <c r="N23" s="693">
        <v>0</v>
      </c>
      <c r="O23" s="692">
        <v>0</v>
      </c>
      <c r="P23" s="692">
        <v>0</v>
      </c>
      <c r="Q23" s="692">
        <v>0</v>
      </c>
      <c r="R23" s="692">
        <v>0</v>
      </c>
      <c r="S23" s="692">
        <v>0</v>
      </c>
      <c r="T23" s="692">
        <f>SUM(H23:S23)</f>
        <v>0</v>
      </c>
      <c r="U23" s="694">
        <v>0</v>
      </c>
      <c r="V23" s="692">
        <v>0</v>
      </c>
      <c r="W23" s="692">
        <v>0</v>
      </c>
      <c r="X23" s="692">
        <v>0</v>
      </c>
      <c r="Y23" s="692">
        <v>0</v>
      </c>
      <c r="Z23" s="692">
        <v>0</v>
      </c>
      <c r="AA23" s="692">
        <v>0</v>
      </c>
      <c r="AB23" s="693">
        <v>0</v>
      </c>
      <c r="AC23" s="692">
        <v>0</v>
      </c>
      <c r="AD23" s="692">
        <v>0</v>
      </c>
      <c r="AE23" s="692">
        <v>0</v>
      </c>
      <c r="AF23" s="692">
        <v>0</v>
      </c>
      <c r="AG23" s="692">
        <v>0</v>
      </c>
      <c r="AH23" s="695">
        <f>SUM(V23:AC23)</f>
        <v>0</v>
      </c>
      <c r="AI23" s="59"/>
      <c r="AJ23" s="129"/>
      <c r="AK23" s="60">
        <f>AH23-U23</f>
        <v>0</v>
      </c>
      <c r="AL23" s="53">
        <f>SUM(V23:AG23)-AH23</f>
        <v>0</v>
      </c>
    </row>
    <row r="24" spans="1:40" x14ac:dyDescent="0.2">
      <c r="A24" s="55"/>
      <c r="B24" s="671"/>
      <c r="C24" s="55"/>
      <c r="D24" s="22" t="str">
        <f>+'[3]20-21'!$A$66</f>
        <v xml:space="preserve">Provisional allocation for Eskom restructuring </v>
      </c>
      <c r="E24" s="55"/>
      <c r="F24" s="128"/>
      <c r="G24" s="691">
        <f>+'[3]20-21'!$I$66</f>
        <v>23000000</v>
      </c>
      <c r="H24" s="692">
        <v>0</v>
      </c>
      <c r="I24" s="692">
        <v>0</v>
      </c>
      <c r="J24" s="692">
        <v>0</v>
      </c>
      <c r="K24" s="692">
        <v>0</v>
      </c>
      <c r="L24" s="692">
        <v>0</v>
      </c>
      <c r="M24" s="692">
        <v>0</v>
      </c>
      <c r="N24" s="693">
        <v>0</v>
      </c>
      <c r="O24" s="692">
        <v>0</v>
      </c>
      <c r="P24" s="692"/>
      <c r="Q24" s="692"/>
      <c r="R24" s="692"/>
      <c r="S24" s="692"/>
      <c r="T24" s="692">
        <f>SUM(H24:S24)</f>
        <v>0</v>
      </c>
      <c r="U24" s="694">
        <v>0</v>
      </c>
      <c r="V24" s="692">
        <v>0</v>
      </c>
      <c r="W24" s="692">
        <v>0</v>
      </c>
      <c r="X24" s="692">
        <v>0</v>
      </c>
      <c r="Y24" s="692">
        <v>0</v>
      </c>
      <c r="Z24" s="692">
        <v>0</v>
      </c>
      <c r="AA24" s="692">
        <v>0</v>
      </c>
      <c r="AB24" s="693">
        <v>0</v>
      </c>
      <c r="AC24" s="692">
        <v>0</v>
      </c>
      <c r="AD24" s="692"/>
      <c r="AE24" s="692"/>
      <c r="AF24" s="692"/>
      <c r="AG24" s="692"/>
      <c r="AH24" s="695">
        <f>SUM(V24:AC24)</f>
        <v>0</v>
      </c>
      <c r="AI24" s="59"/>
      <c r="AJ24" s="129"/>
      <c r="AK24" s="60">
        <f>AH24-U24</f>
        <v>0</v>
      </c>
      <c r="AL24" s="53">
        <f>SUM(V24:AG24)-AH24</f>
        <v>0</v>
      </c>
    </row>
    <row r="25" spans="1:40" x14ac:dyDescent="0.2">
      <c r="A25" s="55"/>
      <c r="B25" s="671"/>
      <c r="C25" s="55"/>
      <c r="D25" s="22" t="str">
        <f>+'[3]20-21'!$A$67</f>
        <v>Compensation of employees adjustment</v>
      </c>
      <c r="E25" s="55"/>
      <c r="F25" s="128"/>
      <c r="G25" s="691">
        <f>+'[3]20-21'!$I$67</f>
        <v>-37806696</v>
      </c>
      <c r="H25" s="692">
        <v>0</v>
      </c>
      <c r="I25" s="692">
        <v>0</v>
      </c>
      <c r="J25" s="692">
        <v>0</v>
      </c>
      <c r="K25" s="692">
        <v>0</v>
      </c>
      <c r="L25" s="692">
        <v>0</v>
      </c>
      <c r="M25" s="692">
        <v>0</v>
      </c>
      <c r="N25" s="693">
        <v>0</v>
      </c>
      <c r="O25" s="692">
        <v>0</v>
      </c>
      <c r="P25" s="692"/>
      <c r="Q25" s="692"/>
      <c r="R25" s="692"/>
      <c r="S25" s="692"/>
      <c r="T25" s="692">
        <f>SUM(H25:S25)</f>
        <v>0</v>
      </c>
      <c r="U25" s="694">
        <v>0</v>
      </c>
      <c r="V25" s="692">
        <v>0</v>
      </c>
      <c r="W25" s="692">
        <v>0</v>
      </c>
      <c r="X25" s="692">
        <v>0</v>
      </c>
      <c r="Y25" s="692">
        <v>0</v>
      </c>
      <c r="Z25" s="692">
        <v>0</v>
      </c>
      <c r="AA25" s="692">
        <v>0</v>
      </c>
      <c r="AB25" s="693">
        <v>0</v>
      </c>
      <c r="AC25" s="692">
        <v>0</v>
      </c>
      <c r="AD25" s="692"/>
      <c r="AE25" s="692"/>
      <c r="AF25" s="692"/>
      <c r="AG25" s="692"/>
      <c r="AH25" s="695">
        <f>SUM(V25:AC25)</f>
        <v>0</v>
      </c>
      <c r="AI25" s="59"/>
      <c r="AJ25" s="129"/>
      <c r="AK25" s="60">
        <f>AH25-U25</f>
        <v>0</v>
      </c>
      <c r="AL25" s="53">
        <f>SUM(V25:AG25)-AH25</f>
        <v>0</v>
      </c>
    </row>
    <row r="26" spans="1:40" x14ac:dyDescent="0.2">
      <c r="A26" s="55"/>
      <c r="B26" s="671"/>
      <c r="C26" s="55"/>
      <c r="D26" s="35"/>
      <c r="E26" s="55"/>
      <c r="F26" s="128"/>
      <c r="G26" s="698"/>
      <c r="H26" s="692"/>
      <c r="I26" s="692"/>
      <c r="J26" s="692"/>
      <c r="K26" s="692"/>
      <c r="L26" s="692"/>
      <c r="M26" s="692"/>
      <c r="N26" s="693"/>
      <c r="O26" s="692"/>
      <c r="P26" s="692"/>
      <c r="Q26" s="692"/>
      <c r="R26" s="692"/>
      <c r="S26" s="692"/>
      <c r="T26" s="692"/>
      <c r="U26" s="694"/>
      <c r="V26" s="692"/>
      <c r="W26" s="692"/>
      <c r="X26" s="692"/>
      <c r="Y26" s="692"/>
      <c r="Z26" s="692"/>
      <c r="AA26" s="692"/>
      <c r="AB26" s="693"/>
      <c r="AC26" s="692"/>
      <c r="AD26" s="692"/>
      <c r="AE26" s="692"/>
      <c r="AF26" s="692"/>
      <c r="AG26" s="692"/>
      <c r="AH26" s="695"/>
      <c r="AI26" s="59"/>
      <c r="AJ26" s="129"/>
      <c r="AK26" s="60"/>
      <c r="AL26" s="53"/>
    </row>
    <row r="27" spans="1:40" s="35" customFormat="1" x14ac:dyDescent="0.2">
      <c r="A27" s="13"/>
      <c r="B27" s="697"/>
      <c r="C27" s="13"/>
      <c r="D27" s="702" t="str">
        <f>+'[3]20-21'!$A$69</f>
        <v>Contingency reserve</v>
      </c>
      <c r="E27" s="13"/>
      <c r="F27" s="678"/>
      <c r="G27" s="698">
        <f>+'[3]20-21'!$I$69</f>
        <v>5000000</v>
      </c>
      <c r="H27" s="699">
        <v>0</v>
      </c>
      <c r="I27" s="699">
        <v>0</v>
      </c>
      <c r="J27" s="699"/>
      <c r="K27" s="699"/>
      <c r="L27" s="699"/>
      <c r="M27" s="699"/>
      <c r="N27" s="687"/>
      <c r="O27" s="699">
        <v>0</v>
      </c>
      <c r="P27" s="699">
        <v>0</v>
      </c>
      <c r="Q27" s="699">
        <v>0</v>
      </c>
      <c r="R27" s="699">
        <v>0</v>
      </c>
      <c r="S27" s="699">
        <v>0</v>
      </c>
      <c r="T27" s="687">
        <f t="shared" ref="T27:U27" si="10">SUM(H27:S27)</f>
        <v>0</v>
      </c>
      <c r="U27" s="687">
        <f t="shared" si="10"/>
        <v>0</v>
      </c>
      <c r="V27" s="699">
        <v>0</v>
      </c>
      <c r="W27" s="699">
        <v>0</v>
      </c>
      <c r="X27" s="699"/>
      <c r="Y27" s="699"/>
      <c r="Z27" s="699"/>
      <c r="AA27" s="699"/>
      <c r="AB27" s="687"/>
      <c r="AC27" s="699">
        <v>0</v>
      </c>
      <c r="AD27" s="699">
        <v>0</v>
      </c>
      <c r="AE27" s="699">
        <v>0</v>
      </c>
      <c r="AF27" s="699">
        <v>0</v>
      </c>
      <c r="AG27" s="699">
        <v>0</v>
      </c>
      <c r="AH27" s="687">
        <f>SUM(V27:AG27)</f>
        <v>0</v>
      </c>
      <c r="AI27" s="90"/>
      <c r="AJ27" s="375"/>
      <c r="AK27" s="70"/>
      <c r="AL27" s="472"/>
    </row>
    <row r="28" spans="1:40" s="35" customFormat="1" x14ac:dyDescent="0.2">
      <c r="A28" s="13"/>
      <c r="B28" s="697"/>
      <c r="C28" s="13"/>
      <c r="D28" s="91"/>
      <c r="E28" s="55"/>
      <c r="F28" s="128"/>
      <c r="G28" s="691"/>
      <c r="H28" s="699"/>
      <c r="I28" s="699"/>
      <c r="J28" s="699"/>
      <c r="K28" s="699"/>
      <c r="L28" s="699"/>
      <c r="M28" s="692"/>
      <c r="N28" s="687"/>
      <c r="O28" s="692"/>
      <c r="P28" s="692"/>
      <c r="Q28" s="692"/>
      <c r="R28" s="699"/>
      <c r="S28" s="699"/>
      <c r="T28" s="693"/>
      <c r="U28" s="693"/>
      <c r="V28" s="699"/>
      <c r="W28" s="699"/>
      <c r="X28" s="699"/>
      <c r="Y28" s="699"/>
      <c r="Z28" s="699"/>
      <c r="AA28" s="692"/>
      <c r="AB28" s="687"/>
      <c r="AC28" s="692"/>
      <c r="AD28" s="692"/>
      <c r="AE28" s="692"/>
      <c r="AF28" s="699"/>
      <c r="AG28" s="699"/>
      <c r="AH28" s="693"/>
      <c r="AI28" s="90"/>
      <c r="AJ28" s="375"/>
      <c r="AK28" s="60"/>
      <c r="AL28" s="53"/>
    </row>
    <row r="29" spans="1:40" s="35" customFormat="1" x14ac:dyDescent="0.2">
      <c r="A29" s="13"/>
      <c r="B29" s="697"/>
      <c r="C29" s="23"/>
      <c r="D29" s="13"/>
      <c r="E29" s="13"/>
      <c r="F29" s="678"/>
      <c r="G29" s="703"/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3"/>
      <c r="V29" s="704"/>
      <c r="W29" s="704"/>
      <c r="X29" s="704"/>
      <c r="Y29" s="704"/>
      <c r="Z29" s="704"/>
      <c r="AA29" s="704"/>
      <c r="AB29" s="704"/>
      <c r="AC29" s="704"/>
      <c r="AD29" s="704"/>
      <c r="AE29" s="704"/>
      <c r="AF29" s="704"/>
      <c r="AG29" s="704"/>
      <c r="AH29" s="705"/>
      <c r="AI29" s="90"/>
      <c r="AJ29" s="375"/>
      <c r="AK29" s="60"/>
      <c r="AL29" s="53"/>
    </row>
    <row r="30" spans="1:40" s="35" customFormat="1" x14ac:dyDescent="0.2">
      <c r="A30" s="13"/>
      <c r="B30" s="697"/>
      <c r="C30" s="23"/>
      <c r="D30" s="13"/>
      <c r="E30" s="13"/>
      <c r="F30" s="678"/>
      <c r="G30" s="689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9"/>
      <c r="V30" s="687"/>
      <c r="W30" s="687"/>
      <c r="X30" s="687"/>
      <c r="Y30" s="687"/>
      <c r="Z30" s="687"/>
      <c r="AA30" s="687"/>
      <c r="AB30" s="687"/>
      <c r="AC30" s="687"/>
      <c r="AD30" s="687"/>
      <c r="AE30" s="687"/>
      <c r="AF30" s="687"/>
      <c r="AG30" s="687"/>
      <c r="AH30" s="688"/>
      <c r="AI30" s="90"/>
      <c r="AJ30" s="375"/>
      <c r="AK30" s="60"/>
      <c r="AL30" s="53"/>
    </row>
    <row r="31" spans="1:40" s="35" customFormat="1" x14ac:dyDescent="0.2">
      <c r="A31" s="13"/>
      <c r="B31" s="697"/>
      <c r="C31" s="23" t="s">
        <v>35</v>
      </c>
      <c r="D31" s="13"/>
      <c r="E31" s="13"/>
      <c r="F31" s="678"/>
      <c r="G31" s="689">
        <f>+G10-G12</f>
        <v>-367998850.18300009</v>
      </c>
      <c r="H31" s="687">
        <f>(H10-H12)</f>
        <v>-85315225</v>
      </c>
      <c r="I31" s="687">
        <f>(I10-I12)</f>
        <v>-51703302</v>
      </c>
      <c r="J31" s="687">
        <f t="shared" ref="J31:AG31" si="11">(J10-J12)</f>
        <v>0</v>
      </c>
      <c r="K31" s="687">
        <f t="shared" si="11"/>
        <v>0</v>
      </c>
      <c r="L31" s="687">
        <f t="shared" si="11"/>
        <v>0</v>
      </c>
      <c r="M31" s="687">
        <f t="shared" si="11"/>
        <v>0</v>
      </c>
      <c r="N31" s="687">
        <f t="shared" si="11"/>
        <v>0</v>
      </c>
      <c r="O31" s="687">
        <f t="shared" si="11"/>
        <v>0</v>
      </c>
      <c r="P31" s="687">
        <f t="shared" si="11"/>
        <v>0</v>
      </c>
      <c r="Q31" s="687">
        <f t="shared" si="11"/>
        <v>0</v>
      </c>
      <c r="R31" s="687">
        <f t="shared" si="11"/>
        <v>0</v>
      </c>
      <c r="S31" s="687">
        <f t="shared" si="11"/>
        <v>0</v>
      </c>
      <c r="T31" s="687">
        <f t="shared" si="11"/>
        <v>-137018527</v>
      </c>
      <c r="U31" s="687">
        <f t="shared" si="11"/>
        <v>-343841884</v>
      </c>
      <c r="V31" s="687">
        <f t="shared" si="11"/>
        <v>-73147176</v>
      </c>
      <c r="W31" s="687">
        <f t="shared" si="11"/>
        <v>-15882384</v>
      </c>
      <c r="X31" s="687">
        <f t="shared" si="11"/>
        <v>37586260</v>
      </c>
      <c r="Y31" s="687">
        <f t="shared" si="11"/>
        <v>-107881385</v>
      </c>
      <c r="Z31" s="687">
        <f t="shared" si="11"/>
        <v>-42807692</v>
      </c>
      <c r="AA31" s="687">
        <f t="shared" si="11"/>
        <v>-4965191</v>
      </c>
      <c r="AB31" s="687">
        <f t="shared" si="11"/>
        <v>-42739156</v>
      </c>
      <c r="AC31" s="687">
        <f t="shared" si="11"/>
        <v>-34038811</v>
      </c>
      <c r="AD31" s="687">
        <f t="shared" si="11"/>
        <v>-3460161</v>
      </c>
      <c r="AE31" s="687">
        <f t="shared" si="11"/>
        <v>-50292526</v>
      </c>
      <c r="AF31" s="687">
        <f t="shared" si="11"/>
        <v>-3633028</v>
      </c>
      <c r="AG31" s="687">
        <f t="shared" si="11"/>
        <v>-2580634</v>
      </c>
      <c r="AH31" s="688">
        <f>(AH10-AH12)</f>
        <v>-89029560</v>
      </c>
      <c r="AI31" s="90"/>
      <c r="AJ31" s="375"/>
      <c r="AK31" s="60">
        <f>AH31-U31</f>
        <v>254812324</v>
      </c>
      <c r="AL31" s="53">
        <f>SUM(V31:AG31)-AH31</f>
        <v>-254812324</v>
      </c>
    </row>
    <row r="32" spans="1:40" s="35" customFormat="1" x14ac:dyDescent="0.2">
      <c r="A32" s="13"/>
      <c r="B32" s="697"/>
      <c r="C32" s="23"/>
      <c r="D32" s="13"/>
      <c r="E32" s="443"/>
      <c r="F32" s="678"/>
      <c r="G32" s="689"/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9"/>
      <c r="V32" s="687"/>
      <c r="W32" s="687"/>
      <c r="X32" s="687"/>
      <c r="Y32" s="687"/>
      <c r="Z32" s="687"/>
      <c r="AA32" s="687"/>
      <c r="AB32" s="687"/>
      <c r="AC32" s="687"/>
      <c r="AD32" s="687"/>
      <c r="AE32" s="687"/>
      <c r="AF32" s="687"/>
      <c r="AG32" s="687"/>
      <c r="AH32" s="688"/>
      <c r="AI32" s="90"/>
      <c r="AJ32" s="375"/>
      <c r="AK32" s="60"/>
      <c r="AL32" s="53"/>
    </row>
    <row r="33" spans="1:40" s="35" customFormat="1" x14ac:dyDescent="0.2">
      <c r="A33" s="13"/>
      <c r="B33" s="13"/>
      <c r="C33" s="23" t="s">
        <v>520</v>
      </c>
      <c r="D33" s="13"/>
      <c r="E33" s="13"/>
      <c r="F33" s="686"/>
      <c r="G33" s="689">
        <f t="shared" ref="G33:S33" si="12">+G36+G38+G59+G83</f>
        <v>367998850.18299997</v>
      </c>
      <c r="H33" s="687">
        <f>+H36+H38+H59+H83</f>
        <v>85315225</v>
      </c>
      <c r="I33" s="687">
        <f t="shared" si="12"/>
        <v>51703301.999999993</v>
      </c>
      <c r="J33" s="687">
        <f t="shared" si="12"/>
        <v>0</v>
      </c>
      <c r="K33" s="687">
        <f t="shared" si="12"/>
        <v>0</v>
      </c>
      <c r="L33" s="687">
        <f t="shared" si="12"/>
        <v>0</v>
      </c>
      <c r="M33" s="687">
        <f t="shared" si="12"/>
        <v>0</v>
      </c>
      <c r="N33" s="687">
        <f>+N36+N38+N59+N83</f>
        <v>0</v>
      </c>
      <c r="O33" s="687">
        <f>+O36+O38+O59+O83</f>
        <v>0</v>
      </c>
      <c r="P33" s="687">
        <f>+P36+P38+P59+P83</f>
        <v>0</v>
      </c>
      <c r="Q33" s="687">
        <f>+Q36+Q38+Q59+Q83</f>
        <v>0</v>
      </c>
      <c r="R33" s="687">
        <f t="shared" si="12"/>
        <v>0</v>
      </c>
      <c r="S33" s="687">
        <f t="shared" si="12"/>
        <v>0</v>
      </c>
      <c r="T33" s="687">
        <f>(+T36+T38+T59+T83)</f>
        <v>137018527</v>
      </c>
      <c r="U33" s="687">
        <f>+U36+U38+U59+U83+6</f>
        <v>343841884</v>
      </c>
      <c r="V33" s="687">
        <f>+V36+V38+V59+V83+4</f>
        <v>73147176</v>
      </c>
      <c r="W33" s="687">
        <f>+W36+W38+W59+W83+2</f>
        <v>15882384</v>
      </c>
      <c r="X33" s="687">
        <f>+X36+X38+X59+X83</f>
        <v>-37586260</v>
      </c>
      <c r="Y33" s="687">
        <f>+Y36+Y38+Y59+Y83</f>
        <v>107881385</v>
      </c>
      <c r="Z33" s="687">
        <f>+Z36+Z38+Z59+Z83</f>
        <v>42807692</v>
      </c>
      <c r="AA33" s="687">
        <f t="shared" ref="AA33" si="13">+AA36+AA38+AA59+AA83</f>
        <v>4965191</v>
      </c>
      <c r="AB33" s="687">
        <f>+AB36+AB38+AB59+AB83</f>
        <v>42739156</v>
      </c>
      <c r="AC33" s="687">
        <f>+AC36+AC38+AC59+AC83</f>
        <v>34038811</v>
      </c>
      <c r="AD33" s="687">
        <f>+AD36+AD38+AD59+AD83</f>
        <v>3460161</v>
      </c>
      <c r="AE33" s="687">
        <f>+AE36+AE38+AE59+AE83</f>
        <v>50292526</v>
      </c>
      <c r="AF33" s="687">
        <f t="shared" ref="AF33:AG33" si="14">+AF36+AF38+AF59+AF83</f>
        <v>3633028</v>
      </c>
      <c r="AG33" s="687">
        <f t="shared" si="14"/>
        <v>2580634</v>
      </c>
      <c r="AH33" s="688">
        <f>(+AH36+AH38+AH59+AH83)+6</f>
        <v>89029560</v>
      </c>
      <c r="AI33" s="90"/>
      <c r="AJ33" s="375"/>
      <c r="AK33" s="60">
        <f>AH33-U33</f>
        <v>-254812324</v>
      </c>
      <c r="AL33" s="53">
        <f>SUM(V33:AG33)-AH33</f>
        <v>254812324</v>
      </c>
      <c r="AN33" s="472">
        <f>U31+U33</f>
        <v>0</v>
      </c>
    </row>
    <row r="34" spans="1:40" s="35" customFormat="1" x14ac:dyDescent="0.2">
      <c r="A34" s="13"/>
      <c r="B34" s="13"/>
      <c r="C34" s="23"/>
      <c r="D34" s="13"/>
      <c r="E34" s="13"/>
      <c r="F34" s="678"/>
      <c r="G34" s="703"/>
      <c r="H34" s="704"/>
      <c r="I34" s="704"/>
      <c r="J34" s="704"/>
      <c r="K34" s="704"/>
      <c r="L34" s="704"/>
      <c r="M34" s="704"/>
      <c r="N34" s="704"/>
      <c r="O34" s="704"/>
      <c r="P34" s="704"/>
      <c r="Q34" s="704"/>
      <c r="R34" s="704"/>
      <c r="S34" s="704"/>
      <c r="T34" s="704"/>
      <c r="U34" s="703"/>
      <c r="V34" s="704"/>
      <c r="W34" s="704"/>
      <c r="X34" s="704"/>
      <c r="Y34" s="704"/>
      <c r="Z34" s="704"/>
      <c r="AA34" s="704"/>
      <c r="AB34" s="704"/>
      <c r="AC34" s="704"/>
      <c r="AD34" s="704"/>
      <c r="AE34" s="704"/>
      <c r="AF34" s="704"/>
      <c r="AG34" s="704"/>
      <c r="AH34" s="705"/>
      <c r="AI34" s="90"/>
      <c r="AJ34" s="375"/>
      <c r="AK34" s="60"/>
      <c r="AL34" s="53"/>
    </row>
    <row r="35" spans="1:40" s="35" customFormat="1" x14ac:dyDescent="0.2">
      <c r="A35" s="13"/>
      <c r="B35" s="13"/>
      <c r="C35" s="23"/>
      <c r="D35" s="13"/>
      <c r="E35" s="13"/>
      <c r="F35" s="678"/>
      <c r="G35" s="689"/>
      <c r="H35" s="687"/>
      <c r="I35" s="687"/>
      <c r="J35" s="687"/>
      <c r="K35" s="687"/>
      <c r="L35" s="687"/>
      <c r="M35" s="687"/>
      <c r="N35" s="687"/>
      <c r="O35" s="687"/>
      <c r="P35" s="687"/>
      <c r="Q35" s="687"/>
      <c r="R35" s="687"/>
      <c r="S35" s="687"/>
      <c r="T35" s="687"/>
      <c r="U35" s="689"/>
      <c r="V35" s="687"/>
      <c r="W35" s="687"/>
      <c r="X35" s="687"/>
      <c r="Y35" s="687"/>
      <c r="Z35" s="687"/>
      <c r="AA35" s="687"/>
      <c r="AB35" s="687"/>
      <c r="AC35" s="687"/>
      <c r="AD35" s="687"/>
      <c r="AE35" s="687"/>
      <c r="AF35" s="687"/>
      <c r="AG35" s="687"/>
      <c r="AH35" s="688"/>
      <c r="AI35" s="90"/>
      <c r="AJ35" s="375"/>
      <c r="AK35" s="60"/>
      <c r="AL35" s="53"/>
    </row>
    <row r="36" spans="1:40" s="35" customFormat="1" x14ac:dyDescent="0.2">
      <c r="A36" s="13"/>
      <c r="B36" s="13"/>
      <c r="C36" s="23" t="s">
        <v>37</v>
      </c>
      <c r="D36" s="13"/>
      <c r="E36" s="13"/>
      <c r="F36" s="678"/>
      <c r="G36" s="689">
        <f>[11]summary!$H$13</f>
        <v>48000000</v>
      </c>
      <c r="H36" s="687">
        <f>[11]summary!$M$13</f>
        <v>37582688</v>
      </c>
      <c r="I36" s="687">
        <f>[12]summary!$R$13</f>
        <v>16125619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Q36" s="687">
        <v>0</v>
      </c>
      <c r="R36" s="687">
        <v>0</v>
      </c>
      <c r="S36" s="687">
        <v>0</v>
      </c>
      <c r="T36" s="687">
        <f>SUM(H36:S36)</f>
        <v>53708307</v>
      </c>
      <c r="U36" s="689">
        <f>[11]summary!$BZ$13</f>
        <v>36077502</v>
      </c>
      <c r="V36" s="687">
        <f>[11]summary!$CE$13</f>
        <v>32089095</v>
      </c>
      <c r="W36" s="687">
        <f>[46]summary!$R$13</f>
        <v>12375928</v>
      </c>
      <c r="X36" s="687">
        <f>[46]summary!$W$13</f>
        <v>21645154</v>
      </c>
      <c r="Y36" s="687">
        <f>[46]summary!$AB$13</f>
        <v>4387554</v>
      </c>
      <c r="Z36" s="687">
        <f>[46]summary!$AG$13</f>
        <v>10613091</v>
      </c>
      <c r="AA36" s="687">
        <f>[46]summary!$AL$13</f>
        <v>-17323880</v>
      </c>
      <c r="AB36" s="687">
        <f>[46]summary!$AQ$13</f>
        <v>7778423</v>
      </c>
      <c r="AC36" s="687">
        <f>[46]summary!$AV$13</f>
        <v>6126860</v>
      </c>
      <c r="AD36" s="687">
        <f>[46]summary!$BA$13</f>
        <v>-16508019</v>
      </c>
      <c r="AE36" s="687">
        <f>[46]summary!$BF$13</f>
        <v>13250851</v>
      </c>
      <c r="AF36" s="687">
        <f>[46]summary!$BK$13</f>
        <v>-2500139</v>
      </c>
      <c r="AG36" s="687">
        <f>[46]summary!$BP$13</f>
        <v>-35857416</v>
      </c>
      <c r="AH36" s="688">
        <f>SUM(V36:W36)</f>
        <v>44465023</v>
      </c>
      <c r="AI36" s="90"/>
      <c r="AJ36" s="375"/>
      <c r="AK36" s="60">
        <f t="shared" si="9"/>
        <v>8387521</v>
      </c>
      <c r="AL36" s="53">
        <f t="shared" ref="AL36:AL77" si="15">SUM(V36:AG36)-AH36</f>
        <v>-8387521</v>
      </c>
    </row>
    <row r="37" spans="1:40" s="35" customFormat="1" x14ac:dyDescent="0.2">
      <c r="A37" s="13"/>
      <c r="B37" s="13"/>
      <c r="C37" s="23"/>
      <c r="D37" s="13"/>
      <c r="E37" s="13"/>
      <c r="F37" s="678"/>
      <c r="G37" s="689"/>
      <c r="H37" s="687"/>
      <c r="I37" s="687"/>
      <c r="J37" s="687"/>
      <c r="K37" s="687"/>
      <c r="L37" s="687"/>
      <c r="M37" s="687"/>
      <c r="N37" s="687"/>
      <c r="O37" s="687"/>
      <c r="P37" s="687"/>
      <c r="Q37" s="687"/>
      <c r="R37" s="687"/>
      <c r="S37" s="687"/>
      <c r="T37" s="687"/>
      <c r="U37" s="689"/>
      <c r="V37" s="687"/>
      <c r="W37" s="687"/>
      <c r="X37" s="687"/>
      <c r="Y37" s="687"/>
      <c r="Z37" s="687"/>
      <c r="AA37" s="687"/>
      <c r="AB37" s="687"/>
      <c r="AC37" s="687"/>
      <c r="AD37" s="687"/>
      <c r="AE37" s="687"/>
      <c r="AF37" s="687"/>
      <c r="AG37" s="687"/>
      <c r="AH37" s="688"/>
      <c r="AI37" s="90"/>
      <c r="AJ37" s="375"/>
      <c r="AK37" s="60"/>
      <c r="AL37" s="53"/>
    </row>
    <row r="38" spans="1:40" s="35" customFormat="1" x14ac:dyDescent="0.2">
      <c r="A38" s="13"/>
      <c r="B38" s="13"/>
      <c r="C38" s="23" t="s">
        <v>38</v>
      </c>
      <c r="D38" s="13"/>
      <c r="E38" s="13"/>
      <c r="F38" s="678"/>
      <c r="G38" s="689">
        <f>+G40+G47+G52+G56</f>
        <v>285235000</v>
      </c>
      <c r="H38" s="706">
        <f>+H40+H47+H52+H56</f>
        <v>32850713</v>
      </c>
      <c r="I38" s="706">
        <f>+I40+I47+I52+I56</f>
        <v>40638036.743999995</v>
      </c>
      <c r="J38" s="706">
        <v>0</v>
      </c>
      <c r="K38" s="706">
        <v>0</v>
      </c>
      <c r="L38" s="706">
        <v>0</v>
      </c>
      <c r="M38" s="706">
        <v>0</v>
      </c>
      <c r="N38" s="706">
        <v>0</v>
      </c>
      <c r="O38" s="706">
        <v>0</v>
      </c>
      <c r="P38" s="706">
        <v>0</v>
      </c>
      <c r="Q38" s="706">
        <v>0</v>
      </c>
      <c r="R38" s="706">
        <v>0</v>
      </c>
      <c r="S38" s="706">
        <v>0</v>
      </c>
      <c r="T38" s="687">
        <f>+T40+T47+T52+T56</f>
        <v>73488749.743999988</v>
      </c>
      <c r="U38" s="689">
        <f>+U40+U47+U52+U56</f>
        <v>286021581</v>
      </c>
      <c r="V38" s="706">
        <f>+V40+V47+V52+V56</f>
        <v>19134410</v>
      </c>
      <c r="W38" s="706">
        <f t="shared" ref="W38:AF38" si="16">+W40+W47+W52+W56</f>
        <v>24383035</v>
      </c>
      <c r="X38" s="706">
        <f t="shared" si="16"/>
        <v>19205091</v>
      </c>
      <c r="Y38" s="706">
        <f t="shared" si="16"/>
        <v>22800224</v>
      </c>
      <c r="Z38" s="706">
        <f t="shared" si="16"/>
        <v>28165310</v>
      </c>
      <c r="AA38" s="706">
        <f t="shared" si="16"/>
        <v>29107369</v>
      </c>
      <c r="AB38" s="706">
        <f t="shared" si="16"/>
        <v>30927020</v>
      </c>
      <c r="AC38" s="706">
        <f t="shared" si="16"/>
        <v>30718792</v>
      </c>
      <c r="AD38" s="706">
        <f t="shared" si="16"/>
        <v>23853310</v>
      </c>
      <c r="AE38" s="706">
        <f t="shared" si="16"/>
        <v>3150815</v>
      </c>
      <c r="AF38" s="706">
        <f t="shared" si="16"/>
        <v>29159155</v>
      </c>
      <c r="AG38" s="706">
        <f>+AG40+AG47+AG52+AG56</f>
        <v>25417050</v>
      </c>
      <c r="AH38" s="688">
        <f>+AH40+AH47+AH52+AH56</f>
        <v>43517445</v>
      </c>
      <c r="AI38" s="90"/>
      <c r="AJ38" s="375"/>
      <c r="AK38" s="707">
        <f>AH38-U38</f>
        <v>-242504136</v>
      </c>
      <c r="AL38" s="53">
        <f>SUM(V38:AG38)-AH38</f>
        <v>242504136</v>
      </c>
    </row>
    <row r="39" spans="1:40" x14ac:dyDescent="0.2">
      <c r="A39" s="55"/>
      <c r="B39" s="55"/>
      <c r="C39" s="29"/>
      <c r="D39" s="55"/>
      <c r="E39" s="55"/>
      <c r="F39" s="128"/>
      <c r="G39" s="708"/>
      <c r="H39" s="709"/>
      <c r="I39" s="709"/>
      <c r="J39" s="709"/>
      <c r="K39" s="709"/>
      <c r="L39" s="709"/>
      <c r="M39" s="709"/>
      <c r="N39" s="709"/>
      <c r="O39" s="709"/>
      <c r="P39" s="709"/>
      <c r="Q39" s="709"/>
      <c r="R39" s="709"/>
      <c r="S39" s="709"/>
      <c r="T39" s="709"/>
      <c r="U39" s="708"/>
      <c r="V39" s="709"/>
      <c r="W39" s="709"/>
      <c r="X39" s="709"/>
      <c r="Y39" s="709"/>
      <c r="Z39" s="709"/>
      <c r="AA39" s="709"/>
      <c r="AB39" s="709"/>
      <c r="AC39" s="709"/>
      <c r="AD39" s="709"/>
      <c r="AE39" s="709"/>
      <c r="AF39" s="709"/>
      <c r="AG39" s="709"/>
      <c r="AH39" s="710"/>
      <c r="AI39" s="59"/>
      <c r="AJ39" s="129"/>
      <c r="AK39" s="60"/>
      <c r="AL39" s="53"/>
    </row>
    <row r="40" spans="1:40" x14ac:dyDescent="0.2">
      <c r="A40" s="55"/>
      <c r="B40" s="55"/>
      <c r="C40" s="29"/>
      <c r="D40" s="55" t="s">
        <v>521</v>
      </c>
      <c r="E40" s="55"/>
      <c r="F40" s="128"/>
      <c r="G40" s="708">
        <f>SUM(G41:G45)</f>
        <v>285235000</v>
      </c>
      <c r="H40" s="709">
        <f>SUM(H41:H45)</f>
        <v>32850713</v>
      </c>
      <c r="I40" s="709">
        <f t="shared" ref="I40:AB40" si="17">SUM(I41:I45)</f>
        <v>40638036.743999995</v>
      </c>
      <c r="J40" s="709">
        <f t="shared" si="17"/>
        <v>0</v>
      </c>
      <c r="K40" s="709">
        <f t="shared" si="17"/>
        <v>0</v>
      </c>
      <c r="L40" s="709">
        <f t="shared" si="17"/>
        <v>0</v>
      </c>
      <c r="M40" s="709">
        <f t="shared" si="17"/>
        <v>0</v>
      </c>
      <c r="N40" s="709">
        <f t="shared" si="17"/>
        <v>0</v>
      </c>
      <c r="O40" s="709">
        <f>SUM(O41:O45)</f>
        <v>0</v>
      </c>
      <c r="P40" s="709">
        <f t="shared" si="17"/>
        <v>0</v>
      </c>
      <c r="Q40" s="709">
        <f t="shared" si="17"/>
        <v>0</v>
      </c>
      <c r="R40" s="709">
        <f t="shared" si="17"/>
        <v>0</v>
      </c>
      <c r="S40" s="709">
        <f t="shared" si="17"/>
        <v>0</v>
      </c>
      <c r="T40" s="693">
        <f>SUM(T41:T45)</f>
        <v>73488749.743999988</v>
      </c>
      <c r="U40" s="708">
        <f t="shared" si="17"/>
        <v>286310871</v>
      </c>
      <c r="V40" s="709">
        <f t="shared" si="17"/>
        <v>19134410</v>
      </c>
      <c r="W40" s="709">
        <f t="shared" si="17"/>
        <v>24672325</v>
      </c>
      <c r="X40" s="709">
        <f t="shared" si="17"/>
        <v>19205091</v>
      </c>
      <c r="Y40" s="709">
        <f t="shared" si="17"/>
        <v>22800224</v>
      </c>
      <c r="Z40" s="709">
        <f t="shared" si="17"/>
        <v>28165310</v>
      </c>
      <c r="AA40" s="709">
        <f t="shared" si="17"/>
        <v>29107369</v>
      </c>
      <c r="AB40" s="709">
        <f t="shared" si="17"/>
        <v>30927020</v>
      </c>
      <c r="AC40" s="709">
        <f>SUM(AC41:AC45)</f>
        <v>30718792</v>
      </c>
      <c r="AD40" s="709">
        <f t="shared" ref="AD40:AG40" si="18">SUM(AD41:AD45)</f>
        <v>23853310</v>
      </c>
      <c r="AE40" s="709">
        <f t="shared" si="18"/>
        <v>3150815</v>
      </c>
      <c r="AF40" s="709">
        <f t="shared" si="18"/>
        <v>29159155</v>
      </c>
      <c r="AG40" s="709">
        <f t="shared" si="18"/>
        <v>25417050</v>
      </c>
      <c r="AH40" s="696">
        <f>SUM(AH41:AH45)</f>
        <v>43806735</v>
      </c>
      <c r="AI40" s="59"/>
      <c r="AJ40" s="129"/>
      <c r="AK40" s="707">
        <f>AH40-U40</f>
        <v>-242504136</v>
      </c>
      <c r="AL40" s="53">
        <f t="shared" si="15"/>
        <v>242504136</v>
      </c>
    </row>
    <row r="41" spans="1:40" x14ac:dyDescent="0.2">
      <c r="A41" s="55"/>
      <c r="B41" s="55"/>
      <c r="C41" s="29"/>
      <c r="D41" s="55"/>
      <c r="E41" s="55" t="s">
        <v>522</v>
      </c>
      <c r="F41" s="128"/>
      <c r="G41" s="694">
        <f>[11]summary!$H$25</f>
        <v>343646000</v>
      </c>
      <c r="H41" s="693">
        <f>[11]summary!$M$25</f>
        <v>38350619</v>
      </c>
      <c r="I41" s="693">
        <f>[12]summary!$R$25</f>
        <v>45031287.743999995</v>
      </c>
      <c r="J41" s="693">
        <v>0</v>
      </c>
      <c r="K41" s="693">
        <v>0</v>
      </c>
      <c r="L41" s="693">
        <v>0</v>
      </c>
      <c r="M41" s="693">
        <v>0</v>
      </c>
      <c r="N41" s="693">
        <v>0</v>
      </c>
      <c r="O41" s="693">
        <v>0</v>
      </c>
      <c r="P41" s="693">
        <v>0</v>
      </c>
      <c r="Q41" s="693">
        <v>0</v>
      </c>
      <c r="R41" s="693">
        <v>0</v>
      </c>
      <c r="S41" s="693">
        <v>0</v>
      </c>
      <c r="T41" s="693">
        <f>SUM(H41:S41)</f>
        <v>83381906.743999988</v>
      </c>
      <c r="U41" s="694">
        <f>[11]summary!$BZ$25</f>
        <v>335517549</v>
      </c>
      <c r="V41" s="693">
        <f>[11]summary!$CE$25</f>
        <v>20725876</v>
      </c>
      <c r="W41" s="693">
        <f>[46]summary!$R$25</f>
        <v>26579251</v>
      </c>
      <c r="X41" s="693">
        <f>[46]summary!$W$25</f>
        <v>21124207</v>
      </c>
      <c r="Y41" s="693">
        <f>[46]summary!$AB$25</f>
        <v>24760828</v>
      </c>
      <c r="Z41" s="693">
        <f>[46]summary!$AG$25</f>
        <v>30904734</v>
      </c>
      <c r="AA41" s="693">
        <f>[46]summary!$AL$25</f>
        <v>32089447</v>
      </c>
      <c r="AB41" s="693">
        <f>[46]summary!$AQ$25</f>
        <v>33970885</v>
      </c>
      <c r="AC41" s="693">
        <f>[46]summary!$AV$25</f>
        <v>34588835</v>
      </c>
      <c r="AD41" s="693">
        <f>[46]summary!$BA$25</f>
        <v>26476333</v>
      </c>
      <c r="AE41" s="693">
        <f>[46]summary!$BF$25</f>
        <v>21562772</v>
      </c>
      <c r="AF41" s="693">
        <f>[46]summary!$BK$25</f>
        <v>32267535</v>
      </c>
      <c r="AG41" s="693">
        <f>[46]summary!$BP$25</f>
        <v>30466846</v>
      </c>
      <c r="AH41" s="696">
        <f t="shared" ref="AH41:AH44" si="19">SUM(V41:W41)</f>
        <v>47305127</v>
      </c>
      <c r="AI41" s="59"/>
      <c r="AJ41" s="129"/>
      <c r="AK41" s="707">
        <f>AH41-U41</f>
        <v>-288212422</v>
      </c>
      <c r="AL41" s="53">
        <f t="shared" si="15"/>
        <v>288212422</v>
      </c>
    </row>
    <row r="42" spans="1:40" x14ac:dyDescent="0.2">
      <c r="A42" s="55"/>
      <c r="B42" s="55"/>
      <c r="C42" s="29"/>
      <c r="D42" s="55"/>
      <c r="E42" s="55" t="s">
        <v>523</v>
      </c>
      <c r="F42" s="128"/>
      <c r="G42" s="694">
        <f>[11]summary!$H$26</f>
        <v>-5946000</v>
      </c>
      <c r="H42" s="693">
        <f>[11]summary!$M$26</f>
        <v>-4299769</v>
      </c>
      <c r="I42" s="693">
        <f>[12]summary!$R$26</f>
        <v>-4058204</v>
      </c>
      <c r="J42" s="693">
        <v>0</v>
      </c>
      <c r="K42" s="693">
        <v>0</v>
      </c>
      <c r="L42" s="693">
        <v>0</v>
      </c>
      <c r="M42" s="693">
        <v>0</v>
      </c>
      <c r="N42" s="693">
        <v>0</v>
      </c>
      <c r="O42" s="693">
        <v>0</v>
      </c>
      <c r="P42" s="693">
        <v>0</v>
      </c>
      <c r="Q42" s="693">
        <v>0</v>
      </c>
      <c r="R42" s="693">
        <v>0</v>
      </c>
      <c r="S42" s="693">
        <v>0</v>
      </c>
      <c r="T42" s="693">
        <f>SUM(H42:S42)</f>
        <v>-8357973</v>
      </c>
      <c r="U42" s="694">
        <f>[11]summary!$BZ$26</f>
        <v>-29779023</v>
      </c>
      <c r="V42" s="693">
        <f>[11]summary!$CE$26</f>
        <v>-1256954</v>
      </c>
      <c r="W42" s="693">
        <f>[46]summary!$R$26</f>
        <v>-1652532</v>
      </c>
      <c r="X42" s="693">
        <f>[46]summary!$W$26</f>
        <v>-1668026</v>
      </c>
      <c r="Y42" s="693">
        <f>[46]summary!$AB$26</f>
        <v>-1721005</v>
      </c>
      <c r="Z42" s="693">
        <f>[46]summary!$AG$26</f>
        <v>-2422421</v>
      </c>
      <c r="AA42" s="693">
        <f>[46]summary!$AL$26</f>
        <v>-2517677</v>
      </c>
      <c r="AB42" s="693">
        <f>[46]summary!$AQ$26</f>
        <v>-2852893</v>
      </c>
      <c r="AC42" s="693">
        <f>[46]summary!$AV$26</f>
        <v>-3497342</v>
      </c>
      <c r="AD42" s="693">
        <f>[46]summary!$BA$26</f>
        <v>-2287072</v>
      </c>
      <c r="AE42" s="693">
        <f>[46]summary!$BF$26</f>
        <v>-2282238</v>
      </c>
      <c r="AF42" s="693">
        <f>[46]summary!$BK$26</f>
        <v>-2868557</v>
      </c>
      <c r="AG42" s="693">
        <f>[46]summary!$BP$26</f>
        <v>-4752306</v>
      </c>
      <c r="AH42" s="696">
        <f t="shared" si="19"/>
        <v>-2909486</v>
      </c>
      <c r="AI42" s="59"/>
      <c r="AJ42" s="129"/>
      <c r="AK42" s="707">
        <f t="shared" si="9"/>
        <v>26869537</v>
      </c>
      <c r="AL42" s="53">
        <f t="shared" si="15"/>
        <v>-26869537</v>
      </c>
    </row>
    <row r="43" spans="1:40" hidden="1" x14ac:dyDescent="0.2">
      <c r="A43" s="55"/>
      <c r="B43" s="55"/>
      <c r="C43" s="29"/>
      <c r="D43" s="55"/>
      <c r="E43" s="55" t="s">
        <v>524</v>
      </c>
      <c r="F43" s="128"/>
      <c r="G43" s="694"/>
      <c r="H43" s="693"/>
      <c r="I43" s="693"/>
      <c r="J43" s="693"/>
      <c r="K43" s="693"/>
      <c r="L43" s="693"/>
      <c r="M43" s="693"/>
      <c r="N43" s="693"/>
      <c r="O43" s="693"/>
      <c r="P43" s="693"/>
      <c r="Q43" s="693"/>
      <c r="R43" s="693"/>
      <c r="S43" s="693"/>
      <c r="T43" s="693"/>
      <c r="U43" s="694"/>
      <c r="V43" s="693"/>
      <c r="W43" s="693"/>
      <c r="X43" s="693"/>
      <c r="Y43" s="693"/>
      <c r="Z43" s="693"/>
      <c r="AA43" s="693"/>
      <c r="AB43" s="693"/>
      <c r="AC43" s="693"/>
      <c r="AD43" s="693"/>
      <c r="AE43" s="693"/>
      <c r="AF43" s="693"/>
      <c r="AG43" s="693"/>
      <c r="AH43" s="696">
        <f t="shared" si="19"/>
        <v>0</v>
      </c>
      <c r="AI43" s="59"/>
      <c r="AJ43" s="129"/>
      <c r="AK43" s="60"/>
      <c r="AL43" s="53"/>
    </row>
    <row r="44" spans="1:40" x14ac:dyDescent="0.2">
      <c r="A44" s="55"/>
      <c r="B44" s="55"/>
      <c r="C44" s="29"/>
      <c r="D44" s="55"/>
      <c r="E44" s="55" t="s">
        <v>468</v>
      </c>
      <c r="F44" s="128"/>
      <c r="G44" s="694">
        <f>[11]summary!$H$28</f>
        <v>-52465000</v>
      </c>
      <c r="H44" s="693">
        <f>[11]summary!$M$28</f>
        <v>-1200137</v>
      </c>
      <c r="I44" s="693">
        <f>+[12]summary!$R$27</f>
        <v>-335047</v>
      </c>
      <c r="J44" s="693">
        <v>0</v>
      </c>
      <c r="K44" s="693">
        <v>0</v>
      </c>
      <c r="L44" s="693">
        <v>0</v>
      </c>
      <c r="M44" s="693">
        <v>0</v>
      </c>
      <c r="N44" s="693">
        <v>0</v>
      </c>
      <c r="O44" s="693">
        <v>0</v>
      </c>
      <c r="P44" s="693">
        <v>0</v>
      </c>
      <c r="Q44" s="693">
        <v>0</v>
      </c>
      <c r="R44" s="693">
        <v>0</v>
      </c>
      <c r="S44" s="693">
        <v>0</v>
      </c>
      <c r="T44" s="693">
        <f>SUM(H44:S44)</f>
        <v>-1535184</v>
      </c>
      <c r="U44" s="694">
        <f>[11]summary!$BZ$28</f>
        <v>-19427655</v>
      </c>
      <c r="V44" s="693">
        <f>[11]summary!$CE$28</f>
        <v>-334512</v>
      </c>
      <c r="W44" s="693">
        <f>[46]summary!$R$28</f>
        <v>-254394</v>
      </c>
      <c r="X44" s="693">
        <f>[46]summary!$W$28</f>
        <v>-251090</v>
      </c>
      <c r="Y44" s="693">
        <f>[46]summary!$AB$28</f>
        <v>-239599</v>
      </c>
      <c r="Z44" s="693">
        <f>[46]summary!$AG$28</f>
        <v>-317003</v>
      </c>
      <c r="AA44" s="693">
        <f>[46]summary!$AL$28</f>
        <v>-464401</v>
      </c>
      <c r="AB44" s="693">
        <f>[46]summary!$AQ$28</f>
        <v>-190972</v>
      </c>
      <c r="AC44" s="693">
        <f>[46]summary!$AV$28</f>
        <v>-372701</v>
      </c>
      <c r="AD44" s="693">
        <f>[46]summary!$BA$28</f>
        <v>-335951</v>
      </c>
      <c r="AE44" s="693">
        <f>[46]summary!$BF$28</f>
        <v>-16129719</v>
      </c>
      <c r="AF44" s="693">
        <f>[46]summary!$BK$28</f>
        <v>-239823</v>
      </c>
      <c r="AG44" s="693">
        <f>[46]summary!$BP$28</f>
        <v>-297490</v>
      </c>
      <c r="AH44" s="696">
        <f t="shared" si="19"/>
        <v>-588906</v>
      </c>
      <c r="AI44" s="59"/>
      <c r="AJ44" s="129"/>
      <c r="AK44" s="60">
        <f t="shared" si="9"/>
        <v>18838749</v>
      </c>
      <c r="AL44" s="53">
        <f t="shared" si="15"/>
        <v>-18838749</v>
      </c>
    </row>
    <row r="45" spans="1:40" hidden="1" x14ac:dyDescent="0.2">
      <c r="A45" s="55"/>
      <c r="B45" s="55"/>
      <c r="C45" s="29"/>
      <c r="D45" s="55"/>
      <c r="E45" s="55" t="s">
        <v>525</v>
      </c>
      <c r="F45" s="128"/>
      <c r="G45" s="694">
        <v>0</v>
      </c>
      <c r="H45" s="693">
        <v>0</v>
      </c>
      <c r="I45" s="693">
        <v>0</v>
      </c>
      <c r="J45" s="693">
        <v>0</v>
      </c>
      <c r="K45" s="693">
        <v>0</v>
      </c>
      <c r="L45" s="693">
        <v>0</v>
      </c>
      <c r="M45" s="693">
        <v>0</v>
      </c>
      <c r="N45" s="693">
        <v>0</v>
      </c>
      <c r="O45" s="693">
        <v>0</v>
      </c>
      <c r="P45" s="693">
        <v>0</v>
      </c>
      <c r="Q45" s="693">
        <v>0</v>
      </c>
      <c r="R45" s="693">
        <v>0</v>
      </c>
      <c r="S45" s="693">
        <v>0</v>
      </c>
      <c r="T45" s="693">
        <f>SUM(H45:S45)</f>
        <v>0</v>
      </c>
      <c r="U45" s="694">
        <v>0</v>
      </c>
      <c r="V45" s="693">
        <v>0</v>
      </c>
      <c r="W45" s="693">
        <v>0</v>
      </c>
      <c r="X45" s="693">
        <v>0</v>
      </c>
      <c r="Y45" s="693">
        <v>0</v>
      </c>
      <c r="Z45" s="693">
        <v>0</v>
      </c>
      <c r="AA45" s="693">
        <v>0</v>
      </c>
      <c r="AB45" s="693">
        <v>0</v>
      </c>
      <c r="AC45" s="693">
        <v>0</v>
      </c>
      <c r="AD45" s="693">
        <v>0</v>
      </c>
      <c r="AE45" s="693">
        <v>0</v>
      </c>
      <c r="AF45" s="693">
        <v>0</v>
      </c>
      <c r="AG45" s="693">
        <v>0</v>
      </c>
      <c r="AH45" s="696">
        <f>SUM(V45:AG45)</f>
        <v>0</v>
      </c>
      <c r="AI45" s="59"/>
      <c r="AJ45" s="129"/>
      <c r="AK45" s="60">
        <f t="shared" si="9"/>
        <v>0</v>
      </c>
      <c r="AL45" s="53">
        <f t="shared" si="15"/>
        <v>0</v>
      </c>
    </row>
    <row r="46" spans="1:40" x14ac:dyDescent="0.2">
      <c r="A46" s="55"/>
      <c r="B46" s="55"/>
      <c r="C46" s="29"/>
      <c r="D46" s="55"/>
      <c r="E46" s="55"/>
      <c r="F46" s="128"/>
      <c r="G46" s="694"/>
      <c r="H46" s="693"/>
      <c r="I46" s="693"/>
      <c r="J46" s="693"/>
      <c r="K46" s="693"/>
      <c r="L46" s="693"/>
      <c r="M46" s="693"/>
      <c r="N46" s="693"/>
      <c r="O46" s="693"/>
      <c r="P46" s="693"/>
      <c r="Q46" s="693"/>
      <c r="R46" s="693"/>
      <c r="S46" s="693"/>
      <c r="T46" s="693"/>
      <c r="U46" s="694"/>
      <c r="V46" s="693"/>
      <c r="W46" s="693"/>
      <c r="X46" s="693"/>
      <c r="Y46" s="693"/>
      <c r="Z46" s="693"/>
      <c r="AA46" s="693"/>
      <c r="AB46" s="693"/>
      <c r="AC46" s="693"/>
      <c r="AD46" s="693"/>
      <c r="AE46" s="693"/>
      <c r="AF46" s="693"/>
      <c r="AG46" s="693"/>
      <c r="AH46" s="696"/>
      <c r="AI46" s="59"/>
      <c r="AJ46" s="129"/>
      <c r="AK46" s="60"/>
      <c r="AL46" s="53"/>
    </row>
    <row r="47" spans="1:40" x14ac:dyDescent="0.2">
      <c r="A47" s="55"/>
      <c r="B47" s="55"/>
      <c r="C47" s="29"/>
      <c r="D47" s="55" t="s">
        <v>526</v>
      </c>
      <c r="E47" s="55"/>
      <c r="F47" s="128"/>
      <c r="G47" s="694">
        <f>SUM(G48:G50)</f>
        <v>0</v>
      </c>
      <c r="H47" s="709">
        <f>SUM(H48:H50)</f>
        <v>0</v>
      </c>
      <c r="I47" s="709">
        <f>SUM(I48:I50)</f>
        <v>0</v>
      </c>
      <c r="J47" s="709">
        <f t="shared" ref="J47:S47" si="20">SUM(J48:J50)</f>
        <v>0</v>
      </c>
      <c r="K47" s="709">
        <f t="shared" si="20"/>
        <v>0</v>
      </c>
      <c r="L47" s="709">
        <f t="shared" si="20"/>
        <v>0</v>
      </c>
      <c r="M47" s="709">
        <f t="shared" si="20"/>
        <v>0</v>
      </c>
      <c r="N47" s="709">
        <f t="shared" si="20"/>
        <v>0</v>
      </c>
      <c r="O47" s="709">
        <f t="shared" si="20"/>
        <v>0</v>
      </c>
      <c r="P47" s="709">
        <f t="shared" si="20"/>
        <v>0</v>
      </c>
      <c r="Q47" s="709">
        <f t="shared" si="20"/>
        <v>0</v>
      </c>
      <c r="R47" s="709">
        <f t="shared" si="20"/>
        <v>0</v>
      </c>
      <c r="S47" s="709">
        <f t="shared" si="20"/>
        <v>0</v>
      </c>
      <c r="T47" s="693">
        <f>SUM(T48:T50)</f>
        <v>0</v>
      </c>
      <c r="U47" s="694">
        <f>SUM(U48:U50)</f>
        <v>-289290</v>
      </c>
      <c r="V47" s="709">
        <f>SUM(V48:V50)</f>
        <v>0</v>
      </c>
      <c r="W47" s="709">
        <f t="shared" ref="W47:AG47" si="21">SUM(W48:W50)</f>
        <v>-289290</v>
      </c>
      <c r="X47" s="709">
        <f t="shared" si="21"/>
        <v>0</v>
      </c>
      <c r="Y47" s="709">
        <f t="shared" si="21"/>
        <v>0</v>
      </c>
      <c r="Z47" s="709">
        <f t="shared" si="21"/>
        <v>0</v>
      </c>
      <c r="AA47" s="709">
        <f t="shared" si="21"/>
        <v>0</v>
      </c>
      <c r="AB47" s="709">
        <f t="shared" si="21"/>
        <v>0</v>
      </c>
      <c r="AC47" s="709">
        <f t="shared" si="21"/>
        <v>0</v>
      </c>
      <c r="AD47" s="709">
        <f t="shared" si="21"/>
        <v>0</v>
      </c>
      <c r="AE47" s="709">
        <f t="shared" si="21"/>
        <v>0</v>
      </c>
      <c r="AF47" s="709">
        <f t="shared" si="21"/>
        <v>0</v>
      </c>
      <c r="AG47" s="709">
        <f t="shared" si="21"/>
        <v>0</v>
      </c>
      <c r="AH47" s="696">
        <f>SUM(AH48:AH50)</f>
        <v>-289290</v>
      </c>
      <c r="AI47" s="59"/>
      <c r="AJ47" s="129"/>
      <c r="AK47" s="60">
        <f t="shared" si="9"/>
        <v>0</v>
      </c>
      <c r="AL47" s="53">
        <f t="shared" si="15"/>
        <v>0</v>
      </c>
    </row>
    <row r="48" spans="1:40" x14ac:dyDescent="0.2">
      <c r="A48" s="55"/>
      <c r="B48" s="55"/>
      <c r="C48" s="29"/>
      <c r="D48" s="55"/>
      <c r="E48" s="55" t="s">
        <v>522</v>
      </c>
      <c r="F48" s="128"/>
      <c r="G48" s="694">
        <f>[11]summary!$H$32</f>
        <v>0</v>
      </c>
      <c r="H48" s="693">
        <f>[11]summary!$M$32</f>
        <v>0</v>
      </c>
      <c r="I48" s="693">
        <f>[12]summary!$R$32</f>
        <v>0</v>
      </c>
      <c r="J48" s="693">
        <f>[47]summary!$W$32</f>
        <v>0</v>
      </c>
      <c r="K48" s="693">
        <f>[48]summary!$AB$32</f>
        <v>0</v>
      </c>
      <c r="L48" s="693">
        <f>[49]summary!$AG$32</f>
        <v>0</v>
      </c>
      <c r="M48" s="693">
        <f>[50]summary!$AL$32</f>
        <v>0</v>
      </c>
      <c r="N48" s="693">
        <f>[51]summary!$AQ$32</f>
        <v>0</v>
      </c>
      <c r="O48" s="693">
        <f>[52]summary!$AV$32</f>
        <v>0</v>
      </c>
      <c r="P48" s="693">
        <f>[53]summary!$BA$32</f>
        <v>0</v>
      </c>
      <c r="Q48" s="693">
        <f>[54]summary!$BF$32</f>
        <v>0</v>
      </c>
      <c r="R48" s="693">
        <f>[55]summary!$BK$32</f>
        <v>0</v>
      </c>
      <c r="S48" s="693">
        <f>[46]summary!$BP$32</f>
        <v>0</v>
      </c>
      <c r="T48" s="693">
        <f>SUM(H48:S48)</f>
        <v>0</v>
      </c>
      <c r="U48" s="694">
        <f>[11]summary!$BZ$32</f>
        <v>14152656</v>
      </c>
      <c r="V48" s="693">
        <f>[11]summary!$CE$32</f>
        <v>0</v>
      </c>
      <c r="W48" s="693">
        <f>[46]summary!$R$32</f>
        <v>14152656</v>
      </c>
      <c r="X48" s="693">
        <f>[47]summary!$W$32</f>
        <v>0</v>
      </c>
      <c r="Y48" s="693">
        <f>[48]summary!$AB$32</f>
        <v>0</v>
      </c>
      <c r="Z48" s="693">
        <f>[49]summary!$AG$32</f>
        <v>0</v>
      </c>
      <c r="AA48" s="693">
        <f>[50]summary!$AL$32</f>
        <v>0</v>
      </c>
      <c r="AB48" s="693">
        <f>[51]summary!$AQ$32</f>
        <v>0</v>
      </c>
      <c r="AC48" s="693">
        <f>[52]summary!$AV$32</f>
        <v>0</v>
      </c>
      <c r="AD48" s="693">
        <f>[53]summary!$BA$32</f>
        <v>0</v>
      </c>
      <c r="AE48" s="693">
        <f>[54]summary!$BF$32</f>
        <v>0</v>
      </c>
      <c r="AF48" s="693">
        <f>[55]summary!$BK$32</f>
        <v>0</v>
      </c>
      <c r="AG48" s="693">
        <f>[46]summary!$BP$32</f>
        <v>0</v>
      </c>
      <c r="AH48" s="696">
        <f>SUM(V48:W48)</f>
        <v>14152656</v>
      </c>
      <c r="AI48" s="59"/>
      <c r="AJ48" s="129"/>
      <c r="AK48" s="60">
        <f t="shared" si="9"/>
        <v>0</v>
      </c>
      <c r="AL48" s="53">
        <f t="shared" si="15"/>
        <v>0</v>
      </c>
    </row>
    <row r="49" spans="1:40" x14ac:dyDescent="0.2">
      <c r="A49" s="55"/>
      <c r="B49" s="55"/>
      <c r="C49" s="29"/>
      <c r="D49" s="55"/>
      <c r="E49" s="55" t="s">
        <v>523</v>
      </c>
      <c r="F49" s="128"/>
      <c r="G49" s="694">
        <f>[11]summary!$H$33</f>
        <v>0</v>
      </c>
      <c r="H49" s="693">
        <f>[11]summary!$M$33</f>
        <v>0</v>
      </c>
      <c r="I49" s="693">
        <f>[12]summary!$R$33</f>
        <v>0</v>
      </c>
      <c r="J49" s="693">
        <f>[47]summary!$W$33</f>
        <v>0</v>
      </c>
      <c r="K49" s="693">
        <f>[48]summary!$AB$33</f>
        <v>0</v>
      </c>
      <c r="L49" s="693">
        <f>[49]summary!$AG$33</f>
        <v>0</v>
      </c>
      <c r="M49" s="693">
        <f>[50]summary!$AL$33</f>
        <v>0</v>
      </c>
      <c r="N49" s="693">
        <f>[51]summary!$AQ$33</f>
        <v>0</v>
      </c>
      <c r="O49" s="693">
        <f>[52]summary!$AV$33</f>
        <v>0</v>
      </c>
      <c r="P49" s="693">
        <f>[53]summary!$BA$33</f>
        <v>0</v>
      </c>
      <c r="Q49" s="693">
        <f>[54]summary!$BF$33</f>
        <v>0</v>
      </c>
      <c r="R49" s="693">
        <f>[55]summary!$BK$33</f>
        <v>0</v>
      </c>
      <c r="S49" s="693">
        <f>[46]summary!$BP$33</f>
        <v>0</v>
      </c>
      <c r="T49" s="693">
        <f>SUM(H49:S49)</f>
        <v>0</v>
      </c>
      <c r="U49" s="694">
        <f>[11]summary!$BZ$33</f>
        <v>-1646946</v>
      </c>
      <c r="V49" s="693">
        <f>[11]summary!$CE$33</f>
        <v>0</v>
      </c>
      <c r="W49" s="693">
        <f>[46]summary!$R$33</f>
        <v>-1646946</v>
      </c>
      <c r="X49" s="693">
        <f>[47]summary!$W$33</f>
        <v>0</v>
      </c>
      <c r="Y49" s="693">
        <f>[48]summary!$AB$33</f>
        <v>0</v>
      </c>
      <c r="Z49" s="693">
        <f>[49]summary!$AG$33</f>
        <v>0</v>
      </c>
      <c r="AA49" s="693">
        <f>[50]summary!$AL$33</f>
        <v>0</v>
      </c>
      <c r="AB49" s="693">
        <f>[51]summary!$AQ$33</f>
        <v>0</v>
      </c>
      <c r="AC49" s="693">
        <f>[52]summary!$AV$33</f>
        <v>0</v>
      </c>
      <c r="AD49" s="693">
        <f>[53]summary!$BA$33</f>
        <v>0</v>
      </c>
      <c r="AE49" s="693">
        <f>[54]summary!$BF$33</f>
        <v>0</v>
      </c>
      <c r="AF49" s="693">
        <f>[55]summary!$BK$33</f>
        <v>0</v>
      </c>
      <c r="AG49" s="693">
        <f>[46]summary!$BP$33</f>
        <v>0</v>
      </c>
      <c r="AH49" s="696">
        <f>SUM(V49:W49)</f>
        <v>-1646946</v>
      </c>
      <c r="AI49" s="59"/>
      <c r="AJ49" s="129"/>
      <c r="AK49" s="60">
        <f t="shared" si="9"/>
        <v>0</v>
      </c>
      <c r="AL49" s="53">
        <f t="shared" si="15"/>
        <v>0</v>
      </c>
      <c r="AN49" s="53"/>
    </row>
    <row r="50" spans="1:40" x14ac:dyDescent="0.2">
      <c r="A50" s="55"/>
      <c r="B50" s="55"/>
      <c r="C50" s="29"/>
      <c r="D50" s="55"/>
      <c r="E50" s="55" t="s">
        <v>527</v>
      </c>
      <c r="F50" s="128"/>
      <c r="G50" s="694">
        <f>[11]summary!$H$34</f>
        <v>0</v>
      </c>
      <c r="H50" s="693">
        <f>[11]summary!$M$34</f>
        <v>0</v>
      </c>
      <c r="I50" s="693">
        <f>[12]summary!$R$34</f>
        <v>0</v>
      </c>
      <c r="J50" s="693">
        <f>[47]summary!$W$34</f>
        <v>0</v>
      </c>
      <c r="K50" s="693">
        <f>[48]summary!$AB$34</f>
        <v>0</v>
      </c>
      <c r="L50" s="693">
        <f>[49]summary!$AG$34</f>
        <v>0</v>
      </c>
      <c r="M50" s="693">
        <f>[50]summary!$AL$34</f>
        <v>0</v>
      </c>
      <c r="N50" s="693">
        <f>[51]summary!$AQ$34</f>
        <v>0</v>
      </c>
      <c r="O50" s="693">
        <f>[52]summary!$AV$34</f>
        <v>0</v>
      </c>
      <c r="P50" s="693">
        <f>[53]summary!$BA$34</f>
        <v>0</v>
      </c>
      <c r="Q50" s="693">
        <f>[54]summary!$BF$34</f>
        <v>0</v>
      </c>
      <c r="R50" s="693">
        <f>[55]summary!$BK$34</f>
        <v>0</v>
      </c>
      <c r="S50" s="693">
        <f>[46]summary!$BP$34</f>
        <v>0</v>
      </c>
      <c r="T50" s="693">
        <f>SUM(H50:S50)</f>
        <v>0</v>
      </c>
      <c r="U50" s="694">
        <f>[11]summary!$BZ$34</f>
        <v>-12795000</v>
      </c>
      <c r="V50" s="693">
        <f>[11]summary!$CE$34</f>
        <v>0</v>
      </c>
      <c r="W50" s="693">
        <f>[46]summary!$R$34</f>
        <v>-12795000</v>
      </c>
      <c r="X50" s="693">
        <f>[47]summary!$W$34</f>
        <v>0</v>
      </c>
      <c r="Y50" s="693">
        <f>[48]summary!$AB$34</f>
        <v>0</v>
      </c>
      <c r="Z50" s="693">
        <f>[49]summary!$AG$34</f>
        <v>0</v>
      </c>
      <c r="AA50" s="693">
        <f>[50]summary!$AL$34</f>
        <v>0</v>
      </c>
      <c r="AB50" s="693">
        <f>[51]summary!$AQ$34</f>
        <v>0</v>
      </c>
      <c r="AC50" s="693">
        <f>[52]summary!$AV$34</f>
        <v>0</v>
      </c>
      <c r="AD50" s="693">
        <f>[53]summary!$BA$34</f>
        <v>0</v>
      </c>
      <c r="AE50" s="693">
        <f>[54]summary!$BF$34</f>
        <v>0</v>
      </c>
      <c r="AF50" s="693">
        <f>[55]summary!$BK$34</f>
        <v>0</v>
      </c>
      <c r="AG50" s="693">
        <f>[46]summary!$BP$34</f>
        <v>0</v>
      </c>
      <c r="AH50" s="696">
        <f>SUM(V50:W50)</f>
        <v>-12795000</v>
      </c>
      <c r="AI50" s="59"/>
      <c r="AJ50" s="129"/>
      <c r="AK50" s="60">
        <f t="shared" si="9"/>
        <v>0</v>
      </c>
      <c r="AL50" s="53">
        <f t="shared" si="15"/>
        <v>0</v>
      </c>
    </row>
    <row r="51" spans="1:40" x14ac:dyDescent="0.2">
      <c r="A51" s="55"/>
      <c r="B51" s="55"/>
      <c r="C51" s="29"/>
      <c r="D51" s="55"/>
      <c r="E51" s="55"/>
      <c r="F51" s="128"/>
      <c r="G51" s="694"/>
      <c r="H51" s="693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4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6"/>
      <c r="AI51" s="59"/>
      <c r="AJ51" s="129"/>
      <c r="AK51" s="60"/>
      <c r="AL51" s="53"/>
    </row>
    <row r="52" spans="1:40" x14ac:dyDescent="0.2">
      <c r="A52" s="55"/>
      <c r="B52" s="55"/>
      <c r="C52" s="29"/>
      <c r="D52" s="55" t="s">
        <v>528</v>
      </c>
      <c r="E52" s="55"/>
      <c r="F52" s="128"/>
      <c r="G52" s="694">
        <f t="shared" ref="G52:T52" si="22">SUM(G53:G54)</f>
        <v>0</v>
      </c>
      <c r="H52" s="709">
        <f t="shared" si="22"/>
        <v>0</v>
      </c>
      <c r="I52" s="709">
        <f>SUM(I53:I54)</f>
        <v>0</v>
      </c>
      <c r="J52" s="709">
        <f t="shared" si="22"/>
        <v>0</v>
      </c>
      <c r="K52" s="709">
        <f>SUM(K53:K54)</f>
        <v>0</v>
      </c>
      <c r="L52" s="709">
        <f t="shared" si="22"/>
        <v>0</v>
      </c>
      <c r="M52" s="709">
        <f t="shared" si="22"/>
        <v>0</v>
      </c>
      <c r="N52" s="709">
        <f t="shared" si="22"/>
        <v>0</v>
      </c>
      <c r="O52" s="709">
        <f t="shared" si="22"/>
        <v>0</v>
      </c>
      <c r="P52" s="709">
        <f t="shared" si="22"/>
        <v>0</v>
      </c>
      <c r="Q52" s="709">
        <f t="shared" si="22"/>
        <v>0</v>
      </c>
      <c r="R52" s="709">
        <f t="shared" si="22"/>
        <v>0</v>
      </c>
      <c r="S52" s="709">
        <f t="shared" si="22"/>
        <v>0</v>
      </c>
      <c r="T52" s="693">
        <f t="shared" si="22"/>
        <v>0</v>
      </c>
      <c r="U52" s="694">
        <f>SUM(U53:U54)</f>
        <v>0</v>
      </c>
      <c r="V52" s="709">
        <f t="shared" ref="V52:X52" si="23">SUM(V53:V54)</f>
        <v>0</v>
      </c>
      <c r="W52" s="709">
        <f t="shared" si="23"/>
        <v>0</v>
      </c>
      <c r="X52" s="709">
        <f t="shared" si="23"/>
        <v>0</v>
      </c>
      <c r="Y52" s="709">
        <f>SUM(Y53:Y54)</f>
        <v>0</v>
      </c>
      <c r="Z52" s="709">
        <f t="shared" ref="Z52:AG52" si="24">SUM(Z53:Z54)</f>
        <v>0</v>
      </c>
      <c r="AA52" s="709">
        <f t="shared" si="24"/>
        <v>0</v>
      </c>
      <c r="AB52" s="709">
        <f t="shared" si="24"/>
        <v>0</v>
      </c>
      <c r="AC52" s="709">
        <f t="shared" si="24"/>
        <v>0</v>
      </c>
      <c r="AD52" s="709">
        <f t="shared" si="24"/>
        <v>0</v>
      </c>
      <c r="AE52" s="709">
        <f t="shared" si="24"/>
        <v>0</v>
      </c>
      <c r="AF52" s="709">
        <f t="shared" si="24"/>
        <v>0</v>
      </c>
      <c r="AG52" s="709">
        <f t="shared" si="24"/>
        <v>0</v>
      </c>
      <c r="AH52" s="696">
        <f>SUM(AH53:AH54)</f>
        <v>0</v>
      </c>
      <c r="AI52" s="59"/>
      <c r="AJ52" s="129"/>
      <c r="AK52" s="60">
        <f t="shared" si="9"/>
        <v>0</v>
      </c>
      <c r="AL52" s="53">
        <f t="shared" si="15"/>
        <v>0</v>
      </c>
    </row>
    <row r="53" spans="1:40" x14ac:dyDescent="0.2">
      <c r="A53" s="55"/>
      <c r="B53" s="55"/>
      <c r="C53" s="29"/>
      <c r="D53" s="55"/>
      <c r="E53" s="55" t="s">
        <v>529</v>
      </c>
      <c r="F53" s="128"/>
      <c r="G53" s="694">
        <f>[11]summary!$H$37</f>
        <v>0</v>
      </c>
      <c r="H53" s="693">
        <f>[11]summary!$M$37</f>
        <v>487336</v>
      </c>
      <c r="I53" s="693">
        <f>+[12]summary!$R$36</f>
        <v>29682</v>
      </c>
      <c r="J53" s="693">
        <v>0</v>
      </c>
      <c r="K53" s="693">
        <v>0</v>
      </c>
      <c r="L53" s="693">
        <v>0</v>
      </c>
      <c r="M53" s="693">
        <v>0</v>
      </c>
      <c r="N53" s="693">
        <v>0</v>
      </c>
      <c r="O53" s="693">
        <v>0</v>
      </c>
      <c r="P53" s="693">
        <v>0</v>
      </c>
      <c r="Q53" s="693">
        <v>0</v>
      </c>
      <c r="R53" s="693">
        <v>0</v>
      </c>
      <c r="S53" s="693">
        <v>0</v>
      </c>
      <c r="T53" s="693">
        <f>SUM(H53:S53)</f>
        <v>517018</v>
      </c>
      <c r="U53" s="694">
        <f>[11]summary!$BZ$37</f>
        <v>4361282</v>
      </c>
      <c r="V53" s="693">
        <f>[11]summary!$CE$37</f>
        <v>3109689</v>
      </c>
      <c r="W53" s="693">
        <f>[56]summary!$R$37</f>
        <v>0</v>
      </c>
      <c r="X53" s="693">
        <f>[47]summary!$W$37</f>
        <v>0</v>
      </c>
      <c r="Y53" s="693">
        <f>[48]summary!$AB$37</f>
        <v>0</v>
      </c>
      <c r="Z53" s="693">
        <f>[46]summary!$AG$37</f>
        <v>289217</v>
      </c>
      <c r="AA53" s="693">
        <f>[46]summary!$AL$37</f>
        <v>235010</v>
      </c>
      <c r="AB53" s="693">
        <f>[51]summary!$AQ$37</f>
        <v>0</v>
      </c>
      <c r="AC53" s="693">
        <f>[46]summary!$AV$37</f>
        <v>64127</v>
      </c>
      <c r="AD53" s="693">
        <f>[53]summary!$BA$37</f>
        <v>0</v>
      </c>
      <c r="AE53" s="693">
        <f>[54]summary!$BF$37</f>
        <v>0</v>
      </c>
      <c r="AF53" s="693">
        <f>[55]summary!$BK$37</f>
        <v>0</v>
      </c>
      <c r="AG53" s="693">
        <f>[46]summary!$BP$37</f>
        <v>663239</v>
      </c>
      <c r="AH53" s="696">
        <f>SUM(V53:W53)</f>
        <v>3109689</v>
      </c>
      <c r="AI53" s="59"/>
      <c r="AJ53" s="129"/>
      <c r="AK53" s="60">
        <f t="shared" si="9"/>
        <v>-1251593</v>
      </c>
      <c r="AL53" s="53">
        <f t="shared" si="15"/>
        <v>1251593</v>
      </c>
    </row>
    <row r="54" spans="1:40" x14ac:dyDescent="0.2">
      <c r="A54" s="55"/>
      <c r="B54" s="55"/>
      <c r="C54" s="29"/>
      <c r="D54" s="55"/>
      <c r="E54" s="55" t="s">
        <v>530</v>
      </c>
      <c r="F54" s="128"/>
      <c r="G54" s="694">
        <f>[11]summary!$H$38</f>
        <v>0</v>
      </c>
      <c r="H54" s="693">
        <f>[11]summary!$M$38</f>
        <v>-487336</v>
      </c>
      <c r="I54" s="693">
        <f>+[12]summary!$R$37</f>
        <v>-29682</v>
      </c>
      <c r="J54" s="693">
        <v>0</v>
      </c>
      <c r="K54" s="693">
        <v>0</v>
      </c>
      <c r="L54" s="693">
        <v>0</v>
      </c>
      <c r="M54" s="693">
        <v>0</v>
      </c>
      <c r="N54" s="693">
        <v>0</v>
      </c>
      <c r="O54" s="693">
        <v>0</v>
      </c>
      <c r="P54" s="693">
        <v>0</v>
      </c>
      <c r="Q54" s="693">
        <v>0</v>
      </c>
      <c r="R54" s="693">
        <v>0</v>
      </c>
      <c r="S54" s="693">
        <v>0</v>
      </c>
      <c r="T54" s="693">
        <f>SUM(H54:S54)</f>
        <v>-517018</v>
      </c>
      <c r="U54" s="694">
        <f>[11]summary!$BZ$38</f>
        <v>-4361282</v>
      </c>
      <c r="V54" s="693">
        <f>[11]summary!$CE$38</f>
        <v>-3109689</v>
      </c>
      <c r="W54" s="693">
        <f>[56]summary!$R$38</f>
        <v>0</v>
      </c>
      <c r="X54" s="693">
        <f>[47]summary!$W$38</f>
        <v>0</v>
      </c>
      <c r="Y54" s="693">
        <f>[48]summary!$AB$38</f>
        <v>0</v>
      </c>
      <c r="Z54" s="693">
        <f>[46]summary!$AG$38</f>
        <v>-289217</v>
      </c>
      <c r="AA54" s="693">
        <f>[46]summary!$AL$38</f>
        <v>-235010</v>
      </c>
      <c r="AB54" s="693">
        <f>[51]summary!$AQ$38</f>
        <v>0</v>
      </c>
      <c r="AC54" s="693">
        <f>[46]summary!$AV$38</f>
        <v>-64127</v>
      </c>
      <c r="AD54" s="693">
        <f>[53]summary!$BA$38</f>
        <v>0</v>
      </c>
      <c r="AE54" s="693">
        <f>[54]summary!$BF$38</f>
        <v>0</v>
      </c>
      <c r="AF54" s="693">
        <f>[55]summary!$BK$38</f>
        <v>0</v>
      </c>
      <c r="AG54" s="693">
        <f>[46]summary!$BP$38</f>
        <v>-663239</v>
      </c>
      <c r="AH54" s="696">
        <f>SUM(V54:W54)</f>
        <v>-3109689</v>
      </c>
      <c r="AI54" s="59"/>
      <c r="AJ54" s="129"/>
      <c r="AK54" s="60">
        <f t="shared" si="9"/>
        <v>1251593</v>
      </c>
      <c r="AL54" s="53">
        <f t="shared" si="15"/>
        <v>-1251593</v>
      </c>
    </row>
    <row r="55" spans="1:40" x14ac:dyDescent="0.2">
      <c r="A55" s="55"/>
      <c r="B55" s="55"/>
      <c r="C55" s="29"/>
      <c r="D55" s="55"/>
      <c r="E55" s="55"/>
      <c r="F55" s="128"/>
      <c r="G55" s="694"/>
      <c r="H55" s="693"/>
      <c r="I55" s="693"/>
      <c r="J55" s="693"/>
      <c r="K55" s="693"/>
      <c r="L55" s="693"/>
      <c r="M55" s="693"/>
      <c r="N55" s="693"/>
      <c r="O55" s="693"/>
      <c r="P55" s="693"/>
      <c r="Q55" s="693"/>
      <c r="R55" s="693"/>
      <c r="S55" s="693"/>
      <c r="T55" s="693"/>
      <c r="U55" s="694"/>
      <c r="V55" s="693"/>
      <c r="W55" s="693"/>
      <c r="X55" s="693"/>
      <c r="Y55" s="693"/>
      <c r="Z55" s="693"/>
      <c r="AA55" s="693"/>
      <c r="AB55" s="693"/>
      <c r="AC55" s="693"/>
      <c r="AD55" s="693"/>
      <c r="AE55" s="693"/>
      <c r="AF55" s="693"/>
      <c r="AG55" s="693"/>
      <c r="AH55" s="696"/>
      <c r="AI55" s="59"/>
      <c r="AJ55" s="129"/>
      <c r="AK55" s="60"/>
      <c r="AL55" s="53"/>
    </row>
    <row r="56" spans="1:40" ht="12.75" hidden="1" customHeight="1" x14ac:dyDescent="0.2">
      <c r="A56" s="55"/>
      <c r="B56" s="55"/>
      <c r="C56" s="29"/>
      <c r="D56" s="55" t="s">
        <v>531</v>
      </c>
      <c r="E56" s="55"/>
      <c r="F56" s="128"/>
      <c r="G56" s="465">
        <v>0</v>
      </c>
      <c r="H56" s="482">
        <f t="shared" ref="H56:S56" si="25">SUM(H57:H57)</f>
        <v>0</v>
      </c>
      <c r="I56" s="482">
        <f t="shared" si="25"/>
        <v>0</v>
      </c>
      <c r="J56" s="482">
        <f t="shared" si="25"/>
        <v>0</v>
      </c>
      <c r="K56" s="482">
        <f t="shared" si="25"/>
        <v>0</v>
      </c>
      <c r="L56" s="482">
        <f t="shared" si="25"/>
        <v>0</v>
      </c>
      <c r="M56" s="482">
        <f t="shared" si="25"/>
        <v>0</v>
      </c>
      <c r="N56" s="482">
        <f t="shared" si="25"/>
        <v>0</v>
      </c>
      <c r="O56" s="482">
        <f t="shared" si="25"/>
        <v>0</v>
      </c>
      <c r="P56" s="482">
        <f t="shared" si="25"/>
        <v>0</v>
      </c>
      <c r="Q56" s="482">
        <f t="shared" si="25"/>
        <v>0</v>
      </c>
      <c r="R56" s="482">
        <f t="shared" si="25"/>
        <v>0</v>
      </c>
      <c r="S56" s="482">
        <f t="shared" si="25"/>
        <v>0</v>
      </c>
      <c r="T56" s="482">
        <f>SUM(T57:T57)</f>
        <v>0</v>
      </c>
      <c r="U56" s="465">
        <v>0</v>
      </c>
      <c r="V56" s="482">
        <f t="shared" ref="V56:AG56" si="26">SUM(V57:V57)</f>
        <v>0</v>
      </c>
      <c r="W56" s="482">
        <f t="shared" si="26"/>
        <v>0</v>
      </c>
      <c r="X56" s="482">
        <f t="shared" si="26"/>
        <v>0</v>
      </c>
      <c r="Y56" s="482">
        <f t="shared" si="26"/>
        <v>0</v>
      </c>
      <c r="Z56" s="482">
        <f t="shared" si="26"/>
        <v>0</v>
      </c>
      <c r="AA56" s="482">
        <f t="shared" si="26"/>
        <v>0</v>
      </c>
      <c r="AB56" s="482">
        <f t="shared" si="26"/>
        <v>0</v>
      </c>
      <c r="AC56" s="482">
        <f t="shared" si="26"/>
        <v>0</v>
      </c>
      <c r="AD56" s="482">
        <f t="shared" si="26"/>
        <v>0</v>
      </c>
      <c r="AE56" s="482">
        <f t="shared" si="26"/>
        <v>0</v>
      </c>
      <c r="AF56" s="482">
        <f t="shared" si="26"/>
        <v>0</v>
      </c>
      <c r="AG56" s="482">
        <f t="shared" si="26"/>
        <v>0</v>
      </c>
      <c r="AH56" s="711">
        <f>SUM(AH57:AH57)</f>
        <v>0</v>
      </c>
      <c r="AI56" s="59"/>
      <c r="AJ56" s="129"/>
      <c r="AK56" s="60">
        <f t="shared" si="9"/>
        <v>0</v>
      </c>
      <c r="AL56" s="53">
        <f t="shared" si="15"/>
        <v>0</v>
      </c>
    </row>
    <row r="57" spans="1:40" ht="12.75" hidden="1" customHeight="1" x14ac:dyDescent="0.2">
      <c r="A57" s="55"/>
      <c r="B57" s="55"/>
      <c r="C57" s="29"/>
      <c r="D57" s="55"/>
      <c r="E57" s="55" t="s">
        <v>522</v>
      </c>
      <c r="F57" s="128"/>
      <c r="G57" s="465">
        <v>0</v>
      </c>
      <c r="H57" s="482">
        <v>0</v>
      </c>
      <c r="I57" s="482">
        <v>0</v>
      </c>
      <c r="J57" s="482">
        <v>0</v>
      </c>
      <c r="K57" s="482">
        <v>0</v>
      </c>
      <c r="L57" s="482">
        <v>0</v>
      </c>
      <c r="M57" s="482">
        <v>0</v>
      </c>
      <c r="N57" s="482">
        <v>0</v>
      </c>
      <c r="O57" s="482">
        <v>0</v>
      </c>
      <c r="P57" s="482">
        <v>0</v>
      </c>
      <c r="Q57" s="482">
        <v>0</v>
      </c>
      <c r="R57" s="482">
        <v>0</v>
      </c>
      <c r="S57" s="482">
        <v>0</v>
      </c>
      <c r="T57" s="693">
        <f>SUM(H57:S57)</f>
        <v>0</v>
      </c>
      <c r="U57" s="465">
        <v>0</v>
      </c>
      <c r="V57" s="482">
        <v>0</v>
      </c>
      <c r="W57" s="482">
        <v>0</v>
      </c>
      <c r="X57" s="482">
        <v>0</v>
      </c>
      <c r="Y57" s="482">
        <v>0</v>
      </c>
      <c r="Z57" s="482">
        <v>0</v>
      </c>
      <c r="AA57" s="482">
        <v>0</v>
      </c>
      <c r="AB57" s="482">
        <v>0</v>
      </c>
      <c r="AC57" s="482">
        <v>0</v>
      </c>
      <c r="AD57" s="482">
        <v>0</v>
      </c>
      <c r="AE57" s="482">
        <v>0</v>
      </c>
      <c r="AF57" s="482">
        <v>0</v>
      </c>
      <c r="AG57" s="482">
        <v>0</v>
      </c>
      <c r="AH57" s="696">
        <f>SUM(V57:AG57)</f>
        <v>0</v>
      </c>
      <c r="AI57" s="59"/>
      <c r="AJ57" s="129"/>
      <c r="AK57" s="60">
        <f t="shared" si="9"/>
        <v>0</v>
      </c>
      <c r="AL57" s="53">
        <f t="shared" si="15"/>
        <v>0</v>
      </c>
    </row>
    <row r="58" spans="1:40" ht="12.75" hidden="1" customHeight="1" x14ac:dyDescent="0.2">
      <c r="A58" s="55"/>
      <c r="B58" s="55"/>
      <c r="C58" s="29"/>
      <c r="D58" s="55"/>
      <c r="E58" s="55"/>
      <c r="F58" s="128"/>
      <c r="G58" s="694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4"/>
      <c r="V58" s="693"/>
      <c r="W58" s="693"/>
      <c r="X58" s="693"/>
      <c r="Y58" s="693"/>
      <c r="Z58" s="693"/>
      <c r="AA58" s="693"/>
      <c r="AB58" s="693"/>
      <c r="AC58" s="693"/>
      <c r="AD58" s="693"/>
      <c r="AE58" s="693"/>
      <c r="AF58" s="693"/>
      <c r="AG58" s="693"/>
      <c r="AH58" s="696"/>
      <c r="AI58" s="59"/>
      <c r="AJ58" s="129"/>
      <c r="AK58" s="60">
        <f t="shared" si="9"/>
        <v>0</v>
      </c>
      <c r="AL58" s="53">
        <f t="shared" si="15"/>
        <v>0</v>
      </c>
    </row>
    <row r="59" spans="1:40" s="35" customFormat="1" x14ac:dyDescent="0.2">
      <c r="A59" s="13"/>
      <c r="B59" s="13"/>
      <c r="C59" s="23" t="s">
        <v>314</v>
      </c>
      <c r="D59" s="13"/>
      <c r="E59" s="13"/>
      <c r="F59" s="678"/>
      <c r="G59" s="689">
        <f>+G61+G68+G75</f>
        <v>17026000</v>
      </c>
      <c r="H59" s="687">
        <f>+H61+H68+H75</f>
        <v>-777665</v>
      </c>
      <c r="I59" s="687">
        <f>+I61+I68+I75</f>
        <v>-4931986</v>
      </c>
      <c r="J59" s="687">
        <f t="shared" ref="J59:S59" si="27">+J61+J68+J75</f>
        <v>0</v>
      </c>
      <c r="K59" s="687">
        <f t="shared" si="27"/>
        <v>0</v>
      </c>
      <c r="L59" s="687">
        <f t="shared" si="27"/>
        <v>0</v>
      </c>
      <c r="M59" s="687">
        <f t="shared" si="27"/>
        <v>0</v>
      </c>
      <c r="N59" s="687">
        <f t="shared" si="27"/>
        <v>0</v>
      </c>
      <c r="O59" s="687">
        <f t="shared" si="27"/>
        <v>0</v>
      </c>
      <c r="P59" s="687">
        <f t="shared" si="27"/>
        <v>0</v>
      </c>
      <c r="Q59" s="687">
        <f t="shared" si="27"/>
        <v>0</v>
      </c>
      <c r="R59" s="687">
        <f t="shared" si="27"/>
        <v>0</v>
      </c>
      <c r="S59" s="687">
        <f t="shared" si="27"/>
        <v>0</v>
      </c>
      <c r="T59" s="687">
        <f>+T61+T68+T75</f>
        <v>-5709651</v>
      </c>
      <c r="U59" s="689">
        <f>+U61+U68+U75</f>
        <v>24823043</v>
      </c>
      <c r="V59" s="687">
        <f t="shared" ref="V59:AG59" si="28">+V61+V68+V75</f>
        <v>-628449</v>
      </c>
      <c r="W59" s="687">
        <f t="shared" si="28"/>
        <v>-25247385</v>
      </c>
      <c r="X59" s="687">
        <f t="shared" si="28"/>
        <v>0</v>
      </c>
      <c r="Y59" s="687">
        <f t="shared" si="28"/>
        <v>0</v>
      </c>
      <c r="Z59" s="687">
        <f t="shared" si="28"/>
        <v>0</v>
      </c>
      <c r="AA59" s="687">
        <f t="shared" si="28"/>
        <v>76052000</v>
      </c>
      <c r="AB59" s="687">
        <f t="shared" si="28"/>
        <v>-654491</v>
      </c>
      <c r="AC59" s="687">
        <f t="shared" si="28"/>
        <v>-6365</v>
      </c>
      <c r="AD59" s="687">
        <f t="shared" si="28"/>
        <v>0</v>
      </c>
      <c r="AE59" s="687">
        <f t="shared" si="28"/>
        <v>0</v>
      </c>
      <c r="AF59" s="687">
        <f t="shared" si="28"/>
        <v>0</v>
      </c>
      <c r="AG59" s="687">
        <f t="shared" si="28"/>
        <v>-24692267</v>
      </c>
      <c r="AH59" s="688">
        <f>+AH61+AH68+AH75</f>
        <v>-25875834</v>
      </c>
      <c r="AI59" s="90"/>
      <c r="AJ59" s="375"/>
      <c r="AK59" s="60">
        <f t="shared" si="9"/>
        <v>-50698877</v>
      </c>
      <c r="AL59" s="53">
        <f t="shared" si="15"/>
        <v>50698877</v>
      </c>
    </row>
    <row r="60" spans="1:40" x14ac:dyDescent="0.2">
      <c r="A60" s="55"/>
      <c r="B60" s="55"/>
      <c r="C60" s="29"/>
      <c r="D60" s="55"/>
      <c r="E60" s="55"/>
      <c r="F60" s="128"/>
      <c r="G60" s="694"/>
      <c r="H60" s="693"/>
      <c r="I60" s="693"/>
      <c r="J60" s="693"/>
      <c r="K60" s="693"/>
      <c r="L60" s="693"/>
      <c r="M60" s="693"/>
      <c r="N60" s="693"/>
      <c r="O60" s="693"/>
      <c r="P60" s="693"/>
      <c r="Q60" s="693"/>
      <c r="R60" s="693"/>
      <c r="S60" s="693"/>
      <c r="T60" s="693"/>
      <c r="U60" s="694"/>
      <c r="V60" s="693"/>
      <c r="W60" s="693"/>
      <c r="X60" s="693"/>
      <c r="Y60" s="693"/>
      <c r="Z60" s="693"/>
      <c r="AA60" s="693"/>
      <c r="AB60" s="693"/>
      <c r="AC60" s="693"/>
      <c r="AD60" s="693"/>
      <c r="AE60" s="693"/>
      <c r="AF60" s="693"/>
      <c r="AG60" s="693"/>
      <c r="AH60" s="696"/>
      <c r="AI60" s="59"/>
      <c r="AJ60" s="129"/>
      <c r="AK60" s="60"/>
      <c r="AL60" s="53"/>
    </row>
    <row r="61" spans="1:40" x14ac:dyDescent="0.2">
      <c r="A61" s="55"/>
      <c r="B61" s="55"/>
      <c r="C61" s="29"/>
      <c r="D61" s="55" t="s">
        <v>521</v>
      </c>
      <c r="E61" s="55"/>
      <c r="F61" s="128"/>
      <c r="G61" s="694">
        <f>SUM(G62:G66)</f>
        <v>17026000</v>
      </c>
      <c r="H61" s="694">
        <f>SUM(H62:H66)</f>
        <v>-777665</v>
      </c>
      <c r="I61" s="694">
        <f>SUM(I62:I66)</f>
        <v>-4931986</v>
      </c>
      <c r="J61" s="694">
        <f t="shared" ref="J61:S61" si="29">SUM(J62:J66)</f>
        <v>0</v>
      </c>
      <c r="K61" s="694">
        <f t="shared" si="29"/>
        <v>0</v>
      </c>
      <c r="L61" s="694">
        <f t="shared" si="29"/>
        <v>0</v>
      </c>
      <c r="M61" s="694">
        <f>SUM(M62:M66)</f>
        <v>0</v>
      </c>
      <c r="N61" s="694">
        <f t="shared" si="29"/>
        <v>0</v>
      </c>
      <c r="O61" s="694">
        <f t="shared" si="29"/>
        <v>0</v>
      </c>
      <c r="P61" s="694">
        <f t="shared" si="29"/>
        <v>0</v>
      </c>
      <c r="Q61" s="694">
        <f t="shared" si="29"/>
        <v>0</v>
      </c>
      <c r="R61" s="694">
        <f t="shared" si="29"/>
        <v>0</v>
      </c>
      <c r="S61" s="694">
        <f t="shared" si="29"/>
        <v>0</v>
      </c>
      <c r="T61" s="694">
        <f>SUM(T62:T66)</f>
        <v>-5709651</v>
      </c>
      <c r="U61" s="694">
        <f>SUM(U62:U66)</f>
        <v>24823043</v>
      </c>
      <c r="V61" s="694">
        <f t="shared" ref="V61:Z61" si="30">SUM(V62:V66)</f>
        <v>-628449</v>
      </c>
      <c r="W61" s="694">
        <f t="shared" si="30"/>
        <v>-25247385</v>
      </c>
      <c r="X61" s="694">
        <f t="shared" si="30"/>
        <v>0</v>
      </c>
      <c r="Y61" s="694">
        <f t="shared" si="30"/>
        <v>0</v>
      </c>
      <c r="Z61" s="694">
        <f t="shared" si="30"/>
        <v>0</v>
      </c>
      <c r="AA61" s="694">
        <f>SUM(AA62:AA66)</f>
        <v>76052000</v>
      </c>
      <c r="AB61" s="694">
        <f t="shared" ref="AB61:AG61" si="31">SUM(AB62:AB66)</f>
        <v>-654491</v>
      </c>
      <c r="AC61" s="694">
        <f t="shared" si="31"/>
        <v>-6365</v>
      </c>
      <c r="AD61" s="694">
        <f t="shared" si="31"/>
        <v>0</v>
      </c>
      <c r="AE61" s="694">
        <f t="shared" si="31"/>
        <v>0</v>
      </c>
      <c r="AF61" s="694">
        <f t="shared" si="31"/>
        <v>0</v>
      </c>
      <c r="AG61" s="694">
        <f t="shared" si="31"/>
        <v>-24692267</v>
      </c>
      <c r="AH61" s="696">
        <f>SUM(AH62:AH66)</f>
        <v>-25875834</v>
      </c>
      <c r="AI61" s="59"/>
      <c r="AJ61" s="129"/>
      <c r="AK61" s="60">
        <f t="shared" si="9"/>
        <v>-50698877</v>
      </c>
      <c r="AL61" s="53">
        <f t="shared" si="15"/>
        <v>50698877</v>
      </c>
    </row>
    <row r="62" spans="1:40" x14ac:dyDescent="0.2">
      <c r="A62" s="55"/>
      <c r="B62" s="55"/>
      <c r="C62" s="29"/>
      <c r="D62" s="55"/>
      <c r="E62" s="55" t="s">
        <v>522</v>
      </c>
      <c r="F62" s="128"/>
      <c r="G62" s="694">
        <f>[11]summary!$H$47</f>
        <v>29260000</v>
      </c>
      <c r="H62" s="693">
        <f>[11]summary!$M$47</f>
        <v>0</v>
      </c>
      <c r="I62" s="693">
        <f>[12]summary!$R$47</f>
        <v>0</v>
      </c>
      <c r="J62" s="693">
        <v>0</v>
      </c>
      <c r="K62" s="693">
        <v>0</v>
      </c>
      <c r="L62" s="693">
        <v>0</v>
      </c>
      <c r="M62" s="693">
        <v>0</v>
      </c>
      <c r="N62" s="693">
        <v>0</v>
      </c>
      <c r="O62" s="693">
        <v>0</v>
      </c>
      <c r="P62" s="693">
        <v>0</v>
      </c>
      <c r="Q62" s="693">
        <v>0</v>
      </c>
      <c r="R62" s="693">
        <v>0</v>
      </c>
      <c r="S62" s="693">
        <v>0</v>
      </c>
      <c r="T62" s="693">
        <f>SUM(H62:S62)</f>
        <v>0</v>
      </c>
      <c r="U62" s="694">
        <f>[11]summary!$BZ$47</f>
        <v>76052000</v>
      </c>
      <c r="V62" s="693">
        <f>[57]summary!$BU$47</f>
        <v>0</v>
      </c>
      <c r="W62" s="693">
        <f>[56]summary!$R$47</f>
        <v>0</v>
      </c>
      <c r="X62" s="693">
        <f>[47]summary!$W$47</f>
        <v>0</v>
      </c>
      <c r="Y62" s="693">
        <f>[48]summary!$AB$47</f>
        <v>0</v>
      </c>
      <c r="Z62" s="693">
        <f>[49]summary!$AG$47</f>
        <v>0</v>
      </c>
      <c r="AA62" s="693">
        <f>[46]summary!$AL$47</f>
        <v>76052000</v>
      </c>
      <c r="AB62" s="693">
        <f>[51]summary!$AQ$47</f>
        <v>0</v>
      </c>
      <c r="AC62" s="693">
        <f>[52]summary!$AV$47</f>
        <v>0</v>
      </c>
      <c r="AD62" s="693">
        <f>[53]summary!$BA$47</f>
        <v>0</v>
      </c>
      <c r="AE62" s="693">
        <f>[54]summary!$BF$47</f>
        <v>0</v>
      </c>
      <c r="AF62" s="693">
        <f>[55]summary!$BK$47</f>
        <v>0</v>
      </c>
      <c r="AG62" s="693">
        <f>[46]summary!$BP$47</f>
        <v>0</v>
      </c>
      <c r="AH62" s="696">
        <f>SUM(V62:W62)</f>
        <v>0</v>
      </c>
      <c r="AI62" s="59"/>
      <c r="AJ62" s="129"/>
      <c r="AK62" s="60">
        <f t="shared" si="9"/>
        <v>-76052000</v>
      </c>
      <c r="AL62" s="53">
        <f t="shared" si="15"/>
        <v>76052000</v>
      </c>
    </row>
    <row r="63" spans="1:40" x14ac:dyDescent="0.2">
      <c r="A63" s="55"/>
      <c r="B63" s="55"/>
      <c r="C63" s="29"/>
      <c r="D63" s="55"/>
      <c r="E63" s="55" t="s">
        <v>523</v>
      </c>
      <c r="F63" s="128"/>
      <c r="G63" s="694">
        <f>[11]summary!$H$48</f>
        <v>0</v>
      </c>
      <c r="H63" s="693">
        <f>[11]summary!$M$48</f>
        <v>0</v>
      </c>
      <c r="I63" s="693">
        <f>[12]summary!$R$48</f>
        <v>0</v>
      </c>
      <c r="J63" s="693">
        <v>0</v>
      </c>
      <c r="K63" s="693">
        <v>0</v>
      </c>
      <c r="L63" s="693">
        <v>0</v>
      </c>
      <c r="M63" s="693">
        <v>0</v>
      </c>
      <c r="N63" s="693">
        <v>0</v>
      </c>
      <c r="O63" s="693">
        <v>0</v>
      </c>
      <c r="P63" s="693">
        <v>0</v>
      </c>
      <c r="Q63" s="693">
        <v>0</v>
      </c>
      <c r="R63" s="693">
        <v>0</v>
      </c>
      <c r="S63" s="693">
        <v>0</v>
      </c>
      <c r="T63" s="693">
        <f>SUM(H63:S63)</f>
        <v>0</v>
      </c>
      <c r="U63" s="694">
        <f>[11]summary!$BZ$48</f>
        <v>0</v>
      </c>
      <c r="V63" s="693">
        <f>[57]summary!$BU$48</f>
        <v>0</v>
      </c>
      <c r="W63" s="693">
        <f>[56]summary!$R$48</f>
        <v>0</v>
      </c>
      <c r="X63" s="693">
        <f>[47]summary!$W$48</f>
        <v>0</v>
      </c>
      <c r="Y63" s="693">
        <f>[48]summary!$AB$48</f>
        <v>0</v>
      </c>
      <c r="Z63" s="693">
        <f>[49]summary!$AG$48</f>
        <v>0</v>
      </c>
      <c r="AA63" s="693">
        <f>[50]summary!$AL$48</f>
        <v>0</v>
      </c>
      <c r="AB63" s="693">
        <f>[51]summary!$AQ$48</f>
        <v>0</v>
      </c>
      <c r="AC63" s="693">
        <f>[52]summary!$AV$48</f>
        <v>0</v>
      </c>
      <c r="AD63" s="693">
        <f>[53]summary!$BA$48</f>
        <v>0</v>
      </c>
      <c r="AE63" s="693">
        <f>[54]summary!$BF$48</f>
        <v>0</v>
      </c>
      <c r="AF63" s="693">
        <f>[55]summary!$BK$48</f>
        <v>0</v>
      </c>
      <c r="AG63" s="693">
        <f>[46]summary!$BP$48</f>
        <v>0</v>
      </c>
      <c r="AH63" s="696">
        <f>SUM(V63:W63)</f>
        <v>0</v>
      </c>
      <c r="AI63" s="59"/>
      <c r="AJ63" s="129"/>
      <c r="AK63" s="60">
        <f t="shared" si="9"/>
        <v>0</v>
      </c>
      <c r="AL63" s="53">
        <f t="shared" si="15"/>
        <v>0</v>
      </c>
    </row>
    <row r="64" spans="1:40" x14ac:dyDescent="0.2">
      <c r="A64" s="55"/>
      <c r="B64" s="55"/>
      <c r="C64" s="29"/>
      <c r="D64" s="55"/>
      <c r="E64" s="55" t="s">
        <v>468</v>
      </c>
      <c r="F64" s="128"/>
      <c r="G64" s="694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4"/>
      <c r="V64" s="693"/>
      <c r="W64" s="693"/>
      <c r="X64" s="693"/>
      <c r="Y64" s="693"/>
      <c r="Z64" s="693"/>
      <c r="AA64" s="693"/>
      <c r="AB64" s="693"/>
      <c r="AC64" s="693"/>
      <c r="AD64" s="693"/>
      <c r="AE64" s="693"/>
      <c r="AF64" s="693"/>
      <c r="AG64" s="693"/>
      <c r="AH64" s="696"/>
      <c r="AI64" s="59"/>
      <c r="AJ64" s="129"/>
      <c r="AK64" s="60"/>
      <c r="AL64" s="53"/>
    </row>
    <row r="65" spans="1:38" x14ac:dyDescent="0.2">
      <c r="A65" s="55"/>
      <c r="B65" s="55"/>
      <c r="C65" s="29"/>
      <c r="D65" s="55"/>
      <c r="E65" s="712" t="s">
        <v>532</v>
      </c>
      <c r="F65" s="128"/>
      <c r="G65" s="694">
        <f>[11]summary!$H$50</f>
        <v>-7961000</v>
      </c>
      <c r="H65" s="693">
        <f>[11]summary!$M$50</f>
        <v>-391647</v>
      </c>
      <c r="I65" s="693">
        <f>+[12]summary!$R$49</f>
        <v>-1962723</v>
      </c>
      <c r="J65" s="693">
        <v>0</v>
      </c>
      <c r="K65" s="693">
        <v>0</v>
      </c>
      <c r="L65" s="693">
        <v>0</v>
      </c>
      <c r="M65" s="693">
        <v>0</v>
      </c>
      <c r="N65" s="693">
        <v>0</v>
      </c>
      <c r="O65" s="693">
        <v>0</v>
      </c>
      <c r="P65" s="693">
        <v>0</v>
      </c>
      <c r="Q65" s="693">
        <v>0</v>
      </c>
      <c r="R65" s="693">
        <v>0</v>
      </c>
      <c r="S65" s="693">
        <v>0</v>
      </c>
      <c r="T65" s="693">
        <f>SUM(H65:S65)</f>
        <v>-2354370</v>
      </c>
      <c r="U65" s="694">
        <f>[11]summary!$BZ$50</f>
        <v>-26952291</v>
      </c>
      <c r="V65" s="693">
        <f>[46]summary!$M$50</f>
        <v>-391647</v>
      </c>
      <c r="W65" s="693">
        <f>[46]summary!$R$50</f>
        <v>-14120864</v>
      </c>
      <c r="X65" s="693">
        <f>[47]summary!$W$50</f>
        <v>0</v>
      </c>
      <c r="Y65" s="693">
        <f>[48]summary!$AB$50</f>
        <v>0</v>
      </c>
      <c r="Z65" s="693">
        <f>[49]summary!$AG$50</f>
        <v>0</v>
      </c>
      <c r="AA65" s="693">
        <f>[50]summary!$AL$50</f>
        <v>0</v>
      </c>
      <c r="AB65" s="693">
        <f>[46]summary!$AQ$50</f>
        <v>-391647</v>
      </c>
      <c r="AC65" s="693">
        <f>[46]summary!$AV$50</f>
        <v>-1940</v>
      </c>
      <c r="AD65" s="693">
        <f>[53]summary!$BA$50</f>
        <v>0</v>
      </c>
      <c r="AE65" s="693">
        <f>[54]summary!$BF$50</f>
        <v>0</v>
      </c>
      <c r="AF65" s="693">
        <f>[55]summary!$BK$50</f>
        <v>0</v>
      </c>
      <c r="AG65" s="693">
        <f>[46]summary!$BP$50</f>
        <v>-12046193</v>
      </c>
      <c r="AH65" s="696">
        <f>SUM(V65:W65)</f>
        <v>-14512511</v>
      </c>
      <c r="AI65" s="59"/>
      <c r="AJ65" s="129"/>
      <c r="AK65" s="60">
        <f t="shared" si="9"/>
        <v>12439780</v>
      </c>
      <c r="AL65" s="53">
        <f t="shared" si="15"/>
        <v>-12439780</v>
      </c>
    </row>
    <row r="66" spans="1:38" x14ac:dyDescent="0.2">
      <c r="A66" s="55"/>
      <c r="B66" s="55"/>
      <c r="C66" s="29"/>
      <c r="D66" s="55"/>
      <c r="E66" s="712" t="s">
        <v>533</v>
      </c>
      <c r="F66" s="701"/>
      <c r="G66" s="694">
        <f>[11]summary!$H$51</f>
        <v>-4273000</v>
      </c>
      <c r="H66" s="693">
        <f>[11]summary!$M$51</f>
        <v>-386018</v>
      </c>
      <c r="I66" s="693">
        <f>+[12]summary!$R$50</f>
        <v>-2969263</v>
      </c>
      <c r="J66" s="693">
        <v>0</v>
      </c>
      <c r="K66" s="693">
        <v>0</v>
      </c>
      <c r="L66" s="693">
        <v>0</v>
      </c>
      <c r="M66" s="693">
        <v>0</v>
      </c>
      <c r="N66" s="693">
        <v>0</v>
      </c>
      <c r="O66" s="693">
        <v>0</v>
      </c>
      <c r="P66" s="693">
        <v>0</v>
      </c>
      <c r="Q66" s="693">
        <v>0</v>
      </c>
      <c r="R66" s="693">
        <v>0</v>
      </c>
      <c r="S66" s="693">
        <v>0</v>
      </c>
      <c r="T66" s="693">
        <f>SUM(H66:S66)</f>
        <v>-3355281</v>
      </c>
      <c r="U66" s="694">
        <f>[11]summary!$BZ$51</f>
        <v>-24276666</v>
      </c>
      <c r="V66" s="693">
        <f>[46]summary!$M$51</f>
        <v>-236802</v>
      </c>
      <c r="W66" s="693">
        <f>[46]summary!$R$51</f>
        <v>-11126521</v>
      </c>
      <c r="X66" s="693">
        <f>[47]summary!$W$51</f>
        <v>0</v>
      </c>
      <c r="Y66" s="693">
        <f>[48]summary!$AB$51</f>
        <v>0</v>
      </c>
      <c r="Z66" s="693">
        <f>[49]summary!$AG$51</f>
        <v>0</v>
      </c>
      <c r="AA66" s="693">
        <f>[50]summary!$AL$51</f>
        <v>0</v>
      </c>
      <c r="AB66" s="693">
        <f>[46]summary!$AQ$51</f>
        <v>-262844</v>
      </c>
      <c r="AC66" s="693">
        <f>[46]summary!$AV$51</f>
        <v>-4425</v>
      </c>
      <c r="AD66" s="693">
        <f>[53]summary!$BA$51</f>
        <v>0</v>
      </c>
      <c r="AE66" s="693">
        <f>[54]summary!$BF$51</f>
        <v>0</v>
      </c>
      <c r="AF66" s="693">
        <f>[55]summary!$BK$51</f>
        <v>0</v>
      </c>
      <c r="AG66" s="693">
        <f>[46]summary!$BP$51</f>
        <v>-12646074</v>
      </c>
      <c r="AH66" s="696">
        <f>SUM(V66:W66)</f>
        <v>-11363323</v>
      </c>
      <c r="AI66" s="59"/>
      <c r="AJ66" s="129"/>
      <c r="AK66" s="60">
        <f t="shared" si="9"/>
        <v>12913343</v>
      </c>
      <c r="AL66" s="53">
        <f t="shared" si="15"/>
        <v>-12913343</v>
      </c>
    </row>
    <row r="67" spans="1:38" x14ac:dyDescent="0.2">
      <c r="A67" s="55"/>
      <c r="B67" s="55"/>
      <c r="C67" s="29"/>
      <c r="D67" s="55"/>
      <c r="E67" s="712"/>
      <c r="F67" s="701"/>
      <c r="G67" s="694"/>
      <c r="H67" s="693"/>
      <c r="I67" s="693"/>
      <c r="J67" s="693"/>
      <c r="K67" s="693"/>
      <c r="L67" s="693"/>
      <c r="M67" s="693"/>
      <c r="N67" s="693"/>
      <c r="O67" s="693"/>
      <c r="P67" s="693"/>
      <c r="Q67" s="693"/>
      <c r="R67" s="693"/>
      <c r="S67" s="693"/>
      <c r="T67" s="693"/>
      <c r="U67" s="694"/>
      <c r="V67" s="693"/>
      <c r="W67" s="693"/>
      <c r="X67" s="693"/>
      <c r="Y67" s="693"/>
      <c r="Z67" s="693"/>
      <c r="AA67" s="693"/>
      <c r="AB67" s="693"/>
      <c r="AC67" s="693"/>
      <c r="AD67" s="693"/>
      <c r="AE67" s="693"/>
      <c r="AF67" s="693"/>
      <c r="AG67" s="693"/>
      <c r="AH67" s="696"/>
      <c r="AI67" s="59"/>
      <c r="AJ67" s="129"/>
      <c r="AK67" s="60"/>
      <c r="AL67" s="53"/>
    </row>
    <row r="68" spans="1:38" hidden="1" x14ac:dyDescent="0.2">
      <c r="A68" s="55"/>
      <c r="B68" s="55"/>
      <c r="C68" s="29"/>
      <c r="D68" s="55" t="s">
        <v>526</v>
      </c>
      <c r="E68" s="55"/>
      <c r="F68" s="701"/>
      <c r="G68" s="694">
        <f t="shared" ref="G68:S68" si="32">SUM(G69:G73)</f>
        <v>0</v>
      </c>
      <c r="H68" s="694">
        <f t="shared" si="32"/>
        <v>0</v>
      </c>
      <c r="I68" s="694">
        <f t="shared" si="32"/>
        <v>0</v>
      </c>
      <c r="J68" s="694">
        <f t="shared" si="32"/>
        <v>0</v>
      </c>
      <c r="K68" s="694">
        <f t="shared" si="32"/>
        <v>0</v>
      </c>
      <c r="L68" s="694">
        <f t="shared" si="32"/>
        <v>0</v>
      </c>
      <c r="M68" s="694">
        <f t="shared" si="32"/>
        <v>0</v>
      </c>
      <c r="N68" s="694">
        <f t="shared" si="32"/>
        <v>0</v>
      </c>
      <c r="O68" s="694">
        <f t="shared" si="32"/>
        <v>0</v>
      </c>
      <c r="P68" s="694">
        <f t="shared" si="32"/>
        <v>0</v>
      </c>
      <c r="Q68" s="694">
        <f t="shared" si="32"/>
        <v>0</v>
      </c>
      <c r="R68" s="694">
        <f t="shared" si="32"/>
        <v>0</v>
      </c>
      <c r="S68" s="694">
        <f t="shared" si="32"/>
        <v>0</v>
      </c>
      <c r="T68" s="693">
        <f>SUM(T69:T73)</f>
        <v>0</v>
      </c>
      <c r="U68" s="694">
        <v>0</v>
      </c>
      <c r="V68" s="694">
        <f t="shared" ref="V68:AG68" si="33">SUM(V69:V73)</f>
        <v>0</v>
      </c>
      <c r="W68" s="694">
        <f t="shared" si="33"/>
        <v>0</v>
      </c>
      <c r="X68" s="694">
        <f t="shared" si="33"/>
        <v>0</v>
      </c>
      <c r="Y68" s="694">
        <f t="shared" si="33"/>
        <v>0</v>
      </c>
      <c r="Z68" s="694">
        <f t="shared" si="33"/>
        <v>0</v>
      </c>
      <c r="AA68" s="694">
        <f t="shared" si="33"/>
        <v>0</v>
      </c>
      <c r="AB68" s="694">
        <f t="shared" si="33"/>
        <v>0</v>
      </c>
      <c r="AC68" s="694">
        <f t="shared" si="33"/>
        <v>0</v>
      </c>
      <c r="AD68" s="694">
        <f t="shared" si="33"/>
        <v>0</v>
      </c>
      <c r="AE68" s="694">
        <f t="shared" si="33"/>
        <v>0</v>
      </c>
      <c r="AF68" s="694">
        <f t="shared" si="33"/>
        <v>0</v>
      </c>
      <c r="AG68" s="694">
        <f t="shared" si="33"/>
        <v>0</v>
      </c>
      <c r="AH68" s="696">
        <f>SUM(AH69:AH73)</f>
        <v>0</v>
      </c>
      <c r="AI68" s="59"/>
      <c r="AJ68" s="129"/>
      <c r="AK68" s="60">
        <f t="shared" si="9"/>
        <v>0</v>
      </c>
      <c r="AL68" s="53">
        <f t="shared" si="15"/>
        <v>0</v>
      </c>
    </row>
    <row r="69" spans="1:38" hidden="1" x14ac:dyDescent="0.2">
      <c r="A69" s="55"/>
      <c r="B69" s="55"/>
      <c r="C69" s="29"/>
      <c r="D69" s="55"/>
      <c r="E69" s="55" t="s">
        <v>522</v>
      </c>
      <c r="F69" s="701"/>
      <c r="G69" s="694">
        <f>[58]summary!$H$55</f>
        <v>0</v>
      </c>
      <c r="H69" s="694">
        <f>[58]summary!$M$55</f>
        <v>0</v>
      </c>
      <c r="I69" s="694">
        <f>[59]summary!$R$55</f>
        <v>0</v>
      </c>
      <c r="J69" s="694">
        <v>0</v>
      </c>
      <c r="K69" s="694">
        <v>0</v>
      </c>
      <c r="L69" s="694">
        <v>0</v>
      </c>
      <c r="M69" s="694">
        <v>0</v>
      </c>
      <c r="N69" s="694">
        <v>0</v>
      </c>
      <c r="O69" s="694">
        <v>0</v>
      </c>
      <c r="P69" s="694">
        <v>0</v>
      </c>
      <c r="Q69" s="694">
        <v>0</v>
      </c>
      <c r="R69" s="694">
        <v>0</v>
      </c>
      <c r="S69" s="694">
        <f>[60]summary!$BP$55</f>
        <v>0</v>
      </c>
      <c r="T69" s="693">
        <f>SUM(H69:S69)</f>
        <v>0</v>
      </c>
      <c r="U69" s="694">
        <v>0</v>
      </c>
      <c r="V69" s="694">
        <f>[58]summary!$M$55</f>
        <v>0</v>
      </c>
      <c r="W69" s="694">
        <f>[59]summary!$R$55</f>
        <v>0</v>
      </c>
      <c r="X69" s="694">
        <v>0</v>
      </c>
      <c r="Y69" s="694">
        <v>0</v>
      </c>
      <c r="Z69" s="694">
        <v>0</v>
      </c>
      <c r="AA69" s="694">
        <v>0</v>
      </c>
      <c r="AB69" s="694">
        <v>0</v>
      </c>
      <c r="AC69" s="694">
        <v>0</v>
      </c>
      <c r="AD69" s="694">
        <v>0</v>
      </c>
      <c r="AE69" s="694">
        <v>0</v>
      </c>
      <c r="AF69" s="694">
        <v>0</v>
      </c>
      <c r="AG69" s="694">
        <f>[60]summary!$BP$55</f>
        <v>0</v>
      </c>
      <c r="AH69" s="696">
        <f>SUM(V69:W69)</f>
        <v>0</v>
      </c>
      <c r="AI69" s="59"/>
      <c r="AJ69" s="129"/>
      <c r="AK69" s="60">
        <f t="shared" si="9"/>
        <v>0</v>
      </c>
      <c r="AL69" s="53">
        <f t="shared" si="15"/>
        <v>0</v>
      </c>
    </row>
    <row r="70" spans="1:38" hidden="1" x14ac:dyDescent="0.2">
      <c r="A70" s="55"/>
      <c r="B70" s="55"/>
      <c r="C70" s="29"/>
      <c r="D70" s="55"/>
      <c r="E70" s="55" t="s">
        <v>523</v>
      </c>
      <c r="F70" s="701"/>
      <c r="G70" s="694">
        <f>[58]summary!$H$56</f>
        <v>0</v>
      </c>
      <c r="H70" s="694">
        <f>[58]summary!$M$56</f>
        <v>0</v>
      </c>
      <c r="I70" s="694">
        <f>[59]summary!$R$56</f>
        <v>0</v>
      </c>
      <c r="J70" s="694">
        <v>0</v>
      </c>
      <c r="K70" s="694">
        <v>0</v>
      </c>
      <c r="L70" s="694">
        <v>0</v>
      </c>
      <c r="M70" s="694">
        <v>0</v>
      </c>
      <c r="N70" s="694">
        <v>0</v>
      </c>
      <c r="O70" s="694">
        <v>0</v>
      </c>
      <c r="P70" s="694">
        <v>0</v>
      </c>
      <c r="Q70" s="694">
        <v>0</v>
      </c>
      <c r="R70" s="694">
        <v>0</v>
      </c>
      <c r="S70" s="694">
        <f>[60]summary!$BP$56</f>
        <v>0</v>
      </c>
      <c r="T70" s="693">
        <f>SUM(H70:S70)</f>
        <v>0</v>
      </c>
      <c r="U70" s="694">
        <v>0</v>
      </c>
      <c r="V70" s="694">
        <f>[58]summary!$M$56</f>
        <v>0</v>
      </c>
      <c r="W70" s="694">
        <f>[59]summary!$R$56</f>
        <v>0</v>
      </c>
      <c r="X70" s="694">
        <v>0</v>
      </c>
      <c r="Y70" s="694">
        <v>0</v>
      </c>
      <c r="Z70" s="694">
        <v>0</v>
      </c>
      <c r="AA70" s="694">
        <v>0</v>
      </c>
      <c r="AB70" s="694">
        <v>0</v>
      </c>
      <c r="AC70" s="694">
        <v>0</v>
      </c>
      <c r="AD70" s="694">
        <v>0</v>
      </c>
      <c r="AE70" s="694">
        <v>0</v>
      </c>
      <c r="AF70" s="694">
        <v>0</v>
      </c>
      <c r="AG70" s="694">
        <f>[60]summary!$BP$56</f>
        <v>0</v>
      </c>
      <c r="AH70" s="696">
        <f>SUM(V70:W70)</f>
        <v>0</v>
      </c>
      <c r="AI70" s="59"/>
      <c r="AJ70" s="129"/>
      <c r="AK70" s="60">
        <f t="shared" si="9"/>
        <v>0</v>
      </c>
      <c r="AL70" s="53">
        <f t="shared" si="15"/>
        <v>0</v>
      </c>
    </row>
    <row r="71" spans="1:38" hidden="1" x14ac:dyDescent="0.2">
      <c r="A71" s="55"/>
      <c r="B71" s="55"/>
      <c r="C71" s="29"/>
      <c r="D71" s="55"/>
      <c r="E71" s="55" t="s">
        <v>534</v>
      </c>
      <c r="F71" s="701"/>
      <c r="G71" s="694"/>
      <c r="H71" s="694"/>
      <c r="I71" s="694"/>
      <c r="J71" s="694"/>
      <c r="K71" s="694"/>
      <c r="L71" s="694"/>
      <c r="M71" s="694"/>
      <c r="N71" s="694"/>
      <c r="O71" s="694"/>
      <c r="P71" s="694"/>
      <c r="Q71" s="694"/>
      <c r="R71" s="694"/>
      <c r="S71" s="694"/>
      <c r="T71" s="693"/>
      <c r="U71" s="694"/>
      <c r="V71" s="694"/>
      <c r="W71" s="694"/>
      <c r="X71" s="694"/>
      <c r="Y71" s="694"/>
      <c r="Z71" s="694"/>
      <c r="AA71" s="694"/>
      <c r="AB71" s="694"/>
      <c r="AC71" s="694"/>
      <c r="AD71" s="694"/>
      <c r="AE71" s="694"/>
      <c r="AF71" s="694"/>
      <c r="AG71" s="694"/>
      <c r="AH71" s="696"/>
      <c r="AI71" s="59"/>
      <c r="AJ71" s="129"/>
      <c r="AK71" s="60">
        <f t="shared" si="9"/>
        <v>0</v>
      </c>
      <c r="AL71" s="53">
        <f t="shared" si="15"/>
        <v>0</v>
      </c>
    </row>
    <row r="72" spans="1:38" hidden="1" x14ac:dyDescent="0.2">
      <c r="A72" s="55"/>
      <c r="B72" s="55"/>
      <c r="C72" s="29"/>
      <c r="D72" s="55"/>
      <c r="E72" s="712" t="s">
        <v>532</v>
      </c>
      <c r="F72" s="701"/>
      <c r="G72" s="694">
        <f>[58]summary!$H$58</f>
        <v>0</v>
      </c>
      <c r="H72" s="694">
        <f>[58]summary!$M$58</f>
        <v>0</v>
      </c>
      <c r="I72" s="694">
        <f>[59]summary!$R$58</f>
        <v>0</v>
      </c>
      <c r="J72" s="694">
        <v>0</v>
      </c>
      <c r="K72" s="694">
        <v>0</v>
      </c>
      <c r="L72" s="694">
        <v>0</v>
      </c>
      <c r="M72" s="694">
        <v>0</v>
      </c>
      <c r="N72" s="694">
        <v>0</v>
      </c>
      <c r="O72" s="694">
        <v>0</v>
      </c>
      <c r="P72" s="694">
        <v>0</v>
      </c>
      <c r="Q72" s="694">
        <v>0</v>
      </c>
      <c r="R72" s="694">
        <v>0</v>
      </c>
      <c r="S72" s="694">
        <f>[60]summary!$BP$58</f>
        <v>0</v>
      </c>
      <c r="T72" s="693">
        <f>SUM(H72:S72)</f>
        <v>0</v>
      </c>
      <c r="U72" s="694">
        <v>0</v>
      </c>
      <c r="V72" s="694">
        <f>[58]summary!$M$58</f>
        <v>0</v>
      </c>
      <c r="W72" s="694">
        <f>[59]summary!$R$58</f>
        <v>0</v>
      </c>
      <c r="X72" s="694">
        <v>0</v>
      </c>
      <c r="Y72" s="694">
        <v>0</v>
      </c>
      <c r="Z72" s="694">
        <v>0</v>
      </c>
      <c r="AA72" s="694">
        <v>0</v>
      </c>
      <c r="AB72" s="694">
        <v>0</v>
      </c>
      <c r="AC72" s="694">
        <v>0</v>
      </c>
      <c r="AD72" s="694">
        <v>0</v>
      </c>
      <c r="AE72" s="694">
        <v>0</v>
      </c>
      <c r="AF72" s="694">
        <v>0</v>
      </c>
      <c r="AG72" s="694">
        <f>[60]summary!$BP$58</f>
        <v>0</v>
      </c>
      <c r="AH72" s="696">
        <f>SUM(V72:W72)</f>
        <v>0</v>
      </c>
      <c r="AI72" s="59"/>
      <c r="AJ72" s="129"/>
      <c r="AK72" s="60">
        <f t="shared" si="9"/>
        <v>0</v>
      </c>
      <c r="AL72" s="53">
        <f t="shared" si="15"/>
        <v>0</v>
      </c>
    </row>
    <row r="73" spans="1:38" hidden="1" x14ac:dyDescent="0.2">
      <c r="A73" s="55"/>
      <c r="B73" s="55"/>
      <c r="C73" s="29"/>
      <c r="D73" s="55"/>
      <c r="E73" s="712" t="s">
        <v>533</v>
      </c>
      <c r="F73" s="701"/>
      <c r="G73" s="694">
        <f>[58]summary!$H$59</f>
        <v>0</v>
      </c>
      <c r="H73" s="694">
        <f>[58]summary!$M$59</f>
        <v>0</v>
      </c>
      <c r="I73" s="694">
        <f>[59]summary!$R$59</f>
        <v>0</v>
      </c>
      <c r="J73" s="694">
        <v>0</v>
      </c>
      <c r="K73" s="694">
        <v>0</v>
      </c>
      <c r="L73" s="694">
        <v>0</v>
      </c>
      <c r="M73" s="694">
        <v>0</v>
      </c>
      <c r="N73" s="694">
        <v>0</v>
      </c>
      <c r="O73" s="694">
        <v>0</v>
      </c>
      <c r="P73" s="694">
        <v>0</v>
      </c>
      <c r="Q73" s="694">
        <v>0</v>
      </c>
      <c r="R73" s="694">
        <v>0</v>
      </c>
      <c r="S73" s="694">
        <f>[60]summary!$BP$59</f>
        <v>0</v>
      </c>
      <c r="T73" s="693">
        <f>SUM(H73:S73)</f>
        <v>0</v>
      </c>
      <c r="U73" s="694">
        <v>0</v>
      </c>
      <c r="V73" s="694">
        <f>[58]summary!$M$59</f>
        <v>0</v>
      </c>
      <c r="W73" s="694">
        <f>[59]summary!$R$59</f>
        <v>0</v>
      </c>
      <c r="X73" s="694">
        <v>0</v>
      </c>
      <c r="Y73" s="694">
        <v>0</v>
      </c>
      <c r="Z73" s="694">
        <v>0</v>
      </c>
      <c r="AA73" s="694">
        <v>0</v>
      </c>
      <c r="AB73" s="694">
        <v>0</v>
      </c>
      <c r="AC73" s="694">
        <v>0</v>
      </c>
      <c r="AD73" s="694">
        <v>0</v>
      </c>
      <c r="AE73" s="694">
        <v>0</v>
      </c>
      <c r="AF73" s="694">
        <v>0</v>
      </c>
      <c r="AG73" s="694">
        <f>[60]summary!$BP$59</f>
        <v>0</v>
      </c>
      <c r="AH73" s="696">
        <f>SUM(V73:W73)</f>
        <v>0</v>
      </c>
      <c r="AI73" s="59"/>
      <c r="AJ73" s="129"/>
      <c r="AK73" s="60">
        <f t="shared" si="9"/>
        <v>0</v>
      </c>
      <c r="AL73" s="53">
        <f t="shared" si="15"/>
        <v>0</v>
      </c>
    </row>
    <row r="74" spans="1:38" hidden="1" x14ac:dyDescent="0.2">
      <c r="A74" s="55"/>
      <c r="B74" s="55"/>
      <c r="C74" s="29"/>
      <c r="D74" s="55"/>
      <c r="E74" s="712"/>
      <c r="F74" s="701"/>
      <c r="G74" s="694"/>
      <c r="H74" s="694"/>
      <c r="I74" s="694"/>
      <c r="J74" s="694"/>
      <c r="K74" s="694"/>
      <c r="L74" s="694"/>
      <c r="M74" s="694"/>
      <c r="N74" s="694"/>
      <c r="O74" s="694"/>
      <c r="P74" s="694"/>
      <c r="Q74" s="694"/>
      <c r="R74" s="694"/>
      <c r="S74" s="694"/>
      <c r="T74" s="693"/>
      <c r="U74" s="694"/>
      <c r="V74" s="694"/>
      <c r="W74" s="694"/>
      <c r="X74" s="694"/>
      <c r="Y74" s="694"/>
      <c r="Z74" s="694"/>
      <c r="AA74" s="694"/>
      <c r="AB74" s="694"/>
      <c r="AC74" s="694"/>
      <c r="AD74" s="694"/>
      <c r="AE74" s="694"/>
      <c r="AF74" s="694"/>
      <c r="AG74" s="694"/>
      <c r="AH74" s="696"/>
      <c r="AI74" s="59"/>
      <c r="AJ74" s="129"/>
      <c r="AK74" s="60">
        <f t="shared" si="9"/>
        <v>0</v>
      </c>
      <c r="AL74" s="53">
        <f t="shared" si="15"/>
        <v>0</v>
      </c>
    </row>
    <row r="75" spans="1:38" hidden="1" x14ac:dyDescent="0.2">
      <c r="A75" s="55"/>
      <c r="B75" s="55"/>
      <c r="C75" s="29"/>
      <c r="D75" s="55" t="s">
        <v>535</v>
      </c>
      <c r="E75" s="55"/>
      <c r="F75" s="701"/>
      <c r="G75" s="694">
        <v>0</v>
      </c>
      <c r="H75" s="694">
        <f t="shared" ref="H75:S75" si="34">SUM(H76:H80)</f>
        <v>0</v>
      </c>
      <c r="I75" s="694">
        <f t="shared" si="34"/>
        <v>0</v>
      </c>
      <c r="J75" s="694">
        <f t="shared" si="34"/>
        <v>0</v>
      </c>
      <c r="K75" s="694">
        <f t="shared" si="34"/>
        <v>0</v>
      </c>
      <c r="L75" s="694">
        <f t="shared" si="34"/>
        <v>0</v>
      </c>
      <c r="M75" s="694">
        <f t="shared" si="34"/>
        <v>0</v>
      </c>
      <c r="N75" s="694">
        <f t="shared" si="34"/>
        <v>0</v>
      </c>
      <c r="O75" s="694">
        <f t="shared" si="34"/>
        <v>0</v>
      </c>
      <c r="P75" s="694">
        <f t="shared" si="34"/>
        <v>0</v>
      </c>
      <c r="Q75" s="694">
        <f t="shared" si="34"/>
        <v>0</v>
      </c>
      <c r="R75" s="694">
        <f t="shared" si="34"/>
        <v>0</v>
      </c>
      <c r="S75" s="694">
        <f t="shared" si="34"/>
        <v>0</v>
      </c>
      <c r="T75" s="693">
        <f>SUM(T76:T80)</f>
        <v>0</v>
      </c>
      <c r="U75" s="694">
        <v>0</v>
      </c>
      <c r="V75" s="694">
        <f t="shared" ref="V75:AH75" si="35">SUM(V76:V80)</f>
        <v>0</v>
      </c>
      <c r="W75" s="694">
        <f t="shared" si="35"/>
        <v>0</v>
      </c>
      <c r="X75" s="694">
        <f t="shared" si="35"/>
        <v>0</v>
      </c>
      <c r="Y75" s="694">
        <f t="shared" si="35"/>
        <v>0</v>
      </c>
      <c r="Z75" s="694">
        <f t="shared" si="35"/>
        <v>0</v>
      </c>
      <c r="AA75" s="694">
        <f t="shared" si="35"/>
        <v>0</v>
      </c>
      <c r="AB75" s="694">
        <f t="shared" si="35"/>
        <v>0</v>
      </c>
      <c r="AC75" s="694">
        <f t="shared" si="35"/>
        <v>0</v>
      </c>
      <c r="AD75" s="694">
        <f t="shared" si="35"/>
        <v>0</v>
      </c>
      <c r="AE75" s="694">
        <f t="shared" si="35"/>
        <v>0</v>
      </c>
      <c r="AF75" s="694">
        <f t="shared" si="35"/>
        <v>0</v>
      </c>
      <c r="AG75" s="694">
        <f t="shared" si="35"/>
        <v>0</v>
      </c>
      <c r="AH75" s="696">
        <f t="shared" si="35"/>
        <v>0</v>
      </c>
      <c r="AI75" s="59"/>
      <c r="AJ75" s="129"/>
      <c r="AK75" s="60">
        <f t="shared" si="9"/>
        <v>0</v>
      </c>
      <c r="AL75" s="53">
        <f t="shared" si="15"/>
        <v>0</v>
      </c>
    </row>
    <row r="76" spans="1:38" hidden="1" x14ac:dyDescent="0.2">
      <c r="A76" s="55"/>
      <c r="B76" s="55"/>
      <c r="C76" s="29"/>
      <c r="D76" s="55"/>
      <c r="E76" s="55" t="s">
        <v>522</v>
      </c>
      <c r="F76" s="701"/>
      <c r="G76" s="694">
        <v>0</v>
      </c>
      <c r="H76" s="694">
        <v>0</v>
      </c>
      <c r="I76" s="694">
        <v>0</v>
      </c>
      <c r="J76" s="694">
        <v>0</v>
      </c>
      <c r="K76" s="694">
        <v>0</v>
      </c>
      <c r="L76" s="694">
        <v>0</v>
      </c>
      <c r="M76" s="694">
        <v>0</v>
      </c>
      <c r="N76" s="694">
        <v>0</v>
      </c>
      <c r="O76" s="694">
        <v>0</v>
      </c>
      <c r="P76" s="694">
        <v>0</v>
      </c>
      <c r="Q76" s="694">
        <v>0</v>
      </c>
      <c r="R76" s="694">
        <v>0</v>
      </c>
      <c r="S76" s="694">
        <v>0</v>
      </c>
      <c r="T76" s="693">
        <f>SUM(H76:S76)</f>
        <v>0</v>
      </c>
      <c r="U76" s="694">
        <v>0</v>
      </c>
      <c r="V76" s="694">
        <v>0</v>
      </c>
      <c r="W76" s="694">
        <v>0</v>
      </c>
      <c r="X76" s="694">
        <v>0</v>
      </c>
      <c r="Y76" s="694">
        <v>0</v>
      </c>
      <c r="Z76" s="694">
        <v>0</v>
      </c>
      <c r="AA76" s="694">
        <v>0</v>
      </c>
      <c r="AB76" s="694">
        <v>0</v>
      </c>
      <c r="AC76" s="694">
        <v>0</v>
      </c>
      <c r="AD76" s="694">
        <v>0</v>
      </c>
      <c r="AE76" s="694">
        <v>0</v>
      </c>
      <c r="AF76" s="694">
        <v>0</v>
      </c>
      <c r="AG76" s="694">
        <v>0</v>
      </c>
      <c r="AH76" s="696">
        <f>SUM(V76:AG76)</f>
        <v>0</v>
      </c>
      <c r="AI76" s="59"/>
      <c r="AJ76" s="129"/>
      <c r="AK76" s="60">
        <f t="shared" si="9"/>
        <v>0</v>
      </c>
      <c r="AL76" s="53">
        <f t="shared" si="15"/>
        <v>0</v>
      </c>
    </row>
    <row r="77" spans="1:38" hidden="1" x14ac:dyDescent="0.2">
      <c r="A77" s="55"/>
      <c r="B77" s="55"/>
      <c r="C77" s="29"/>
      <c r="D77" s="55"/>
      <c r="E77" s="55" t="s">
        <v>523</v>
      </c>
      <c r="F77" s="701"/>
      <c r="G77" s="694">
        <v>0</v>
      </c>
      <c r="H77" s="694">
        <v>0</v>
      </c>
      <c r="I77" s="694">
        <v>0</v>
      </c>
      <c r="J77" s="694">
        <v>0</v>
      </c>
      <c r="K77" s="694">
        <v>0</v>
      </c>
      <c r="L77" s="694">
        <v>0</v>
      </c>
      <c r="M77" s="694">
        <v>0</v>
      </c>
      <c r="N77" s="694">
        <v>0</v>
      </c>
      <c r="O77" s="694">
        <v>0</v>
      </c>
      <c r="P77" s="694">
        <v>0</v>
      </c>
      <c r="Q77" s="694">
        <v>0</v>
      </c>
      <c r="R77" s="694">
        <v>0</v>
      </c>
      <c r="S77" s="694">
        <v>0</v>
      </c>
      <c r="T77" s="693">
        <f>SUM(H77:S77)</f>
        <v>0</v>
      </c>
      <c r="U77" s="694">
        <v>0</v>
      </c>
      <c r="V77" s="694">
        <v>0</v>
      </c>
      <c r="W77" s="694">
        <v>0</v>
      </c>
      <c r="X77" s="694">
        <v>0</v>
      </c>
      <c r="Y77" s="694">
        <v>0</v>
      </c>
      <c r="Z77" s="694">
        <v>0</v>
      </c>
      <c r="AA77" s="694">
        <v>0</v>
      </c>
      <c r="AB77" s="694">
        <v>0</v>
      </c>
      <c r="AC77" s="694">
        <v>0</v>
      </c>
      <c r="AD77" s="694">
        <v>0</v>
      </c>
      <c r="AE77" s="694">
        <v>0</v>
      </c>
      <c r="AF77" s="694">
        <v>0</v>
      </c>
      <c r="AG77" s="694">
        <v>0</v>
      </c>
      <c r="AH77" s="696">
        <f>SUM(V77:AG77)</f>
        <v>0</v>
      </c>
      <c r="AI77" s="59"/>
      <c r="AJ77" s="129"/>
      <c r="AK77" s="60">
        <f t="shared" si="9"/>
        <v>0</v>
      </c>
      <c r="AL77" s="53">
        <f t="shared" si="15"/>
        <v>0</v>
      </c>
    </row>
    <row r="78" spans="1:38" hidden="1" x14ac:dyDescent="0.2">
      <c r="A78" s="55"/>
      <c r="B78" s="55"/>
      <c r="C78" s="29"/>
      <c r="D78" s="55"/>
      <c r="E78" s="55" t="s">
        <v>536</v>
      </c>
      <c r="F78" s="701"/>
      <c r="G78" s="694"/>
      <c r="H78" s="694"/>
      <c r="I78" s="694"/>
      <c r="J78" s="694"/>
      <c r="K78" s="694"/>
      <c r="L78" s="694"/>
      <c r="M78" s="694"/>
      <c r="N78" s="694"/>
      <c r="O78" s="694"/>
      <c r="P78" s="694"/>
      <c r="Q78" s="694"/>
      <c r="R78" s="694"/>
      <c r="S78" s="694"/>
      <c r="T78" s="693"/>
      <c r="U78" s="694"/>
      <c r="V78" s="694"/>
      <c r="W78" s="694"/>
      <c r="X78" s="694"/>
      <c r="Y78" s="694"/>
      <c r="Z78" s="694"/>
      <c r="AA78" s="694"/>
      <c r="AB78" s="694"/>
      <c r="AC78" s="694"/>
      <c r="AD78" s="694"/>
      <c r="AE78" s="694"/>
      <c r="AF78" s="694"/>
      <c r="AG78" s="694"/>
      <c r="AH78" s="696"/>
      <c r="AI78" s="59"/>
      <c r="AJ78" s="129"/>
      <c r="AK78" s="60">
        <f t="shared" si="9"/>
        <v>0</v>
      </c>
      <c r="AL78" s="53">
        <f t="shared" ref="AL78:AL102" si="36">SUM(V78:AG78)-AH78</f>
        <v>0</v>
      </c>
    </row>
    <row r="79" spans="1:38" hidden="1" x14ac:dyDescent="0.2">
      <c r="A79" s="55"/>
      <c r="B79" s="55"/>
      <c r="C79" s="29"/>
      <c r="D79" s="55"/>
      <c r="E79" s="712" t="s">
        <v>532</v>
      </c>
      <c r="F79" s="701"/>
      <c r="G79" s="694">
        <v>0</v>
      </c>
      <c r="H79" s="694">
        <v>0</v>
      </c>
      <c r="I79" s="694">
        <v>0</v>
      </c>
      <c r="J79" s="694">
        <v>0</v>
      </c>
      <c r="K79" s="694">
        <v>0</v>
      </c>
      <c r="L79" s="694">
        <v>0</v>
      </c>
      <c r="M79" s="694">
        <v>0</v>
      </c>
      <c r="N79" s="694">
        <v>0</v>
      </c>
      <c r="O79" s="694">
        <v>0</v>
      </c>
      <c r="P79" s="694">
        <v>0</v>
      </c>
      <c r="Q79" s="694">
        <v>0</v>
      </c>
      <c r="R79" s="694">
        <v>0</v>
      </c>
      <c r="S79" s="694">
        <v>0</v>
      </c>
      <c r="T79" s="693">
        <f>SUM(H79:S79)</f>
        <v>0</v>
      </c>
      <c r="U79" s="694">
        <v>0</v>
      </c>
      <c r="V79" s="694">
        <v>0</v>
      </c>
      <c r="W79" s="694">
        <v>0</v>
      </c>
      <c r="X79" s="694">
        <v>0</v>
      </c>
      <c r="Y79" s="694">
        <v>0</v>
      </c>
      <c r="Z79" s="694">
        <v>0</v>
      </c>
      <c r="AA79" s="694">
        <v>0</v>
      </c>
      <c r="AB79" s="694">
        <v>0</v>
      </c>
      <c r="AC79" s="694">
        <v>0</v>
      </c>
      <c r="AD79" s="694">
        <v>0</v>
      </c>
      <c r="AE79" s="694">
        <v>0</v>
      </c>
      <c r="AF79" s="694">
        <v>0</v>
      </c>
      <c r="AG79" s="694">
        <v>0</v>
      </c>
      <c r="AH79" s="696">
        <f>SUM(V79:AG79)</f>
        <v>0</v>
      </c>
      <c r="AI79" s="59"/>
      <c r="AJ79" s="129"/>
      <c r="AK79" s="60">
        <f t="shared" si="9"/>
        <v>0</v>
      </c>
      <c r="AL79" s="53">
        <f t="shared" si="36"/>
        <v>0</v>
      </c>
    </row>
    <row r="80" spans="1:38" hidden="1" x14ac:dyDescent="0.2">
      <c r="A80" s="55"/>
      <c r="B80" s="55"/>
      <c r="C80" s="29"/>
      <c r="D80" s="55"/>
      <c r="E80" s="712" t="s">
        <v>533</v>
      </c>
      <c r="F80" s="701"/>
      <c r="G80" s="694">
        <v>0</v>
      </c>
      <c r="H80" s="694">
        <v>0</v>
      </c>
      <c r="I80" s="694">
        <v>0</v>
      </c>
      <c r="J80" s="694">
        <v>0</v>
      </c>
      <c r="K80" s="694">
        <v>0</v>
      </c>
      <c r="L80" s="694">
        <v>0</v>
      </c>
      <c r="M80" s="694">
        <v>0</v>
      </c>
      <c r="N80" s="694">
        <v>0</v>
      </c>
      <c r="O80" s="694">
        <v>0</v>
      </c>
      <c r="P80" s="694">
        <v>0</v>
      </c>
      <c r="Q80" s="694">
        <v>0</v>
      </c>
      <c r="R80" s="694">
        <v>0</v>
      </c>
      <c r="S80" s="694">
        <v>0</v>
      </c>
      <c r="T80" s="693">
        <f>SUM(H80:S80)</f>
        <v>0</v>
      </c>
      <c r="U80" s="694">
        <v>0</v>
      </c>
      <c r="V80" s="694">
        <v>0</v>
      </c>
      <c r="W80" s="694">
        <v>0</v>
      </c>
      <c r="X80" s="694">
        <v>0</v>
      </c>
      <c r="Y80" s="694">
        <v>0</v>
      </c>
      <c r="Z80" s="694">
        <v>0</v>
      </c>
      <c r="AA80" s="694">
        <v>0</v>
      </c>
      <c r="AB80" s="694">
        <v>0</v>
      </c>
      <c r="AC80" s="694">
        <v>0</v>
      </c>
      <c r="AD80" s="694">
        <v>0</v>
      </c>
      <c r="AE80" s="694">
        <v>0</v>
      </c>
      <c r="AF80" s="694">
        <v>0</v>
      </c>
      <c r="AG80" s="694">
        <v>0</v>
      </c>
      <c r="AH80" s="696">
        <f>SUM(V80:AG80)</f>
        <v>0</v>
      </c>
      <c r="AI80" s="59"/>
      <c r="AJ80" s="129"/>
      <c r="AK80" s="60">
        <f t="shared" si="9"/>
        <v>0</v>
      </c>
      <c r="AL80" s="53">
        <f t="shared" si="36"/>
        <v>0</v>
      </c>
    </row>
    <row r="81" spans="1:38" hidden="1" x14ac:dyDescent="0.2">
      <c r="A81" s="55"/>
      <c r="B81" s="55"/>
      <c r="C81" s="29"/>
      <c r="D81" s="55"/>
      <c r="E81" s="55"/>
      <c r="F81" s="701"/>
      <c r="G81" s="694"/>
      <c r="H81" s="693"/>
      <c r="I81" s="693"/>
      <c r="J81" s="693"/>
      <c r="K81" s="693"/>
      <c r="L81" s="693"/>
      <c r="M81" s="693"/>
      <c r="N81" s="693"/>
      <c r="O81" s="693"/>
      <c r="P81" s="693"/>
      <c r="Q81" s="693"/>
      <c r="R81" s="693"/>
      <c r="S81" s="693"/>
      <c r="T81" s="693"/>
      <c r="U81" s="694"/>
      <c r="V81" s="693"/>
      <c r="W81" s="693"/>
      <c r="X81" s="693"/>
      <c r="Y81" s="693"/>
      <c r="Z81" s="693"/>
      <c r="AA81" s="693"/>
      <c r="AB81" s="693"/>
      <c r="AC81" s="693"/>
      <c r="AD81" s="693"/>
      <c r="AE81" s="693"/>
      <c r="AF81" s="693"/>
      <c r="AG81" s="693"/>
      <c r="AH81" s="696"/>
      <c r="AI81" s="59"/>
      <c r="AJ81" s="129"/>
      <c r="AK81" s="60">
        <f t="shared" si="9"/>
        <v>0</v>
      </c>
      <c r="AL81" s="53">
        <f t="shared" si="36"/>
        <v>0</v>
      </c>
    </row>
    <row r="82" spans="1:38" hidden="1" x14ac:dyDescent="0.2">
      <c r="A82" s="55"/>
      <c r="B82" s="55"/>
      <c r="C82" s="29"/>
      <c r="D82" s="55"/>
      <c r="E82" s="55"/>
      <c r="F82" s="128"/>
      <c r="G82" s="694"/>
      <c r="H82" s="693"/>
      <c r="I82" s="693"/>
      <c r="J82" s="693"/>
      <c r="K82" s="693"/>
      <c r="L82" s="693"/>
      <c r="M82" s="693"/>
      <c r="N82" s="693"/>
      <c r="O82" s="693"/>
      <c r="P82" s="693"/>
      <c r="Q82" s="693"/>
      <c r="R82" s="693"/>
      <c r="S82" s="693"/>
      <c r="T82" s="693"/>
      <c r="U82" s="694"/>
      <c r="V82" s="693"/>
      <c r="W82" s="693"/>
      <c r="X82" s="693"/>
      <c r="Y82" s="693"/>
      <c r="Z82" s="693"/>
      <c r="AA82" s="693"/>
      <c r="AB82" s="693"/>
      <c r="AC82" s="693"/>
      <c r="AD82" s="693"/>
      <c r="AE82" s="693"/>
      <c r="AF82" s="693"/>
      <c r="AG82" s="693"/>
      <c r="AH82" s="696"/>
      <c r="AI82" s="59"/>
      <c r="AJ82" s="129"/>
      <c r="AK82" s="60">
        <f t="shared" ref="AK82:AK103" si="37">AH82-U82</f>
        <v>0</v>
      </c>
      <c r="AL82" s="53">
        <f t="shared" si="36"/>
        <v>0</v>
      </c>
    </row>
    <row r="83" spans="1:38" s="35" customFormat="1" x14ac:dyDescent="0.2">
      <c r="A83" s="13"/>
      <c r="B83" s="13"/>
      <c r="C83" s="23" t="s">
        <v>537</v>
      </c>
      <c r="D83" s="13"/>
      <c r="E83" s="13"/>
      <c r="F83" s="686" t="s">
        <v>538</v>
      </c>
      <c r="G83" s="689">
        <f t="shared" ref="G83:S83" si="38">SUM(G84:G87)</f>
        <v>17737850.182999998</v>
      </c>
      <c r="H83" s="687">
        <f t="shared" si="38"/>
        <v>15659489</v>
      </c>
      <c r="I83" s="687">
        <f t="shared" si="38"/>
        <v>-128367.74399999995</v>
      </c>
      <c r="J83" s="687">
        <f t="shared" si="38"/>
        <v>0</v>
      </c>
      <c r="K83" s="687">
        <f t="shared" si="38"/>
        <v>0</v>
      </c>
      <c r="L83" s="687">
        <f t="shared" si="38"/>
        <v>0</v>
      </c>
      <c r="M83" s="687">
        <f t="shared" si="38"/>
        <v>0</v>
      </c>
      <c r="N83" s="687">
        <f>SUM(N84:N87)</f>
        <v>0</v>
      </c>
      <c r="O83" s="687">
        <f t="shared" si="38"/>
        <v>0</v>
      </c>
      <c r="P83" s="687">
        <f>SUM(P84:P87)</f>
        <v>0</v>
      </c>
      <c r="Q83" s="687">
        <f t="shared" si="38"/>
        <v>0</v>
      </c>
      <c r="R83" s="687">
        <f>SUM(R84:R87)</f>
        <v>0</v>
      </c>
      <c r="S83" s="687">
        <f t="shared" si="38"/>
        <v>0</v>
      </c>
      <c r="T83" s="687">
        <f>SUM(T84:T87)</f>
        <v>15531121.256000001</v>
      </c>
      <c r="U83" s="689">
        <f>SUM(U84:U87)</f>
        <v>-3080248</v>
      </c>
      <c r="V83" s="687">
        <f t="shared" ref="V83:W83" si="39">SUM(V84:V87)</f>
        <v>22552116</v>
      </c>
      <c r="W83" s="687">
        <f t="shared" si="39"/>
        <v>4370804</v>
      </c>
      <c r="X83" s="687">
        <f>SUM(X84:X87)</f>
        <v>-78436505</v>
      </c>
      <c r="Y83" s="687">
        <f>SUM(Y84:Y87)</f>
        <v>80693607</v>
      </c>
      <c r="Z83" s="687">
        <f>SUM(Z84:Z87)</f>
        <v>4029291</v>
      </c>
      <c r="AA83" s="687">
        <f t="shared" ref="AA83" si="40">SUM(AA84:AA87)</f>
        <v>-82870298</v>
      </c>
      <c r="AB83" s="687">
        <f>SUM(AB84:AB87)</f>
        <v>4688204</v>
      </c>
      <c r="AC83" s="687">
        <f t="shared" ref="AC83" si="41">SUM(AC84:AC87)</f>
        <v>-2800476</v>
      </c>
      <c r="AD83" s="687">
        <f>SUM(AD84:AD87)</f>
        <v>-3885130</v>
      </c>
      <c r="AE83" s="687">
        <f t="shared" ref="AE83" si="42">SUM(AE84:AE87)</f>
        <v>33890860</v>
      </c>
      <c r="AF83" s="687">
        <f>SUM(AF84:AF87)</f>
        <v>-23025988</v>
      </c>
      <c r="AG83" s="687">
        <f t="shared" ref="AG83" si="43">SUM(AG84:AG87)</f>
        <v>37713267</v>
      </c>
      <c r="AH83" s="688">
        <f>SUM(AH84:AH87)</f>
        <v>26922920</v>
      </c>
      <c r="AI83" s="90"/>
      <c r="AJ83" s="375"/>
      <c r="AK83" s="60">
        <f t="shared" si="37"/>
        <v>30003168</v>
      </c>
      <c r="AL83" s="53">
        <f t="shared" si="36"/>
        <v>-30003168</v>
      </c>
    </row>
    <row r="84" spans="1:38" x14ac:dyDescent="0.2">
      <c r="A84" s="55"/>
      <c r="B84" s="55"/>
      <c r="C84" s="29"/>
      <c r="D84" s="55"/>
      <c r="E84" s="55" t="s">
        <v>539</v>
      </c>
      <c r="F84" s="128"/>
      <c r="G84" s="694">
        <f>+[12]cashbalances!$H$27+[12]cashbalances!$H$32</f>
        <v>5141850.1830000002</v>
      </c>
      <c r="H84" s="693">
        <f>[11]summary!$M$73+[11]summary!$M$74</f>
        <v>0</v>
      </c>
      <c r="I84" s="693">
        <f>[12]cashbalances!$R$27+[12]cashbalances!$R$32</f>
        <v>871744.25600000005</v>
      </c>
      <c r="J84" s="693">
        <v>0</v>
      </c>
      <c r="K84" s="693">
        <v>0</v>
      </c>
      <c r="L84" s="693">
        <v>0</v>
      </c>
      <c r="M84" s="693">
        <v>0</v>
      </c>
      <c r="N84" s="693">
        <v>0</v>
      </c>
      <c r="O84" s="693">
        <v>0</v>
      </c>
      <c r="P84" s="693">
        <v>0</v>
      </c>
      <c r="Q84" s="693">
        <v>0</v>
      </c>
      <c r="R84" s="693">
        <v>0</v>
      </c>
      <c r="S84" s="693">
        <v>0</v>
      </c>
      <c r="T84" s="693">
        <f>SUM(H84:S84)</f>
        <v>871744.25600000005</v>
      </c>
      <c r="U84" s="694">
        <f>[11]summary!$BZ$73+[11]summary!$BZ$74</f>
        <v>11453893</v>
      </c>
      <c r="V84" s="693">
        <f>[46]summary!$M$73+[46]summary!$M$74</f>
        <v>1285536</v>
      </c>
      <c r="W84" s="693">
        <f>[46]summary!$R$73+[46]summary!$R$74</f>
        <v>0</v>
      </c>
      <c r="X84" s="693">
        <f>[46]summary!$W$73+[46]summary!$W$74</f>
        <v>12272</v>
      </c>
      <c r="Y84" s="693">
        <f>[46]summary!$AB$73+[46]summary!$AB$74</f>
        <v>0</v>
      </c>
      <c r="Z84" s="693">
        <f>[46]summary!$AG$73+[46]summary!$AG$74</f>
        <v>1736821</v>
      </c>
      <c r="AA84" s="693">
        <f>[46]summary!$AL$73+[46]summary!$AL$74</f>
        <v>245929</v>
      </c>
      <c r="AB84" s="693">
        <f>[46]summary!$AQ$73+[46]summary!$AQ$74</f>
        <v>1889237</v>
      </c>
      <c r="AC84" s="693">
        <f>[46]summary!$AV$73+[46]summary!$AV$74</f>
        <v>1146180</v>
      </c>
      <c r="AD84" s="693">
        <f>[46]summary!$BA$73+[46]summary!$BA$74</f>
        <v>1005353</v>
      </c>
      <c r="AE84" s="693">
        <f>[46]summary!$BF$73+[46]summary!$BF$74</f>
        <v>41798</v>
      </c>
      <c r="AF84" s="693">
        <f>[46]summary!$BK$73+[46]summary!$BK$74</f>
        <v>360442</v>
      </c>
      <c r="AG84" s="693">
        <f>[46]summary!$BP$73+[46]summary!$BP$74</f>
        <v>3730325</v>
      </c>
      <c r="AH84" s="696">
        <f t="shared" ref="AH84" si="44">SUM(V84:W84)</f>
        <v>1285536</v>
      </c>
      <c r="AI84" s="59"/>
      <c r="AJ84" s="129"/>
      <c r="AK84" s="60">
        <f t="shared" si="37"/>
        <v>-10168357</v>
      </c>
      <c r="AL84" s="53">
        <f t="shared" si="36"/>
        <v>10168357</v>
      </c>
    </row>
    <row r="85" spans="1:38" x14ac:dyDescent="0.2">
      <c r="A85" s="55"/>
      <c r="B85" s="55"/>
      <c r="C85" s="29"/>
      <c r="D85" s="55"/>
      <c r="E85" s="55" t="s">
        <v>540</v>
      </c>
      <c r="F85" s="713"/>
      <c r="G85" s="693">
        <f>[11]summary!$H$71</f>
        <v>0</v>
      </c>
      <c r="H85" s="714">
        <f>[11]summary!$M$71</f>
        <v>34143659</v>
      </c>
      <c r="I85" s="714">
        <f>[12]cashbalances!$R$23</f>
        <v>-4349966</v>
      </c>
      <c r="J85" s="714">
        <v>0</v>
      </c>
      <c r="K85" s="714">
        <v>0</v>
      </c>
      <c r="L85" s="714">
        <v>0</v>
      </c>
      <c r="M85" s="714">
        <v>0</v>
      </c>
      <c r="N85" s="714">
        <v>0</v>
      </c>
      <c r="O85" s="714">
        <v>0</v>
      </c>
      <c r="P85" s="714">
        <v>0</v>
      </c>
      <c r="Q85" s="714">
        <v>0</v>
      </c>
      <c r="R85" s="714">
        <v>0</v>
      </c>
      <c r="S85" s="714">
        <v>0</v>
      </c>
      <c r="T85" s="693">
        <f>SUM(H85:S85)</f>
        <v>29793693</v>
      </c>
      <c r="U85" s="693">
        <f>[11]summary!$BZ$71</f>
        <v>-17008126</v>
      </c>
      <c r="V85" s="714">
        <f>[46]summary!$M$71</f>
        <v>-17895405</v>
      </c>
      <c r="W85" s="714">
        <f>[46]summary!$R$71</f>
        <v>-2162772</v>
      </c>
      <c r="X85" s="714">
        <f>[46]summary!$W$71</f>
        <v>1746060</v>
      </c>
      <c r="Y85" s="714">
        <f>[46]summary!$AB$71</f>
        <v>9207825</v>
      </c>
      <c r="Z85" s="714">
        <f>[46]summary!$AG$71</f>
        <v>-8222766</v>
      </c>
      <c r="AA85" s="714">
        <f>[46]summary!$AL$71</f>
        <v>21412052</v>
      </c>
      <c r="AB85" s="714">
        <f>[46]summary!$AQ$71</f>
        <v>67094</v>
      </c>
      <c r="AC85" s="714">
        <f>[46]summary!$AV$71</f>
        <v>5423083</v>
      </c>
      <c r="AD85" s="714">
        <f>[46]summary!$BA$71</f>
        <v>3006040</v>
      </c>
      <c r="AE85" s="714">
        <f>[46]summary!$BF$71</f>
        <v>484408</v>
      </c>
      <c r="AF85" s="714">
        <f>[46]summary!$BK$71</f>
        <v>4553332</v>
      </c>
      <c r="AG85" s="714">
        <f>[46]summary!$BP$71</f>
        <v>-34627077</v>
      </c>
      <c r="AH85" s="696">
        <f>SUM(V85:W85)</f>
        <v>-20058177</v>
      </c>
      <c r="AI85" s="59"/>
      <c r="AJ85" s="129"/>
      <c r="AK85" s="60">
        <f t="shared" si="37"/>
        <v>-3050051</v>
      </c>
      <c r="AL85" s="53">
        <f t="shared" si="36"/>
        <v>3050051</v>
      </c>
    </row>
    <row r="86" spans="1:38" x14ac:dyDescent="0.2">
      <c r="A86" s="55"/>
      <c r="B86" s="55"/>
      <c r="C86" s="29"/>
      <c r="D86" s="55"/>
      <c r="E86" s="55" t="s">
        <v>497</v>
      </c>
      <c r="F86" s="128"/>
      <c r="G86" s="694">
        <f>[11]summary!$H$72</f>
        <v>0</v>
      </c>
      <c r="H86" s="693">
        <f>[11]summary!$M$72</f>
        <v>0</v>
      </c>
      <c r="I86" s="693">
        <f>[12]cashbalances!$R$25</f>
        <v>0</v>
      </c>
      <c r="J86" s="693">
        <v>0</v>
      </c>
      <c r="K86" s="693">
        <v>0</v>
      </c>
      <c r="L86" s="693">
        <v>0</v>
      </c>
      <c r="M86" s="693">
        <v>0</v>
      </c>
      <c r="N86" s="693">
        <v>0</v>
      </c>
      <c r="O86" s="693">
        <v>0</v>
      </c>
      <c r="P86" s="693">
        <v>0</v>
      </c>
      <c r="Q86" s="693">
        <v>0</v>
      </c>
      <c r="R86" s="693">
        <v>0</v>
      </c>
      <c r="S86" s="693">
        <v>0</v>
      </c>
      <c r="T86" s="693">
        <v>0</v>
      </c>
      <c r="U86" s="694">
        <f>[11]summary!$BZ$72</f>
        <v>0</v>
      </c>
      <c r="V86" s="693">
        <f>[57]summary!$BU$73</f>
        <v>0</v>
      </c>
      <c r="W86" s="693">
        <f>[46]summary!$R$72</f>
        <v>0</v>
      </c>
      <c r="X86" s="693">
        <v>0</v>
      </c>
      <c r="Y86" s="693">
        <v>0</v>
      </c>
      <c r="Z86" s="693">
        <v>0</v>
      </c>
      <c r="AA86" s="693">
        <f>[46]summary!$AL$72</f>
        <v>0</v>
      </c>
      <c r="AB86" s="693">
        <f>[46]summary!$AQ$72</f>
        <v>0</v>
      </c>
      <c r="AC86" s="693">
        <f>[46]summary!$AV$72</f>
        <v>0</v>
      </c>
      <c r="AD86" s="693">
        <f>[46]summary!$BA$72</f>
        <v>0</v>
      </c>
      <c r="AE86" s="693">
        <f>[46]summary!$BF$72</f>
        <v>0</v>
      </c>
      <c r="AF86" s="693">
        <f>[46]summary!$BK$72</f>
        <v>0</v>
      </c>
      <c r="AG86" s="693">
        <f>[46]summary!$BP$72</f>
        <v>0</v>
      </c>
      <c r="AH86" s="696">
        <f>SUM(V86:W86)</f>
        <v>0</v>
      </c>
      <c r="AI86" s="59"/>
      <c r="AJ86" s="129"/>
      <c r="AK86" s="60">
        <f t="shared" si="37"/>
        <v>0</v>
      </c>
      <c r="AL86" s="53">
        <f t="shared" si="36"/>
        <v>0</v>
      </c>
    </row>
    <row r="87" spans="1:38" x14ac:dyDescent="0.2">
      <c r="A87" s="55"/>
      <c r="B87" s="55"/>
      <c r="C87" s="29"/>
      <c r="D87" s="55"/>
      <c r="E87" s="55" t="s">
        <v>541</v>
      </c>
      <c r="F87" s="128"/>
      <c r="G87" s="694">
        <f>+G91</f>
        <v>12596000</v>
      </c>
      <c r="H87" s="693">
        <f>+H91</f>
        <v>-18484170</v>
      </c>
      <c r="I87" s="693">
        <f>+I91</f>
        <v>3349854</v>
      </c>
      <c r="J87" s="693">
        <f>+J91</f>
        <v>0</v>
      </c>
      <c r="K87" s="693">
        <f>+K91</f>
        <v>0</v>
      </c>
      <c r="L87" s="693">
        <f>L91</f>
        <v>0</v>
      </c>
      <c r="M87" s="693">
        <f t="shared" ref="M87:R87" si="45">M91</f>
        <v>0</v>
      </c>
      <c r="N87" s="693">
        <f>N91</f>
        <v>0</v>
      </c>
      <c r="O87" s="693">
        <f t="shared" si="45"/>
        <v>0</v>
      </c>
      <c r="P87" s="693">
        <f>P91</f>
        <v>0</v>
      </c>
      <c r="Q87" s="693">
        <f t="shared" si="45"/>
        <v>0</v>
      </c>
      <c r="R87" s="693">
        <f t="shared" si="45"/>
        <v>0</v>
      </c>
      <c r="S87" s="693">
        <f>S91</f>
        <v>0</v>
      </c>
      <c r="T87" s="693">
        <f t="shared" ref="T87:Y87" si="46">+T91</f>
        <v>-15134316</v>
      </c>
      <c r="U87" s="694">
        <f t="shared" si="46"/>
        <v>2473985</v>
      </c>
      <c r="V87" s="693">
        <f t="shared" si="46"/>
        <v>39161985</v>
      </c>
      <c r="W87" s="693">
        <f t="shared" si="46"/>
        <v>6533576</v>
      </c>
      <c r="X87" s="693">
        <f t="shared" si="46"/>
        <v>-80194837</v>
      </c>
      <c r="Y87" s="693">
        <f t="shared" si="46"/>
        <v>71485782</v>
      </c>
      <c r="Z87" s="693">
        <f>Z91</f>
        <v>10515236</v>
      </c>
      <c r="AA87" s="693">
        <f t="shared" ref="AA87" si="47">AA91</f>
        <v>-104528279</v>
      </c>
      <c r="AB87" s="693">
        <f>AB91</f>
        <v>2731873</v>
      </c>
      <c r="AC87" s="693">
        <f t="shared" ref="AC87" si="48">AC91</f>
        <v>-9369739</v>
      </c>
      <c r="AD87" s="693">
        <f>AD91</f>
        <v>-7896523</v>
      </c>
      <c r="AE87" s="693">
        <f t="shared" ref="AE87:AF87" si="49">AE91</f>
        <v>33364654</v>
      </c>
      <c r="AF87" s="693">
        <f t="shared" si="49"/>
        <v>-27939762</v>
      </c>
      <c r="AG87" s="693">
        <f>AG91</f>
        <v>68610019</v>
      </c>
      <c r="AH87" s="696">
        <f>+AH91</f>
        <v>45695561</v>
      </c>
      <c r="AI87" s="59"/>
      <c r="AJ87" s="129"/>
      <c r="AK87" s="60">
        <f t="shared" si="37"/>
        <v>43221576</v>
      </c>
      <c r="AL87" s="53">
        <f t="shared" si="36"/>
        <v>-43221576</v>
      </c>
    </row>
    <row r="88" spans="1:38" x14ac:dyDescent="0.2">
      <c r="A88" s="55"/>
      <c r="B88" s="55"/>
      <c r="C88" s="120"/>
      <c r="D88" s="121"/>
      <c r="E88" s="121"/>
      <c r="F88" s="715"/>
      <c r="G88" s="716"/>
      <c r="H88" s="717"/>
      <c r="I88" s="717"/>
      <c r="J88" s="717"/>
      <c r="K88" s="717"/>
      <c r="L88" s="717"/>
      <c r="M88" s="717"/>
      <c r="N88" s="717"/>
      <c r="O88" s="717"/>
      <c r="P88" s="717"/>
      <c r="Q88" s="717"/>
      <c r="R88" s="717"/>
      <c r="S88" s="717"/>
      <c r="T88" s="717"/>
      <c r="U88" s="716"/>
      <c r="V88" s="717"/>
      <c r="W88" s="717"/>
      <c r="X88" s="717"/>
      <c r="Y88" s="717"/>
      <c r="Z88" s="717"/>
      <c r="AA88" s="717"/>
      <c r="AB88" s="717"/>
      <c r="AC88" s="717"/>
      <c r="AD88" s="717"/>
      <c r="AE88" s="717"/>
      <c r="AF88" s="717"/>
      <c r="AG88" s="717"/>
      <c r="AH88" s="718"/>
      <c r="AI88" s="59"/>
      <c r="AJ88" s="129"/>
      <c r="AK88" s="60"/>
      <c r="AL88" s="53"/>
    </row>
    <row r="89" spans="1:38" x14ac:dyDescent="0.2">
      <c r="A89" s="55"/>
      <c r="B89" s="55"/>
      <c r="C89" s="55"/>
      <c r="D89" s="55"/>
      <c r="E89" s="55"/>
      <c r="F89" s="128"/>
      <c r="G89" s="719"/>
      <c r="H89" s="719"/>
      <c r="I89" s="719"/>
      <c r="J89" s="719"/>
      <c r="K89" s="719"/>
      <c r="L89" s="719"/>
      <c r="M89" s="719"/>
      <c r="N89" s="719"/>
      <c r="O89" s="719"/>
      <c r="P89" s="719"/>
      <c r="Q89" s="719"/>
      <c r="R89" s="719"/>
      <c r="S89" s="719"/>
      <c r="T89" s="719"/>
      <c r="U89" s="719"/>
      <c r="V89" s="719"/>
      <c r="W89" s="719"/>
      <c r="X89" s="719"/>
      <c r="Y89" s="719"/>
      <c r="Z89" s="719"/>
      <c r="AA89" s="719"/>
      <c r="AB89" s="719"/>
      <c r="AC89" s="719"/>
      <c r="AD89" s="719"/>
      <c r="AE89" s="719"/>
      <c r="AF89" s="719"/>
      <c r="AG89" s="719"/>
      <c r="AH89" s="719"/>
      <c r="AI89" s="129"/>
      <c r="AJ89" s="129"/>
      <c r="AK89" s="60"/>
      <c r="AL89" s="53"/>
    </row>
    <row r="90" spans="1:38" x14ac:dyDescent="0.2">
      <c r="A90" s="55"/>
      <c r="B90" s="671"/>
      <c r="C90" s="720"/>
      <c r="D90" s="721"/>
      <c r="E90" s="722"/>
      <c r="F90" s="723"/>
      <c r="G90" s="724"/>
      <c r="H90" s="725"/>
      <c r="I90" s="725"/>
      <c r="J90" s="725"/>
      <c r="K90" s="725"/>
      <c r="L90" s="725"/>
      <c r="M90" s="725"/>
      <c r="N90" s="725"/>
      <c r="O90" s="725"/>
      <c r="P90" s="725"/>
      <c r="Q90" s="725"/>
      <c r="R90" s="725"/>
      <c r="S90" s="725"/>
      <c r="T90" s="724"/>
      <c r="U90" s="724"/>
      <c r="V90" s="725"/>
      <c r="W90" s="725"/>
      <c r="X90" s="725"/>
      <c r="Y90" s="725"/>
      <c r="Z90" s="725"/>
      <c r="AA90" s="725"/>
      <c r="AB90" s="725"/>
      <c r="AC90" s="725"/>
      <c r="AD90" s="725"/>
      <c r="AE90" s="725"/>
      <c r="AF90" s="725"/>
      <c r="AG90" s="725"/>
      <c r="AH90" s="726"/>
      <c r="AI90" s="90"/>
      <c r="AJ90" s="129"/>
      <c r="AK90" s="60"/>
      <c r="AL90" s="53"/>
    </row>
    <row r="91" spans="1:38" s="35" customFormat="1" x14ac:dyDescent="0.2">
      <c r="A91" s="13"/>
      <c r="B91" s="697"/>
      <c r="C91" s="727" t="s">
        <v>542</v>
      </c>
      <c r="D91" s="728"/>
      <c r="E91" s="13"/>
      <c r="F91" s="686" t="s">
        <v>538</v>
      </c>
      <c r="G91" s="689">
        <f>+G93-G99</f>
        <v>12596000</v>
      </c>
      <c r="H91" s="687">
        <f t="shared" ref="H91:W91" si="50">+H93-H99</f>
        <v>-18484170</v>
      </c>
      <c r="I91" s="687">
        <f t="shared" si="50"/>
        <v>3349854</v>
      </c>
      <c r="J91" s="687">
        <f>+J93-J99</f>
        <v>0</v>
      </c>
      <c r="K91" s="687">
        <f>+K93-K99</f>
        <v>0</v>
      </c>
      <c r="L91" s="687">
        <f>+L93-L99</f>
        <v>0</v>
      </c>
      <c r="M91" s="687">
        <f t="shared" si="50"/>
        <v>0</v>
      </c>
      <c r="N91" s="687">
        <f>+N93-N99</f>
        <v>0</v>
      </c>
      <c r="O91" s="687">
        <f t="shared" si="50"/>
        <v>0</v>
      </c>
      <c r="P91" s="687">
        <f t="shared" si="50"/>
        <v>0</v>
      </c>
      <c r="Q91" s="687">
        <f>+Q93-Q99</f>
        <v>0</v>
      </c>
      <c r="R91" s="687">
        <f t="shared" si="50"/>
        <v>0</v>
      </c>
      <c r="S91" s="687">
        <f t="shared" si="50"/>
        <v>0</v>
      </c>
      <c r="T91" s="689">
        <f>+T93-T99</f>
        <v>-15134316</v>
      </c>
      <c r="U91" s="689">
        <f t="shared" si="50"/>
        <v>2473985</v>
      </c>
      <c r="V91" s="687">
        <f t="shared" si="50"/>
        <v>39161985</v>
      </c>
      <c r="W91" s="687">
        <f t="shared" si="50"/>
        <v>6533576</v>
      </c>
      <c r="X91" s="687">
        <f>+X93-X99</f>
        <v>-80194837</v>
      </c>
      <c r="Y91" s="687">
        <f>+Y93-Y99</f>
        <v>71485782</v>
      </c>
      <c r="Z91" s="687">
        <f>+Z93-Z99</f>
        <v>10515236</v>
      </c>
      <c r="AA91" s="687">
        <f t="shared" ref="AA91" si="51">+AA93-AA99</f>
        <v>-104528279</v>
      </c>
      <c r="AB91" s="687">
        <f>+AB93-AB99</f>
        <v>2731873</v>
      </c>
      <c r="AC91" s="687">
        <f t="shared" ref="AC91:AD91" si="52">+AC93-AC99</f>
        <v>-9369739</v>
      </c>
      <c r="AD91" s="687">
        <f t="shared" si="52"/>
        <v>-7896523</v>
      </c>
      <c r="AE91" s="687">
        <f>+AE93-AE99</f>
        <v>33364654</v>
      </c>
      <c r="AF91" s="687">
        <f t="shared" ref="AF91:AG91" si="53">+AF93-AF99</f>
        <v>-27939762</v>
      </c>
      <c r="AG91" s="687">
        <f t="shared" si="53"/>
        <v>68610019</v>
      </c>
      <c r="AH91" s="688">
        <f>+AH93-AH99</f>
        <v>45695561</v>
      </c>
      <c r="AI91" s="59"/>
      <c r="AJ91" s="375"/>
      <c r="AK91" s="60">
        <f t="shared" si="37"/>
        <v>43221576</v>
      </c>
      <c r="AL91" s="53">
        <f t="shared" si="36"/>
        <v>-43221576</v>
      </c>
    </row>
    <row r="92" spans="1:38" x14ac:dyDescent="0.2">
      <c r="A92" s="55"/>
      <c r="B92" s="671"/>
      <c r="C92" s="729"/>
      <c r="D92" s="730"/>
      <c r="E92" s="55"/>
      <c r="F92" s="128"/>
      <c r="G92" s="694"/>
      <c r="H92" s="693"/>
      <c r="I92" s="693"/>
      <c r="J92" s="693"/>
      <c r="K92" s="693"/>
      <c r="L92" s="693"/>
      <c r="M92" s="693"/>
      <c r="N92" s="693"/>
      <c r="O92" s="693"/>
      <c r="P92" s="693"/>
      <c r="Q92" s="693"/>
      <c r="R92" s="693"/>
      <c r="S92" s="693"/>
      <c r="T92" s="694"/>
      <c r="U92" s="694"/>
      <c r="V92" s="693"/>
      <c r="W92" s="693"/>
      <c r="X92" s="693"/>
      <c r="Y92" s="693"/>
      <c r="Z92" s="693"/>
      <c r="AA92" s="693"/>
      <c r="AB92" s="693"/>
      <c r="AC92" s="693"/>
      <c r="AD92" s="693"/>
      <c r="AE92" s="693"/>
      <c r="AF92" s="693"/>
      <c r="AG92" s="693"/>
      <c r="AH92" s="696"/>
      <c r="AI92" s="59"/>
      <c r="AJ92" s="129"/>
      <c r="AK92" s="60"/>
      <c r="AL92" s="53"/>
    </row>
    <row r="93" spans="1:38" x14ac:dyDescent="0.2">
      <c r="A93" s="55"/>
      <c r="B93" s="671"/>
      <c r="C93" s="29" t="s">
        <v>543</v>
      </c>
      <c r="D93" s="55"/>
      <c r="E93" s="55"/>
      <c r="F93" s="686" t="s">
        <v>544</v>
      </c>
      <c r="G93" s="731">
        <f>SUM(G94:G95)</f>
        <v>238785000</v>
      </c>
      <c r="H93" s="482">
        <f>SUM(H94:H96)</f>
        <v>235661668</v>
      </c>
      <c r="I93" s="482">
        <f t="shared" ref="I93:M93" si="54">SUM(I94:I96)</f>
        <v>254145838</v>
      </c>
      <c r="J93" s="482">
        <v>0</v>
      </c>
      <c r="K93" s="482">
        <f t="shared" si="54"/>
        <v>0</v>
      </c>
      <c r="L93" s="482">
        <f t="shared" si="54"/>
        <v>0</v>
      </c>
      <c r="M93" s="482">
        <f t="shared" si="54"/>
        <v>0</v>
      </c>
      <c r="N93" s="482">
        <f>SUM(N94:N96)</f>
        <v>0</v>
      </c>
      <c r="O93" s="482">
        <f t="shared" ref="O93:S93" si="55">SUM(O94:O96)</f>
        <v>0</v>
      </c>
      <c r="P93" s="482">
        <f t="shared" si="55"/>
        <v>0</v>
      </c>
      <c r="Q93" s="482">
        <f t="shared" si="55"/>
        <v>0</v>
      </c>
      <c r="R93" s="482">
        <f t="shared" si="55"/>
        <v>0</v>
      </c>
      <c r="S93" s="482">
        <f t="shared" si="55"/>
        <v>0</v>
      </c>
      <c r="T93" s="465">
        <f>SUM(T94:T96)</f>
        <v>235661668</v>
      </c>
      <c r="U93" s="731">
        <f>SUM(U94:U95)</f>
        <v>238135653</v>
      </c>
      <c r="V93" s="482">
        <f>SUM(V94:V96)</f>
        <v>238135653</v>
      </c>
      <c r="W93" s="482">
        <f t="shared" ref="W93" si="56">SUM(W94:W96)</f>
        <v>198973668</v>
      </c>
      <c r="X93" s="482">
        <f>SUM(X94:X96)</f>
        <v>192440092</v>
      </c>
      <c r="Y93" s="482">
        <f t="shared" ref="Y93:AA93" si="57">SUM(Y94:Y96)</f>
        <v>272634929</v>
      </c>
      <c r="Z93" s="482">
        <f t="shared" si="57"/>
        <v>201149147</v>
      </c>
      <c r="AA93" s="482">
        <f t="shared" si="57"/>
        <v>190633911</v>
      </c>
      <c r="AB93" s="482">
        <f>SUM(AB94:AB96)</f>
        <v>295162190</v>
      </c>
      <c r="AC93" s="482">
        <f t="shared" ref="AC93:AG93" si="58">SUM(AC94:AC96)</f>
        <v>292430317</v>
      </c>
      <c r="AD93" s="482">
        <f t="shared" si="58"/>
        <v>301800056</v>
      </c>
      <c r="AE93" s="482">
        <f t="shared" si="58"/>
        <v>309696579</v>
      </c>
      <c r="AF93" s="482">
        <f t="shared" si="58"/>
        <v>276331925</v>
      </c>
      <c r="AG93" s="482">
        <f t="shared" si="58"/>
        <v>304271687</v>
      </c>
      <c r="AH93" s="711">
        <f>SUM(AH94:AH96)</f>
        <v>238135653</v>
      </c>
      <c r="AI93" s="59"/>
      <c r="AJ93" s="129"/>
      <c r="AK93" s="60">
        <f t="shared" si="37"/>
        <v>0</v>
      </c>
      <c r="AL93" s="53"/>
    </row>
    <row r="94" spans="1:38" x14ac:dyDescent="0.2">
      <c r="A94" s="55"/>
      <c r="B94" s="671"/>
      <c r="C94" s="732"/>
      <c r="D94" s="733"/>
      <c r="E94" s="55" t="s">
        <v>545</v>
      </c>
      <c r="F94" s="128"/>
      <c r="G94" s="694">
        <f>[11]cashbalances!$H$14</f>
        <v>188785000</v>
      </c>
      <c r="H94" s="709">
        <v>191125443</v>
      </c>
      <c r="I94" s="709">
        <f>H100</f>
        <v>188398825</v>
      </c>
      <c r="J94" s="709">
        <v>0</v>
      </c>
      <c r="K94" s="709">
        <f t="shared" ref="I94:M95" si="59">J100</f>
        <v>0</v>
      </c>
      <c r="L94" s="709">
        <f t="shared" si="59"/>
        <v>0</v>
      </c>
      <c r="M94" s="709">
        <f t="shared" si="59"/>
        <v>0</v>
      </c>
      <c r="N94" s="709">
        <f>M100</f>
        <v>0</v>
      </c>
      <c r="O94" s="709">
        <f>N100</f>
        <v>0</v>
      </c>
      <c r="P94" s="709">
        <f>O100</f>
        <v>0</v>
      </c>
      <c r="Q94" s="709">
        <f t="shared" ref="O94:Q95" si="60">P100</f>
        <v>0</v>
      </c>
      <c r="R94" s="709">
        <f>Q100</f>
        <v>0</v>
      </c>
      <c r="S94" s="709">
        <f>R100</f>
        <v>0</v>
      </c>
      <c r="T94" s="694">
        <f>H94</f>
        <v>191125443</v>
      </c>
      <c r="U94" s="694">
        <f>[11]cashbalances!$BZ$14</f>
        <v>174717635</v>
      </c>
      <c r="V94" s="709">
        <f>[11]cashbalances!$CE$14</f>
        <v>174717635</v>
      </c>
      <c r="W94" s="709">
        <f t="shared" ref="W94:W95" si="61">V100</f>
        <v>171432024</v>
      </c>
      <c r="X94" s="709">
        <f>W100</f>
        <v>159100607</v>
      </c>
      <c r="Y94" s="709">
        <f t="shared" ref="Y94:AA95" si="62">X100</f>
        <v>157556488</v>
      </c>
      <c r="Z94" s="709">
        <f t="shared" si="62"/>
        <v>154393121</v>
      </c>
      <c r="AA94" s="709">
        <f t="shared" si="62"/>
        <v>153790115</v>
      </c>
      <c r="AB94" s="709">
        <f>AA100</f>
        <v>226475319</v>
      </c>
      <c r="AC94" s="709">
        <f>AB100</f>
        <v>223710506</v>
      </c>
      <c r="AD94" s="709">
        <f>AC100</f>
        <v>222808884</v>
      </c>
      <c r="AE94" s="709">
        <f t="shared" ref="AE94:AE95" si="63">AD100</f>
        <v>216296990</v>
      </c>
      <c r="AF94" s="709">
        <f>AE100</f>
        <v>214990489</v>
      </c>
      <c r="AG94" s="709">
        <f>AF100</f>
        <v>214239939</v>
      </c>
      <c r="AH94" s="696">
        <f>V94</f>
        <v>174717635</v>
      </c>
      <c r="AI94" s="59"/>
      <c r="AJ94" s="129"/>
      <c r="AK94" s="60">
        <f t="shared" si="37"/>
        <v>0</v>
      </c>
      <c r="AL94" s="53"/>
    </row>
    <row r="95" spans="1:38" x14ac:dyDescent="0.2">
      <c r="A95" s="55"/>
      <c r="B95" s="671"/>
      <c r="C95" s="732"/>
      <c r="D95" s="733"/>
      <c r="E95" s="55" t="s">
        <v>546</v>
      </c>
      <c r="F95" s="128"/>
      <c r="G95" s="694">
        <f>[11]cashbalances!$H$15</f>
        <v>50000000</v>
      </c>
      <c r="H95" s="709">
        <v>44536225</v>
      </c>
      <c r="I95" s="709">
        <f t="shared" si="59"/>
        <v>65747013</v>
      </c>
      <c r="J95" s="709">
        <v>0</v>
      </c>
      <c r="K95" s="709">
        <f t="shared" si="59"/>
        <v>0</v>
      </c>
      <c r="L95" s="709">
        <f t="shared" si="59"/>
        <v>0</v>
      </c>
      <c r="M95" s="709">
        <f t="shared" si="59"/>
        <v>0</v>
      </c>
      <c r="N95" s="709">
        <f>M101</f>
        <v>0</v>
      </c>
      <c r="O95" s="709">
        <f t="shared" si="60"/>
        <v>0</v>
      </c>
      <c r="P95" s="709">
        <f>O101</f>
        <v>0</v>
      </c>
      <c r="Q95" s="709">
        <f t="shared" si="60"/>
        <v>0</v>
      </c>
      <c r="R95" s="709">
        <f>Q101</f>
        <v>0</v>
      </c>
      <c r="S95" s="709">
        <f>R101</f>
        <v>0</v>
      </c>
      <c r="T95" s="694">
        <f>H95</f>
        <v>44536225</v>
      </c>
      <c r="U95" s="694">
        <f>[11]cashbalances!$BZ$15</f>
        <v>63418018</v>
      </c>
      <c r="V95" s="709">
        <f>[11]cashbalances!$CE$15</f>
        <v>63418018</v>
      </c>
      <c r="W95" s="709">
        <f t="shared" si="61"/>
        <v>27541644</v>
      </c>
      <c r="X95" s="709">
        <f>W101</f>
        <v>33339485</v>
      </c>
      <c r="Y95" s="709">
        <f t="shared" si="62"/>
        <v>115078441</v>
      </c>
      <c r="Z95" s="709">
        <f t="shared" si="62"/>
        <v>46756026</v>
      </c>
      <c r="AA95" s="709">
        <f t="shared" si="62"/>
        <v>36843796</v>
      </c>
      <c r="AB95" s="709">
        <f>AA101</f>
        <v>68686871</v>
      </c>
      <c r="AC95" s="709">
        <f t="shared" ref="AC95" si="64">AB101</f>
        <v>68719811</v>
      </c>
      <c r="AD95" s="709">
        <f>AC101</f>
        <v>78991172</v>
      </c>
      <c r="AE95" s="709">
        <f t="shared" si="63"/>
        <v>93399589</v>
      </c>
      <c r="AF95" s="709">
        <f>AE101</f>
        <v>61341436</v>
      </c>
      <c r="AG95" s="709">
        <f>AF101</f>
        <v>90031748</v>
      </c>
      <c r="AH95" s="696">
        <f>V95</f>
        <v>63418018</v>
      </c>
      <c r="AI95" s="59"/>
      <c r="AJ95" s="129"/>
      <c r="AK95" s="60">
        <f t="shared" si="37"/>
        <v>0</v>
      </c>
      <c r="AL95" s="53"/>
    </row>
    <row r="96" spans="1:38" hidden="1" x14ac:dyDescent="0.2">
      <c r="A96" s="55"/>
      <c r="B96" s="671"/>
      <c r="C96" s="29"/>
      <c r="D96" s="55"/>
      <c r="E96" s="55" t="s">
        <v>547</v>
      </c>
      <c r="F96" s="128"/>
      <c r="G96" s="694">
        <v>0</v>
      </c>
      <c r="H96" s="693">
        <v>0</v>
      </c>
      <c r="I96" s="693">
        <v>0</v>
      </c>
      <c r="J96" s="693">
        <v>0</v>
      </c>
      <c r="K96" s="693">
        <v>0</v>
      </c>
      <c r="L96" s="693">
        <v>0</v>
      </c>
      <c r="M96" s="693">
        <v>0</v>
      </c>
      <c r="N96" s="693">
        <v>0</v>
      </c>
      <c r="O96" s="693">
        <v>0</v>
      </c>
      <c r="P96" s="693">
        <v>0</v>
      </c>
      <c r="Q96" s="693">
        <v>0</v>
      </c>
      <c r="R96" s="693">
        <v>0</v>
      </c>
      <c r="S96" s="693">
        <v>0</v>
      </c>
      <c r="T96" s="694">
        <f>H96</f>
        <v>0</v>
      </c>
      <c r="U96" s="694">
        <v>0</v>
      </c>
      <c r="V96" s="693">
        <v>0</v>
      </c>
      <c r="W96" s="693">
        <v>0</v>
      </c>
      <c r="X96" s="693">
        <v>0</v>
      </c>
      <c r="Y96" s="693">
        <v>0</v>
      </c>
      <c r="Z96" s="693">
        <v>0</v>
      </c>
      <c r="AA96" s="693">
        <v>0</v>
      </c>
      <c r="AB96" s="693">
        <v>0</v>
      </c>
      <c r="AC96" s="693">
        <v>0</v>
      </c>
      <c r="AD96" s="693">
        <v>0</v>
      </c>
      <c r="AE96" s="693">
        <v>0</v>
      </c>
      <c r="AF96" s="693">
        <v>0</v>
      </c>
      <c r="AG96" s="693">
        <v>0</v>
      </c>
      <c r="AH96" s="696">
        <f>V96</f>
        <v>0</v>
      </c>
      <c r="AI96" s="90"/>
      <c r="AJ96" s="129"/>
      <c r="AK96" s="60">
        <f t="shared" si="37"/>
        <v>0</v>
      </c>
      <c r="AL96" s="53"/>
    </row>
    <row r="97" spans="1:38" x14ac:dyDescent="0.2">
      <c r="A97" s="55"/>
      <c r="B97" s="671"/>
      <c r="C97" s="29"/>
      <c r="D97" s="55"/>
      <c r="E97" s="55"/>
      <c r="F97" s="128"/>
      <c r="G97" s="694"/>
      <c r="H97" s="693"/>
      <c r="I97" s="693"/>
      <c r="J97" s="693"/>
      <c r="K97" s="693"/>
      <c r="L97" s="693"/>
      <c r="M97" s="693"/>
      <c r="N97" s="693"/>
      <c r="O97" s="693"/>
      <c r="P97" s="693"/>
      <c r="Q97" s="693"/>
      <c r="R97" s="693"/>
      <c r="S97" s="693"/>
      <c r="T97" s="694"/>
      <c r="U97" s="694"/>
      <c r="V97" s="693"/>
      <c r="W97" s="693"/>
      <c r="X97" s="693"/>
      <c r="Y97" s="693"/>
      <c r="Z97" s="693"/>
      <c r="AA97" s="693"/>
      <c r="AB97" s="693"/>
      <c r="AC97" s="693"/>
      <c r="AD97" s="693"/>
      <c r="AE97" s="693"/>
      <c r="AF97" s="693"/>
      <c r="AG97" s="693"/>
      <c r="AH97" s="696"/>
      <c r="AI97" s="59"/>
      <c r="AJ97" s="129"/>
      <c r="AK97" s="60"/>
      <c r="AL97" s="53"/>
    </row>
    <row r="98" spans="1:38" hidden="1" x14ac:dyDescent="0.2">
      <c r="A98" s="55"/>
      <c r="B98" s="671"/>
      <c r="C98" s="29"/>
      <c r="D98" s="55"/>
      <c r="E98" s="55"/>
      <c r="F98" s="128"/>
      <c r="G98" s="694"/>
      <c r="H98" s="693"/>
      <c r="I98" s="693"/>
      <c r="J98" s="693"/>
      <c r="K98" s="693"/>
      <c r="L98" s="693"/>
      <c r="M98" s="693"/>
      <c r="N98" s="693"/>
      <c r="O98" s="693"/>
      <c r="P98" s="693"/>
      <c r="Q98" s="693"/>
      <c r="R98" s="693"/>
      <c r="S98" s="693"/>
      <c r="T98" s="694"/>
      <c r="U98" s="694"/>
      <c r="V98" s="693"/>
      <c r="W98" s="693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6"/>
      <c r="AI98" s="59"/>
      <c r="AJ98" s="129"/>
      <c r="AK98" s="60">
        <f t="shared" si="37"/>
        <v>0</v>
      </c>
      <c r="AL98" s="53"/>
    </row>
    <row r="99" spans="1:38" x14ac:dyDescent="0.2">
      <c r="A99" s="55"/>
      <c r="B99" s="671"/>
      <c r="C99" s="29" t="s">
        <v>548</v>
      </c>
      <c r="D99" s="55"/>
      <c r="E99" s="55"/>
      <c r="F99" s="128"/>
      <c r="G99" s="709">
        <f>SUM(G100:G102)</f>
        <v>226189000</v>
      </c>
      <c r="H99" s="693">
        <f>SUM(H100:H102)</f>
        <v>254145838</v>
      </c>
      <c r="I99" s="693">
        <f>SUM(I100:I102)</f>
        <v>250795984</v>
      </c>
      <c r="J99" s="693">
        <f>SUM(J100:J102)</f>
        <v>0</v>
      </c>
      <c r="K99" s="693">
        <f t="shared" ref="K99:R99" si="65">SUM(K100:K102)</f>
        <v>0</v>
      </c>
      <c r="L99" s="693">
        <f t="shared" si="65"/>
        <v>0</v>
      </c>
      <c r="M99" s="693">
        <f t="shared" si="65"/>
        <v>0</v>
      </c>
      <c r="N99" s="693">
        <f t="shared" si="65"/>
        <v>0</v>
      </c>
      <c r="O99" s="693">
        <f t="shared" si="65"/>
        <v>0</v>
      </c>
      <c r="P99" s="693">
        <f t="shared" si="65"/>
        <v>0</v>
      </c>
      <c r="Q99" s="693">
        <f>SUM(Q100:Q102)</f>
        <v>0</v>
      </c>
      <c r="R99" s="693">
        <f t="shared" si="65"/>
        <v>0</v>
      </c>
      <c r="S99" s="693">
        <f>SUM(S100:S102)</f>
        <v>0</v>
      </c>
      <c r="T99" s="694">
        <f>SUM(T100:T102)</f>
        <v>250795984</v>
      </c>
      <c r="U99" s="709">
        <f t="shared" ref="U99" si="66">SUM(U100:U102)</f>
        <v>235661668</v>
      </c>
      <c r="V99" s="693">
        <f>SUM(V100:V102)</f>
        <v>198973668</v>
      </c>
      <c r="W99" s="693">
        <f>SUM(W100:W102)</f>
        <v>192440092</v>
      </c>
      <c r="X99" s="693">
        <f>SUM(X100:X102)</f>
        <v>272634929</v>
      </c>
      <c r="Y99" s="693">
        <f t="shared" ref="Y99:AD99" si="67">SUM(Y100:Y102)</f>
        <v>201149147</v>
      </c>
      <c r="Z99" s="693">
        <f t="shared" si="67"/>
        <v>190633911</v>
      </c>
      <c r="AA99" s="693">
        <f t="shared" si="67"/>
        <v>295162190</v>
      </c>
      <c r="AB99" s="693">
        <f t="shared" si="67"/>
        <v>292430317</v>
      </c>
      <c r="AC99" s="693">
        <f t="shared" si="67"/>
        <v>301800056</v>
      </c>
      <c r="AD99" s="693">
        <f t="shared" si="67"/>
        <v>309696579</v>
      </c>
      <c r="AE99" s="693">
        <f>SUM(AE100:AE102)</f>
        <v>276331925</v>
      </c>
      <c r="AF99" s="693">
        <f t="shared" ref="AF99" si="68">SUM(AF100:AF102)</f>
        <v>304271687</v>
      </c>
      <c r="AG99" s="693">
        <f>SUM(AG100:AG102)</f>
        <v>235661668</v>
      </c>
      <c r="AH99" s="696">
        <f>SUM(AH100:AH102)</f>
        <v>192440092</v>
      </c>
      <c r="AI99" s="59"/>
      <c r="AJ99" s="129"/>
      <c r="AK99" s="60">
        <f>AH99-U99</f>
        <v>-43221576</v>
      </c>
      <c r="AL99" s="53"/>
    </row>
    <row r="100" spans="1:38" x14ac:dyDescent="0.2">
      <c r="A100" s="55"/>
      <c r="B100" s="671"/>
      <c r="C100" s="29"/>
      <c r="D100" s="55"/>
      <c r="E100" s="55" t="s">
        <v>545</v>
      </c>
      <c r="F100" s="128"/>
      <c r="G100" s="694">
        <f>[11]cashbalances!$H$18</f>
        <v>176189000</v>
      </c>
      <c r="H100" s="709">
        <f>[11]cashbalances!$M$18</f>
        <v>188398825</v>
      </c>
      <c r="I100" s="709">
        <f>[12]cashbalances!$R$18</f>
        <v>183966537</v>
      </c>
      <c r="J100" s="709">
        <v>0</v>
      </c>
      <c r="K100" s="709">
        <v>0</v>
      </c>
      <c r="L100" s="709">
        <v>0</v>
      </c>
      <c r="M100" s="709">
        <v>0</v>
      </c>
      <c r="N100" s="709">
        <v>0</v>
      </c>
      <c r="O100" s="709">
        <v>0</v>
      </c>
      <c r="P100" s="709">
        <v>0</v>
      </c>
      <c r="Q100" s="709">
        <v>0</v>
      </c>
      <c r="R100" s="709">
        <v>0</v>
      </c>
      <c r="S100" s="709">
        <v>0</v>
      </c>
      <c r="T100" s="694">
        <f>I100</f>
        <v>183966537</v>
      </c>
      <c r="U100" s="694">
        <f>[11]cashbalances!$BZ$18</f>
        <v>191125443</v>
      </c>
      <c r="V100" s="709">
        <f>[11]cashbalances!$CE$18</f>
        <v>171432024</v>
      </c>
      <c r="W100" s="709">
        <f>[46]cashbalances!$R$18</f>
        <v>159100607</v>
      </c>
      <c r="X100" s="709">
        <f>[46]cashbalances!$W$18</f>
        <v>157556488</v>
      </c>
      <c r="Y100" s="709">
        <f>[46]cashbalances!$AB$18</f>
        <v>154393121</v>
      </c>
      <c r="Z100" s="709">
        <f>[46]cashbalances!$AG$18</f>
        <v>153790115</v>
      </c>
      <c r="AA100" s="709">
        <f>[46]cashbalances!$AL$18</f>
        <v>226475319</v>
      </c>
      <c r="AB100" s="709">
        <f>[46]cashbalances!$AQ$18</f>
        <v>223710506</v>
      </c>
      <c r="AC100" s="709">
        <f>[46]cashbalances!$AV$18</f>
        <v>222808884</v>
      </c>
      <c r="AD100" s="709">
        <f>[46]cashbalances!$BA$18</f>
        <v>216296990</v>
      </c>
      <c r="AE100" s="709">
        <f>[46]cashbalances!$BF$18</f>
        <v>214990489</v>
      </c>
      <c r="AF100" s="709">
        <f>[46]cashbalances!$BK$18</f>
        <v>214239939</v>
      </c>
      <c r="AG100" s="709">
        <f>[46]cashbalances!$BP$18</f>
        <v>191125443</v>
      </c>
      <c r="AH100" s="710">
        <f>W100</f>
        <v>159100607</v>
      </c>
      <c r="AI100" s="59"/>
      <c r="AJ100" s="129"/>
      <c r="AK100" s="60">
        <f>AH100-U100</f>
        <v>-32024836</v>
      </c>
      <c r="AL100" s="53"/>
    </row>
    <row r="101" spans="1:38" x14ac:dyDescent="0.2">
      <c r="A101" s="55"/>
      <c r="B101" s="671"/>
      <c r="C101" s="29"/>
      <c r="D101" s="55"/>
      <c r="E101" s="55" t="s">
        <v>549</v>
      </c>
      <c r="F101" s="686"/>
      <c r="G101" s="694">
        <f>[11]cashbalances!$H$19</f>
        <v>50000000</v>
      </c>
      <c r="H101" s="709">
        <f>[11]cashbalances!$M$19</f>
        <v>65747013</v>
      </c>
      <c r="I101" s="709">
        <f>[12]cashbalances!$R$19</f>
        <v>66829447</v>
      </c>
      <c r="J101" s="709">
        <v>0</v>
      </c>
      <c r="K101" s="709">
        <v>0</v>
      </c>
      <c r="L101" s="709">
        <v>0</v>
      </c>
      <c r="M101" s="709">
        <v>0</v>
      </c>
      <c r="N101" s="709">
        <v>0</v>
      </c>
      <c r="O101" s="709">
        <v>0</v>
      </c>
      <c r="P101" s="709">
        <v>0</v>
      </c>
      <c r="Q101" s="709">
        <v>0</v>
      </c>
      <c r="R101" s="709">
        <v>0</v>
      </c>
      <c r="S101" s="709">
        <v>0</v>
      </c>
      <c r="T101" s="694">
        <f>I101</f>
        <v>66829447</v>
      </c>
      <c r="U101" s="694">
        <f>[11]cashbalances!$BZ$19</f>
        <v>44536225</v>
      </c>
      <c r="V101" s="709">
        <f>[11]cashbalances!$CE$19</f>
        <v>27541644</v>
      </c>
      <c r="W101" s="709">
        <f>[46]cashbalances!$R$19</f>
        <v>33339485</v>
      </c>
      <c r="X101" s="709">
        <f>[46]cashbalances!$W$19</f>
        <v>115078441</v>
      </c>
      <c r="Y101" s="709">
        <f>[46]cashbalances!$AB$19</f>
        <v>46756026</v>
      </c>
      <c r="Z101" s="709">
        <f>[46]cashbalances!$AG$19</f>
        <v>36843796</v>
      </c>
      <c r="AA101" s="709">
        <f>[46]cashbalances!$AL$19</f>
        <v>68686871</v>
      </c>
      <c r="AB101" s="709">
        <f>[46]cashbalances!$AQ$19</f>
        <v>68719811</v>
      </c>
      <c r="AC101" s="709">
        <f>[46]cashbalances!$AV$19</f>
        <v>78991172</v>
      </c>
      <c r="AD101" s="709">
        <f>[46]cashbalances!$BA$19</f>
        <v>93399589</v>
      </c>
      <c r="AE101" s="709">
        <f>[46]cashbalances!$BF$19</f>
        <v>61341436</v>
      </c>
      <c r="AF101" s="709">
        <f>[46]cashbalances!$BK$19</f>
        <v>90031748</v>
      </c>
      <c r="AG101" s="709">
        <f>[46]cashbalances!$BP$19</f>
        <v>44536225</v>
      </c>
      <c r="AH101" s="710">
        <f>W101</f>
        <v>33339485</v>
      </c>
      <c r="AI101" s="59"/>
      <c r="AJ101" s="129"/>
      <c r="AK101" s="60">
        <f>AH101-U101</f>
        <v>-11196740</v>
      </c>
      <c r="AL101" s="53"/>
    </row>
    <row r="102" spans="1:38" hidden="1" x14ac:dyDescent="0.2">
      <c r="A102" s="55"/>
      <c r="B102" s="55"/>
      <c r="C102" s="29"/>
      <c r="D102" s="55"/>
      <c r="E102" s="55" t="s">
        <v>547</v>
      </c>
      <c r="F102" s="128"/>
      <c r="G102" s="694">
        <v>0</v>
      </c>
      <c r="H102" s="694">
        <v>0</v>
      </c>
      <c r="I102" s="694">
        <v>0</v>
      </c>
      <c r="J102" s="694">
        <v>0</v>
      </c>
      <c r="K102" s="694">
        <v>0</v>
      </c>
      <c r="L102" s="694">
        <v>0</v>
      </c>
      <c r="M102" s="694">
        <v>0</v>
      </c>
      <c r="N102" s="694">
        <v>0</v>
      </c>
      <c r="O102" s="694">
        <v>0</v>
      </c>
      <c r="P102" s="694">
        <v>0</v>
      </c>
      <c r="Q102" s="694">
        <v>0</v>
      </c>
      <c r="R102" s="694">
        <v>0</v>
      </c>
      <c r="S102" s="694">
        <v>0</v>
      </c>
      <c r="T102" s="693">
        <f>J102</f>
        <v>0</v>
      </c>
      <c r="U102" s="694">
        <v>0</v>
      </c>
      <c r="V102" s="694">
        <v>0</v>
      </c>
      <c r="W102" s="694">
        <v>0</v>
      </c>
      <c r="X102" s="694">
        <v>0</v>
      </c>
      <c r="Y102" s="694">
        <v>0</v>
      </c>
      <c r="Z102" s="694">
        <v>0</v>
      </c>
      <c r="AA102" s="694">
        <v>0</v>
      </c>
      <c r="AB102" s="694">
        <v>0</v>
      </c>
      <c r="AC102" s="694">
        <v>0</v>
      </c>
      <c r="AD102" s="694">
        <v>0</v>
      </c>
      <c r="AE102" s="694">
        <v>0</v>
      </c>
      <c r="AF102" s="694">
        <v>0</v>
      </c>
      <c r="AG102" s="694">
        <v>0</v>
      </c>
      <c r="AH102" s="696">
        <f>X102</f>
        <v>0</v>
      </c>
      <c r="AI102" s="90"/>
      <c r="AJ102" s="129"/>
      <c r="AK102" s="60">
        <f t="shared" si="37"/>
        <v>0</v>
      </c>
      <c r="AL102" s="53">
        <f t="shared" si="36"/>
        <v>0</v>
      </c>
    </row>
    <row r="103" spans="1:38" x14ac:dyDescent="0.2">
      <c r="A103" s="55"/>
      <c r="B103" s="55"/>
      <c r="C103" s="120"/>
      <c r="D103" s="121"/>
      <c r="E103" s="121"/>
      <c r="F103" s="715"/>
      <c r="G103" s="716"/>
      <c r="H103" s="716"/>
      <c r="I103" s="716"/>
      <c r="J103" s="716"/>
      <c r="K103" s="716"/>
      <c r="L103" s="716"/>
      <c r="M103" s="716"/>
      <c r="N103" s="716"/>
      <c r="O103" s="717"/>
      <c r="P103" s="716"/>
      <c r="Q103" s="717"/>
      <c r="R103" s="717"/>
      <c r="S103" s="716"/>
      <c r="T103" s="717"/>
      <c r="U103" s="717"/>
      <c r="V103" s="716"/>
      <c r="W103" s="717"/>
      <c r="X103" s="716"/>
      <c r="Y103" s="717"/>
      <c r="Z103" s="717"/>
      <c r="AA103" s="717"/>
      <c r="AB103" s="716"/>
      <c r="AC103" s="717"/>
      <c r="AD103" s="716"/>
      <c r="AE103" s="717"/>
      <c r="AF103" s="717"/>
      <c r="AG103" s="717"/>
      <c r="AH103" s="718"/>
      <c r="AI103" s="59"/>
      <c r="AJ103" s="129"/>
      <c r="AK103" s="60"/>
      <c r="AL103" s="53"/>
    </row>
    <row r="104" spans="1:38" x14ac:dyDescent="0.2">
      <c r="A104" s="55"/>
      <c r="B104" s="55"/>
      <c r="C104" s="734" t="s">
        <v>550</v>
      </c>
      <c r="D104" s="734"/>
      <c r="E104" s="415"/>
      <c r="F104" s="128"/>
      <c r="G104" s="735"/>
      <c r="H104" s="735"/>
      <c r="I104" s="735"/>
      <c r="J104" s="735"/>
      <c r="K104" s="735"/>
      <c r="L104" s="735"/>
      <c r="M104" s="735"/>
      <c r="N104" s="735"/>
      <c r="O104" s="735"/>
      <c r="P104" s="735"/>
      <c r="Q104" s="735"/>
      <c r="R104" s="735"/>
      <c r="S104" s="735"/>
      <c r="T104" s="735"/>
      <c r="U104" s="735"/>
      <c r="V104" s="735"/>
      <c r="W104" s="735"/>
      <c r="X104" s="735"/>
      <c r="Y104" s="735"/>
      <c r="Z104" s="735"/>
      <c r="AA104" s="735"/>
      <c r="AB104" s="735"/>
      <c r="AC104" s="735"/>
      <c r="AD104" s="735"/>
      <c r="AE104" s="735"/>
      <c r="AF104" s="735"/>
      <c r="AG104" s="735"/>
      <c r="AH104" s="735"/>
      <c r="AI104" s="129"/>
      <c r="AJ104" s="129"/>
      <c r="AK104" s="60"/>
      <c r="AL104" s="53"/>
    </row>
    <row r="105" spans="1:38" x14ac:dyDescent="0.2">
      <c r="A105" s="55"/>
      <c r="B105" s="55"/>
      <c r="C105" s="734" t="s">
        <v>551</v>
      </c>
      <c r="D105" s="734"/>
      <c r="E105" s="76"/>
      <c r="F105" s="128"/>
      <c r="G105" s="735"/>
      <c r="H105" s="735"/>
      <c r="I105" s="735"/>
      <c r="J105" s="735"/>
      <c r="K105" s="735"/>
      <c r="L105" s="735"/>
      <c r="M105" s="735"/>
      <c r="N105" s="735"/>
      <c r="O105" s="735"/>
      <c r="P105" s="735"/>
      <c r="Q105" s="735"/>
      <c r="R105" s="735"/>
      <c r="S105" s="735"/>
      <c r="T105" s="735"/>
      <c r="U105" s="735"/>
      <c r="V105" s="735"/>
      <c r="W105" s="735"/>
      <c r="X105" s="735"/>
      <c r="Y105" s="735"/>
      <c r="Z105" s="735"/>
      <c r="AA105" s="735"/>
      <c r="AB105" s="735"/>
      <c r="AC105" s="735"/>
      <c r="AD105" s="735"/>
      <c r="AE105" s="735"/>
      <c r="AF105" s="735"/>
      <c r="AG105" s="735"/>
      <c r="AH105" s="735"/>
      <c r="AI105" s="129"/>
      <c r="AJ105" s="129"/>
      <c r="AK105" s="60"/>
      <c r="AL105" s="53"/>
    </row>
    <row r="106" spans="1:38" x14ac:dyDescent="0.2">
      <c r="A106" s="55"/>
      <c r="B106" s="55"/>
      <c r="C106" s="734" t="s">
        <v>552</v>
      </c>
      <c r="D106" s="734"/>
      <c r="E106" s="76"/>
      <c r="F106" s="128"/>
      <c r="G106" s="735"/>
      <c r="H106" s="735"/>
      <c r="I106" s="735"/>
      <c r="J106" s="735"/>
      <c r="K106" s="735"/>
      <c r="L106" s="735"/>
      <c r="M106" s="735"/>
      <c r="N106" s="735"/>
      <c r="O106" s="735"/>
      <c r="P106" s="735"/>
      <c r="Q106" s="735"/>
      <c r="R106" s="735"/>
      <c r="S106" s="735"/>
      <c r="T106" s="735"/>
      <c r="U106" s="735"/>
      <c r="V106" s="735"/>
      <c r="W106" s="735"/>
      <c r="X106" s="735"/>
      <c r="Y106" s="735"/>
      <c r="Z106" s="735"/>
      <c r="AA106" s="735"/>
      <c r="AB106" s="735"/>
      <c r="AC106" s="735"/>
      <c r="AD106" s="735"/>
      <c r="AE106" s="735"/>
      <c r="AF106" s="735"/>
      <c r="AG106" s="735"/>
      <c r="AH106" s="735"/>
      <c r="AI106" s="129"/>
      <c r="AJ106" s="129"/>
      <c r="AK106" s="60"/>
      <c r="AL106" s="53"/>
    </row>
    <row r="107" spans="1:38" x14ac:dyDescent="0.2">
      <c r="A107" s="55"/>
      <c r="B107" s="55"/>
      <c r="C107" s="736" t="s">
        <v>553</v>
      </c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735"/>
      <c r="Z107" s="735"/>
      <c r="AA107" s="735"/>
      <c r="AB107" s="735"/>
      <c r="AC107" s="735"/>
      <c r="AD107" s="735"/>
      <c r="AE107" s="735"/>
      <c r="AF107" s="735"/>
      <c r="AG107" s="735"/>
      <c r="AH107" s="735"/>
      <c r="AI107" s="129"/>
      <c r="AJ107" s="129"/>
      <c r="AK107" s="60"/>
      <c r="AL107" s="53"/>
    </row>
    <row r="108" spans="1:38" x14ac:dyDescent="0.2">
      <c r="A108" s="55"/>
      <c r="B108" s="55"/>
      <c r="C108" s="130"/>
      <c r="F108" s="22"/>
      <c r="G108" s="735"/>
      <c r="H108" s="735"/>
      <c r="I108" s="735"/>
      <c r="J108" s="735"/>
      <c r="K108" s="735"/>
      <c r="L108" s="735"/>
      <c r="M108" s="735"/>
      <c r="N108" s="735"/>
      <c r="O108" s="735"/>
      <c r="P108" s="735"/>
      <c r="Q108" s="735"/>
      <c r="R108" s="735"/>
      <c r="S108" s="735"/>
      <c r="T108" s="735"/>
      <c r="U108" s="735"/>
      <c r="V108" s="735"/>
      <c r="W108" s="735"/>
      <c r="X108" s="735"/>
      <c r="Y108" s="735"/>
      <c r="Z108" s="735"/>
      <c r="AA108" s="735"/>
      <c r="AB108" s="735"/>
      <c r="AC108" s="735"/>
      <c r="AD108" s="735"/>
      <c r="AE108" s="735"/>
      <c r="AF108" s="735"/>
      <c r="AG108" s="735"/>
      <c r="AH108" s="735"/>
      <c r="AI108" s="129"/>
      <c r="AJ108" s="129"/>
      <c r="AK108" s="69"/>
    </row>
    <row r="109" spans="1:38" ht="13.5" x14ac:dyDescent="0.2">
      <c r="A109" s="55"/>
      <c r="B109" s="55"/>
      <c r="C109" s="737"/>
      <c r="F109" s="22"/>
      <c r="G109" s="735"/>
      <c r="H109" s="735"/>
      <c r="I109" s="735"/>
      <c r="J109" s="735"/>
      <c r="K109" s="735"/>
      <c r="L109" s="735"/>
      <c r="M109" s="735"/>
      <c r="N109" s="735"/>
      <c r="O109" s="735"/>
      <c r="P109" s="735"/>
      <c r="Q109" s="735"/>
      <c r="R109" s="735"/>
      <c r="S109" s="735"/>
      <c r="T109" s="735"/>
      <c r="U109" s="735"/>
      <c r="V109" s="735"/>
      <c r="W109" s="735"/>
      <c r="X109" s="735"/>
      <c r="Y109" s="735"/>
      <c r="Z109" s="735"/>
      <c r="AA109" s="735"/>
      <c r="AB109" s="735"/>
      <c r="AC109" s="735"/>
      <c r="AD109" s="735"/>
      <c r="AE109" s="735"/>
      <c r="AF109" s="735"/>
      <c r="AG109" s="735"/>
      <c r="AH109" s="735"/>
      <c r="AI109" s="129"/>
      <c r="AJ109" s="129"/>
      <c r="AK109" s="69"/>
    </row>
    <row r="110" spans="1:38" x14ac:dyDescent="0.2">
      <c r="A110" s="55"/>
      <c r="B110" s="55"/>
      <c r="F110" s="22"/>
      <c r="G110" s="735"/>
      <c r="H110" s="735"/>
      <c r="I110" s="735"/>
      <c r="J110" s="735"/>
      <c r="K110" s="735"/>
      <c r="L110" s="735"/>
      <c r="M110" s="735"/>
      <c r="N110" s="735"/>
      <c r="O110" s="735"/>
      <c r="P110" s="735"/>
      <c r="Q110" s="735"/>
      <c r="R110" s="735"/>
      <c r="S110" s="735"/>
      <c r="T110" s="735"/>
      <c r="U110" s="735"/>
      <c r="V110" s="735"/>
      <c r="W110" s="735"/>
      <c r="X110" s="735"/>
      <c r="Y110" s="735"/>
      <c r="Z110" s="735"/>
      <c r="AA110" s="735"/>
      <c r="AB110" s="735"/>
      <c r="AC110" s="735"/>
      <c r="AD110" s="735"/>
      <c r="AE110" s="735"/>
      <c r="AF110" s="735"/>
      <c r="AG110" s="735"/>
      <c r="AH110" s="735"/>
      <c r="AI110" s="129"/>
      <c r="AJ110" s="129"/>
      <c r="AK110" s="69"/>
    </row>
    <row r="111" spans="1:38" x14ac:dyDescent="0.2">
      <c r="A111" s="55"/>
      <c r="B111" s="55"/>
      <c r="F111" s="22"/>
      <c r="G111" s="735"/>
      <c r="H111" s="735"/>
      <c r="I111" s="735"/>
      <c r="J111" s="735"/>
      <c r="K111" s="735"/>
      <c r="L111" s="735"/>
      <c r="M111" s="735"/>
      <c r="N111" s="735"/>
      <c r="O111" s="735"/>
      <c r="P111" s="735"/>
      <c r="Q111" s="735"/>
      <c r="R111" s="735"/>
      <c r="S111" s="735"/>
      <c r="T111" s="735"/>
      <c r="U111" s="735"/>
      <c r="V111" s="735"/>
      <c r="W111" s="735"/>
      <c r="X111" s="735"/>
      <c r="Y111" s="735"/>
      <c r="Z111" s="735"/>
      <c r="AA111" s="735"/>
      <c r="AB111" s="735"/>
      <c r="AC111" s="735"/>
      <c r="AD111" s="735"/>
      <c r="AE111" s="735"/>
      <c r="AF111" s="735"/>
      <c r="AG111" s="735"/>
      <c r="AH111" s="735"/>
      <c r="AI111" s="129"/>
      <c r="AJ111" s="129"/>
      <c r="AK111" s="69"/>
    </row>
    <row r="112" spans="1:38" s="55" customFormat="1" x14ac:dyDescent="0.2">
      <c r="G112" s="749"/>
      <c r="H112" s="735"/>
      <c r="I112" s="750"/>
      <c r="J112" s="735"/>
      <c r="K112" s="735"/>
      <c r="L112" s="735"/>
      <c r="M112" s="735"/>
      <c r="N112" s="735"/>
      <c r="O112" s="735"/>
      <c r="P112" s="735"/>
      <c r="Q112" s="735"/>
      <c r="R112" s="735"/>
      <c r="S112" s="735"/>
      <c r="T112" s="735"/>
      <c r="U112" s="735"/>
      <c r="V112" s="735"/>
      <c r="W112" s="735"/>
      <c r="X112" s="735"/>
      <c r="Y112" s="735"/>
      <c r="Z112" s="735"/>
      <c r="AA112" s="735"/>
      <c r="AB112" s="735"/>
      <c r="AC112" s="735"/>
      <c r="AD112" s="735"/>
      <c r="AE112" s="735"/>
      <c r="AF112" s="735"/>
      <c r="AG112" s="735"/>
      <c r="AH112" s="735"/>
      <c r="AI112" s="129"/>
      <c r="AJ112" s="129"/>
      <c r="AK112" s="129"/>
      <c r="AL112" s="442"/>
    </row>
    <row r="113" spans="1:39" x14ac:dyDescent="0.2">
      <c r="A113" s="55"/>
      <c r="B113" s="55"/>
      <c r="F113" s="22"/>
      <c r="G113" s="735"/>
      <c r="H113" s="735"/>
      <c r="I113" s="735"/>
      <c r="J113" s="735"/>
      <c r="K113" s="735"/>
      <c r="L113" s="735"/>
      <c r="M113" s="735"/>
      <c r="N113" s="735"/>
      <c r="O113" s="735"/>
      <c r="P113" s="735"/>
      <c r="Q113" s="735"/>
      <c r="R113" s="735"/>
      <c r="S113" s="735"/>
      <c r="T113" s="735"/>
      <c r="U113" s="735"/>
      <c r="V113" s="735"/>
      <c r="W113" s="735"/>
      <c r="X113" s="735"/>
      <c r="Y113" s="735"/>
      <c r="Z113" s="735"/>
      <c r="AA113" s="735"/>
      <c r="AB113" s="735"/>
      <c r="AC113" s="735"/>
      <c r="AD113" s="735"/>
      <c r="AE113" s="735"/>
      <c r="AF113" s="735"/>
      <c r="AG113" s="735"/>
      <c r="AH113" s="735"/>
      <c r="AI113" s="129"/>
      <c r="AJ113" s="129"/>
      <c r="AK113" s="69"/>
    </row>
    <row r="114" spans="1:39" x14ac:dyDescent="0.2">
      <c r="A114" s="55"/>
      <c r="B114" s="55"/>
      <c r="F114" s="22"/>
      <c r="G114" s="735"/>
      <c r="H114" s="735"/>
      <c r="I114" s="735"/>
      <c r="J114" s="735"/>
      <c r="K114" s="735"/>
      <c r="L114" s="735"/>
      <c r="M114" s="735"/>
      <c r="N114" s="735"/>
      <c r="O114" s="735"/>
      <c r="P114" s="735"/>
      <c r="Q114" s="735"/>
      <c r="R114" s="735"/>
      <c r="S114" s="735"/>
      <c r="T114" s="735"/>
      <c r="U114" s="735"/>
      <c r="V114" s="735"/>
      <c r="W114" s="735"/>
      <c r="X114" s="735"/>
      <c r="Y114" s="735"/>
      <c r="Z114" s="735"/>
      <c r="AA114" s="735"/>
      <c r="AB114" s="735"/>
      <c r="AC114" s="735"/>
      <c r="AD114" s="735"/>
      <c r="AE114" s="735"/>
      <c r="AF114" s="735"/>
      <c r="AG114" s="735"/>
      <c r="AH114" s="735"/>
      <c r="AI114" s="129"/>
      <c r="AJ114" s="129"/>
      <c r="AK114" s="69"/>
    </row>
    <row r="115" spans="1:39" x14ac:dyDescent="0.2">
      <c r="A115" s="55"/>
      <c r="B115" s="55"/>
      <c r="F115" s="22"/>
      <c r="G115" s="735"/>
      <c r="H115" s="735"/>
      <c r="I115" s="735"/>
      <c r="J115" s="738"/>
      <c r="K115" s="735"/>
      <c r="L115" s="735"/>
      <c r="M115" s="735"/>
      <c r="N115" s="735"/>
      <c r="O115" s="735"/>
      <c r="P115" s="735"/>
      <c r="Q115" s="735"/>
      <c r="R115" s="735"/>
      <c r="S115" s="735"/>
      <c r="T115" s="738"/>
      <c r="U115" s="738"/>
      <c r="V115" s="738"/>
      <c r="W115" s="738"/>
      <c r="X115" s="738"/>
      <c r="Y115" s="738"/>
      <c r="Z115" s="738"/>
      <c r="AA115" s="738"/>
      <c r="AB115" s="738"/>
      <c r="AC115" s="738"/>
      <c r="AD115" s="738"/>
      <c r="AE115" s="738"/>
      <c r="AF115" s="738"/>
      <c r="AG115" s="738"/>
      <c r="AH115" s="738"/>
      <c r="AI115" s="129"/>
      <c r="AJ115" s="129"/>
      <c r="AK115" s="69"/>
    </row>
    <row r="116" spans="1:39" x14ac:dyDescent="0.2">
      <c r="A116" s="55"/>
      <c r="B116" s="55"/>
      <c r="F116" s="22"/>
      <c r="G116" s="735"/>
      <c r="H116" s="735"/>
      <c r="I116" s="735"/>
      <c r="J116" s="735"/>
      <c r="K116" s="735"/>
      <c r="L116" s="735"/>
      <c r="M116" s="735"/>
      <c r="N116" s="735"/>
      <c r="O116" s="735"/>
      <c r="P116" s="735"/>
      <c r="Q116" s="735"/>
      <c r="R116" s="735"/>
      <c r="S116" s="735"/>
      <c r="T116" s="735"/>
      <c r="U116" s="735"/>
      <c r="V116" s="735"/>
      <c r="W116" s="735"/>
      <c r="X116" s="735"/>
      <c r="Y116" s="735"/>
      <c r="Z116" s="735"/>
      <c r="AA116" s="735"/>
      <c r="AB116" s="735"/>
      <c r="AC116" s="735"/>
      <c r="AD116" s="735"/>
      <c r="AE116" s="735"/>
      <c r="AF116" s="735"/>
      <c r="AG116" s="735"/>
      <c r="AH116" s="735"/>
      <c r="AI116" s="129"/>
      <c r="AJ116" s="129"/>
      <c r="AK116" s="69"/>
    </row>
    <row r="117" spans="1:39" x14ac:dyDescent="0.2">
      <c r="A117" s="55"/>
      <c r="B117" s="55"/>
      <c r="F117" s="22"/>
      <c r="G117" s="735"/>
      <c r="H117" s="735"/>
      <c r="I117" s="735"/>
      <c r="J117" s="735"/>
      <c r="K117" s="735"/>
      <c r="L117" s="739"/>
      <c r="M117" s="735"/>
      <c r="N117" s="735"/>
      <c r="O117" s="735"/>
      <c r="P117" s="740"/>
      <c r="Q117" s="735"/>
      <c r="R117" s="735"/>
      <c r="S117" s="735"/>
      <c r="T117" s="735"/>
      <c r="U117" s="735"/>
      <c r="V117" s="735"/>
      <c r="W117" s="735"/>
      <c r="X117" s="735"/>
      <c r="Y117" s="735"/>
      <c r="Z117" s="735"/>
      <c r="AA117" s="735"/>
      <c r="AB117" s="735"/>
      <c r="AC117" s="735"/>
      <c r="AD117" s="735"/>
      <c r="AE117" s="735"/>
      <c r="AF117" s="735"/>
      <c r="AG117" s="735"/>
      <c r="AH117" s="735"/>
      <c r="AI117" s="129"/>
      <c r="AJ117" s="129"/>
      <c r="AK117" s="69"/>
    </row>
    <row r="118" spans="1:39" x14ac:dyDescent="0.2">
      <c r="A118" s="55"/>
      <c r="B118" s="55"/>
      <c r="F118" s="22"/>
      <c r="G118" s="740"/>
      <c r="H118" s="735"/>
      <c r="I118" s="735"/>
      <c r="J118" s="735"/>
      <c r="K118" s="735"/>
      <c r="L118" s="735"/>
      <c r="M118" s="735"/>
      <c r="N118" s="735"/>
      <c r="O118" s="735"/>
      <c r="P118" s="735"/>
      <c r="Q118" s="735"/>
      <c r="R118" s="740"/>
      <c r="S118" s="735"/>
      <c r="T118" s="735"/>
      <c r="U118" s="735"/>
      <c r="V118" s="735"/>
      <c r="W118" s="735"/>
      <c r="X118" s="735"/>
      <c r="Y118" s="735"/>
      <c r="Z118" s="735"/>
      <c r="AA118" s="735"/>
      <c r="AB118" s="735"/>
      <c r="AC118" s="735"/>
      <c r="AD118" s="735"/>
      <c r="AE118" s="735"/>
      <c r="AF118" s="735"/>
      <c r="AG118" s="735"/>
      <c r="AH118" s="735"/>
      <c r="AI118" s="129"/>
      <c r="AJ118" s="129"/>
      <c r="AK118" s="69"/>
    </row>
    <row r="119" spans="1:39" x14ac:dyDescent="0.2">
      <c r="A119" s="55"/>
      <c r="B119" s="55"/>
      <c r="F119" s="22"/>
      <c r="G119" s="740"/>
      <c r="H119" s="735"/>
      <c r="I119" s="735"/>
      <c r="J119" s="735"/>
      <c r="K119" s="735"/>
      <c r="L119" s="735"/>
      <c r="M119" s="735"/>
      <c r="N119" s="735"/>
      <c r="O119" s="740"/>
      <c r="P119" s="735"/>
      <c r="Q119" s="735"/>
      <c r="R119" s="735"/>
      <c r="S119" s="735"/>
      <c r="T119" s="735"/>
      <c r="U119" s="735"/>
      <c r="V119" s="735"/>
      <c r="W119" s="735"/>
      <c r="X119" s="735"/>
      <c r="Y119" s="735"/>
      <c r="Z119" s="735"/>
      <c r="AA119" s="735"/>
      <c r="AB119" s="735"/>
      <c r="AC119" s="735"/>
      <c r="AD119" s="735"/>
      <c r="AE119" s="735"/>
      <c r="AF119" s="735"/>
      <c r="AG119" s="735"/>
      <c r="AH119" s="735"/>
      <c r="AI119" s="129"/>
      <c r="AJ119" s="129"/>
      <c r="AK119" s="69"/>
      <c r="AM119" s="741"/>
    </row>
    <row r="120" spans="1:39" x14ac:dyDescent="0.2">
      <c r="A120" s="55"/>
      <c r="B120" s="55"/>
      <c r="F120" s="22"/>
      <c r="G120" s="735"/>
      <c r="H120" s="735"/>
      <c r="I120" s="735"/>
      <c r="J120" s="735"/>
      <c r="K120" s="735"/>
      <c r="L120" s="735"/>
      <c r="M120" s="735"/>
      <c r="N120" s="735"/>
      <c r="O120" s="735"/>
      <c r="P120" s="735"/>
      <c r="Q120" s="735"/>
      <c r="R120" s="735"/>
      <c r="S120" s="735"/>
      <c r="T120" s="735"/>
      <c r="U120" s="735"/>
      <c r="V120" s="735"/>
      <c r="W120" s="735"/>
      <c r="X120" s="735"/>
      <c r="Y120" s="735"/>
      <c r="Z120" s="735"/>
      <c r="AA120" s="735"/>
      <c r="AB120" s="735"/>
      <c r="AC120" s="735"/>
      <c r="AD120" s="735"/>
      <c r="AE120" s="735"/>
      <c r="AF120" s="735"/>
      <c r="AG120" s="735"/>
      <c r="AH120" s="735"/>
      <c r="AI120" s="129"/>
      <c r="AJ120" s="129"/>
      <c r="AK120" s="69"/>
    </row>
    <row r="121" spans="1:39" x14ac:dyDescent="0.2">
      <c r="A121" s="55"/>
      <c r="B121" s="55"/>
      <c r="F121" s="22"/>
      <c r="G121" s="735"/>
      <c r="H121" s="735"/>
      <c r="I121" s="735"/>
      <c r="J121" s="735"/>
      <c r="K121" s="735"/>
      <c r="L121" s="735"/>
      <c r="M121" s="735"/>
      <c r="N121" s="735"/>
      <c r="O121" s="735"/>
      <c r="P121" s="735"/>
      <c r="Q121" s="735"/>
      <c r="R121" s="735"/>
      <c r="S121" s="735"/>
      <c r="T121" s="735"/>
      <c r="U121" s="735"/>
      <c r="V121" s="735"/>
      <c r="W121" s="735"/>
      <c r="X121" s="735"/>
      <c r="Y121" s="735"/>
      <c r="Z121" s="735"/>
      <c r="AA121" s="735"/>
      <c r="AB121" s="735"/>
      <c r="AC121" s="735"/>
      <c r="AD121" s="735"/>
      <c r="AE121" s="735"/>
      <c r="AF121" s="735"/>
      <c r="AG121" s="735"/>
      <c r="AH121" s="735"/>
      <c r="AI121" s="129"/>
      <c r="AJ121" s="129"/>
      <c r="AK121" s="69"/>
    </row>
    <row r="122" spans="1:39" x14ac:dyDescent="0.2">
      <c r="A122" s="55"/>
      <c r="B122" s="55"/>
      <c r="F122" s="22"/>
      <c r="G122" s="735"/>
      <c r="H122" s="735"/>
      <c r="I122" s="735"/>
      <c r="J122" s="735"/>
      <c r="K122" s="735"/>
      <c r="L122" s="735"/>
      <c r="M122" s="735"/>
      <c r="N122" s="735"/>
      <c r="O122" s="735"/>
      <c r="P122" s="735"/>
      <c r="Q122" s="735"/>
      <c r="R122" s="735"/>
      <c r="S122" s="735"/>
      <c r="T122" s="735"/>
      <c r="U122" s="735"/>
      <c r="V122" s="735"/>
      <c r="W122" s="735"/>
      <c r="X122" s="735"/>
      <c r="Y122" s="735"/>
      <c r="Z122" s="735"/>
      <c r="AA122" s="735"/>
      <c r="AB122" s="735"/>
      <c r="AC122" s="735"/>
      <c r="AD122" s="735"/>
      <c r="AE122" s="735"/>
      <c r="AF122" s="735"/>
      <c r="AG122" s="735"/>
      <c r="AH122" s="735"/>
      <c r="AI122" s="129"/>
      <c r="AJ122" s="129"/>
      <c r="AK122" s="69"/>
    </row>
    <row r="123" spans="1:39" x14ac:dyDescent="0.2">
      <c r="A123" s="55"/>
      <c r="B123" s="55"/>
      <c r="F123" s="22"/>
      <c r="G123" s="735"/>
      <c r="H123" s="735"/>
      <c r="I123" s="735"/>
      <c r="J123" s="735"/>
      <c r="K123" s="735"/>
      <c r="L123" s="735"/>
      <c r="M123" s="735"/>
      <c r="N123" s="735"/>
      <c r="O123" s="735"/>
      <c r="P123" s="735"/>
      <c r="Q123" s="735"/>
      <c r="R123" s="735"/>
      <c r="S123" s="735"/>
      <c r="T123" s="735"/>
      <c r="U123" s="735"/>
      <c r="V123" s="735"/>
      <c r="W123" s="735"/>
      <c r="X123" s="735"/>
      <c r="Y123" s="735"/>
      <c r="Z123" s="735"/>
      <c r="AA123" s="735"/>
      <c r="AB123" s="735"/>
      <c r="AC123" s="735"/>
      <c r="AD123" s="735"/>
      <c r="AE123" s="735"/>
      <c r="AF123" s="735"/>
      <c r="AG123" s="735"/>
      <c r="AH123" s="735"/>
      <c r="AI123" s="129"/>
      <c r="AJ123" s="129"/>
      <c r="AK123" s="69"/>
    </row>
    <row r="124" spans="1:39" x14ac:dyDescent="0.2">
      <c r="A124" s="55"/>
      <c r="B124" s="55"/>
      <c r="F124" s="22"/>
      <c r="G124" s="735"/>
      <c r="H124" s="735"/>
      <c r="I124" s="735"/>
      <c r="J124" s="735"/>
      <c r="K124" s="735"/>
      <c r="L124" s="735"/>
      <c r="M124" s="735"/>
      <c r="N124" s="735"/>
      <c r="O124" s="735"/>
      <c r="P124" s="735"/>
      <c r="Q124" s="735"/>
      <c r="R124" s="735"/>
      <c r="S124" s="735"/>
      <c r="T124" s="735"/>
      <c r="U124" s="735"/>
      <c r="V124" s="735"/>
      <c r="W124" s="735"/>
      <c r="X124" s="735"/>
      <c r="Y124" s="735"/>
      <c r="Z124" s="735"/>
      <c r="AA124" s="735"/>
      <c r="AB124" s="735"/>
      <c r="AC124" s="735"/>
      <c r="AD124" s="735"/>
      <c r="AE124" s="735"/>
      <c r="AF124" s="735"/>
      <c r="AG124" s="735"/>
      <c r="AH124" s="735"/>
      <c r="AI124" s="129"/>
      <c r="AJ124" s="129"/>
      <c r="AK124" s="69"/>
    </row>
    <row r="125" spans="1:39" x14ac:dyDescent="0.2">
      <c r="A125" s="55"/>
      <c r="B125" s="55"/>
      <c r="F125" s="22"/>
      <c r="G125" s="735"/>
      <c r="H125" s="735"/>
      <c r="I125" s="735"/>
      <c r="J125" s="735"/>
      <c r="K125" s="735"/>
      <c r="L125" s="735"/>
      <c r="M125" s="735"/>
      <c r="N125" s="735"/>
      <c r="O125" s="735"/>
      <c r="P125" s="735"/>
      <c r="Q125" s="735"/>
      <c r="R125" s="735"/>
      <c r="S125" s="735"/>
      <c r="T125" s="735"/>
      <c r="U125" s="735"/>
      <c r="V125" s="735"/>
      <c r="W125" s="735"/>
      <c r="X125" s="735"/>
      <c r="Y125" s="735"/>
      <c r="Z125" s="735"/>
      <c r="AA125" s="735"/>
      <c r="AB125" s="735"/>
      <c r="AC125" s="735"/>
      <c r="AD125" s="735"/>
      <c r="AE125" s="735"/>
      <c r="AF125" s="735"/>
      <c r="AG125" s="735"/>
      <c r="AH125" s="735"/>
      <c r="AI125" s="129"/>
      <c r="AJ125" s="129"/>
      <c r="AK125" s="69"/>
    </row>
    <row r="126" spans="1:39" x14ac:dyDescent="0.2">
      <c r="A126" s="55"/>
      <c r="B126" s="55"/>
      <c r="F126" s="22"/>
      <c r="G126" s="735"/>
      <c r="H126" s="735"/>
      <c r="I126" s="735"/>
      <c r="J126" s="735"/>
      <c r="K126" s="735"/>
      <c r="L126" s="735"/>
      <c r="M126" s="735"/>
      <c r="N126" s="735"/>
      <c r="O126" s="735"/>
      <c r="P126" s="735"/>
      <c r="Q126" s="735"/>
      <c r="R126" s="735"/>
      <c r="S126" s="735"/>
      <c r="T126" s="735"/>
      <c r="U126" s="735"/>
      <c r="V126" s="735"/>
      <c r="W126" s="735"/>
      <c r="X126" s="735"/>
      <c r="Y126" s="735"/>
      <c r="Z126" s="735"/>
      <c r="AA126" s="735"/>
      <c r="AB126" s="735"/>
      <c r="AC126" s="735"/>
      <c r="AD126" s="735"/>
      <c r="AE126" s="735"/>
      <c r="AF126" s="735"/>
      <c r="AG126" s="735"/>
      <c r="AH126" s="735"/>
      <c r="AI126" s="129"/>
      <c r="AJ126" s="129"/>
      <c r="AK126" s="69"/>
    </row>
    <row r="127" spans="1:39" x14ac:dyDescent="0.2">
      <c r="A127" s="55"/>
      <c r="B127" s="55"/>
      <c r="F127" s="22"/>
      <c r="G127" s="735"/>
      <c r="H127" s="735"/>
      <c r="I127" s="735"/>
      <c r="J127" s="735"/>
      <c r="K127" s="735"/>
      <c r="L127" s="735"/>
      <c r="M127" s="735"/>
      <c r="N127" s="735"/>
      <c r="O127" s="735"/>
      <c r="P127" s="735"/>
      <c r="Q127" s="735"/>
      <c r="R127" s="735"/>
      <c r="S127" s="735"/>
      <c r="T127" s="735"/>
      <c r="U127" s="735"/>
      <c r="V127" s="735"/>
      <c r="W127" s="735"/>
      <c r="X127" s="735"/>
      <c r="Y127" s="735"/>
      <c r="Z127" s="735"/>
      <c r="AA127" s="735"/>
      <c r="AB127" s="735"/>
      <c r="AC127" s="735"/>
      <c r="AD127" s="735"/>
      <c r="AE127" s="735"/>
      <c r="AF127" s="735"/>
      <c r="AG127" s="735"/>
      <c r="AH127" s="735"/>
      <c r="AI127" s="129"/>
      <c r="AJ127" s="129"/>
      <c r="AK127" s="69"/>
    </row>
    <row r="128" spans="1:39" x14ac:dyDescent="0.2">
      <c r="A128" s="55"/>
      <c r="B128" s="55"/>
      <c r="F128" s="22"/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/>
      <c r="AH128" s="735"/>
      <c r="AI128" s="129"/>
      <c r="AJ128" s="129"/>
      <c r="AK128" s="69"/>
    </row>
    <row r="129" spans="1:37" x14ac:dyDescent="0.2">
      <c r="A129" s="55"/>
      <c r="B129" s="55"/>
      <c r="F129" s="22"/>
      <c r="G129" s="735"/>
      <c r="H129" s="735"/>
      <c r="I129" s="735"/>
      <c r="J129" s="735"/>
      <c r="K129" s="735"/>
      <c r="L129" s="735"/>
      <c r="M129" s="735"/>
      <c r="N129" s="735"/>
      <c r="O129" s="735"/>
      <c r="P129" s="735"/>
      <c r="Q129" s="735"/>
      <c r="R129" s="735"/>
      <c r="S129" s="735"/>
      <c r="T129" s="735"/>
      <c r="U129" s="735"/>
      <c r="V129" s="735"/>
      <c r="W129" s="735"/>
      <c r="X129" s="735"/>
      <c r="Y129" s="735"/>
      <c r="Z129" s="735"/>
      <c r="AA129" s="735"/>
      <c r="AB129" s="735"/>
      <c r="AC129" s="735"/>
      <c r="AD129" s="735"/>
      <c r="AE129" s="735"/>
      <c r="AF129" s="735"/>
      <c r="AG129" s="735"/>
      <c r="AH129" s="735"/>
      <c r="AI129" s="129"/>
      <c r="AJ129" s="129"/>
      <c r="AK129" s="69"/>
    </row>
    <row r="130" spans="1:37" x14ac:dyDescent="0.2">
      <c r="A130" s="55"/>
      <c r="B130" s="55"/>
      <c r="F130" s="22"/>
      <c r="G130" s="735"/>
      <c r="H130" s="735"/>
      <c r="I130" s="735"/>
      <c r="J130" s="735"/>
      <c r="K130" s="735"/>
      <c r="L130" s="735"/>
      <c r="M130" s="735"/>
      <c r="N130" s="735"/>
      <c r="O130" s="735"/>
      <c r="P130" s="735"/>
      <c r="Q130" s="735"/>
      <c r="R130" s="735"/>
      <c r="S130" s="735"/>
      <c r="T130" s="735"/>
      <c r="U130" s="735"/>
      <c r="V130" s="735"/>
      <c r="W130" s="735"/>
      <c r="X130" s="735"/>
      <c r="Y130" s="735"/>
      <c r="Z130" s="735"/>
      <c r="AA130" s="735"/>
      <c r="AB130" s="735"/>
      <c r="AC130" s="735"/>
      <c r="AD130" s="735"/>
      <c r="AE130" s="735"/>
      <c r="AF130" s="735"/>
      <c r="AG130" s="735"/>
      <c r="AH130" s="735"/>
      <c r="AI130" s="129"/>
      <c r="AJ130" s="129"/>
      <c r="AK130" s="69"/>
    </row>
    <row r="131" spans="1:37" x14ac:dyDescent="0.2">
      <c r="A131" s="55"/>
      <c r="B131" s="55"/>
      <c r="F131" s="22"/>
      <c r="G131" s="735"/>
      <c r="H131" s="735"/>
      <c r="I131" s="735"/>
      <c r="J131" s="735"/>
      <c r="K131" s="735"/>
      <c r="L131" s="735"/>
      <c r="M131" s="735"/>
      <c r="N131" s="735"/>
      <c r="O131" s="735"/>
      <c r="P131" s="735"/>
      <c r="Q131" s="735"/>
      <c r="R131" s="735"/>
      <c r="S131" s="735"/>
      <c r="T131" s="735"/>
      <c r="U131" s="735"/>
      <c r="V131" s="735"/>
      <c r="W131" s="735"/>
      <c r="X131" s="735"/>
      <c r="Y131" s="735"/>
      <c r="Z131" s="735"/>
      <c r="AA131" s="735"/>
      <c r="AB131" s="735"/>
      <c r="AC131" s="735"/>
      <c r="AD131" s="735"/>
      <c r="AE131" s="735"/>
      <c r="AF131" s="735"/>
      <c r="AG131" s="735"/>
      <c r="AH131" s="735"/>
      <c r="AI131" s="129"/>
      <c r="AJ131" s="129"/>
      <c r="AK131" s="69"/>
    </row>
    <row r="132" spans="1:37" x14ac:dyDescent="0.2">
      <c r="A132" s="55"/>
      <c r="B132" s="55"/>
      <c r="F132" s="22"/>
      <c r="G132" s="735"/>
      <c r="H132" s="735"/>
      <c r="I132" s="735"/>
      <c r="J132" s="735"/>
      <c r="K132" s="735"/>
      <c r="L132" s="735"/>
      <c r="M132" s="735"/>
      <c r="N132" s="735"/>
      <c r="O132" s="735"/>
      <c r="P132" s="735"/>
      <c r="Q132" s="735"/>
      <c r="R132" s="735"/>
      <c r="S132" s="735"/>
      <c r="T132" s="735"/>
      <c r="U132" s="735"/>
      <c r="V132" s="735"/>
      <c r="W132" s="735"/>
      <c r="X132" s="735"/>
      <c r="Y132" s="735"/>
      <c r="Z132" s="735"/>
      <c r="AA132" s="735"/>
      <c r="AB132" s="735"/>
      <c r="AC132" s="735"/>
      <c r="AD132" s="735"/>
      <c r="AE132" s="735"/>
      <c r="AF132" s="735"/>
      <c r="AG132" s="735"/>
      <c r="AH132" s="735"/>
      <c r="AI132" s="129"/>
      <c r="AJ132" s="129"/>
      <c r="AK132" s="69"/>
    </row>
    <row r="133" spans="1:37" x14ac:dyDescent="0.2">
      <c r="A133" s="55"/>
      <c r="B133" s="76"/>
      <c r="F133" s="22"/>
      <c r="G133" s="735"/>
      <c r="H133" s="735"/>
      <c r="I133" s="735"/>
      <c r="J133" s="735"/>
      <c r="K133" s="735"/>
      <c r="L133" s="735"/>
      <c r="M133" s="735"/>
      <c r="N133" s="735"/>
      <c r="O133" s="735"/>
      <c r="P133" s="735"/>
      <c r="Q133" s="735"/>
      <c r="R133" s="735"/>
      <c r="S133" s="735"/>
      <c r="T133" s="735"/>
      <c r="U133" s="735"/>
      <c r="V133" s="735"/>
      <c r="W133" s="735"/>
      <c r="X133" s="735"/>
      <c r="Y133" s="735"/>
      <c r="Z133" s="735"/>
      <c r="AA133" s="735"/>
      <c r="AB133" s="735"/>
      <c r="AC133" s="735"/>
      <c r="AD133" s="735"/>
      <c r="AE133" s="735"/>
      <c r="AF133" s="735"/>
      <c r="AG133" s="735"/>
      <c r="AH133" s="735"/>
      <c r="AI133" s="129"/>
      <c r="AJ133" s="129"/>
      <c r="AK133" s="69"/>
    </row>
    <row r="134" spans="1:37" x14ac:dyDescent="0.2">
      <c r="F134" s="22"/>
      <c r="G134" s="735"/>
      <c r="H134" s="735"/>
      <c r="I134" s="735"/>
      <c r="J134" s="735"/>
      <c r="K134" s="735"/>
      <c r="L134" s="735"/>
      <c r="M134" s="735"/>
      <c r="N134" s="735"/>
      <c r="O134" s="735"/>
      <c r="P134" s="735"/>
      <c r="Q134" s="735"/>
      <c r="R134" s="735"/>
      <c r="S134" s="735"/>
      <c r="T134" s="735"/>
      <c r="U134" s="735"/>
      <c r="V134" s="735"/>
      <c r="W134" s="735"/>
      <c r="X134" s="735"/>
      <c r="Y134" s="735"/>
      <c r="Z134" s="735"/>
      <c r="AA134" s="735"/>
      <c r="AB134" s="735"/>
      <c r="AC134" s="735"/>
      <c r="AD134" s="735"/>
      <c r="AE134" s="735"/>
      <c r="AF134" s="735"/>
      <c r="AG134" s="735"/>
      <c r="AH134" s="735"/>
      <c r="AI134" s="69"/>
      <c r="AJ134" s="69"/>
      <c r="AK134" s="69"/>
    </row>
    <row r="135" spans="1:37" x14ac:dyDescent="0.2">
      <c r="F135" s="22"/>
      <c r="G135" s="735"/>
      <c r="H135" s="735"/>
      <c r="I135" s="735"/>
      <c r="J135" s="735"/>
      <c r="K135" s="735"/>
      <c r="L135" s="735"/>
      <c r="M135" s="735"/>
      <c r="N135" s="735"/>
      <c r="O135" s="735"/>
      <c r="P135" s="735"/>
      <c r="Q135" s="735"/>
      <c r="R135" s="735"/>
      <c r="S135" s="735"/>
      <c r="T135" s="735"/>
      <c r="U135" s="735"/>
      <c r="V135" s="735"/>
      <c r="W135" s="735"/>
      <c r="X135" s="735"/>
      <c r="Y135" s="735"/>
      <c r="Z135" s="735"/>
      <c r="AA135" s="735"/>
      <c r="AB135" s="735"/>
      <c r="AC135" s="735"/>
      <c r="AD135" s="735"/>
      <c r="AE135" s="735"/>
      <c r="AF135" s="735"/>
      <c r="AG135" s="735"/>
      <c r="AH135" s="735"/>
      <c r="AI135" s="69"/>
      <c r="AJ135" s="69"/>
      <c r="AK135" s="69"/>
    </row>
    <row r="136" spans="1:37" x14ac:dyDescent="0.2">
      <c r="F136" s="22"/>
      <c r="G136" s="735"/>
      <c r="H136" s="735"/>
      <c r="I136" s="735"/>
      <c r="J136" s="735"/>
      <c r="K136" s="735"/>
      <c r="L136" s="735"/>
      <c r="M136" s="735"/>
      <c r="N136" s="735"/>
      <c r="O136" s="735"/>
      <c r="P136" s="735"/>
      <c r="Q136" s="735"/>
      <c r="R136" s="735"/>
      <c r="S136" s="735"/>
      <c r="T136" s="735"/>
      <c r="U136" s="735"/>
      <c r="V136" s="735"/>
      <c r="W136" s="735"/>
      <c r="X136" s="735"/>
      <c r="Y136" s="735"/>
      <c r="Z136" s="735"/>
      <c r="AA136" s="735"/>
      <c r="AB136" s="735"/>
      <c r="AC136" s="735"/>
      <c r="AD136" s="735"/>
      <c r="AE136" s="735"/>
      <c r="AF136" s="735"/>
      <c r="AG136" s="735"/>
      <c r="AH136" s="735"/>
      <c r="AI136" s="69"/>
      <c r="AJ136" s="69"/>
      <c r="AK136" s="69"/>
    </row>
    <row r="137" spans="1:37" x14ac:dyDescent="0.2">
      <c r="F137" s="22"/>
      <c r="G137" s="735"/>
      <c r="H137" s="735"/>
      <c r="I137" s="735"/>
      <c r="J137" s="735"/>
      <c r="K137" s="735"/>
      <c r="L137" s="735"/>
      <c r="M137" s="735"/>
      <c r="N137" s="735"/>
      <c r="O137" s="735"/>
      <c r="P137" s="735"/>
      <c r="Q137" s="735"/>
      <c r="R137" s="735"/>
      <c r="S137" s="735"/>
      <c r="T137" s="735"/>
      <c r="U137" s="735"/>
      <c r="V137" s="735"/>
      <c r="W137" s="735"/>
      <c r="X137" s="735"/>
      <c r="Y137" s="735"/>
      <c r="Z137" s="735"/>
      <c r="AA137" s="735"/>
      <c r="AB137" s="735"/>
      <c r="AC137" s="735"/>
      <c r="AD137" s="735"/>
      <c r="AE137" s="735"/>
      <c r="AF137" s="735"/>
      <c r="AG137" s="735"/>
      <c r="AH137" s="735"/>
      <c r="AI137" s="69"/>
      <c r="AJ137" s="69"/>
      <c r="AK137" s="69"/>
    </row>
    <row r="138" spans="1:37" x14ac:dyDescent="0.2">
      <c r="F138" s="22"/>
      <c r="G138" s="735"/>
      <c r="H138" s="735"/>
      <c r="I138" s="735"/>
      <c r="J138" s="735"/>
      <c r="K138" s="735"/>
      <c r="L138" s="735"/>
      <c r="M138" s="735"/>
      <c r="N138" s="735"/>
      <c r="O138" s="735"/>
      <c r="P138" s="735"/>
      <c r="Q138" s="735"/>
      <c r="R138" s="735"/>
      <c r="S138" s="735"/>
      <c r="T138" s="735"/>
      <c r="U138" s="735"/>
      <c r="V138" s="735"/>
      <c r="W138" s="735"/>
      <c r="X138" s="735"/>
      <c r="Y138" s="735"/>
      <c r="Z138" s="735"/>
      <c r="AA138" s="735"/>
      <c r="AB138" s="735"/>
      <c r="AC138" s="735"/>
      <c r="AD138" s="735"/>
      <c r="AE138" s="735"/>
      <c r="AF138" s="735"/>
      <c r="AG138" s="735"/>
      <c r="AH138" s="735"/>
      <c r="AI138" s="69"/>
      <c r="AJ138" s="69"/>
      <c r="AK138" s="69"/>
    </row>
    <row r="139" spans="1:37" x14ac:dyDescent="0.2">
      <c r="F139" s="22"/>
      <c r="G139" s="735"/>
      <c r="H139" s="735"/>
      <c r="I139" s="735"/>
      <c r="J139" s="735"/>
      <c r="K139" s="735"/>
      <c r="L139" s="735"/>
      <c r="M139" s="735"/>
      <c r="N139" s="735"/>
      <c r="O139" s="735"/>
      <c r="P139" s="735"/>
      <c r="Q139" s="735"/>
      <c r="R139" s="735"/>
      <c r="S139" s="735"/>
      <c r="T139" s="735"/>
      <c r="U139" s="735"/>
      <c r="V139" s="735"/>
      <c r="W139" s="735"/>
      <c r="X139" s="735"/>
      <c r="Y139" s="735"/>
      <c r="Z139" s="735"/>
      <c r="AA139" s="735"/>
      <c r="AB139" s="735"/>
      <c r="AC139" s="735"/>
      <c r="AD139" s="735"/>
      <c r="AE139" s="735"/>
      <c r="AF139" s="735"/>
      <c r="AG139" s="735"/>
      <c r="AH139" s="735"/>
      <c r="AI139" s="69"/>
      <c r="AJ139" s="69"/>
      <c r="AK139" s="69"/>
    </row>
    <row r="140" spans="1:37" x14ac:dyDescent="0.2">
      <c r="F140" s="22"/>
      <c r="G140" s="735"/>
      <c r="H140" s="735"/>
      <c r="I140" s="735"/>
      <c r="J140" s="735"/>
      <c r="K140" s="735"/>
      <c r="L140" s="735"/>
      <c r="M140" s="735"/>
      <c r="N140" s="735"/>
      <c r="O140" s="735"/>
      <c r="P140" s="735"/>
      <c r="Q140" s="735"/>
      <c r="R140" s="735"/>
      <c r="S140" s="735"/>
      <c r="T140" s="735"/>
      <c r="U140" s="735"/>
      <c r="V140" s="735"/>
      <c r="W140" s="735"/>
      <c r="X140" s="735"/>
      <c r="Y140" s="735"/>
      <c r="Z140" s="735"/>
      <c r="AA140" s="735"/>
      <c r="AB140" s="735"/>
      <c r="AC140" s="735"/>
      <c r="AD140" s="735"/>
      <c r="AE140" s="735"/>
      <c r="AF140" s="735"/>
      <c r="AG140" s="735"/>
      <c r="AH140" s="735"/>
      <c r="AI140" s="69"/>
      <c r="AJ140" s="69"/>
      <c r="AK140" s="69"/>
    </row>
    <row r="141" spans="1:37" x14ac:dyDescent="0.2">
      <c r="F141" s="22"/>
      <c r="G141" s="735"/>
      <c r="H141" s="735"/>
      <c r="I141" s="735"/>
      <c r="J141" s="735"/>
      <c r="K141" s="735"/>
      <c r="L141" s="735"/>
      <c r="M141" s="735"/>
      <c r="N141" s="735"/>
      <c r="O141" s="735"/>
      <c r="P141" s="735"/>
      <c r="Q141" s="735"/>
      <c r="R141" s="735"/>
      <c r="S141" s="735"/>
      <c r="T141" s="735"/>
      <c r="U141" s="735"/>
      <c r="V141" s="735"/>
      <c r="W141" s="735"/>
      <c r="X141" s="735"/>
      <c r="Y141" s="735"/>
      <c r="Z141" s="735"/>
      <c r="AA141" s="735"/>
      <c r="AB141" s="735"/>
      <c r="AC141" s="735"/>
      <c r="AD141" s="735"/>
      <c r="AE141" s="735"/>
      <c r="AF141" s="735"/>
      <c r="AG141" s="735"/>
      <c r="AH141" s="735"/>
      <c r="AI141" s="69"/>
      <c r="AJ141" s="69"/>
      <c r="AK141" s="69"/>
    </row>
    <row r="142" spans="1:37" x14ac:dyDescent="0.2">
      <c r="F142" s="22"/>
      <c r="G142" s="735"/>
      <c r="H142" s="735"/>
      <c r="I142" s="735"/>
      <c r="J142" s="735"/>
      <c r="K142" s="735"/>
      <c r="L142" s="735"/>
      <c r="M142" s="735"/>
      <c r="N142" s="735"/>
      <c r="O142" s="735"/>
      <c r="P142" s="735"/>
      <c r="Q142" s="735"/>
      <c r="R142" s="735"/>
      <c r="S142" s="735"/>
      <c r="T142" s="735"/>
      <c r="U142" s="735"/>
      <c r="V142" s="735"/>
      <c r="W142" s="735"/>
      <c r="X142" s="735"/>
      <c r="Y142" s="735"/>
      <c r="Z142" s="735"/>
      <c r="AA142" s="735"/>
      <c r="AB142" s="735"/>
      <c r="AC142" s="735"/>
      <c r="AD142" s="735"/>
      <c r="AE142" s="735"/>
      <c r="AF142" s="735"/>
      <c r="AG142" s="735"/>
      <c r="AH142" s="735"/>
      <c r="AI142" s="69"/>
      <c r="AJ142" s="69"/>
      <c r="AK142" s="69"/>
    </row>
    <row r="143" spans="1:37" x14ac:dyDescent="0.2">
      <c r="F143" s="22"/>
      <c r="G143" s="735"/>
      <c r="H143" s="735"/>
      <c r="I143" s="735"/>
      <c r="J143" s="735"/>
      <c r="K143" s="735"/>
      <c r="L143" s="735"/>
      <c r="M143" s="735"/>
      <c r="N143" s="735"/>
      <c r="O143" s="735"/>
      <c r="P143" s="735"/>
      <c r="Q143" s="735"/>
      <c r="R143" s="735"/>
      <c r="S143" s="735"/>
      <c r="T143" s="735"/>
      <c r="U143" s="735"/>
      <c r="V143" s="735"/>
      <c r="W143" s="735"/>
      <c r="X143" s="735"/>
      <c r="Y143" s="735"/>
      <c r="Z143" s="735"/>
      <c r="AA143" s="735"/>
      <c r="AB143" s="735"/>
      <c r="AC143" s="735"/>
      <c r="AD143" s="735"/>
      <c r="AE143" s="735"/>
      <c r="AF143" s="735"/>
      <c r="AG143" s="735"/>
      <c r="AH143" s="735"/>
      <c r="AI143" s="69"/>
      <c r="AJ143" s="69"/>
      <c r="AK143" s="69"/>
    </row>
    <row r="144" spans="1:37" x14ac:dyDescent="0.2">
      <c r="F144" s="22"/>
      <c r="G144" s="735"/>
      <c r="H144" s="735"/>
      <c r="I144" s="735"/>
      <c r="J144" s="735"/>
      <c r="K144" s="735"/>
      <c r="L144" s="735"/>
      <c r="M144" s="735"/>
      <c r="N144" s="735"/>
      <c r="O144" s="735"/>
      <c r="P144" s="735"/>
      <c r="Q144" s="735"/>
      <c r="R144" s="735"/>
      <c r="S144" s="735"/>
      <c r="T144" s="735"/>
      <c r="U144" s="735"/>
      <c r="V144" s="735"/>
      <c r="W144" s="735"/>
      <c r="X144" s="735"/>
      <c r="Y144" s="735"/>
      <c r="Z144" s="735"/>
      <c r="AA144" s="735"/>
      <c r="AB144" s="735"/>
      <c r="AC144" s="735"/>
      <c r="AD144" s="735"/>
      <c r="AE144" s="735"/>
      <c r="AF144" s="735"/>
      <c r="AG144" s="735"/>
      <c r="AH144" s="735"/>
      <c r="AI144" s="69"/>
      <c r="AJ144" s="69"/>
      <c r="AK144" s="69"/>
    </row>
    <row r="145" spans="6:37" x14ac:dyDescent="0.2">
      <c r="F145" s="22"/>
      <c r="G145" s="735"/>
      <c r="H145" s="735"/>
      <c r="I145" s="735"/>
      <c r="J145" s="735"/>
      <c r="K145" s="735"/>
      <c r="L145" s="735"/>
      <c r="M145" s="735"/>
      <c r="N145" s="735"/>
      <c r="O145" s="735"/>
      <c r="P145" s="735"/>
      <c r="Q145" s="735"/>
      <c r="R145" s="735"/>
      <c r="S145" s="735"/>
      <c r="T145" s="735"/>
      <c r="U145" s="735"/>
      <c r="V145" s="735"/>
      <c r="W145" s="735"/>
      <c r="X145" s="735"/>
      <c r="Y145" s="735"/>
      <c r="Z145" s="735"/>
      <c r="AA145" s="735"/>
      <c r="AB145" s="735"/>
      <c r="AC145" s="735"/>
      <c r="AD145" s="735"/>
      <c r="AE145" s="735"/>
      <c r="AF145" s="735"/>
      <c r="AG145" s="735"/>
      <c r="AH145" s="735"/>
      <c r="AI145" s="69"/>
      <c r="AJ145" s="69"/>
      <c r="AK145" s="69"/>
    </row>
    <row r="146" spans="6:37" x14ac:dyDescent="0.2">
      <c r="F146" s="22"/>
      <c r="G146" s="735"/>
      <c r="H146" s="735"/>
      <c r="I146" s="735"/>
      <c r="J146" s="735"/>
      <c r="K146" s="735"/>
      <c r="L146" s="735"/>
      <c r="M146" s="735"/>
      <c r="N146" s="735"/>
      <c r="O146" s="735"/>
      <c r="P146" s="735"/>
      <c r="Q146" s="735"/>
      <c r="R146" s="735"/>
      <c r="S146" s="735"/>
      <c r="T146" s="735"/>
      <c r="U146" s="735"/>
      <c r="V146" s="735"/>
      <c r="W146" s="735"/>
      <c r="X146" s="735"/>
      <c r="Y146" s="735"/>
      <c r="Z146" s="735"/>
      <c r="AA146" s="735"/>
      <c r="AB146" s="735"/>
      <c r="AC146" s="735"/>
      <c r="AD146" s="735"/>
      <c r="AE146" s="735"/>
      <c r="AF146" s="735"/>
      <c r="AG146" s="735"/>
      <c r="AH146" s="735"/>
      <c r="AI146" s="69"/>
      <c r="AJ146" s="69"/>
      <c r="AK146" s="69"/>
    </row>
    <row r="147" spans="6:37" x14ac:dyDescent="0.2">
      <c r="F147" s="22"/>
      <c r="G147" s="735"/>
      <c r="H147" s="735"/>
      <c r="I147" s="735"/>
      <c r="J147" s="735"/>
      <c r="K147" s="735"/>
      <c r="L147" s="735"/>
      <c r="M147" s="735"/>
      <c r="N147" s="735"/>
      <c r="O147" s="735"/>
      <c r="P147" s="735"/>
      <c r="Q147" s="735"/>
      <c r="R147" s="735"/>
      <c r="S147" s="735"/>
      <c r="T147" s="735"/>
      <c r="U147" s="735"/>
      <c r="V147" s="735"/>
      <c r="W147" s="735"/>
      <c r="X147" s="735"/>
      <c r="Y147" s="735"/>
      <c r="Z147" s="735"/>
      <c r="AA147" s="735"/>
      <c r="AB147" s="735"/>
      <c r="AC147" s="735"/>
      <c r="AD147" s="735"/>
      <c r="AE147" s="735"/>
      <c r="AF147" s="735"/>
      <c r="AG147" s="735"/>
      <c r="AH147" s="735"/>
      <c r="AI147" s="69"/>
      <c r="AJ147" s="69"/>
      <c r="AK147" s="69"/>
    </row>
    <row r="148" spans="6:37" x14ac:dyDescent="0.2">
      <c r="F148" s="22"/>
      <c r="G148" s="735"/>
      <c r="H148" s="735"/>
      <c r="I148" s="735"/>
      <c r="J148" s="735"/>
      <c r="K148" s="735"/>
      <c r="L148" s="735"/>
      <c r="M148" s="735"/>
      <c r="N148" s="735"/>
      <c r="O148" s="735"/>
      <c r="P148" s="735"/>
      <c r="Q148" s="735"/>
      <c r="R148" s="735"/>
      <c r="S148" s="735"/>
      <c r="T148" s="735"/>
      <c r="U148" s="735"/>
      <c r="V148" s="735"/>
      <c r="W148" s="735"/>
      <c r="X148" s="735"/>
      <c r="Y148" s="735"/>
      <c r="Z148" s="735"/>
      <c r="AA148" s="735"/>
      <c r="AB148" s="735"/>
      <c r="AC148" s="735"/>
      <c r="AD148" s="735"/>
      <c r="AE148" s="735"/>
      <c r="AF148" s="735"/>
      <c r="AG148" s="735"/>
      <c r="AH148" s="735"/>
      <c r="AI148" s="69"/>
      <c r="AJ148" s="69"/>
      <c r="AK148" s="69"/>
    </row>
    <row r="149" spans="6:37" x14ac:dyDescent="0.2">
      <c r="F149" s="22"/>
      <c r="G149" s="735"/>
      <c r="H149" s="735"/>
      <c r="I149" s="735"/>
      <c r="J149" s="735"/>
      <c r="K149" s="735"/>
      <c r="L149" s="735"/>
      <c r="M149" s="735"/>
      <c r="N149" s="735"/>
      <c r="O149" s="735"/>
      <c r="P149" s="735"/>
      <c r="Q149" s="735"/>
      <c r="R149" s="735"/>
      <c r="S149" s="735"/>
      <c r="T149" s="735"/>
      <c r="U149" s="735"/>
      <c r="V149" s="735"/>
      <c r="W149" s="735"/>
      <c r="X149" s="735"/>
      <c r="Y149" s="735"/>
      <c r="Z149" s="735"/>
      <c r="AA149" s="735"/>
      <c r="AB149" s="735"/>
      <c r="AC149" s="735"/>
      <c r="AD149" s="735"/>
      <c r="AE149" s="735"/>
      <c r="AF149" s="735"/>
      <c r="AG149" s="735"/>
      <c r="AH149" s="735"/>
      <c r="AI149" s="69"/>
      <c r="AJ149" s="69"/>
      <c r="AK149" s="69"/>
    </row>
    <row r="150" spans="6:37" x14ac:dyDescent="0.2">
      <c r="F150" s="22"/>
      <c r="G150" s="735"/>
      <c r="H150" s="735"/>
      <c r="I150" s="735"/>
      <c r="J150" s="735"/>
      <c r="K150" s="735"/>
      <c r="L150" s="735"/>
      <c r="M150" s="735"/>
      <c r="N150" s="735"/>
      <c r="O150" s="735"/>
      <c r="P150" s="735"/>
      <c r="Q150" s="735"/>
      <c r="R150" s="735"/>
      <c r="S150" s="735"/>
      <c r="T150" s="735"/>
      <c r="U150" s="735"/>
      <c r="V150" s="735"/>
      <c r="W150" s="735"/>
      <c r="X150" s="735"/>
      <c r="Y150" s="735"/>
      <c r="Z150" s="735"/>
      <c r="AA150" s="735"/>
      <c r="AB150" s="735"/>
      <c r="AC150" s="735"/>
      <c r="AD150" s="735"/>
      <c r="AE150" s="735"/>
      <c r="AF150" s="735"/>
      <c r="AG150" s="735"/>
      <c r="AH150" s="735"/>
      <c r="AI150" s="69"/>
      <c r="AJ150" s="69"/>
      <c r="AK150" s="69"/>
    </row>
    <row r="151" spans="6:37" x14ac:dyDescent="0.2">
      <c r="F151" s="22"/>
      <c r="G151" s="735"/>
      <c r="H151" s="735"/>
      <c r="I151" s="735"/>
      <c r="J151" s="735"/>
      <c r="K151" s="735"/>
      <c r="L151" s="735"/>
      <c r="M151" s="735"/>
      <c r="N151" s="735"/>
      <c r="O151" s="735"/>
      <c r="P151" s="735"/>
      <c r="Q151" s="735"/>
      <c r="R151" s="735"/>
      <c r="S151" s="735"/>
      <c r="T151" s="735"/>
      <c r="U151" s="735"/>
      <c r="V151" s="735"/>
      <c r="W151" s="735"/>
      <c r="X151" s="735"/>
      <c r="Y151" s="735"/>
      <c r="Z151" s="735"/>
      <c r="AA151" s="735"/>
      <c r="AB151" s="735"/>
      <c r="AC151" s="735"/>
      <c r="AD151" s="735"/>
      <c r="AE151" s="735"/>
      <c r="AF151" s="735"/>
      <c r="AG151" s="735"/>
      <c r="AH151" s="735"/>
      <c r="AI151" s="69"/>
      <c r="AJ151" s="69"/>
      <c r="AK151" s="69"/>
    </row>
    <row r="152" spans="6:37" x14ac:dyDescent="0.2">
      <c r="F152" s="22"/>
      <c r="G152" s="735"/>
      <c r="H152" s="735"/>
      <c r="I152" s="735"/>
      <c r="J152" s="735"/>
      <c r="K152" s="735"/>
      <c r="L152" s="735"/>
      <c r="M152" s="735"/>
      <c r="N152" s="735"/>
      <c r="O152" s="735"/>
      <c r="P152" s="735"/>
      <c r="Q152" s="735"/>
      <c r="R152" s="735"/>
      <c r="S152" s="735"/>
      <c r="T152" s="735"/>
      <c r="U152" s="735"/>
      <c r="V152" s="735"/>
      <c r="W152" s="735"/>
      <c r="X152" s="735"/>
      <c r="Y152" s="735"/>
      <c r="Z152" s="735"/>
      <c r="AA152" s="735"/>
      <c r="AB152" s="735"/>
      <c r="AC152" s="735"/>
      <c r="AD152" s="735"/>
      <c r="AE152" s="735"/>
      <c r="AF152" s="735"/>
      <c r="AG152" s="735"/>
      <c r="AH152" s="735"/>
      <c r="AI152" s="69"/>
      <c r="AJ152" s="69"/>
      <c r="AK152" s="69"/>
    </row>
    <row r="153" spans="6:37" x14ac:dyDescent="0.2">
      <c r="F153" s="22"/>
      <c r="G153" s="735"/>
      <c r="H153" s="735"/>
      <c r="I153" s="735"/>
      <c r="J153" s="735"/>
      <c r="K153" s="735"/>
      <c r="L153" s="735"/>
      <c r="M153" s="735"/>
      <c r="N153" s="735"/>
      <c r="O153" s="735"/>
      <c r="P153" s="735"/>
      <c r="Q153" s="735"/>
      <c r="R153" s="735"/>
      <c r="S153" s="735"/>
      <c r="T153" s="735"/>
      <c r="U153" s="735"/>
      <c r="V153" s="735"/>
      <c r="W153" s="735"/>
      <c r="X153" s="735"/>
      <c r="Y153" s="735"/>
      <c r="Z153" s="735"/>
      <c r="AA153" s="735"/>
      <c r="AB153" s="735"/>
      <c r="AC153" s="735"/>
      <c r="AD153" s="735"/>
      <c r="AE153" s="735"/>
      <c r="AF153" s="735"/>
      <c r="AG153" s="735"/>
      <c r="AH153" s="735"/>
      <c r="AI153" s="69"/>
      <c r="AJ153" s="69"/>
      <c r="AK153" s="69"/>
    </row>
    <row r="154" spans="6:37" x14ac:dyDescent="0.2">
      <c r="F154" s="22"/>
      <c r="G154" s="735"/>
      <c r="H154" s="735"/>
      <c r="I154" s="735"/>
      <c r="J154" s="735"/>
      <c r="K154" s="735"/>
      <c r="L154" s="735"/>
      <c r="M154" s="735"/>
      <c r="N154" s="735"/>
      <c r="O154" s="735"/>
      <c r="P154" s="735"/>
      <c r="Q154" s="735"/>
      <c r="R154" s="735"/>
      <c r="S154" s="735"/>
      <c r="T154" s="735"/>
      <c r="U154" s="735"/>
      <c r="V154" s="735"/>
      <c r="W154" s="735"/>
      <c r="X154" s="735"/>
      <c r="Y154" s="735"/>
      <c r="Z154" s="735"/>
      <c r="AA154" s="735"/>
      <c r="AB154" s="735"/>
      <c r="AC154" s="735"/>
      <c r="AD154" s="735"/>
      <c r="AE154" s="735"/>
      <c r="AF154" s="735"/>
      <c r="AG154" s="735"/>
      <c r="AH154" s="735"/>
      <c r="AI154" s="69"/>
      <c r="AJ154" s="69"/>
      <c r="AK154" s="69"/>
    </row>
    <row r="155" spans="6:37" x14ac:dyDescent="0.2">
      <c r="F155" s="22"/>
      <c r="G155" s="735"/>
      <c r="H155" s="735"/>
      <c r="I155" s="735"/>
      <c r="J155" s="735"/>
      <c r="K155" s="735"/>
      <c r="L155" s="735"/>
      <c r="M155" s="735"/>
      <c r="N155" s="735"/>
      <c r="O155" s="735"/>
      <c r="P155" s="735"/>
      <c r="Q155" s="735"/>
      <c r="R155" s="735"/>
      <c r="S155" s="735"/>
      <c r="T155" s="735"/>
      <c r="U155" s="735"/>
      <c r="V155" s="735"/>
      <c r="W155" s="735"/>
      <c r="X155" s="735"/>
      <c r="Y155" s="735"/>
      <c r="Z155" s="735"/>
      <c r="AA155" s="735"/>
      <c r="AB155" s="735"/>
      <c r="AC155" s="735"/>
      <c r="AD155" s="735"/>
      <c r="AE155" s="735"/>
      <c r="AF155" s="735"/>
      <c r="AG155" s="735"/>
      <c r="AH155" s="735"/>
      <c r="AI155" s="69"/>
      <c r="AJ155" s="69"/>
      <c r="AK155" s="69"/>
    </row>
    <row r="156" spans="6:37" x14ac:dyDescent="0.2">
      <c r="F156" s="22"/>
      <c r="G156" s="735"/>
      <c r="H156" s="735"/>
      <c r="I156" s="735"/>
      <c r="J156" s="735"/>
      <c r="K156" s="735"/>
      <c r="L156" s="735"/>
      <c r="M156" s="735"/>
      <c r="N156" s="735"/>
      <c r="O156" s="735"/>
      <c r="P156" s="735"/>
      <c r="Q156" s="735"/>
      <c r="R156" s="735"/>
      <c r="S156" s="735"/>
      <c r="T156" s="735"/>
      <c r="U156" s="735"/>
      <c r="V156" s="735"/>
      <c r="W156" s="735"/>
      <c r="X156" s="735"/>
      <c r="Y156" s="735"/>
      <c r="Z156" s="735"/>
      <c r="AA156" s="735"/>
      <c r="AB156" s="735"/>
      <c r="AC156" s="735"/>
      <c r="AD156" s="735"/>
      <c r="AE156" s="735"/>
      <c r="AF156" s="735"/>
      <c r="AG156" s="735"/>
      <c r="AH156" s="735"/>
      <c r="AI156" s="69"/>
      <c r="AJ156" s="69"/>
      <c r="AK156" s="69"/>
    </row>
    <row r="157" spans="6:37" x14ac:dyDescent="0.2">
      <c r="F157" s="22"/>
      <c r="G157" s="735"/>
      <c r="H157" s="735"/>
      <c r="I157" s="735"/>
      <c r="J157" s="735"/>
      <c r="K157" s="735"/>
      <c r="L157" s="735"/>
      <c r="M157" s="735"/>
      <c r="N157" s="735"/>
      <c r="O157" s="735"/>
      <c r="P157" s="735"/>
      <c r="Q157" s="735"/>
      <c r="R157" s="735"/>
      <c r="S157" s="735"/>
      <c r="T157" s="735"/>
      <c r="U157" s="735"/>
      <c r="V157" s="735"/>
      <c r="W157" s="735"/>
      <c r="X157" s="735"/>
      <c r="Y157" s="735"/>
      <c r="Z157" s="735"/>
      <c r="AA157" s="735"/>
      <c r="AB157" s="735"/>
      <c r="AC157" s="735"/>
      <c r="AD157" s="735"/>
      <c r="AE157" s="735"/>
      <c r="AF157" s="735"/>
      <c r="AG157" s="735"/>
      <c r="AH157" s="735"/>
      <c r="AI157" s="69"/>
      <c r="AJ157" s="69"/>
      <c r="AK157" s="69"/>
    </row>
    <row r="158" spans="6:37" x14ac:dyDescent="0.2">
      <c r="F158" s="22"/>
      <c r="G158" s="735"/>
      <c r="H158" s="735"/>
      <c r="I158" s="735"/>
      <c r="J158" s="735"/>
      <c r="K158" s="735"/>
      <c r="L158" s="735"/>
      <c r="M158" s="735"/>
      <c r="N158" s="735"/>
      <c r="O158" s="735"/>
      <c r="P158" s="735"/>
      <c r="Q158" s="735"/>
      <c r="R158" s="735"/>
      <c r="S158" s="735"/>
      <c r="T158" s="735"/>
      <c r="U158" s="735"/>
      <c r="V158" s="735"/>
      <c r="W158" s="735"/>
      <c r="X158" s="735"/>
      <c r="Y158" s="735"/>
      <c r="Z158" s="735"/>
      <c r="AA158" s="735"/>
      <c r="AB158" s="735"/>
      <c r="AC158" s="735"/>
      <c r="AD158" s="735"/>
      <c r="AE158" s="735"/>
      <c r="AF158" s="735"/>
      <c r="AG158" s="735"/>
      <c r="AH158" s="735"/>
      <c r="AI158" s="69"/>
      <c r="AJ158" s="69"/>
      <c r="AK158" s="69"/>
    </row>
    <row r="159" spans="6:37" x14ac:dyDescent="0.2">
      <c r="F159" s="22"/>
      <c r="G159" s="735"/>
      <c r="H159" s="735"/>
      <c r="I159" s="735"/>
      <c r="J159" s="735"/>
      <c r="K159" s="735"/>
      <c r="L159" s="735"/>
      <c r="M159" s="735"/>
      <c r="N159" s="735"/>
      <c r="O159" s="735"/>
      <c r="P159" s="735"/>
      <c r="Q159" s="735"/>
      <c r="R159" s="735"/>
      <c r="S159" s="735"/>
      <c r="T159" s="735"/>
      <c r="U159" s="735"/>
      <c r="V159" s="735"/>
      <c r="W159" s="735"/>
      <c r="X159" s="735"/>
      <c r="Y159" s="735"/>
      <c r="Z159" s="735"/>
      <c r="AA159" s="735"/>
      <c r="AB159" s="735"/>
      <c r="AC159" s="735"/>
      <c r="AD159" s="735"/>
      <c r="AE159" s="735"/>
      <c r="AF159" s="735"/>
      <c r="AG159" s="735"/>
      <c r="AH159" s="735"/>
      <c r="AI159" s="69"/>
      <c r="AJ159" s="69"/>
      <c r="AK159" s="69"/>
    </row>
    <row r="160" spans="6:37" x14ac:dyDescent="0.2">
      <c r="F160" s="22"/>
      <c r="G160" s="735"/>
      <c r="H160" s="735"/>
      <c r="I160" s="735"/>
      <c r="J160" s="735"/>
      <c r="K160" s="735"/>
      <c r="L160" s="735"/>
      <c r="M160" s="735"/>
      <c r="N160" s="735"/>
      <c r="O160" s="735"/>
      <c r="P160" s="735"/>
      <c r="Q160" s="735"/>
      <c r="R160" s="735"/>
      <c r="S160" s="735"/>
      <c r="T160" s="735"/>
      <c r="U160" s="735"/>
      <c r="V160" s="735"/>
      <c r="W160" s="735"/>
      <c r="X160" s="735"/>
      <c r="Y160" s="735"/>
      <c r="Z160" s="735"/>
      <c r="AA160" s="735"/>
      <c r="AB160" s="735"/>
      <c r="AC160" s="735"/>
      <c r="AD160" s="735"/>
      <c r="AE160" s="735"/>
      <c r="AF160" s="735"/>
      <c r="AG160" s="735"/>
      <c r="AH160" s="735"/>
      <c r="AI160" s="69"/>
      <c r="AJ160" s="69"/>
      <c r="AK160" s="69"/>
    </row>
    <row r="161" spans="6:37" x14ac:dyDescent="0.2">
      <c r="F161" s="22"/>
      <c r="G161" s="735"/>
      <c r="H161" s="735"/>
      <c r="I161" s="735"/>
      <c r="J161" s="735"/>
      <c r="K161" s="735"/>
      <c r="L161" s="735"/>
      <c r="M161" s="735"/>
      <c r="N161" s="735"/>
      <c r="O161" s="735"/>
      <c r="P161" s="735"/>
      <c r="Q161" s="735"/>
      <c r="R161" s="735"/>
      <c r="S161" s="735"/>
      <c r="T161" s="735"/>
      <c r="U161" s="735"/>
      <c r="V161" s="735"/>
      <c r="W161" s="735"/>
      <c r="X161" s="735"/>
      <c r="Y161" s="735"/>
      <c r="Z161" s="735"/>
      <c r="AA161" s="735"/>
      <c r="AB161" s="735"/>
      <c r="AC161" s="735"/>
      <c r="AD161" s="735"/>
      <c r="AE161" s="735"/>
      <c r="AF161" s="735"/>
      <c r="AG161" s="735"/>
      <c r="AH161" s="735"/>
      <c r="AI161" s="69"/>
      <c r="AJ161" s="69"/>
      <c r="AK161" s="69"/>
    </row>
    <row r="162" spans="6:37" x14ac:dyDescent="0.2">
      <c r="F162" s="22"/>
      <c r="G162" s="735"/>
      <c r="H162" s="735"/>
      <c r="I162" s="735"/>
      <c r="J162" s="735"/>
      <c r="K162" s="735"/>
      <c r="L162" s="735"/>
      <c r="M162" s="735"/>
      <c r="N162" s="735"/>
      <c r="O162" s="735"/>
      <c r="P162" s="735"/>
      <c r="Q162" s="735"/>
      <c r="R162" s="735"/>
      <c r="S162" s="735"/>
      <c r="T162" s="735"/>
      <c r="U162" s="735"/>
      <c r="V162" s="735"/>
      <c r="W162" s="735"/>
      <c r="X162" s="735"/>
      <c r="Y162" s="735"/>
      <c r="Z162" s="735"/>
      <c r="AA162" s="735"/>
      <c r="AB162" s="735"/>
      <c r="AC162" s="735"/>
      <c r="AD162" s="735"/>
      <c r="AE162" s="735"/>
      <c r="AF162" s="735"/>
      <c r="AG162" s="735"/>
      <c r="AH162" s="735"/>
      <c r="AI162" s="69"/>
      <c r="AJ162" s="69"/>
      <c r="AK162" s="69"/>
    </row>
    <row r="163" spans="6:37" x14ac:dyDescent="0.2">
      <c r="F163" s="22"/>
      <c r="G163" s="735"/>
      <c r="H163" s="735"/>
      <c r="I163" s="735"/>
      <c r="J163" s="735"/>
      <c r="K163" s="735"/>
      <c r="L163" s="735"/>
      <c r="M163" s="735"/>
      <c r="N163" s="735"/>
      <c r="O163" s="735"/>
      <c r="P163" s="735"/>
      <c r="Q163" s="735"/>
      <c r="R163" s="735"/>
      <c r="S163" s="735"/>
      <c r="T163" s="735"/>
      <c r="U163" s="735"/>
      <c r="V163" s="735"/>
      <c r="W163" s="735"/>
      <c r="X163" s="735"/>
      <c r="Y163" s="735"/>
      <c r="Z163" s="735"/>
      <c r="AA163" s="735"/>
      <c r="AB163" s="735"/>
      <c r="AC163" s="735"/>
      <c r="AD163" s="735"/>
      <c r="AE163" s="735"/>
      <c r="AF163" s="735"/>
      <c r="AG163" s="735"/>
      <c r="AH163" s="735"/>
      <c r="AI163" s="69"/>
      <c r="AJ163" s="69"/>
      <c r="AK163" s="69"/>
    </row>
    <row r="164" spans="6:37" x14ac:dyDescent="0.2">
      <c r="F164" s="22"/>
      <c r="G164" s="735"/>
      <c r="H164" s="735"/>
      <c r="I164" s="735"/>
      <c r="J164" s="735"/>
      <c r="K164" s="735"/>
      <c r="L164" s="735"/>
      <c r="M164" s="735"/>
      <c r="N164" s="735"/>
      <c r="O164" s="735"/>
      <c r="P164" s="735"/>
      <c r="Q164" s="735"/>
      <c r="R164" s="735"/>
      <c r="S164" s="735"/>
      <c r="T164" s="735"/>
      <c r="U164" s="735"/>
      <c r="V164" s="735"/>
      <c r="W164" s="735"/>
      <c r="X164" s="735"/>
      <c r="Y164" s="735"/>
      <c r="Z164" s="735"/>
      <c r="AA164" s="735"/>
      <c r="AB164" s="735"/>
      <c r="AC164" s="735"/>
      <c r="AD164" s="735"/>
      <c r="AE164" s="735"/>
      <c r="AF164" s="735"/>
      <c r="AG164" s="735"/>
      <c r="AH164" s="735"/>
      <c r="AI164" s="69"/>
      <c r="AJ164" s="69"/>
      <c r="AK164" s="69"/>
    </row>
    <row r="165" spans="6:37" x14ac:dyDescent="0.2">
      <c r="F165" s="22"/>
      <c r="G165" s="735"/>
      <c r="H165" s="735"/>
      <c r="I165" s="735"/>
      <c r="J165" s="735"/>
      <c r="K165" s="735"/>
      <c r="L165" s="735"/>
      <c r="M165" s="735"/>
      <c r="N165" s="735"/>
      <c r="O165" s="735"/>
      <c r="P165" s="735"/>
      <c r="Q165" s="735"/>
      <c r="R165" s="735"/>
      <c r="S165" s="735"/>
      <c r="T165" s="735"/>
      <c r="U165" s="735"/>
      <c r="V165" s="735"/>
      <c r="W165" s="735"/>
      <c r="X165" s="735"/>
      <c r="Y165" s="735"/>
      <c r="Z165" s="735"/>
      <c r="AA165" s="735"/>
      <c r="AB165" s="735"/>
      <c r="AC165" s="735"/>
      <c r="AD165" s="735"/>
      <c r="AE165" s="735"/>
      <c r="AF165" s="735"/>
      <c r="AG165" s="735"/>
      <c r="AH165" s="735"/>
      <c r="AI165" s="69"/>
      <c r="AJ165" s="69"/>
      <c r="AK165" s="69"/>
    </row>
    <row r="166" spans="6:37" x14ac:dyDescent="0.2">
      <c r="F166" s="22"/>
      <c r="G166" s="735"/>
      <c r="H166" s="735"/>
      <c r="I166" s="735"/>
      <c r="J166" s="735"/>
      <c r="K166" s="735"/>
      <c r="L166" s="735"/>
      <c r="M166" s="735"/>
      <c r="N166" s="735"/>
      <c r="O166" s="735"/>
      <c r="P166" s="735"/>
      <c r="Q166" s="735"/>
      <c r="R166" s="735"/>
      <c r="S166" s="735"/>
      <c r="T166" s="735"/>
      <c r="U166" s="735"/>
      <c r="V166" s="735"/>
      <c r="W166" s="735"/>
      <c r="X166" s="735"/>
      <c r="Y166" s="735"/>
      <c r="Z166" s="735"/>
      <c r="AA166" s="735"/>
      <c r="AB166" s="735"/>
      <c r="AC166" s="735"/>
      <c r="AD166" s="735"/>
      <c r="AE166" s="735"/>
      <c r="AF166" s="735"/>
      <c r="AG166" s="735"/>
      <c r="AH166" s="735"/>
      <c r="AI166" s="69"/>
      <c r="AJ166" s="69"/>
      <c r="AK166" s="69"/>
    </row>
    <row r="167" spans="6:37" x14ac:dyDescent="0.2">
      <c r="F167" s="22"/>
      <c r="G167" s="735"/>
      <c r="H167" s="735"/>
      <c r="I167" s="735"/>
      <c r="J167" s="735"/>
      <c r="K167" s="735"/>
      <c r="L167" s="735"/>
      <c r="M167" s="735"/>
      <c r="N167" s="735"/>
      <c r="O167" s="735"/>
      <c r="P167" s="735"/>
      <c r="Q167" s="735"/>
      <c r="R167" s="735"/>
      <c r="S167" s="735"/>
      <c r="T167" s="735"/>
      <c r="U167" s="735"/>
      <c r="V167" s="735"/>
      <c r="W167" s="735"/>
      <c r="X167" s="735"/>
      <c r="Y167" s="735"/>
      <c r="Z167" s="735"/>
      <c r="AA167" s="735"/>
      <c r="AB167" s="735"/>
      <c r="AC167" s="735"/>
      <c r="AD167" s="735"/>
      <c r="AE167" s="735"/>
      <c r="AF167" s="735"/>
      <c r="AG167" s="735"/>
      <c r="AH167" s="735"/>
      <c r="AI167" s="69"/>
      <c r="AJ167" s="69"/>
      <c r="AK167" s="69"/>
    </row>
    <row r="168" spans="6:37" x14ac:dyDescent="0.2">
      <c r="F168" s="22"/>
      <c r="G168" s="735"/>
      <c r="H168" s="735"/>
      <c r="I168" s="735"/>
      <c r="J168" s="735"/>
      <c r="K168" s="735"/>
      <c r="L168" s="735"/>
      <c r="M168" s="735"/>
      <c r="N168" s="735"/>
      <c r="O168" s="735"/>
      <c r="P168" s="735"/>
      <c r="Q168" s="735"/>
      <c r="R168" s="735"/>
      <c r="S168" s="735"/>
      <c r="T168" s="735"/>
      <c r="U168" s="735"/>
      <c r="V168" s="735"/>
      <c r="W168" s="735"/>
      <c r="X168" s="735"/>
      <c r="Y168" s="735"/>
      <c r="Z168" s="735"/>
      <c r="AA168" s="735"/>
      <c r="AB168" s="735"/>
      <c r="AC168" s="735"/>
      <c r="AD168" s="735"/>
      <c r="AE168" s="735"/>
      <c r="AF168" s="735"/>
      <c r="AG168" s="735"/>
      <c r="AH168" s="735"/>
      <c r="AI168" s="69"/>
      <c r="AJ168" s="69"/>
      <c r="AK168" s="69"/>
    </row>
    <row r="169" spans="6:37" x14ac:dyDescent="0.2">
      <c r="F169" s="22"/>
      <c r="G169" s="735"/>
      <c r="H169" s="735"/>
      <c r="I169" s="735"/>
      <c r="J169" s="735"/>
      <c r="K169" s="735"/>
      <c r="L169" s="735"/>
      <c r="M169" s="735"/>
      <c r="N169" s="735"/>
      <c r="O169" s="735"/>
      <c r="P169" s="735"/>
      <c r="Q169" s="735"/>
      <c r="R169" s="735"/>
      <c r="S169" s="735"/>
      <c r="T169" s="735"/>
      <c r="U169" s="735"/>
      <c r="V169" s="735"/>
      <c r="W169" s="735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69"/>
      <c r="AJ169" s="69"/>
      <c r="AK169" s="69"/>
    </row>
    <row r="170" spans="6:37" x14ac:dyDescent="0.2">
      <c r="F170" s="22"/>
      <c r="G170" s="735"/>
      <c r="H170" s="735"/>
      <c r="I170" s="735"/>
      <c r="J170" s="735"/>
      <c r="K170" s="735"/>
      <c r="L170" s="735"/>
      <c r="M170" s="735"/>
      <c r="N170" s="735"/>
      <c r="O170" s="735"/>
      <c r="P170" s="735"/>
      <c r="Q170" s="735"/>
      <c r="R170" s="735"/>
      <c r="S170" s="735"/>
      <c r="T170" s="735"/>
      <c r="U170" s="735"/>
      <c r="V170" s="735"/>
      <c r="W170" s="735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69"/>
      <c r="AJ170" s="69"/>
      <c r="AK170" s="69"/>
    </row>
    <row r="171" spans="6:37" x14ac:dyDescent="0.2">
      <c r="F171" s="22"/>
      <c r="G171" s="735"/>
      <c r="H171" s="735"/>
      <c r="I171" s="735"/>
      <c r="J171" s="735"/>
      <c r="K171" s="735"/>
      <c r="L171" s="735"/>
      <c r="M171" s="735"/>
      <c r="N171" s="735"/>
      <c r="O171" s="735"/>
      <c r="P171" s="735"/>
      <c r="Q171" s="735"/>
      <c r="R171" s="735"/>
      <c r="S171" s="735"/>
      <c r="T171" s="735"/>
      <c r="U171" s="735"/>
      <c r="V171" s="735"/>
      <c r="W171" s="735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69"/>
      <c r="AJ171" s="69"/>
      <c r="AK171" s="69"/>
    </row>
    <row r="172" spans="6:37" x14ac:dyDescent="0.2">
      <c r="F172" s="22"/>
      <c r="G172" s="735"/>
      <c r="H172" s="735"/>
      <c r="I172" s="735"/>
      <c r="J172" s="735"/>
      <c r="K172" s="735"/>
      <c r="L172" s="735"/>
      <c r="M172" s="735"/>
      <c r="N172" s="735"/>
      <c r="O172" s="735"/>
      <c r="P172" s="735"/>
      <c r="Q172" s="735"/>
      <c r="R172" s="735"/>
      <c r="S172" s="735"/>
      <c r="T172" s="735"/>
      <c r="U172" s="735"/>
      <c r="V172" s="735"/>
      <c r="W172" s="735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69"/>
      <c r="AJ172" s="69"/>
      <c r="AK172" s="69"/>
    </row>
    <row r="173" spans="6:37" x14ac:dyDescent="0.2">
      <c r="F173" s="22"/>
      <c r="G173" s="735"/>
      <c r="H173" s="735"/>
      <c r="I173" s="735"/>
      <c r="J173" s="735"/>
      <c r="K173" s="735"/>
      <c r="L173" s="735"/>
      <c r="M173" s="735"/>
      <c r="N173" s="735"/>
      <c r="O173" s="735"/>
      <c r="P173" s="735"/>
      <c r="Q173" s="735"/>
      <c r="R173" s="735"/>
      <c r="S173" s="735"/>
      <c r="T173" s="735"/>
      <c r="U173" s="735"/>
      <c r="V173" s="735"/>
      <c r="W173" s="735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69"/>
      <c r="AJ173" s="69"/>
      <c r="AK173" s="69"/>
    </row>
    <row r="174" spans="6:37" x14ac:dyDescent="0.2">
      <c r="F174" s="22"/>
      <c r="G174" s="735"/>
      <c r="H174" s="735"/>
      <c r="I174" s="735"/>
      <c r="J174" s="735"/>
      <c r="K174" s="735"/>
      <c r="L174" s="735"/>
      <c r="M174" s="735"/>
      <c r="N174" s="735"/>
      <c r="O174" s="735"/>
      <c r="P174" s="735"/>
      <c r="Q174" s="735"/>
      <c r="R174" s="735"/>
      <c r="S174" s="735"/>
      <c r="T174" s="735"/>
      <c r="U174" s="735"/>
      <c r="V174" s="735"/>
      <c r="W174" s="735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69"/>
      <c r="AJ174" s="69"/>
      <c r="AK174" s="69"/>
    </row>
    <row r="175" spans="6:37" x14ac:dyDescent="0.2">
      <c r="F175" s="22"/>
      <c r="G175" s="735"/>
      <c r="H175" s="735"/>
      <c r="I175" s="735"/>
      <c r="J175" s="735"/>
      <c r="K175" s="735"/>
      <c r="L175" s="735"/>
      <c r="M175" s="735"/>
      <c r="N175" s="735"/>
      <c r="O175" s="735"/>
      <c r="P175" s="735"/>
      <c r="Q175" s="735"/>
      <c r="R175" s="735"/>
      <c r="S175" s="735"/>
      <c r="T175" s="735"/>
      <c r="U175" s="735"/>
      <c r="V175" s="735"/>
      <c r="W175" s="735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69"/>
      <c r="AJ175" s="69"/>
      <c r="AK175" s="69"/>
    </row>
    <row r="176" spans="6:37" x14ac:dyDescent="0.2">
      <c r="F176" s="22"/>
      <c r="G176" s="735"/>
      <c r="H176" s="735"/>
      <c r="I176" s="735"/>
      <c r="J176" s="735"/>
      <c r="K176" s="735"/>
      <c r="L176" s="735"/>
      <c r="M176" s="735"/>
      <c r="N176" s="735"/>
      <c r="O176" s="735"/>
      <c r="P176" s="735"/>
      <c r="Q176" s="735"/>
      <c r="R176" s="735"/>
      <c r="S176" s="735"/>
      <c r="T176" s="735"/>
      <c r="U176" s="735"/>
      <c r="V176" s="735"/>
      <c r="W176" s="735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69"/>
      <c r="AJ176" s="69"/>
      <c r="AK176" s="69"/>
    </row>
    <row r="177" spans="6:37" x14ac:dyDescent="0.2">
      <c r="F177" s="22"/>
      <c r="G177" s="735"/>
      <c r="H177" s="735"/>
      <c r="I177" s="735"/>
      <c r="J177" s="735"/>
      <c r="K177" s="735"/>
      <c r="L177" s="735"/>
      <c r="M177" s="735"/>
      <c r="N177" s="735"/>
      <c r="O177" s="735"/>
      <c r="P177" s="735"/>
      <c r="Q177" s="735"/>
      <c r="R177" s="735"/>
      <c r="S177" s="735"/>
      <c r="T177" s="735"/>
      <c r="U177" s="735"/>
      <c r="V177" s="735"/>
      <c r="W177" s="735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69"/>
      <c r="AJ177" s="69"/>
      <c r="AK177" s="69"/>
    </row>
    <row r="178" spans="6:37" x14ac:dyDescent="0.2">
      <c r="F178" s="22"/>
      <c r="G178" s="735"/>
      <c r="H178" s="735"/>
      <c r="I178" s="735"/>
      <c r="J178" s="735"/>
      <c r="K178" s="735"/>
      <c r="L178" s="735"/>
      <c r="M178" s="735"/>
      <c r="N178" s="735"/>
      <c r="O178" s="735"/>
      <c r="P178" s="735"/>
      <c r="Q178" s="735"/>
      <c r="R178" s="735"/>
      <c r="S178" s="735"/>
      <c r="T178" s="735"/>
      <c r="U178" s="735"/>
      <c r="V178" s="735"/>
      <c r="W178" s="735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69"/>
      <c r="AJ178" s="69"/>
      <c r="AK178" s="69"/>
    </row>
    <row r="179" spans="6:37" x14ac:dyDescent="0.2">
      <c r="F179" s="22"/>
      <c r="G179" s="735"/>
      <c r="H179" s="735"/>
      <c r="I179" s="735"/>
      <c r="J179" s="735"/>
      <c r="K179" s="735"/>
      <c r="L179" s="735"/>
      <c r="M179" s="735"/>
      <c r="N179" s="735"/>
      <c r="O179" s="735"/>
      <c r="P179" s="735"/>
      <c r="Q179" s="735"/>
      <c r="R179" s="735"/>
      <c r="S179" s="735"/>
      <c r="T179" s="735"/>
      <c r="U179" s="735"/>
      <c r="V179" s="735"/>
      <c r="W179" s="735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</row>
    <row r="180" spans="6:37" x14ac:dyDescent="0.2">
      <c r="F180" s="22"/>
      <c r="G180" s="735"/>
      <c r="H180" s="735"/>
      <c r="I180" s="735"/>
      <c r="J180" s="735"/>
      <c r="K180" s="735"/>
      <c r="L180" s="735"/>
      <c r="M180" s="735"/>
      <c r="N180" s="735"/>
      <c r="O180" s="735"/>
      <c r="P180" s="735"/>
      <c r="Q180" s="735"/>
      <c r="R180" s="735"/>
      <c r="S180" s="735"/>
      <c r="T180" s="735"/>
      <c r="U180" s="735"/>
      <c r="V180" s="735"/>
      <c r="W180" s="735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</row>
    <row r="181" spans="6:37" x14ac:dyDescent="0.2">
      <c r="F181" s="22"/>
      <c r="G181" s="735"/>
      <c r="H181" s="735"/>
      <c r="I181" s="735"/>
      <c r="J181" s="735"/>
      <c r="K181" s="735"/>
      <c r="L181" s="735"/>
      <c r="M181" s="735"/>
      <c r="N181" s="735"/>
      <c r="O181" s="735"/>
      <c r="P181" s="735"/>
      <c r="Q181" s="735"/>
      <c r="R181" s="735"/>
      <c r="S181" s="735"/>
      <c r="T181" s="735"/>
      <c r="U181" s="735"/>
      <c r="V181" s="735"/>
      <c r="W181" s="735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</row>
    <row r="182" spans="6:37" x14ac:dyDescent="0.2">
      <c r="F182" s="22"/>
      <c r="G182" s="735"/>
      <c r="H182" s="735"/>
      <c r="I182" s="735"/>
      <c r="J182" s="735"/>
      <c r="K182" s="735"/>
      <c r="L182" s="735"/>
      <c r="M182" s="735"/>
      <c r="N182" s="735"/>
      <c r="O182" s="735"/>
      <c r="P182" s="735"/>
      <c r="Q182" s="735"/>
      <c r="R182" s="735"/>
      <c r="S182" s="735"/>
      <c r="T182" s="735"/>
      <c r="U182" s="735"/>
      <c r="V182" s="735"/>
      <c r="W182" s="735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</row>
    <row r="183" spans="6:37" x14ac:dyDescent="0.2">
      <c r="F183" s="22"/>
      <c r="G183" s="735"/>
      <c r="H183" s="735"/>
      <c r="I183" s="735"/>
      <c r="J183" s="735"/>
      <c r="K183" s="735"/>
      <c r="L183" s="735"/>
      <c r="M183" s="735"/>
      <c r="N183" s="735"/>
      <c r="O183" s="735"/>
      <c r="P183" s="735"/>
      <c r="Q183" s="735"/>
      <c r="R183" s="735"/>
      <c r="S183" s="735"/>
      <c r="T183" s="735"/>
      <c r="U183" s="735"/>
      <c r="V183" s="735"/>
      <c r="W183" s="735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</row>
    <row r="184" spans="6:37" x14ac:dyDescent="0.2">
      <c r="F184" s="22"/>
      <c r="G184" s="735"/>
      <c r="H184" s="735"/>
      <c r="I184" s="735"/>
      <c r="J184" s="735"/>
      <c r="K184" s="735"/>
      <c r="L184" s="735"/>
      <c r="M184" s="735"/>
      <c r="N184" s="735"/>
      <c r="O184" s="735"/>
      <c r="P184" s="735"/>
      <c r="Q184" s="735"/>
      <c r="R184" s="735"/>
      <c r="S184" s="735"/>
      <c r="T184" s="735"/>
      <c r="U184" s="735"/>
      <c r="V184" s="735"/>
      <c r="W184" s="735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</row>
    <row r="185" spans="6:37" x14ac:dyDescent="0.2">
      <c r="F185" s="22"/>
      <c r="G185" s="735"/>
      <c r="H185" s="735"/>
      <c r="I185" s="735"/>
      <c r="J185" s="735"/>
      <c r="K185" s="735"/>
      <c r="L185" s="735"/>
      <c r="M185" s="735"/>
      <c r="N185" s="735"/>
      <c r="O185" s="735"/>
      <c r="P185" s="735"/>
      <c r="Q185" s="735"/>
      <c r="R185" s="735"/>
      <c r="S185" s="735"/>
      <c r="T185" s="735"/>
      <c r="U185" s="735"/>
      <c r="V185" s="735"/>
      <c r="W185" s="735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</row>
    <row r="186" spans="6:37" x14ac:dyDescent="0.2">
      <c r="F186" s="22"/>
      <c r="G186" s="735"/>
      <c r="H186" s="735"/>
      <c r="I186" s="735"/>
      <c r="J186" s="735"/>
      <c r="K186" s="735"/>
      <c r="L186" s="735"/>
      <c r="M186" s="735"/>
      <c r="N186" s="735"/>
      <c r="O186" s="735"/>
      <c r="P186" s="735"/>
      <c r="Q186" s="735"/>
      <c r="R186" s="735"/>
      <c r="S186" s="735"/>
      <c r="T186" s="735"/>
      <c r="U186" s="735"/>
      <c r="V186" s="735"/>
      <c r="W186" s="735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</row>
    <row r="187" spans="6:37" x14ac:dyDescent="0.2">
      <c r="F187" s="22"/>
      <c r="G187" s="735"/>
      <c r="H187" s="735"/>
      <c r="I187" s="735"/>
      <c r="J187" s="735"/>
      <c r="K187" s="735"/>
      <c r="L187" s="735"/>
      <c r="M187" s="735"/>
      <c r="N187" s="735"/>
      <c r="O187" s="735"/>
      <c r="P187" s="735"/>
      <c r="Q187" s="735"/>
      <c r="R187" s="735"/>
      <c r="S187" s="735"/>
      <c r="T187" s="735"/>
      <c r="U187" s="735"/>
      <c r="V187" s="735"/>
      <c r="W187" s="735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</row>
    <row r="188" spans="6:37" x14ac:dyDescent="0.2">
      <c r="F188" s="22"/>
      <c r="G188" s="735"/>
      <c r="H188" s="735"/>
      <c r="I188" s="735"/>
      <c r="J188" s="735"/>
      <c r="K188" s="735"/>
      <c r="L188" s="735"/>
      <c r="M188" s="735"/>
      <c r="N188" s="735"/>
      <c r="O188" s="735"/>
      <c r="P188" s="735"/>
      <c r="Q188" s="735"/>
      <c r="R188" s="735"/>
      <c r="S188" s="735"/>
      <c r="T188" s="735"/>
      <c r="U188" s="735"/>
      <c r="V188" s="735"/>
      <c r="W188" s="735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</row>
    <row r="189" spans="6:37" x14ac:dyDescent="0.2">
      <c r="F189" s="22"/>
      <c r="G189" s="735"/>
      <c r="H189" s="735"/>
      <c r="I189" s="735"/>
      <c r="J189" s="735"/>
      <c r="K189" s="735"/>
      <c r="L189" s="735"/>
      <c r="M189" s="735"/>
      <c r="N189" s="735"/>
      <c r="O189" s="735"/>
      <c r="P189" s="735"/>
      <c r="Q189" s="735"/>
      <c r="R189" s="735"/>
      <c r="S189" s="735"/>
      <c r="T189" s="735"/>
      <c r="U189" s="735"/>
      <c r="V189" s="735"/>
      <c r="W189" s="735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</row>
    <row r="190" spans="6:37" x14ac:dyDescent="0.2">
      <c r="F190" s="22"/>
      <c r="G190" s="735"/>
      <c r="H190" s="735"/>
      <c r="I190" s="735"/>
      <c r="J190" s="735"/>
      <c r="K190" s="735"/>
      <c r="L190" s="735"/>
      <c r="M190" s="735"/>
      <c r="N190" s="735"/>
      <c r="O190" s="735"/>
      <c r="P190" s="735"/>
      <c r="Q190" s="735"/>
      <c r="R190" s="735"/>
      <c r="S190" s="735"/>
      <c r="T190" s="735"/>
      <c r="U190" s="735"/>
      <c r="V190" s="735"/>
      <c r="W190" s="735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</row>
    <row r="191" spans="6:37" x14ac:dyDescent="0.2">
      <c r="F191" s="22"/>
      <c r="G191" s="735"/>
      <c r="H191" s="735"/>
      <c r="I191" s="735"/>
      <c r="J191" s="735"/>
      <c r="K191" s="735"/>
      <c r="L191" s="735"/>
      <c r="M191" s="735"/>
      <c r="N191" s="735"/>
      <c r="O191" s="735"/>
      <c r="P191" s="735"/>
      <c r="Q191" s="735"/>
      <c r="R191" s="735"/>
      <c r="S191" s="735"/>
      <c r="T191" s="735"/>
      <c r="U191" s="735"/>
      <c r="V191" s="735"/>
      <c r="W191" s="735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</row>
    <row r="192" spans="6:37" x14ac:dyDescent="0.2">
      <c r="F192" s="22"/>
      <c r="G192" s="735"/>
      <c r="H192" s="735"/>
      <c r="I192" s="735"/>
      <c r="J192" s="735"/>
      <c r="K192" s="735"/>
      <c r="L192" s="735"/>
      <c r="M192" s="735"/>
      <c r="N192" s="735"/>
      <c r="O192" s="735"/>
      <c r="P192" s="735"/>
      <c r="Q192" s="735"/>
      <c r="R192" s="735"/>
      <c r="S192" s="735"/>
      <c r="T192" s="735"/>
      <c r="U192" s="735"/>
      <c r="V192" s="735"/>
      <c r="W192" s="735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</row>
    <row r="193" spans="6:37" x14ac:dyDescent="0.2">
      <c r="F193" s="22"/>
      <c r="G193" s="735"/>
      <c r="H193" s="735"/>
      <c r="I193" s="735"/>
      <c r="J193" s="735"/>
      <c r="K193" s="735"/>
      <c r="L193" s="735"/>
      <c r="M193" s="735"/>
      <c r="N193" s="735"/>
      <c r="O193" s="735"/>
      <c r="P193" s="735"/>
      <c r="Q193" s="735"/>
      <c r="R193" s="735"/>
      <c r="S193" s="735"/>
      <c r="T193" s="735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</row>
    <row r="194" spans="6:37" x14ac:dyDescent="0.2">
      <c r="F194" s="22"/>
      <c r="G194" s="735"/>
      <c r="H194" s="735"/>
      <c r="I194" s="735"/>
      <c r="J194" s="735"/>
      <c r="K194" s="735"/>
      <c r="L194" s="735"/>
      <c r="M194" s="735"/>
      <c r="N194" s="735"/>
      <c r="O194" s="735"/>
      <c r="P194" s="735"/>
      <c r="Q194" s="735"/>
      <c r="R194" s="735"/>
      <c r="S194" s="735"/>
      <c r="T194" s="735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</row>
    <row r="195" spans="6:37" x14ac:dyDescent="0.2">
      <c r="F195" s="22"/>
      <c r="G195" s="735"/>
      <c r="H195" s="735"/>
      <c r="I195" s="735"/>
      <c r="J195" s="735"/>
      <c r="K195" s="735"/>
      <c r="L195" s="735"/>
      <c r="M195" s="735"/>
      <c r="N195" s="735"/>
      <c r="O195" s="735"/>
      <c r="P195" s="735"/>
      <c r="Q195" s="735"/>
      <c r="R195" s="735"/>
      <c r="S195" s="735"/>
      <c r="T195" s="735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</row>
    <row r="196" spans="6:37" x14ac:dyDescent="0.2">
      <c r="F196" s="22"/>
      <c r="G196" s="735"/>
      <c r="H196" s="735"/>
      <c r="I196" s="735"/>
      <c r="J196" s="735"/>
      <c r="K196" s="735"/>
      <c r="L196" s="735"/>
      <c r="M196" s="735"/>
      <c r="N196" s="735"/>
      <c r="O196" s="735"/>
      <c r="P196" s="735"/>
      <c r="Q196" s="735"/>
      <c r="R196" s="735"/>
      <c r="S196" s="735"/>
      <c r="T196" s="735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</row>
    <row r="197" spans="6:37" x14ac:dyDescent="0.2">
      <c r="F197" s="22"/>
      <c r="G197" s="735"/>
      <c r="H197" s="735"/>
      <c r="I197" s="735"/>
      <c r="J197" s="735"/>
      <c r="K197" s="735"/>
      <c r="L197" s="735"/>
      <c r="M197" s="735"/>
      <c r="N197" s="735"/>
      <c r="O197" s="735"/>
      <c r="P197" s="735"/>
      <c r="Q197" s="735"/>
      <c r="R197" s="735"/>
      <c r="S197" s="735"/>
      <c r="T197" s="735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</row>
    <row r="198" spans="6:37" x14ac:dyDescent="0.2">
      <c r="F198" s="22"/>
      <c r="G198" s="735"/>
      <c r="H198" s="735"/>
      <c r="I198" s="735"/>
      <c r="J198" s="735"/>
      <c r="K198" s="735"/>
      <c r="L198" s="735"/>
      <c r="M198" s="735"/>
      <c r="N198" s="735"/>
      <c r="O198" s="735"/>
      <c r="P198" s="735"/>
      <c r="Q198" s="735"/>
      <c r="R198" s="735"/>
      <c r="S198" s="735"/>
      <c r="T198" s="735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</row>
    <row r="199" spans="6:37" x14ac:dyDescent="0.2">
      <c r="F199" s="22"/>
      <c r="G199" s="735"/>
      <c r="H199" s="735"/>
      <c r="I199" s="735"/>
      <c r="J199" s="735"/>
      <c r="K199" s="735"/>
      <c r="L199" s="735"/>
      <c r="M199" s="735"/>
      <c r="N199" s="735"/>
      <c r="O199" s="735"/>
      <c r="P199" s="735"/>
      <c r="Q199" s="735"/>
      <c r="R199" s="735"/>
      <c r="S199" s="735"/>
      <c r="T199" s="735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</row>
    <row r="200" spans="6:37" x14ac:dyDescent="0.2">
      <c r="F200" s="22"/>
      <c r="G200" s="735"/>
      <c r="H200" s="735"/>
      <c r="I200" s="735"/>
      <c r="J200" s="735"/>
      <c r="K200" s="735"/>
      <c r="L200" s="735"/>
      <c r="M200" s="735"/>
      <c r="N200" s="735"/>
      <c r="O200" s="735"/>
      <c r="P200" s="735"/>
      <c r="Q200" s="735"/>
      <c r="R200" s="735"/>
      <c r="S200" s="735"/>
      <c r="T200" s="735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</row>
    <row r="201" spans="6:37" x14ac:dyDescent="0.2">
      <c r="F201" s="22"/>
      <c r="G201" s="735"/>
      <c r="H201" s="735"/>
      <c r="I201" s="735"/>
      <c r="J201" s="735"/>
      <c r="K201" s="735"/>
      <c r="L201" s="735"/>
      <c r="M201" s="735"/>
      <c r="N201" s="735"/>
      <c r="O201" s="735"/>
      <c r="P201" s="735"/>
      <c r="Q201" s="735"/>
      <c r="R201" s="735"/>
      <c r="S201" s="735"/>
      <c r="T201" s="735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</row>
    <row r="202" spans="6:37" x14ac:dyDescent="0.2">
      <c r="F202" s="22"/>
      <c r="G202" s="735"/>
      <c r="H202" s="735"/>
      <c r="I202" s="735"/>
      <c r="J202" s="735"/>
      <c r="K202" s="735"/>
      <c r="L202" s="735"/>
      <c r="M202" s="735"/>
      <c r="N202" s="735"/>
      <c r="O202" s="735"/>
      <c r="P202" s="735"/>
      <c r="Q202" s="735"/>
      <c r="R202" s="735"/>
      <c r="S202" s="735"/>
      <c r="T202" s="735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</row>
    <row r="203" spans="6:37" x14ac:dyDescent="0.2">
      <c r="F203" s="22"/>
      <c r="G203" s="735"/>
      <c r="H203" s="735"/>
      <c r="I203" s="735"/>
      <c r="J203" s="735"/>
      <c r="K203" s="735"/>
      <c r="L203" s="735"/>
      <c r="M203" s="735"/>
      <c r="N203" s="735"/>
      <c r="O203" s="735"/>
      <c r="P203" s="735"/>
      <c r="Q203" s="735"/>
      <c r="R203" s="735"/>
      <c r="S203" s="735"/>
      <c r="T203" s="735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</row>
    <row r="204" spans="6:37" x14ac:dyDescent="0.2">
      <c r="F204" s="22"/>
      <c r="G204" s="735"/>
      <c r="H204" s="735"/>
      <c r="I204" s="735"/>
      <c r="J204" s="735"/>
      <c r="K204" s="735"/>
      <c r="L204" s="735"/>
      <c r="M204" s="735"/>
      <c r="N204" s="735"/>
      <c r="O204" s="735"/>
      <c r="P204" s="735"/>
      <c r="Q204" s="735"/>
      <c r="R204" s="735"/>
      <c r="S204" s="735"/>
      <c r="T204" s="735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</row>
    <row r="205" spans="6:37" x14ac:dyDescent="0.2">
      <c r="F205" s="22"/>
      <c r="G205" s="735"/>
      <c r="H205" s="735"/>
      <c r="I205" s="735"/>
      <c r="J205" s="735"/>
      <c r="K205" s="735"/>
      <c r="L205" s="735"/>
      <c r="M205" s="735"/>
      <c r="N205" s="735"/>
      <c r="O205" s="735"/>
      <c r="P205" s="735"/>
      <c r="Q205" s="735"/>
      <c r="R205" s="735"/>
      <c r="S205" s="735"/>
      <c r="T205" s="735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</row>
    <row r="206" spans="6:37" x14ac:dyDescent="0.2">
      <c r="F206" s="22"/>
      <c r="G206" s="735"/>
      <c r="H206" s="735"/>
      <c r="I206" s="735"/>
      <c r="J206" s="735"/>
      <c r="K206" s="735"/>
      <c r="L206" s="735"/>
      <c r="M206" s="735"/>
      <c r="N206" s="735"/>
      <c r="O206" s="735"/>
      <c r="P206" s="735"/>
      <c r="Q206" s="735"/>
      <c r="R206" s="735"/>
      <c r="S206" s="735"/>
      <c r="T206" s="735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</row>
    <row r="207" spans="6:37" x14ac:dyDescent="0.2">
      <c r="F207" s="22"/>
      <c r="G207" s="735"/>
      <c r="H207" s="735"/>
      <c r="I207" s="735"/>
      <c r="J207" s="735"/>
      <c r="K207" s="735"/>
      <c r="L207" s="735"/>
      <c r="M207" s="735"/>
      <c r="N207" s="735"/>
      <c r="O207" s="735"/>
      <c r="P207" s="735"/>
      <c r="Q207" s="735"/>
      <c r="R207" s="735"/>
      <c r="S207" s="735"/>
      <c r="T207" s="735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</row>
    <row r="208" spans="6:37" x14ac:dyDescent="0.2">
      <c r="F208" s="22"/>
      <c r="G208" s="735"/>
      <c r="H208" s="735"/>
      <c r="I208" s="735"/>
      <c r="J208" s="735"/>
      <c r="K208" s="735"/>
      <c r="L208" s="735"/>
      <c r="M208" s="735"/>
      <c r="N208" s="735"/>
      <c r="O208" s="735"/>
      <c r="P208" s="735"/>
      <c r="Q208" s="735"/>
      <c r="R208" s="735"/>
      <c r="S208" s="735"/>
      <c r="T208" s="735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</row>
    <row r="209" spans="6:37" x14ac:dyDescent="0.2">
      <c r="F209" s="22"/>
      <c r="G209" s="735"/>
      <c r="H209" s="735"/>
      <c r="I209" s="735"/>
      <c r="J209" s="735"/>
      <c r="K209" s="735"/>
      <c r="L209" s="735"/>
      <c r="M209" s="735"/>
      <c r="N209" s="735"/>
      <c r="O209" s="735"/>
      <c r="P209" s="735"/>
      <c r="Q209" s="735"/>
      <c r="R209" s="735"/>
      <c r="S209" s="735"/>
      <c r="T209" s="735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</row>
    <row r="210" spans="6:37" x14ac:dyDescent="0.2">
      <c r="F210" s="22"/>
      <c r="G210" s="735"/>
      <c r="H210" s="735"/>
      <c r="I210" s="735"/>
      <c r="J210" s="735"/>
      <c r="K210" s="735"/>
      <c r="L210" s="735"/>
      <c r="M210" s="735"/>
      <c r="N210" s="735"/>
      <c r="O210" s="735"/>
      <c r="P210" s="735"/>
      <c r="Q210" s="735"/>
      <c r="R210" s="735"/>
      <c r="S210" s="735"/>
      <c r="T210" s="735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</row>
    <row r="211" spans="6:37" x14ac:dyDescent="0.2">
      <c r="F211" s="22"/>
      <c r="G211" s="735"/>
      <c r="H211" s="735"/>
      <c r="I211" s="735"/>
      <c r="J211" s="735"/>
      <c r="K211" s="735"/>
      <c r="L211" s="735"/>
      <c r="M211" s="735"/>
      <c r="N211" s="735"/>
      <c r="O211" s="735"/>
      <c r="P211" s="735"/>
      <c r="Q211" s="735"/>
      <c r="R211" s="735"/>
      <c r="S211" s="735"/>
      <c r="T211" s="735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</row>
    <row r="212" spans="6:37" x14ac:dyDescent="0.2">
      <c r="F212" s="22"/>
      <c r="G212" s="735"/>
      <c r="H212" s="735"/>
      <c r="I212" s="735"/>
      <c r="J212" s="735"/>
      <c r="K212" s="735"/>
      <c r="L212" s="735"/>
      <c r="M212" s="735"/>
      <c r="N212" s="735"/>
      <c r="O212" s="735"/>
      <c r="P212" s="735"/>
      <c r="Q212" s="735"/>
      <c r="R212" s="735"/>
      <c r="S212" s="735"/>
      <c r="T212" s="735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</row>
    <row r="213" spans="6:37" x14ac:dyDescent="0.2">
      <c r="F213" s="22"/>
      <c r="G213" s="735"/>
      <c r="H213" s="735"/>
      <c r="I213" s="735"/>
      <c r="J213" s="735"/>
      <c r="K213" s="735"/>
      <c r="L213" s="735"/>
      <c r="M213" s="735"/>
      <c r="N213" s="735"/>
      <c r="O213" s="735"/>
      <c r="P213" s="735"/>
      <c r="Q213" s="735"/>
      <c r="R213" s="735"/>
      <c r="S213" s="735"/>
      <c r="T213" s="735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</row>
    <row r="214" spans="6:37" x14ac:dyDescent="0.2">
      <c r="F214" s="22"/>
      <c r="G214" s="735"/>
      <c r="H214" s="735"/>
      <c r="I214" s="735"/>
      <c r="J214" s="735"/>
      <c r="K214" s="735"/>
      <c r="L214" s="735"/>
      <c r="M214" s="735"/>
      <c r="N214" s="735"/>
      <c r="O214" s="735"/>
      <c r="P214" s="735"/>
      <c r="Q214" s="735"/>
      <c r="R214" s="735"/>
      <c r="S214" s="735"/>
      <c r="T214" s="735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</row>
    <row r="215" spans="6:37" x14ac:dyDescent="0.2">
      <c r="F215" s="22"/>
      <c r="G215" s="735"/>
      <c r="H215" s="735"/>
      <c r="I215" s="735"/>
      <c r="J215" s="735"/>
      <c r="K215" s="735"/>
      <c r="L215" s="735"/>
      <c r="M215" s="735"/>
      <c r="N215" s="735"/>
      <c r="O215" s="735"/>
      <c r="P215" s="735"/>
      <c r="Q215" s="735"/>
      <c r="R215" s="735"/>
      <c r="S215" s="735"/>
      <c r="T215" s="735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</row>
    <row r="216" spans="6:37" x14ac:dyDescent="0.2">
      <c r="F216" s="22"/>
      <c r="G216" s="735"/>
      <c r="H216" s="735"/>
      <c r="I216" s="735"/>
      <c r="J216" s="735"/>
      <c r="K216" s="735"/>
      <c r="L216" s="735"/>
      <c r="M216" s="735"/>
      <c r="N216" s="735"/>
      <c r="O216" s="735"/>
      <c r="P216" s="735"/>
      <c r="Q216" s="735"/>
      <c r="R216" s="735"/>
      <c r="S216" s="735"/>
      <c r="T216" s="735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</row>
    <row r="217" spans="6:37" x14ac:dyDescent="0.2">
      <c r="F217" s="22"/>
      <c r="G217" s="735"/>
      <c r="H217" s="735"/>
      <c r="I217" s="735"/>
      <c r="J217" s="735"/>
      <c r="K217" s="735"/>
      <c r="L217" s="735"/>
      <c r="M217" s="735"/>
      <c r="N217" s="735"/>
      <c r="O217" s="735"/>
      <c r="P217" s="735"/>
      <c r="Q217" s="735"/>
      <c r="R217" s="735"/>
      <c r="S217" s="735"/>
      <c r="T217" s="735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</row>
    <row r="218" spans="6:37" x14ac:dyDescent="0.2">
      <c r="F218" s="22"/>
      <c r="G218" s="735"/>
      <c r="H218" s="735"/>
      <c r="I218" s="735"/>
      <c r="J218" s="735"/>
      <c r="K218" s="735"/>
      <c r="L218" s="735"/>
      <c r="M218" s="735"/>
      <c r="N218" s="735"/>
      <c r="O218" s="735"/>
      <c r="P218" s="735"/>
      <c r="Q218" s="735"/>
      <c r="R218" s="735"/>
      <c r="S218" s="735"/>
      <c r="T218" s="735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</row>
    <row r="219" spans="6:37" x14ac:dyDescent="0.2">
      <c r="F219" s="22"/>
      <c r="G219" s="735"/>
      <c r="H219" s="735"/>
      <c r="I219" s="735"/>
      <c r="J219" s="735"/>
      <c r="K219" s="735"/>
      <c r="L219" s="735"/>
      <c r="M219" s="735"/>
      <c r="N219" s="735"/>
      <c r="O219" s="735"/>
      <c r="P219" s="735"/>
      <c r="Q219" s="735"/>
      <c r="R219" s="735"/>
      <c r="S219" s="735"/>
      <c r="T219" s="735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</row>
    <row r="220" spans="6:37" x14ac:dyDescent="0.2">
      <c r="F220" s="22"/>
      <c r="G220" s="735"/>
      <c r="H220" s="735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</row>
    <row r="221" spans="6:37" x14ac:dyDescent="0.2">
      <c r="F221" s="22"/>
      <c r="G221" s="735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</row>
    <row r="222" spans="6:37" x14ac:dyDescent="0.2">
      <c r="F222" s="22"/>
      <c r="G222" s="735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</row>
    <row r="223" spans="6:37" x14ac:dyDescent="0.2">
      <c r="F223" s="22"/>
      <c r="G223" s="735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</row>
    <row r="224" spans="6:37" x14ac:dyDescent="0.2">
      <c r="F224" s="22"/>
      <c r="G224" s="735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</row>
    <row r="225" spans="6:37" x14ac:dyDescent="0.2">
      <c r="F225" s="22"/>
      <c r="G225" s="735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</row>
    <row r="226" spans="6:37" x14ac:dyDescent="0.2">
      <c r="F226" s="22"/>
      <c r="G226" s="735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</row>
    <row r="227" spans="6:37" x14ac:dyDescent="0.2">
      <c r="F227" s="22"/>
      <c r="G227" s="735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</row>
    <row r="228" spans="6:37" x14ac:dyDescent="0.2">
      <c r="F228" s="22"/>
      <c r="G228" s="735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</row>
    <row r="229" spans="6:37" x14ac:dyDescent="0.2">
      <c r="F229" s="22"/>
      <c r="G229" s="735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</row>
    <row r="230" spans="6:37" x14ac:dyDescent="0.2">
      <c r="F230" s="22"/>
      <c r="G230" s="735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</row>
    <row r="231" spans="6:37" x14ac:dyDescent="0.2">
      <c r="F231" s="22"/>
      <c r="G231" s="735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</row>
    <row r="232" spans="6:37" x14ac:dyDescent="0.2">
      <c r="F232" s="22"/>
      <c r="G232" s="735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</row>
    <row r="233" spans="6:37" x14ac:dyDescent="0.2">
      <c r="F233" s="22"/>
      <c r="G233" s="735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</row>
    <row r="234" spans="6:37" x14ac:dyDescent="0.2">
      <c r="F234" s="22"/>
      <c r="G234" s="735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</row>
    <row r="235" spans="6:37" x14ac:dyDescent="0.2">
      <c r="F235" s="22"/>
      <c r="G235" s="735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</row>
    <row r="236" spans="6:37" x14ac:dyDescent="0.2">
      <c r="F236" s="22"/>
      <c r="G236" s="735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</row>
    <row r="237" spans="6:37" x14ac:dyDescent="0.2">
      <c r="F237" s="22"/>
      <c r="G237" s="735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</row>
    <row r="238" spans="6:37" x14ac:dyDescent="0.2">
      <c r="F238" s="22"/>
      <c r="G238" s="735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</row>
    <row r="239" spans="6:37" x14ac:dyDescent="0.2">
      <c r="F239" s="22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</row>
    <row r="240" spans="6:37" x14ac:dyDescent="0.2">
      <c r="F240" s="22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</row>
    <row r="241" spans="6:37" x14ac:dyDescent="0.2">
      <c r="F241" s="22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</row>
    <row r="242" spans="6:37" x14ac:dyDescent="0.2">
      <c r="F242" s="22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</row>
    <row r="243" spans="6:37" x14ac:dyDescent="0.2">
      <c r="F243" s="22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</row>
    <row r="244" spans="6:37" x14ac:dyDescent="0.2">
      <c r="F244" s="22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</row>
    <row r="245" spans="6:37" x14ac:dyDescent="0.2">
      <c r="F245" s="22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</row>
    <row r="246" spans="6:37" x14ac:dyDescent="0.2">
      <c r="F246" s="22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</row>
    <row r="247" spans="6:37" x14ac:dyDescent="0.2">
      <c r="F247" s="22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</row>
    <row r="248" spans="6:37" x14ac:dyDescent="0.2">
      <c r="F248" s="22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</row>
    <row r="249" spans="6:37" x14ac:dyDescent="0.2">
      <c r="F249" s="22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</row>
    <row r="250" spans="6:37" x14ac:dyDescent="0.2">
      <c r="F250" s="22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</row>
    <row r="251" spans="6:37" x14ac:dyDescent="0.2">
      <c r="F251" s="22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</row>
    <row r="252" spans="6:37" x14ac:dyDescent="0.2">
      <c r="F252" s="22"/>
      <c r="G252" s="735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</row>
    <row r="253" spans="6:37" x14ac:dyDescent="0.2">
      <c r="F253" s="22"/>
      <c r="G253" s="735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</row>
    <row r="254" spans="6:37" x14ac:dyDescent="0.2">
      <c r="F254" s="22"/>
      <c r="G254" s="735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</row>
    <row r="255" spans="6:37" x14ac:dyDescent="0.2">
      <c r="F255" s="22"/>
      <c r="G255" s="735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</row>
    <row r="256" spans="6:37" x14ac:dyDescent="0.2">
      <c r="F256" s="22"/>
      <c r="G256" s="735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</row>
    <row r="257" spans="6:37" x14ac:dyDescent="0.2">
      <c r="F257" s="22"/>
      <c r="G257" s="735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</row>
    <row r="258" spans="6:37" x14ac:dyDescent="0.2">
      <c r="F258" s="22"/>
      <c r="G258" s="735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</row>
    <row r="259" spans="6:37" x14ac:dyDescent="0.2">
      <c r="F259" s="22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</row>
    <row r="260" spans="6:37" x14ac:dyDescent="0.2">
      <c r="F260" s="22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</row>
    <row r="261" spans="6:37" x14ac:dyDescent="0.2">
      <c r="F261" s="22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</row>
    <row r="262" spans="6:37" x14ac:dyDescent="0.2">
      <c r="F262" s="22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</row>
    <row r="263" spans="6:37" x14ac:dyDescent="0.2">
      <c r="F263" s="22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</row>
    <row r="264" spans="6:37" x14ac:dyDescent="0.2">
      <c r="F264" s="22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</row>
    <row r="265" spans="6:37" x14ac:dyDescent="0.2">
      <c r="F265" s="22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</row>
    <row r="266" spans="6:37" x14ac:dyDescent="0.2">
      <c r="F266" s="22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</row>
    <row r="267" spans="6:37" x14ac:dyDescent="0.2">
      <c r="F267" s="22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</row>
    <row r="268" spans="6:37" x14ac:dyDescent="0.2">
      <c r="F268" s="22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</row>
    <row r="269" spans="6:37" x14ac:dyDescent="0.2">
      <c r="F269" s="22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</row>
    <row r="270" spans="6:37" x14ac:dyDescent="0.2">
      <c r="F270" s="22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</row>
    <row r="271" spans="6:37" x14ac:dyDescent="0.2">
      <c r="F271" s="22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</row>
    <row r="272" spans="6:37" x14ac:dyDescent="0.2">
      <c r="F272" s="22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</row>
    <row r="273" spans="6:37" x14ac:dyDescent="0.2">
      <c r="F273" s="22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</row>
    <row r="274" spans="6:37" x14ac:dyDescent="0.2">
      <c r="F274" s="22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</row>
    <row r="275" spans="6:37" x14ac:dyDescent="0.2">
      <c r="F275" s="22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</row>
    <row r="276" spans="6:37" x14ac:dyDescent="0.2">
      <c r="F276" s="22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</row>
    <row r="277" spans="6:37" x14ac:dyDescent="0.2">
      <c r="F277" s="22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</row>
    <row r="278" spans="6:37" x14ac:dyDescent="0.2">
      <c r="F278" s="22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</row>
    <row r="279" spans="6:37" x14ac:dyDescent="0.2">
      <c r="F279" s="22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</row>
    <row r="280" spans="6:37" x14ac:dyDescent="0.2">
      <c r="F280" s="22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</row>
    <row r="281" spans="6:37" x14ac:dyDescent="0.2">
      <c r="F281" s="22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</row>
    <row r="282" spans="6:37" x14ac:dyDescent="0.2">
      <c r="F282" s="22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</row>
    <row r="283" spans="6:37" x14ac:dyDescent="0.2">
      <c r="F283" s="22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</row>
    <row r="284" spans="6:37" x14ac:dyDescent="0.2">
      <c r="F284" s="22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</row>
    <row r="285" spans="6:37" x14ac:dyDescent="0.2">
      <c r="F285" s="22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</row>
    <row r="286" spans="6:37" x14ac:dyDescent="0.2">
      <c r="F286" s="22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</row>
    <row r="287" spans="6:37" x14ac:dyDescent="0.2">
      <c r="F287" s="22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</row>
    <row r="288" spans="6:37" x14ac:dyDescent="0.2">
      <c r="F288" s="22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</row>
    <row r="289" spans="6:37" x14ac:dyDescent="0.2">
      <c r="F289" s="22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</row>
    <row r="290" spans="6:37" x14ac:dyDescent="0.2">
      <c r="F290" s="22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</row>
    <row r="291" spans="6:37" x14ac:dyDescent="0.2">
      <c r="F291" s="22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</row>
    <row r="292" spans="6:37" x14ac:dyDescent="0.2">
      <c r="F292" s="22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</row>
    <row r="293" spans="6:37" x14ac:dyDescent="0.2">
      <c r="F293" s="22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</row>
    <row r="294" spans="6:37" x14ac:dyDescent="0.2">
      <c r="F294" s="22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</row>
    <row r="295" spans="6:37" x14ac:dyDescent="0.2">
      <c r="F295" s="22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</row>
    <row r="296" spans="6:37" x14ac:dyDescent="0.2">
      <c r="F296" s="22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</row>
    <row r="297" spans="6:37" x14ac:dyDescent="0.2">
      <c r="F297" s="22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</row>
    <row r="298" spans="6:37" x14ac:dyDescent="0.2">
      <c r="F298" s="22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</row>
    <row r="299" spans="6:37" x14ac:dyDescent="0.2">
      <c r="F299" s="22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</row>
    <row r="300" spans="6:37" x14ac:dyDescent="0.2">
      <c r="F300" s="22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</row>
    <row r="301" spans="6:37" x14ac:dyDescent="0.2">
      <c r="F301" s="22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</row>
    <row r="302" spans="6:37" x14ac:dyDescent="0.2">
      <c r="F302" s="22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</row>
    <row r="303" spans="6:37" x14ac:dyDescent="0.2">
      <c r="F303" s="22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</row>
    <row r="304" spans="6:37" x14ac:dyDescent="0.2">
      <c r="F304" s="22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</row>
    <row r="305" spans="6:37" x14ac:dyDescent="0.2">
      <c r="F305" s="22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</row>
    <row r="306" spans="6:37" x14ac:dyDescent="0.2">
      <c r="F306" s="22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</row>
    <row r="307" spans="6:37" x14ac:dyDescent="0.2">
      <c r="F307" s="22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</row>
    <row r="308" spans="6:37" x14ac:dyDescent="0.2">
      <c r="F308" s="22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</row>
    <row r="309" spans="6:37" x14ac:dyDescent="0.2">
      <c r="F309" s="22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</row>
    <row r="310" spans="6:37" x14ac:dyDescent="0.2">
      <c r="F310" s="22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</row>
    <row r="311" spans="6:37" x14ac:dyDescent="0.2">
      <c r="F311" s="22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</row>
    <row r="312" spans="6:37" x14ac:dyDescent="0.2">
      <c r="F312" s="22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</row>
    <row r="313" spans="6:37" x14ac:dyDescent="0.2">
      <c r="F313" s="22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</row>
  </sheetData>
  <mergeCells count="2">
    <mergeCell ref="G6:T6"/>
    <mergeCell ref="U6:AH6"/>
  </mergeCells>
  <pageMargins left="0.7" right="0.7" top="0.75" bottom="0.75" header="0.3" footer="0.3"/>
  <pageSetup scale="54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7"/>
  <sheetViews>
    <sheetView tabSelected="1" view="pageBreakPreview" zoomScaleNormal="100" zoomScaleSheetLayoutView="100" workbookViewId="0">
      <selection activeCell="AG90" sqref="AG90"/>
    </sheetView>
  </sheetViews>
  <sheetFormatPr defaultColWidth="8.85546875" defaultRowHeight="12.75" x14ac:dyDescent="0.2"/>
  <cols>
    <col min="1" max="2" width="0.85546875" style="756" customWidth="1"/>
    <col min="3" max="3" width="2.7109375" style="756" customWidth="1"/>
    <col min="4" max="4" width="35.140625" style="756" customWidth="1"/>
    <col min="5" max="5" width="3" style="778" customWidth="1"/>
    <col min="6" max="6" width="15.7109375" style="778" customWidth="1"/>
    <col min="7" max="7" width="15.7109375" style="778" hidden="1" customWidth="1"/>
    <col min="8" max="8" width="15.7109375" style="778" customWidth="1"/>
    <col min="9" max="13" width="12.7109375" style="778" hidden="1" customWidth="1"/>
    <col min="14" max="14" width="15.7109375" style="778" hidden="1" customWidth="1"/>
    <col min="15" max="15" width="15.28515625" style="778" hidden="1" customWidth="1"/>
    <col min="16" max="16" width="12.7109375" style="778" hidden="1" customWidth="1"/>
    <col min="17" max="17" width="15.7109375" style="778" hidden="1" customWidth="1"/>
    <col min="18" max="18" width="14.42578125" style="778" hidden="1" customWidth="1"/>
    <col min="19" max="20" width="15.7109375" style="778" customWidth="1"/>
    <col min="21" max="21" width="15.7109375" style="778" hidden="1" customWidth="1"/>
    <col min="22" max="22" width="15.7109375" style="778" customWidth="1"/>
    <col min="23" max="32" width="15.7109375" style="778" hidden="1" customWidth="1"/>
    <col min="33" max="33" width="15.7109375" style="778" customWidth="1"/>
    <col min="34" max="34" width="2" style="756" customWidth="1"/>
    <col min="35" max="35" width="1.7109375" style="756" customWidth="1"/>
    <col min="36" max="36" width="19.85546875" style="756" bestFit="1" customWidth="1"/>
    <col min="37" max="37" width="11" style="756" hidden="1" customWidth="1"/>
    <col min="38" max="38" width="12.5703125" style="756" customWidth="1"/>
    <col min="39" max="256" width="8.85546875" style="756"/>
    <col min="257" max="258" width="0.85546875" style="756" customWidth="1"/>
    <col min="259" max="259" width="2.7109375" style="756" customWidth="1"/>
    <col min="260" max="260" width="35.140625" style="756" customWidth="1"/>
    <col min="261" max="261" width="3" style="756" customWidth="1"/>
    <col min="262" max="262" width="15.7109375" style="756" customWidth="1"/>
    <col min="263" max="263" width="0" style="756" hidden="1" customWidth="1"/>
    <col min="264" max="264" width="15.7109375" style="756" customWidth="1"/>
    <col min="265" max="274" width="0" style="756" hidden="1" customWidth="1"/>
    <col min="275" max="276" width="15.7109375" style="756" customWidth="1"/>
    <col min="277" max="277" width="0" style="756" hidden="1" customWidth="1"/>
    <col min="278" max="278" width="15.7109375" style="756" customWidth="1"/>
    <col min="279" max="288" width="0" style="756" hidden="1" customWidth="1"/>
    <col min="289" max="289" width="15.7109375" style="756" customWidth="1"/>
    <col min="290" max="290" width="2" style="756" customWidth="1"/>
    <col min="291" max="291" width="1.7109375" style="756" customWidth="1"/>
    <col min="292" max="292" width="19.85546875" style="756" bestFit="1" customWidth="1"/>
    <col min="293" max="293" width="0" style="756" hidden="1" customWidth="1"/>
    <col min="294" max="294" width="12.5703125" style="756" customWidth="1"/>
    <col min="295" max="512" width="8.85546875" style="756"/>
    <col min="513" max="514" width="0.85546875" style="756" customWidth="1"/>
    <col min="515" max="515" width="2.7109375" style="756" customWidth="1"/>
    <col min="516" max="516" width="35.140625" style="756" customWidth="1"/>
    <col min="517" max="517" width="3" style="756" customWidth="1"/>
    <col min="518" max="518" width="15.7109375" style="756" customWidth="1"/>
    <col min="519" max="519" width="0" style="756" hidden="1" customWidth="1"/>
    <col min="520" max="520" width="15.7109375" style="756" customWidth="1"/>
    <col min="521" max="530" width="0" style="756" hidden="1" customWidth="1"/>
    <col min="531" max="532" width="15.7109375" style="756" customWidth="1"/>
    <col min="533" max="533" width="0" style="756" hidden="1" customWidth="1"/>
    <col min="534" max="534" width="15.7109375" style="756" customWidth="1"/>
    <col min="535" max="544" width="0" style="756" hidden="1" customWidth="1"/>
    <col min="545" max="545" width="15.7109375" style="756" customWidth="1"/>
    <col min="546" max="546" width="2" style="756" customWidth="1"/>
    <col min="547" max="547" width="1.7109375" style="756" customWidth="1"/>
    <col min="548" max="548" width="19.85546875" style="756" bestFit="1" customWidth="1"/>
    <col min="549" max="549" width="0" style="756" hidden="1" customWidth="1"/>
    <col min="550" max="550" width="12.5703125" style="756" customWidth="1"/>
    <col min="551" max="768" width="8.85546875" style="756"/>
    <col min="769" max="770" width="0.85546875" style="756" customWidth="1"/>
    <col min="771" max="771" width="2.7109375" style="756" customWidth="1"/>
    <col min="772" max="772" width="35.140625" style="756" customWidth="1"/>
    <col min="773" max="773" width="3" style="756" customWidth="1"/>
    <col min="774" max="774" width="15.7109375" style="756" customWidth="1"/>
    <col min="775" max="775" width="0" style="756" hidden="1" customWidth="1"/>
    <col min="776" max="776" width="15.7109375" style="756" customWidth="1"/>
    <col min="777" max="786" width="0" style="756" hidden="1" customWidth="1"/>
    <col min="787" max="788" width="15.7109375" style="756" customWidth="1"/>
    <col min="789" max="789" width="0" style="756" hidden="1" customWidth="1"/>
    <col min="790" max="790" width="15.7109375" style="756" customWidth="1"/>
    <col min="791" max="800" width="0" style="756" hidden="1" customWidth="1"/>
    <col min="801" max="801" width="15.7109375" style="756" customWidth="1"/>
    <col min="802" max="802" width="2" style="756" customWidth="1"/>
    <col min="803" max="803" width="1.7109375" style="756" customWidth="1"/>
    <col min="804" max="804" width="19.85546875" style="756" bestFit="1" customWidth="1"/>
    <col min="805" max="805" width="0" style="756" hidden="1" customWidth="1"/>
    <col min="806" max="806" width="12.5703125" style="756" customWidth="1"/>
    <col min="807" max="1024" width="8.85546875" style="756"/>
    <col min="1025" max="1026" width="0.85546875" style="756" customWidth="1"/>
    <col min="1027" max="1027" width="2.7109375" style="756" customWidth="1"/>
    <col min="1028" max="1028" width="35.140625" style="756" customWidth="1"/>
    <col min="1029" max="1029" width="3" style="756" customWidth="1"/>
    <col min="1030" max="1030" width="15.7109375" style="756" customWidth="1"/>
    <col min="1031" max="1031" width="0" style="756" hidden="1" customWidth="1"/>
    <col min="1032" max="1032" width="15.7109375" style="756" customWidth="1"/>
    <col min="1033" max="1042" width="0" style="756" hidden="1" customWidth="1"/>
    <col min="1043" max="1044" width="15.7109375" style="756" customWidth="1"/>
    <col min="1045" max="1045" width="0" style="756" hidden="1" customWidth="1"/>
    <col min="1046" max="1046" width="15.7109375" style="756" customWidth="1"/>
    <col min="1047" max="1056" width="0" style="756" hidden="1" customWidth="1"/>
    <col min="1057" max="1057" width="15.7109375" style="756" customWidth="1"/>
    <col min="1058" max="1058" width="2" style="756" customWidth="1"/>
    <col min="1059" max="1059" width="1.7109375" style="756" customWidth="1"/>
    <col min="1060" max="1060" width="19.85546875" style="756" bestFit="1" customWidth="1"/>
    <col min="1061" max="1061" width="0" style="756" hidden="1" customWidth="1"/>
    <col min="1062" max="1062" width="12.5703125" style="756" customWidth="1"/>
    <col min="1063" max="1280" width="8.85546875" style="756"/>
    <col min="1281" max="1282" width="0.85546875" style="756" customWidth="1"/>
    <col min="1283" max="1283" width="2.7109375" style="756" customWidth="1"/>
    <col min="1284" max="1284" width="35.140625" style="756" customWidth="1"/>
    <col min="1285" max="1285" width="3" style="756" customWidth="1"/>
    <col min="1286" max="1286" width="15.7109375" style="756" customWidth="1"/>
    <col min="1287" max="1287" width="0" style="756" hidden="1" customWidth="1"/>
    <col min="1288" max="1288" width="15.7109375" style="756" customWidth="1"/>
    <col min="1289" max="1298" width="0" style="756" hidden="1" customWidth="1"/>
    <col min="1299" max="1300" width="15.7109375" style="756" customWidth="1"/>
    <col min="1301" max="1301" width="0" style="756" hidden="1" customWidth="1"/>
    <col min="1302" max="1302" width="15.7109375" style="756" customWidth="1"/>
    <col min="1303" max="1312" width="0" style="756" hidden="1" customWidth="1"/>
    <col min="1313" max="1313" width="15.7109375" style="756" customWidth="1"/>
    <col min="1314" max="1314" width="2" style="756" customWidth="1"/>
    <col min="1315" max="1315" width="1.7109375" style="756" customWidth="1"/>
    <col min="1316" max="1316" width="19.85546875" style="756" bestFit="1" customWidth="1"/>
    <col min="1317" max="1317" width="0" style="756" hidden="1" customWidth="1"/>
    <col min="1318" max="1318" width="12.5703125" style="756" customWidth="1"/>
    <col min="1319" max="1536" width="8.85546875" style="756"/>
    <col min="1537" max="1538" width="0.85546875" style="756" customWidth="1"/>
    <col min="1539" max="1539" width="2.7109375" style="756" customWidth="1"/>
    <col min="1540" max="1540" width="35.140625" style="756" customWidth="1"/>
    <col min="1541" max="1541" width="3" style="756" customWidth="1"/>
    <col min="1542" max="1542" width="15.7109375" style="756" customWidth="1"/>
    <col min="1543" max="1543" width="0" style="756" hidden="1" customWidth="1"/>
    <col min="1544" max="1544" width="15.7109375" style="756" customWidth="1"/>
    <col min="1545" max="1554" width="0" style="756" hidden="1" customWidth="1"/>
    <col min="1555" max="1556" width="15.7109375" style="756" customWidth="1"/>
    <col min="1557" max="1557" width="0" style="756" hidden="1" customWidth="1"/>
    <col min="1558" max="1558" width="15.7109375" style="756" customWidth="1"/>
    <col min="1559" max="1568" width="0" style="756" hidden="1" customWidth="1"/>
    <col min="1569" max="1569" width="15.7109375" style="756" customWidth="1"/>
    <col min="1570" max="1570" width="2" style="756" customWidth="1"/>
    <col min="1571" max="1571" width="1.7109375" style="756" customWidth="1"/>
    <col min="1572" max="1572" width="19.85546875" style="756" bestFit="1" customWidth="1"/>
    <col min="1573" max="1573" width="0" style="756" hidden="1" customWidth="1"/>
    <col min="1574" max="1574" width="12.5703125" style="756" customWidth="1"/>
    <col min="1575" max="1792" width="8.85546875" style="756"/>
    <col min="1793" max="1794" width="0.85546875" style="756" customWidth="1"/>
    <col min="1795" max="1795" width="2.7109375" style="756" customWidth="1"/>
    <col min="1796" max="1796" width="35.140625" style="756" customWidth="1"/>
    <col min="1797" max="1797" width="3" style="756" customWidth="1"/>
    <col min="1798" max="1798" width="15.7109375" style="756" customWidth="1"/>
    <col min="1799" max="1799" width="0" style="756" hidden="1" customWidth="1"/>
    <col min="1800" max="1800" width="15.7109375" style="756" customWidth="1"/>
    <col min="1801" max="1810" width="0" style="756" hidden="1" customWidth="1"/>
    <col min="1811" max="1812" width="15.7109375" style="756" customWidth="1"/>
    <col min="1813" max="1813" width="0" style="756" hidden="1" customWidth="1"/>
    <col min="1814" max="1814" width="15.7109375" style="756" customWidth="1"/>
    <col min="1815" max="1824" width="0" style="756" hidden="1" customWidth="1"/>
    <col min="1825" max="1825" width="15.7109375" style="756" customWidth="1"/>
    <col min="1826" max="1826" width="2" style="756" customWidth="1"/>
    <col min="1827" max="1827" width="1.7109375" style="756" customWidth="1"/>
    <col min="1828" max="1828" width="19.85546875" style="756" bestFit="1" customWidth="1"/>
    <col min="1829" max="1829" width="0" style="756" hidden="1" customWidth="1"/>
    <col min="1830" max="1830" width="12.5703125" style="756" customWidth="1"/>
    <col min="1831" max="2048" width="8.85546875" style="756"/>
    <col min="2049" max="2050" width="0.85546875" style="756" customWidth="1"/>
    <col min="2051" max="2051" width="2.7109375" style="756" customWidth="1"/>
    <col min="2052" max="2052" width="35.140625" style="756" customWidth="1"/>
    <col min="2053" max="2053" width="3" style="756" customWidth="1"/>
    <col min="2054" max="2054" width="15.7109375" style="756" customWidth="1"/>
    <col min="2055" max="2055" width="0" style="756" hidden="1" customWidth="1"/>
    <col min="2056" max="2056" width="15.7109375" style="756" customWidth="1"/>
    <col min="2057" max="2066" width="0" style="756" hidden="1" customWidth="1"/>
    <col min="2067" max="2068" width="15.7109375" style="756" customWidth="1"/>
    <col min="2069" max="2069" width="0" style="756" hidden="1" customWidth="1"/>
    <col min="2070" max="2070" width="15.7109375" style="756" customWidth="1"/>
    <col min="2071" max="2080" width="0" style="756" hidden="1" customWidth="1"/>
    <col min="2081" max="2081" width="15.7109375" style="756" customWidth="1"/>
    <col min="2082" max="2082" width="2" style="756" customWidth="1"/>
    <col min="2083" max="2083" width="1.7109375" style="756" customWidth="1"/>
    <col min="2084" max="2084" width="19.85546875" style="756" bestFit="1" customWidth="1"/>
    <col min="2085" max="2085" width="0" style="756" hidden="1" customWidth="1"/>
    <col min="2086" max="2086" width="12.5703125" style="756" customWidth="1"/>
    <col min="2087" max="2304" width="8.85546875" style="756"/>
    <col min="2305" max="2306" width="0.85546875" style="756" customWidth="1"/>
    <col min="2307" max="2307" width="2.7109375" style="756" customWidth="1"/>
    <col min="2308" max="2308" width="35.140625" style="756" customWidth="1"/>
    <col min="2309" max="2309" width="3" style="756" customWidth="1"/>
    <col min="2310" max="2310" width="15.7109375" style="756" customWidth="1"/>
    <col min="2311" max="2311" width="0" style="756" hidden="1" customWidth="1"/>
    <col min="2312" max="2312" width="15.7109375" style="756" customWidth="1"/>
    <col min="2313" max="2322" width="0" style="756" hidden="1" customWidth="1"/>
    <col min="2323" max="2324" width="15.7109375" style="756" customWidth="1"/>
    <col min="2325" max="2325" width="0" style="756" hidden="1" customWidth="1"/>
    <col min="2326" max="2326" width="15.7109375" style="756" customWidth="1"/>
    <col min="2327" max="2336" width="0" style="756" hidden="1" customWidth="1"/>
    <col min="2337" max="2337" width="15.7109375" style="756" customWidth="1"/>
    <col min="2338" max="2338" width="2" style="756" customWidth="1"/>
    <col min="2339" max="2339" width="1.7109375" style="756" customWidth="1"/>
    <col min="2340" max="2340" width="19.85546875" style="756" bestFit="1" customWidth="1"/>
    <col min="2341" max="2341" width="0" style="756" hidden="1" customWidth="1"/>
    <col min="2342" max="2342" width="12.5703125" style="756" customWidth="1"/>
    <col min="2343" max="2560" width="8.85546875" style="756"/>
    <col min="2561" max="2562" width="0.85546875" style="756" customWidth="1"/>
    <col min="2563" max="2563" width="2.7109375" style="756" customWidth="1"/>
    <col min="2564" max="2564" width="35.140625" style="756" customWidth="1"/>
    <col min="2565" max="2565" width="3" style="756" customWidth="1"/>
    <col min="2566" max="2566" width="15.7109375" style="756" customWidth="1"/>
    <col min="2567" max="2567" width="0" style="756" hidden="1" customWidth="1"/>
    <col min="2568" max="2568" width="15.7109375" style="756" customWidth="1"/>
    <col min="2569" max="2578" width="0" style="756" hidden="1" customWidth="1"/>
    <col min="2579" max="2580" width="15.7109375" style="756" customWidth="1"/>
    <col min="2581" max="2581" width="0" style="756" hidden="1" customWidth="1"/>
    <col min="2582" max="2582" width="15.7109375" style="756" customWidth="1"/>
    <col min="2583" max="2592" width="0" style="756" hidden="1" customWidth="1"/>
    <col min="2593" max="2593" width="15.7109375" style="756" customWidth="1"/>
    <col min="2594" max="2594" width="2" style="756" customWidth="1"/>
    <col min="2595" max="2595" width="1.7109375" style="756" customWidth="1"/>
    <col min="2596" max="2596" width="19.85546875" style="756" bestFit="1" customWidth="1"/>
    <col min="2597" max="2597" width="0" style="756" hidden="1" customWidth="1"/>
    <col min="2598" max="2598" width="12.5703125" style="756" customWidth="1"/>
    <col min="2599" max="2816" width="8.85546875" style="756"/>
    <col min="2817" max="2818" width="0.85546875" style="756" customWidth="1"/>
    <col min="2819" max="2819" width="2.7109375" style="756" customWidth="1"/>
    <col min="2820" max="2820" width="35.140625" style="756" customWidth="1"/>
    <col min="2821" max="2821" width="3" style="756" customWidth="1"/>
    <col min="2822" max="2822" width="15.7109375" style="756" customWidth="1"/>
    <col min="2823" max="2823" width="0" style="756" hidden="1" customWidth="1"/>
    <col min="2824" max="2824" width="15.7109375" style="756" customWidth="1"/>
    <col min="2825" max="2834" width="0" style="756" hidden="1" customWidth="1"/>
    <col min="2835" max="2836" width="15.7109375" style="756" customWidth="1"/>
    <col min="2837" max="2837" width="0" style="756" hidden="1" customWidth="1"/>
    <col min="2838" max="2838" width="15.7109375" style="756" customWidth="1"/>
    <col min="2839" max="2848" width="0" style="756" hidden="1" customWidth="1"/>
    <col min="2849" max="2849" width="15.7109375" style="756" customWidth="1"/>
    <col min="2850" max="2850" width="2" style="756" customWidth="1"/>
    <col min="2851" max="2851" width="1.7109375" style="756" customWidth="1"/>
    <col min="2852" max="2852" width="19.85546875" style="756" bestFit="1" customWidth="1"/>
    <col min="2853" max="2853" width="0" style="756" hidden="1" customWidth="1"/>
    <col min="2854" max="2854" width="12.5703125" style="756" customWidth="1"/>
    <col min="2855" max="3072" width="8.85546875" style="756"/>
    <col min="3073" max="3074" width="0.85546875" style="756" customWidth="1"/>
    <col min="3075" max="3075" width="2.7109375" style="756" customWidth="1"/>
    <col min="3076" max="3076" width="35.140625" style="756" customWidth="1"/>
    <col min="3077" max="3077" width="3" style="756" customWidth="1"/>
    <col min="3078" max="3078" width="15.7109375" style="756" customWidth="1"/>
    <col min="3079" max="3079" width="0" style="756" hidden="1" customWidth="1"/>
    <col min="3080" max="3080" width="15.7109375" style="756" customWidth="1"/>
    <col min="3081" max="3090" width="0" style="756" hidden="1" customWidth="1"/>
    <col min="3091" max="3092" width="15.7109375" style="756" customWidth="1"/>
    <col min="3093" max="3093" width="0" style="756" hidden="1" customWidth="1"/>
    <col min="3094" max="3094" width="15.7109375" style="756" customWidth="1"/>
    <col min="3095" max="3104" width="0" style="756" hidden="1" customWidth="1"/>
    <col min="3105" max="3105" width="15.7109375" style="756" customWidth="1"/>
    <col min="3106" max="3106" width="2" style="756" customWidth="1"/>
    <col min="3107" max="3107" width="1.7109375" style="756" customWidth="1"/>
    <col min="3108" max="3108" width="19.85546875" style="756" bestFit="1" customWidth="1"/>
    <col min="3109" max="3109" width="0" style="756" hidden="1" customWidth="1"/>
    <col min="3110" max="3110" width="12.5703125" style="756" customWidth="1"/>
    <col min="3111" max="3328" width="8.85546875" style="756"/>
    <col min="3329" max="3330" width="0.85546875" style="756" customWidth="1"/>
    <col min="3331" max="3331" width="2.7109375" style="756" customWidth="1"/>
    <col min="3332" max="3332" width="35.140625" style="756" customWidth="1"/>
    <col min="3333" max="3333" width="3" style="756" customWidth="1"/>
    <col min="3334" max="3334" width="15.7109375" style="756" customWidth="1"/>
    <col min="3335" max="3335" width="0" style="756" hidden="1" customWidth="1"/>
    <col min="3336" max="3336" width="15.7109375" style="756" customWidth="1"/>
    <col min="3337" max="3346" width="0" style="756" hidden="1" customWidth="1"/>
    <col min="3347" max="3348" width="15.7109375" style="756" customWidth="1"/>
    <col min="3349" max="3349" width="0" style="756" hidden="1" customWidth="1"/>
    <col min="3350" max="3350" width="15.7109375" style="756" customWidth="1"/>
    <col min="3351" max="3360" width="0" style="756" hidden="1" customWidth="1"/>
    <col min="3361" max="3361" width="15.7109375" style="756" customWidth="1"/>
    <col min="3362" max="3362" width="2" style="756" customWidth="1"/>
    <col min="3363" max="3363" width="1.7109375" style="756" customWidth="1"/>
    <col min="3364" max="3364" width="19.85546875" style="756" bestFit="1" customWidth="1"/>
    <col min="3365" max="3365" width="0" style="756" hidden="1" customWidth="1"/>
    <col min="3366" max="3366" width="12.5703125" style="756" customWidth="1"/>
    <col min="3367" max="3584" width="8.85546875" style="756"/>
    <col min="3585" max="3586" width="0.85546875" style="756" customWidth="1"/>
    <col min="3587" max="3587" width="2.7109375" style="756" customWidth="1"/>
    <col min="3588" max="3588" width="35.140625" style="756" customWidth="1"/>
    <col min="3589" max="3589" width="3" style="756" customWidth="1"/>
    <col min="3590" max="3590" width="15.7109375" style="756" customWidth="1"/>
    <col min="3591" max="3591" width="0" style="756" hidden="1" customWidth="1"/>
    <col min="3592" max="3592" width="15.7109375" style="756" customWidth="1"/>
    <col min="3593" max="3602" width="0" style="756" hidden="1" customWidth="1"/>
    <col min="3603" max="3604" width="15.7109375" style="756" customWidth="1"/>
    <col min="3605" max="3605" width="0" style="756" hidden="1" customWidth="1"/>
    <col min="3606" max="3606" width="15.7109375" style="756" customWidth="1"/>
    <col min="3607" max="3616" width="0" style="756" hidden="1" customWidth="1"/>
    <col min="3617" max="3617" width="15.7109375" style="756" customWidth="1"/>
    <col min="3618" max="3618" width="2" style="756" customWidth="1"/>
    <col min="3619" max="3619" width="1.7109375" style="756" customWidth="1"/>
    <col min="3620" max="3620" width="19.85546875" style="756" bestFit="1" customWidth="1"/>
    <col min="3621" max="3621" width="0" style="756" hidden="1" customWidth="1"/>
    <col min="3622" max="3622" width="12.5703125" style="756" customWidth="1"/>
    <col min="3623" max="3840" width="8.85546875" style="756"/>
    <col min="3841" max="3842" width="0.85546875" style="756" customWidth="1"/>
    <col min="3843" max="3843" width="2.7109375" style="756" customWidth="1"/>
    <col min="3844" max="3844" width="35.140625" style="756" customWidth="1"/>
    <col min="3845" max="3845" width="3" style="756" customWidth="1"/>
    <col min="3846" max="3846" width="15.7109375" style="756" customWidth="1"/>
    <col min="3847" max="3847" width="0" style="756" hidden="1" customWidth="1"/>
    <col min="3848" max="3848" width="15.7109375" style="756" customWidth="1"/>
    <col min="3849" max="3858" width="0" style="756" hidden="1" customWidth="1"/>
    <col min="3859" max="3860" width="15.7109375" style="756" customWidth="1"/>
    <col min="3861" max="3861" width="0" style="756" hidden="1" customWidth="1"/>
    <col min="3862" max="3862" width="15.7109375" style="756" customWidth="1"/>
    <col min="3863" max="3872" width="0" style="756" hidden="1" customWidth="1"/>
    <col min="3873" max="3873" width="15.7109375" style="756" customWidth="1"/>
    <col min="3874" max="3874" width="2" style="756" customWidth="1"/>
    <col min="3875" max="3875" width="1.7109375" style="756" customWidth="1"/>
    <col min="3876" max="3876" width="19.85546875" style="756" bestFit="1" customWidth="1"/>
    <col min="3877" max="3877" width="0" style="756" hidden="1" customWidth="1"/>
    <col min="3878" max="3878" width="12.5703125" style="756" customWidth="1"/>
    <col min="3879" max="4096" width="8.85546875" style="756"/>
    <col min="4097" max="4098" width="0.85546875" style="756" customWidth="1"/>
    <col min="4099" max="4099" width="2.7109375" style="756" customWidth="1"/>
    <col min="4100" max="4100" width="35.140625" style="756" customWidth="1"/>
    <col min="4101" max="4101" width="3" style="756" customWidth="1"/>
    <col min="4102" max="4102" width="15.7109375" style="756" customWidth="1"/>
    <col min="4103" max="4103" width="0" style="756" hidden="1" customWidth="1"/>
    <col min="4104" max="4104" width="15.7109375" style="756" customWidth="1"/>
    <col min="4105" max="4114" width="0" style="756" hidden="1" customWidth="1"/>
    <col min="4115" max="4116" width="15.7109375" style="756" customWidth="1"/>
    <col min="4117" max="4117" width="0" style="756" hidden="1" customWidth="1"/>
    <col min="4118" max="4118" width="15.7109375" style="756" customWidth="1"/>
    <col min="4119" max="4128" width="0" style="756" hidden="1" customWidth="1"/>
    <col min="4129" max="4129" width="15.7109375" style="756" customWidth="1"/>
    <col min="4130" max="4130" width="2" style="756" customWidth="1"/>
    <col min="4131" max="4131" width="1.7109375" style="756" customWidth="1"/>
    <col min="4132" max="4132" width="19.85546875" style="756" bestFit="1" customWidth="1"/>
    <col min="4133" max="4133" width="0" style="756" hidden="1" customWidth="1"/>
    <col min="4134" max="4134" width="12.5703125" style="756" customWidth="1"/>
    <col min="4135" max="4352" width="8.85546875" style="756"/>
    <col min="4353" max="4354" width="0.85546875" style="756" customWidth="1"/>
    <col min="4355" max="4355" width="2.7109375" style="756" customWidth="1"/>
    <col min="4356" max="4356" width="35.140625" style="756" customWidth="1"/>
    <col min="4357" max="4357" width="3" style="756" customWidth="1"/>
    <col min="4358" max="4358" width="15.7109375" style="756" customWidth="1"/>
    <col min="4359" max="4359" width="0" style="756" hidden="1" customWidth="1"/>
    <col min="4360" max="4360" width="15.7109375" style="756" customWidth="1"/>
    <col min="4361" max="4370" width="0" style="756" hidden="1" customWidth="1"/>
    <col min="4371" max="4372" width="15.7109375" style="756" customWidth="1"/>
    <col min="4373" max="4373" width="0" style="756" hidden="1" customWidth="1"/>
    <col min="4374" max="4374" width="15.7109375" style="756" customWidth="1"/>
    <col min="4375" max="4384" width="0" style="756" hidden="1" customWidth="1"/>
    <col min="4385" max="4385" width="15.7109375" style="756" customWidth="1"/>
    <col min="4386" max="4386" width="2" style="756" customWidth="1"/>
    <col min="4387" max="4387" width="1.7109375" style="756" customWidth="1"/>
    <col min="4388" max="4388" width="19.85546875" style="756" bestFit="1" customWidth="1"/>
    <col min="4389" max="4389" width="0" style="756" hidden="1" customWidth="1"/>
    <col min="4390" max="4390" width="12.5703125" style="756" customWidth="1"/>
    <col min="4391" max="4608" width="8.85546875" style="756"/>
    <col min="4609" max="4610" width="0.85546875" style="756" customWidth="1"/>
    <col min="4611" max="4611" width="2.7109375" style="756" customWidth="1"/>
    <col min="4612" max="4612" width="35.140625" style="756" customWidth="1"/>
    <col min="4613" max="4613" width="3" style="756" customWidth="1"/>
    <col min="4614" max="4614" width="15.7109375" style="756" customWidth="1"/>
    <col min="4615" max="4615" width="0" style="756" hidden="1" customWidth="1"/>
    <col min="4616" max="4616" width="15.7109375" style="756" customWidth="1"/>
    <col min="4617" max="4626" width="0" style="756" hidden="1" customWidth="1"/>
    <col min="4627" max="4628" width="15.7109375" style="756" customWidth="1"/>
    <col min="4629" max="4629" width="0" style="756" hidden="1" customWidth="1"/>
    <col min="4630" max="4630" width="15.7109375" style="756" customWidth="1"/>
    <col min="4631" max="4640" width="0" style="756" hidden="1" customWidth="1"/>
    <col min="4641" max="4641" width="15.7109375" style="756" customWidth="1"/>
    <col min="4642" max="4642" width="2" style="756" customWidth="1"/>
    <col min="4643" max="4643" width="1.7109375" style="756" customWidth="1"/>
    <col min="4644" max="4644" width="19.85546875" style="756" bestFit="1" customWidth="1"/>
    <col min="4645" max="4645" width="0" style="756" hidden="1" customWidth="1"/>
    <col min="4646" max="4646" width="12.5703125" style="756" customWidth="1"/>
    <col min="4647" max="4864" width="8.85546875" style="756"/>
    <col min="4865" max="4866" width="0.85546875" style="756" customWidth="1"/>
    <col min="4867" max="4867" width="2.7109375" style="756" customWidth="1"/>
    <col min="4868" max="4868" width="35.140625" style="756" customWidth="1"/>
    <col min="4869" max="4869" width="3" style="756" customWidth="1"/>
    <col min="4870" max="4870" width="15.7109375" style="756" customWidth="1"/>
    <col min="4871" max="4871" width="0" style="756" hidden="1" customWidth="1"/>
    <col min="4872" max="4872" width="15.7109375" style="756" customWidth="1"/>
    <col min="4873" max="4882" width="0" style="756" hidden="1" customWidth="1"/>
    <col min="4883" max="4884" width="15.7109375" style="756" customWidth="1"/>
    <col min="4885" max="4885" width="0" style="756" hidden="1" customWidth="1"/>
    <col min="4886" max="4886" width="15.7109375" style="756" customWidth="1"/>
    <col min="4887" max="4896" width="0" style="756" hidden="1" customWidth="1"/>
    <col min="4897" max="4897" width="15.7109375" style="756" customWidth="1"/>
    <col min="4898" max="4898" width="2" style="756" customWidth="1"/>
    <col min="4899" max="4899" width="1.7109375" style="756" customWidth="1"/>
    <col min="4900" max="4900" width="19.85546875" style="756" bestFit="1" customWidth="1"/>
    <col min="4901" max="4901" width="0" style="756" hidden="1" customWidth="1"/>
    <col min="4902" max="4902" width="12.5703125" style="756" customWidth="1"/>
    <col min="4903" max="5120" width="8.85546875" style="756"/>
    <col min="5121" max="5122" width="0.85546875" style="756" customWidth="1"/>
    <col min="5123" max="5123" width="2.7109375" style="756" customWidth="1"/>
    <col min="5124" max="5124" width="35.140625" style="756" customWidth="1"/>
    <col min="5125" max="5125" width="3" style="756" customWidth="1"/>
    <col min="5126" max="5126" width="15.7109375" style="756" customWidth="1"/>
    <col min="5127" max="5127" width="0" style="756" hidden="1" customWidth="1"/>
    <col min="5128" max="5128" width="15.7109375" style="756" customWidth="1"/>
    <col min="5129" max="5138" width="0" style="756" hidden="1" customWidth="1"/>
    <col min="5139" max="5140" width="15.7109375" style="756" customWidth="1"/>
    <col min="5141" max="5141" width="0" style="756" hidden="1" customWidth="1"/>
    <col min="5142" max="5142" width="15.7109375" style="756" customWidth="1"/>
    <col min="5143" max="5152" width="0" style="756" hidden="1" customWidth="1"/>
    <col min="5153" max="5153" width="15.7109375" style="756" customWidth="1"/>
    <col min="5154" max="5154" width="2" style="756" customWidth="1"/>
    <col min="5155" max="5155" width="1.7109375" style="756" customWidth="1"/>
    <col min="5156" max="5156" width="19.85546875" style="756" bestFit="1" customWidth="1"/>
    <col min="5157" max="5157" width="0" style="756" hidden="1" customWidth="1"/>
    <col min="5158" max="5158" width="12.5703125" style="756" customWidth="1"/>
    <col min="5159" max="5376" width="8.85546875" style="756"/>
    <col min="5377" max="5378" width="0.85546875" style="756" customWidth="1"/>
    <col min="5379" max="5379" width="2.7109375" style="756" customWidth="1"/>
    <col min="5380" max="5380" width="35.140625" style="756" customWidth="1"/>
    <col min="5381" max="5381" width="3" style="756" customWidth="1"/>
    <col min="5382" max="5382" width="15.7109375" style="756" customWidth="1"/>
    <col min="5383" max="5383" width="0" style="756" hidden="1" customWidth="1"/>
    <col min="5384" max="5384" width="15.7109375" style="756" customWidth="1"/>
    <col min="5385" max="5394" width="0" style="756" hidden="1" customWidth="1"/>
    <col min="5395" max="5396" width="15.7109375" style="756" customWidth="1"/>
    <col min="5397" max="5397" width="0" style="756" hidden="1" customWidth="1"/>
    <col min="5398" max="5398" width="15.7109375" style="756" customWidth="1"/>
    <col min="5399" max="5408" width="0" style="756" hidden="1" customWidth="1"/>
    <col min="5409" max="5409" width="15.7109375" style="756" customWidth="1"/>
    <col min="5410" max="5410" width="2" style="756" customWidth="1"/>
    <col min="5411" max="5411" width="1.7109375" style="756" customWidth="1"/>
    <col min="5412" max="5412" width="19.85546875" style="756" bestFit="1" customWidth="1"/>
    <col min="5413" max="5413" width="0" style="756" hidden="1" customWidth="1"/>
    <col min="5414" max="5414" width="12.5703125" style="756" customWidth="1"/>
    <col min="5415" max="5632" width="8.85546875" style="756"/>
    <col min="5633" max="5634" width="0.85546875" style="756" customWidth="1"/>
    <col min="5635" max="5635" width="2.7109375" style="756" customWidth="1"/>
    <col min="5636" max="5636" width="35.140625" style="756" customWidth="1"/>
    <col min="5637" max="5637" width="3" style="756" customWidth="1"/>
    <col min="5638" max="5638" width="15.7109375" style="756" customWidth="1"/>
    <col min="5639" max="5639" width="0" style="756" hidden="1" customWidth="1"/>
    <col min="5640" max="5640" width="15.7109375" style="756" customWidth="1"/>
    <col min="5641" max="5650" width="0" style="756" hidden="1" customWidth="1"/>
    <col min="5651" max="5652" width="15.7109375" style="756" customWidth="1"/>
    <col min="5653" max="5653" width="0" style="756" hidden="1" customWidth="1"/>
    <col min="5654" max="5654" width="15.7109375" style="756" customWidth="1"/>
    <col min="5655" max="5664" width="0" style="756" hidden="1" customWidth="1"/>
    <col min="5665" max="5665" width="15.7109375" style="756" customWidth="1"/>
    <col min="5666" max="5666" width="2" style="756" customWidth="1"/>
    <col min="5667" max="5667" width="1.7109375" style="756" customWidth="1"/>
    <col min="5668" max="5668" width="19.85546875" style="756" bestFit="1" customWidth="1"/>
    <col min="5669" max="5669" width="0" style="756" hidden="1" customWidth="1"/>
    <col min="5670" max="5670" width="12.5703125" style="756" customWidth="1"/>
    <col min="5671" max="5888" width="8.85546875" style="756"/>
    <col min="5889" max="5890" width="0.85546875" style="756" customWidth="1"/>
    <col min="5891" max="5891" width="2.7109375" style="756" customWidth="1"/>
    <col min="5892" max="5892" width="35.140625" style="756" customWidth="1"/>
    <col min="5893" max="5893" width="3" style="756" customWidth="1"/>
    <col min="5894" max="5894" width="15.7109375" style="756" customWidth="1"/>
    <col min="5895" max="5895" width="0" style="756" hidden="1" customWidth="1"/>
    <col min="5896" max="5896" width="15.7109375" style="756" customWidth="1"/>
    <col min="5897" max="5906" width="0" style="756" hidden="1" customWidth="1"/>
    <col min="5907" max="5908" width="15.7109375" style="756" customWidth="1"/>
    <col min="5909" max="5909" width="0" style="756" hidden="1" customWidth="1"/>
    <col min="5910" max="5910" width="15.7109375" style="756" customWidth="1"/>
    <col min="5911" max="5920" width="0" style="756" hidden="1" customWidth="1"/>
    <col min="5921" max="5921" width="15.7109375" style="756" customWidth="1"/>
    <col min="5922" max="5922" width="2" style="756" customWidth="1"/>
    <col min="5923" max="5923" width="1.7109375" style="756" customWidth="1"/>
    <col min="5924" max="5924" width="19.85546875" style="756" bestFit="1" customWidth="1"/>
    <col min="5925" max="5925" width="0" style="756" hidden="1" customWidth="1"/>
    <col min="5926" max="5926" width="12.5703125" style="756" customWidth="1"/>
    <col min="5927" max="6144" width="8.85546875" style="756"/>
    <col min="6145" max="6146" width="0.85546875" style="756" customWidth="1"/>
    <col min="6147" max="6147" width="2.7109375" style="756" customWidth="1"/>
    <col min="6148" max="6148" width="35.140625" style="756" customWidth="1"/>
    <col min="6149" max="6149" width="3" style="756" customWidth="1"/>
    <col min="6150" max="6150" width="15.7109375" style="756" customWidth="1"/>
    <col min="6151" max="6151" width="0" style="756" hidden="1" customWidth="1"/>
    <col min="6152" max="6152" width="15.7109375" style="756" customWidth="1"/>
    <col min="6153" max="6162" width="0" style="756" hidden="1" customWidth="1"/>
    <col min="6163" max="6164" width="15.7109375" style="756" customWidth="1"/>
    <col min="6165" max="6165" width="0" style="756" hidden="1" customWidth="1"/>
    <col min="6166" max="6166" width="15.7109375" style="756" customWidth="1"/>
    <col min="6167" max="6176" width="0" style="756" hidden="1" customWidth="1"/>
    <col min="6177" max="6177" width="15.7109375" style="756" customWidth="1"/>
    <col min="6178" max="6178" width="2" style="756" customWidth="1"/>
    <col min="6179" max="6179" width="1.7109375" style="756" customWidth="1"/>
    <col min="6180" max="6180" width="19.85546875" style="756" bestFit="1" customWidth="1"/>
    <col min="6181" max="6181" width="0" style="756" hidden="1" customWidth="1"/>
    <col min="6182" max="6182" width="12.5703125" style="756" customWidth="1"/>
    <col min="6183" max="6400" width="8.85546875" style="756"/>
    <col min="6401" max="6402" width="0.85546875" style="756" customWidth="1"/>
    <col min="6403" max="6403" width="2.7109375" style="756" customWidth="1"/>
    <col min="6404" max="6404" width="35.140625" style="756" customWidth="1"/>
    <col min="6405" max="6405" width="3" style="756" customWidth="1"/>
    <col min="6406" max="6406" width="15.7109375" style="756" customWidth="1"/>
    <col min="6407" max="6407" width="0" style="756" hidden="1" customWidth="1"/>
    <col min="6408" max="6408" width="15.7109375" style="756" customWidth="1"/>
    <col min="6409" max="6418" width="0" style="756" hidden="1" customWidth="1"/>
    <col min="6419" max="6420" width="15.7109375" style="756" customWidth="1"/>
    <col min="6421" max="6421" width="0" style="756" hidden="1" customWidth="1"/>
    <col min="6422" max="6422" width="15.7109375" style="756" customWidth="1"/>
    <col min="6423" max="6432" width="0" style="756" hidden="1" customWidth="1"/>
    <col min="6433" max="6433" width="15.7109375" style="756" customWidth="1"/>
    <col min="6434" max="6434" width="2" style="756" customWidth="1"/>
    <col min="6435" max="6435" width="1.7109375" style="756" customWidth="1"/>
    <col min="6436" max="6436" width="19.85546875" style="756" bestFit="1" customWidth="1"/>
    <col min="6437" max="6437" width="0" style="756" hidden="1" customWidth="1"/>
    <col min="6438" max="6438" width="12.5703125" style="756" customWidth="1"/>
    <col min="6439" max="6656" width="8.85546875" style="756"/>
    <col min="6657" max="6658" width="0.85546875" style="756" customWidth="1"/>
    <col min="6659" max="6659" width="2.7109375" style="756" customWidth="1"/>
    <col min="6660" max="6660" width="35.140625" style="756" customWidth="1"/>
    <col min="6661" max="6661" width="3" style="756" customWidth="1"/>
    <col min="6662" max="6662" width="15.7109375" style="756" customWidth="1"/>
    <col min="6663" max="6663" width="0" style="756" hidden="1" customWidth="1"/>
    <col min="6664" max="6664" width="15.7109375" style="756" customWidth="1"/>
    <col min="6665" max="6674" width="0" style="756" hidden="1" customWidth="1"/>
    <col min="6675" max="6676" width="15.7109375" style="756" customWidth="1"/>
    <col min="6677" max="6677" width="0" style="756" hidden="1" customWidth="1"/>
    <col min="6678" max="6678" width="15.7109375" style="756" customWidth="1"/>
    <col min="6679" max="6688" width="0" style="756" hidden="1" customWidth="1"/>
    <col min="6689" max="6689" width="15.7109375" style="756" customWidth="1"/>
    <col min="6690" max="6690" width="2" style="756" customWidth="1"/>
    <col min="6691" max="6691" width="1.7109375" style="756" customWidth="1"/>
    <col min="6692" max="6692" width="19.85546875" style="756" bestFit="1" customWidth="1"/>
    <col min="6693" max="6693" width="0" style="756" hidden="1" customWidth="1"/>
    <col min="6694" max="6694" width="12.5703125" style="756" customWidth="1"/>
    <col min="6695" max="6912" width="8.85546875" style="756"/>
    <col min="6913" max="6914" width="0.85546875" style="756" customWidth="1"/>
    <col min="6915" max="6915" width="2.7109375" style="756" customWidth="1"/>
    <col min="6916" max="6916" width="35.140625" style="756" customWidth="1"/>
    <col min="6917" max="6917" width="3" style="756" customWidth="1"/>
    <col min="6918" max="6918" width="15.7109375" style="756" customWidth="1"/>
    <col min="6919" max="6919" width="0" style="756" hidden="1" customWidth="1"/>
    <col min="6920" max="6920" width="15.7109375" style="756" customWidth="1"/>
    <col min="6921" max="6930" width="0" style="756" hidden="1" customWidth="1"/>
    <col min="6931" max="6932" width="15.7109375" style="756" customWidth="1"/>
    <col min="6933" max="6933" width="0" style="756" hidden="1" customWidth="1"/>
    <col min="6934" max="6934" width="15.7109375" style="756" customWidth="1"/>
    <col min="6935" max="6944" width="0" style="756" hidden="1" customWidth="1"/>
    <col min="6945" max="6945" width="15.7109375" style="756" customWidth="1"/>
    <col min="6946" max="6946" width="2" style="756" customWidth="1"/>
    <col min="6947" max="6947" width="1.7109375" style="756" customWidth="1"/>
    <col min="6948" max="6948" width="19.85546875" style="756" bestFit="1" customWidth="1"/>
    <col min="6949" max="6949" width="0" style="756" hidden="1" customWidth="1"/>
    <col min="6950" max="6950" width="12.5703125" style="756" customWidth="1"/>
    <col min="6951" max="7168" width="8.85546875" style="756"/>
    <col min="7169" max="7170" width="0.85546875" style="756" customWidth="1"/>
    <col min="7171" max="7171" width="2.7109375" style="756" customWidth="1"/>
    <col min="7172" max="7172" width="35.140625" style="756" customWidth="1"/>
    <col min="7173" max="7173" width="3" style="756" customWidth="1"/>
    <col min="7174" max="7174" width="15.7109375" style="756" customWidth="1"/>
    <col min="7175" max="7175" width="0" style="756" hidden="1" customWidth="1"/>
    <col min="7176" max="7176" width="15.7109375" style="756" customWidth="1"/>
    <col min="7177" max="7186" width="0" style="756" hidden="1" customWidth="1"/>
    <col min="7187" max="7188" width="15.7109375" style="756" customWidth="1"/>
    <col min="7189" max="7189" width="0" style="756" hidden="1" customWidth="1"/>
    <col min="7190" max="7190" width="15.7109375" style="756" customWidth="1"/>
    <col min="7191" max="7200" width="0" style="756" hidden="1" customWidth="1"/>
    <col min="7201" max="7201" width="15.7109375" style="756" customWidth="1"/>
    <col min="7202" max="7202" width="2" style="756" customWidth="1"/>
    <col min="7203" max="7203" width="1.7109375" style="756" customWidth="1"/>
    <col min="7204" max="7204" width="19.85546875" style="756" bestFit="1" customWidth="1"/>
    <col min="7205" max="7205" width="0" style="756" hidden="1" customWidth="1"/>
    <col min="7206" max="7206" width="12.5703125" style="756" customWidth="1"/>
    <col min="7207" max="7424" width="8.85546875" style="756"/>
    <col min="7425" max="7426" width="0.85546875" style="756" customWidth="1"/>
    <col min="7427" max="7427" width="2.7109375" style="756" customWidth="1"/>
    <col min="7428" max="7428" width="35.140625" style="756" customWidth="1"/>
    <col min="7429" max="7429" width="3" style="756" customWidth="1"/>
    <col min="7430" max="7430" width="15.7109375" style="756" customWidth="1"/>
    <col min="7431" max="7431" width="0" style="756" hidden="1" customWidth="1"/>
    <col min="7432" max="7432" width="15.7109375" style="756" customWidth="1"/>
    <col min="7433" max="7442" width="0" style="756" hidden="1" customWidth="1"/>
    <col min="7443" max="7444" width="15.7109375" style="756" customWidth="1"/>
    <col min="7445" max="7445" width="0" style="756" hidden="1" customWidth="1"/>
    <col min="7446" max="7446" width="15.7109375" style="756" customWidth="1"/>
    <col min="7447" max="7456" width="0" style="756" hidden="1" customWidth="1"/>
    <col min="7457" max="7457" width="15.7109375" style="756" customWidth="1"/>
    <col min="7458" max="7458" width="2" style="756" customWidth="1"/>
    <col min="7459" max="7459" width="1.7109375" style="756" customWidth="1"/>
    <col min="7460" max="7460" width="19.85546875" style="756" bestFit="1" customWidth="1"/>
    <col min="7461" max="7461" width="0" style="756" hidden="1" customWidth="1"/>
    <col min="7462" max="7462" width="12.5703125" style="756" customWidth="1"/>
    <col min="7463" max="7680" width="8.85546875" style="756"/>
    <col min="7681" max="7682" width="0.85546875" style="756" customWidth="1"/>
    <col min="7683" max="7683" width="2.7109375" style="756" customWidth="1"/>
    <col min="7684" max="7684" width="35.140625" style="756" customWidth="1"/>
    <col min="7685" max="7685" width="3" style="756" customWidth="1"/>
    <col min="7686" max="7686" width="15.7109375" style="756" customWidth="1"/>
    <col min="7687" max="7687" width="0" style="756" hidden="1" customWidth="1"/>
    <col min="7688" max="7688" width="15.7109375" style="756" customWidth="1"/>
    <col min="7689" max="7698" width="0" style="756" hidden="1" customWidth="1"/>
    <col min="7699" max="7700" width="15.7109375" style="756" customWidth="1"/>
    <col min="7701" max="7701" width="0" style="756" hidden="1" customWidth="1"/>
    <col min="7702" max="7702" width="15.7109375" style="756" customWidth="1"/>
    <col min="7703" max="7712" width="0" style="756" hidden="1" customWidth="1"/>
    <col min="7713" max="7713" width="15.7109375" style="756" customWidth="1"/>
    <col min="7714" max="7714" width="2" style="756" customWidth="1"/>
    <col min="7715" max="7715" width="1.7109375" style="756" customWidth="1"/>
    <col min="7716" max="7716" width="19.85546875" style="756" bestFit="1" customWidth="1"/>
    <col min="7717" max="7717" width="0" style="756" hidden="1" customWidth="1"/>
    <col min="7718" max="7718" width="12.5703125" style="756" customWidth="1"/>
    <col min="7719" max="7936" width="8.85546875" style="756"/>
    <col min="7937" max="7938" width="0.85546875" style="756" customWidth="1"/>
    <col min="7939" max="7939" width="2.7109375" style="756" customWidth="1"/>
    <col min="7940" max="7940" width="35.140625" style="756" customWidth="1"/>
    <col min="7941" max="7941" width="3" style="756" customWidth="1"/>
    <col min="7942" max="7942" width="15.7109375" style="756" customWidth="1"/>
    <col min="7943" max="7943" width="0" style="756" hidden="1" customWidth="1"/>
    <col min="7944" max="7944" width="15.7109375" style="756" customWidth="1"/>
    <col min="7945" max="7954" width="0" style="756" hidden="1" customWidth="1"/>
    <col min="7955" max="7956" width="15.7109375" style="756" customWidth="1"/>
    <col min="7957" max="7957" width="0" style="756" hidden="1" customWidth="1"/>
    <col min="7958" max="7958" width="15.7109375" style="756" customWidth="1"/>
    <col min="7959" max="7968" width="0" style="756" hidden="1" customWidth="1"/>
    <col min="7969" max="7969" width="15.7109375" style="756" customWidth="1"/>
    <col min="7970" max="7970" width="2" style="756" customWidth="1"/>
    <col min="7971" max="7971" width="1.7109375" style="756" customWidth="1"/>
    <col min="7972" max="7972" width="19.85546875" style="756" bestFit="1" customWidth="1"/>
    <col min="7973" max="7973" width="0" style="756" hidden="1" customWidth="1"/>
    <col min="7974" max="7974" width="12.5703125" style="756" customWidth="1"/>
    <col min="7975" max="8192" width="8.85546875" style="756"/>
    <col min="8193" max="8194" width="0.85546875" style="756" customWidth="1"/>
    <col min="8195" max="8195" width="2.7109375" style="756" customWidth="1"/>
    <col min="8196" max="8196" width="35.140625" style="756" customWidth="1"/>
    <col min="8197" max="8197" width="3" style="756" customWidth="1"/>
    <col min="8198" max="8198" width="15.7109375" style="756" customWidth="1"/>
    <col min="8199" max="8199" width="0" style="756" hidden="1" customWidth="1"/>
    <col min="8200" max="8200" width="15.7109375" style="756" customWidth="1"/>
    <col min="8201" max="8210" width="0" style="756" hidden="1" customWidth="1"/>
    <col min="8211" max="8212" width="15.7109375" style="756" customWidth="1"/>
    <col min="8213" max="8213" width="0" style="756" hidden="1" customWidth="1"/>
    <col min="8214" max="8214" width="15.7109375" style="756" customWidth="1"/>
    <col min="8215" max="8224" width="0" style="756" hidden="1" customWidth="1"/>
    <col min="8225" max="8225" width="15.7109375" style="756" customWidth="1"/>
    <col min="8226" max="8226" width="2" style="756" customWidth="1"/>
    <col min="8227" max="8227" width="1.7109375" style="756" customWidth="1"/>
    <col min="8228" max="8228" width="19.85546875" style="756" bestFit="1" customWidth="1"/>
    <col min="8229" max="8229" width="0" style="756" hidden="1" customWidth="1"/>
    <col min="8230" max="8230" width="12.5703125" style="756" customWidth="1"/>
    <col min="8231" max="8448" width="8.85546875" style="756"/>
    <col min="8449" max="8450" width="0.85546875" style="756" customWidth="1"/>
    <col min="8451" max="8451" width="2.7109375" style="756" customWidth="1"/>
    <col min="8452" max="8452" width="35.140625" style="756" customWidth="1"/>
    <col min="8453" max="8453" width="3" style="756" customWidth="1"/>
    <col min="8454" max="8454" width="15.7109375" style="756" customWidth="1"/>
    <col min="8455" max="8455" width="0" style="756" hidden="1" customWidth="1"/>
    <col min="8456" max="8456" width="15.7109375" style="756" customWidth="1"/>
    <col min="8457" max="8466" width="0" style="756" hidden="1" customWidth="1"/>
    <col min="8467" max="8468" width="15.7109375" style="756" customWidth="1"/>
    <col min="8469" max="8469" width="0" style="756" hidden="1" customWidth="1"/>
    <col min="8470" max="8470" width="15.7109375" style="756" customWidth="1"/>
    <col min="8471" max="8480" width="0" style="756" hidden="1" customWidth="1"/>
    <col min="8481" max="8481" width="15.7109375" style="756" customWidth="1"/>
    <col min="8482" max="8482" width="2" style="756" customWidth="1"/>
    <col min="8483" max="8483" width="1.7109375" style="756" customWidth="1"/>
    <col min="8484" max="8484" width="19.85546875" style="756" bestFit="1" customWidth="1"/>
    <col min="8485" max="8485" width="0" style="756" hidden="1" customWidth="1"/>
    <col min="8486" max="8486" width="12.5703125" style="756" customWidth="1"/>
    <col min="8487" max="8704" width="8.85546875" style="756"/>
    <col min="8705" max="8706" width="0.85546875" style="756" customWidth="1"/>
    <col min="8707" max="8707" width="2.7109375" style="756" customWidth="1"/>
    <col min="8708" max="8708" width="35.140625" style="756" customWidth="1"/>
    <col min="8709" max="8709" width="3" style="756" customWidth="1"/>
    <col min="8710" max="8710" width="15.7109375" style="756" customWidth="1"/>
    <col min="8711" max="8711" width="0" style="756" hidden="1" customWidth="1"/>
    <col min="8712" max="8712" width="15.7109375" style="756" customWidth="1"/>
    <col min="8713" max="8722" width="0" style="756" hidden="1" customWidth="1"/>
    <col min="8723" max="8724" width="15.7109375" style="756" customWidth="1"/>
    <col min="8725" max="8725" width="0" style="756" hidden="1" customWidth="1"/>
    <col min="8726" max="8726" width="15.7109375" style="756" customWidth="1"/>
    <col min="8727" max="8736" width="0" style="756" hidden="1" customWidth="1"/>
    <col min="8737" max="8737" width="15.7109375" style="756" customWidth="1"/>
    <col min="8738" max="8738" width="2" style="756" customWidth="1"/>
    <col min="8739" max="8739" width="1.7109375" style="756" customWidth="1"/>
    <col min="8740" max="8740" width="19.85546875" style="756" bestFit="1" customWidth="1"/>
    <col min="8741" max="8741" width="0" style="756" hidden="1" customWidth="1"/>
    <col min="8742" max="8742" width="12.5703125" style="756" customWidth="1"/>
    <col min="8743" max="8960" width="8.85546875" style="756"/>
    <col min="8961" max="8962" width="0.85546875" style="756" customWidth="1"/>
    <col min="8963" max="8963" width="2.7109375" style="756" customWidth="1"/>
    <col min="8964" max="8964" width="35.140625" style="756" customWidth="1"/>
    <col min="8965" max="8965" width="3" style="756" customWidth="1"/>
    <col min="8966" max="8966" width="15.7109375" style="756" customWidth="1"/>
    <col min="8967" max="8967" width="0" style="756" hidden="1" customWidth="1"/>
    <col min="8968" max="8968" width="15.7109375" style="756" customWidth="1"/>
    <col min="8969" max="8978" width="0" style="756" hidden="1" customWidth="1"/>
    <col min="8979" max="8980" width="15.7109375" style="756" customWidth="1"/>
    <col min="8981" max="8981" width="0" style="756" hidden="1" customWidth="1"/>
    <col min="8982" max="8982" width="15.7109375" style="756" customWidth="1"/>
    <col min="8983" max="8992" width="0" style="756" hidden="1" customWidth="1"/>
    <col min="8993" max="8993" width="15.7109375" style="756" customWidth="1"/>
    <col min="8994" max="8994" width="2" style="756" customWidth="1"/>
    <col min="8995" max="8995" width="1.7109375" style="756" customWidth="1"/>
    <col min="8996" max="8996" width="19.85546875" style="756" bestFit="1" customWidth="1"/>
    <col min="8997" max="8997" width="0" style="756" hidden="1" customWidth="1"/>
    <col min="8998" max="8998" width="12.5703125" style="756" customWidth="1"/>
    <col min="8999" max="9216" width="8.85546875" style="756"/>
    <col min="9217" max="9218" width="0.85546875" style="756" customWidth="1"/>
    <col min="9219" max="9219" width="2.7109375" style="756" customWidth="1"/>
    <col min="9220" max="9220" width="35.140625" style="756" customWidth="1"/>
    <col min="9221" max="9221" width="3" style="756" customWidth="1"/>
    <col min="9222" max="9222" width="15.7109375" style="756" customWidth="1"/>
    <col min="9223" max="9223" width="0" style="756" hidden="1" customWidth="1"/>
    <col min="9224" max="9224" width="15.7109375" style="756" customWidth="1"/>
    <col min="9225" max="9234" width="0" style="756" hidden="1" customWidth="1"/>
    <col min="9235" max="9236" width="15.7109375" style="756" customWidth="1"/>
    <col min="9237" max="9237" width="0" style="756" hidden="1" customWidth="1"/>
    <col min="9238" max="9238" width="15.7109375" style="756" customWidth="1"/>
    <col min="9239" max="9248" width="0" style="756" hidden="1" customWidth="1"/>
    <col min="9249" max="9249" width="15.7109375" style="756" customWidth="1"/>
    <col min="9250" max="9250" width="2" style="756" customWidth="1"/>
    <col min="9251" max="9251" width="1.7109375" style="756" customWidth="1"/>
    <col min="9252" max="9252" width="19.85546875" style="756" bestFit="1" customWidth="1"/>
    <col min="9253" max="9253" width="0" style="756" hidden="1" customWidth="1"/>
    <col min="9254" max="9254" width="12.5703125" style="756" customWidth="1"/>
    <col min="9255" max="9472" width="8.85546875" style="756"/>
    <col min="9473" max="9474" width="0.85546875" style="756" customWidth="1"/>
    <col min="9475" max="9475" width="2.7109375" style="756" customWidth="1"/>
    <col min="9476" max="9476" width="35.140625" style="756" customWidth="1"/>
    <col min="9477" max="9477" width="3" style="756" customWidth="1"/>
    <col min="9478" max="9478" width="15.7109375" style="756" customWidth="1"/>
    <col min="9479" max="9479" width="0" style="756" hidden="1" customWidth="1"/>
    <col min="9480" max="9480" width="15.7109375" style="756" customWidth="1"/>
    <col min="9481" max="9490" width="0" style="756" hidden="1" customWidth="1"/>
    <col min="9491" max="9492" width="15.7109375" style="756" customWidth="1"/>
    <col min="9493" max="9493" width="0" style="756" hidden="1" customWidth="1"/>
    <col min="9494" max="9494" width="15.7109375" style="756" customWidth="1"/>
    <col min="9495" max="9504" width="0" style="756" hidden="1" customWidth="1"/>
    <col min="9505" max="9505" width="15.7109375" style="756" customWidth="1"/>
    <col min="9506" max="9506" width="2" style="756" customWidth="1"/>
    <col min="9507" max="9507" width="1.7109375" style="756" customWidth="1"/>
    <col min="9508" max="9508" width="19.85546875" style="756" bestFit="1" customWidth="1"/>
    <col min="9509" max="9509" width="0" style="756" hidden="1" customWidth="1"/>
    <col min="9510" max="9510" width="12.5703125" style="756" customWidth="1"/>
    <col min="9511" max="9728" width="8.85546875" style="756"/>
    <col min="9729" max="9730" width="0.85546875" style="756" customWidth="1"/>
    <col min="9731" max="9731" width="2.7109375" style="756" customWidth="1"/>
    <col min="9732" max="9732" width="35.140625" style="756" customWidth="1"/>
    <col min="9733" max="9733" width="3" style="756" customWidth="1"/>
    <col min="9734" max="9734" width="15.7109375" style="756" customWidth="1"/>
    <col min="9735" max="9735" width="0" style="756" hidden="1" customWidth="1"/>
    <col min="9736" max="9736" width="15.7109375" style="756" customWidth="1"/>
    <col min="9737" max="9746" width="0" style="756" hidden="1" customWidth="1"/>
    <col min="9747" max="9748" width="15.7109375" style="756" customWidth="1"/>
    <col min="9749" max="9749" width="0" style="756" hidden="1" customWidth="1"/>
    <col min="9750" max="9750" width="15.7109375" style="756" customWidth="1"/>
    <col min="9751" max="9760" width="0" style="756" hidden="1" customWidth="1"/>
    <col min="9761" max="9761" width="15.7109375" style="756" customWidth="1"/>
    <col min="9762" max="9762" width="2" style="756" customWidth="1"/>
    <col min="9763" max="9763" width="1.7109375" style="756" customWidth="1"/>
    <col min="9764" max="9764" width="19.85546875" style="756" bestFit="1" customWidth="1"/>
    <col min="9765" max="9765" width="0" style="756" hidden="1" customWidth="1"/>
    <col min="9766" max="9766" width="12.5703125" style="756" customWidth="1"/>
    <col min="9767" max="9984" width="8.85546875" style="756"/>
    <col min="9985" max="9986" width="0.85546875" style="756" customWidth="1"/>
    <col min="9987" max="9987" width="2.7109375" style="756" customWidth="1"/>
    <col min="9988" max="9988" width="35.140625" style="756" customWidth="1"/>
    <col min="9989" max="9989" width="3" style="756" customWidth="1"/>
    <col min="9990" max="9990" width="15.7109375" style="756" customWidth="1"/>
    <col min="9991" max="9991" width="0" style="756" hidden="1" customWidth="1"/>
    <col min="9992" max="9992" width="15.7109375" style="756" customWidth="1"/>
    <col min="9993" max="10002" width="0" style="756" hidden="1" customWidth="1"/>
    <col min="10003" max="10004" width="15.7109375" style="756" customWidth="1"/>
    <col min="10005" max="10005" width="0" style="756" hidden="1" customWidth="1"/>
    <col min="10006" max="10006" width="15.7109375" style="756" customWidth="1"/>
    <col min="10007" max="10016" width="0" style="756" hidden="1" customWidth="1"/>
    <col min="10017" max="10017" width="15.7109375" style="756" customWidth="1"/>
    <col min="10018" max="10018" width="2" style="756" customWidth="1"/>
    <col min="10019" max="10019" width="1.7109375" style="756" customWidth="1"/>
    <col min="10020" max="10020" width="19.85546875" style="756" bestFit="1" customWidth="1"/>
    <col min="10021" max="10021" width="0" style="756" hidden="1" customWidth="1"/>
    <col min="10022" max="10022" width="12.5703125" style="756" customWidth="1"/>
    <col min="10023" max="10240" width="8.85546875" style="756"/>
    <col min="10241" max="10242" width="0.85546875" style="756" customWidth="1"/>
    <col min="10243" max="10243" width="2.7109375" style="756" customWidth="1"/>
    <col min="10244" max="10244" width="35.140625" style="756" customWidth="1"/>
    <col min="10245" max="10245" width="3" style="756" customWidth="1"/>
    <col min="10246" max="10246" width="15.7109375" style="756" customWidth="1"/>
    <col min="10247" max="10247" width="0" style="756" hidden="1" customWidth="1"/>
    <col min="10248" max="10248" width="15.7109375" style="756" customWidth="1"/>
    <col min="10249" max="10258" width="0" style="756" hidden="1" customWidth="1"/>
    <col min="10259" max="10260" width="15.7109375" style="756" customWidth="1"/>
    <col min="10261" max="10261" width="0" style="756" hidden="1" customWidth="1"/>
    <col min="10262" max="10262" width="15.7109375" style="756" customWidth="1"/>
    <col min="10263" max="10272" width="0" style="756" hidden="1" customWidth="1"/>
    <col min="10273" max="10273" width="15.7109375" style="756" customWidth="1"/>
    <col min="10274" max="10274" width="2" style="756" customWidth="1"/>
    <col min="10275" max="10275" width="1.7109375" style="756" customWidth="1"/>
    <col min="10276" max="10276" width="19.85546875" style="756" bestFit="1" customWidth="1"/>
    <col min="10277" max="10277" width="0" style="756" hidden="1" customWidth="1"/>
    <col min="10278" max="10278" width="12.5703125" style="756" customWidth="1"/>
    <col min="10279" max="10496" width="8.85546875" style="756"/>
    <col min="10497" max="10498" width="0.85546875" style="756" customWidth="1"/>
    <col min="10499" max="10499" width="2.7109375" style="756" customWidth="1"/>
    <col min="10500" max="10500" width="35.140625" style="756" customWidth="1"/>
    <col min="10501" max="10501" width="3" style="756" customWidth="1"/>
    <col min="10502" max="10502" width="15.7109375" style="756" customWidth="1"/>
    <col min="10503" max="10503" width="0" style="756" hidden="1" customWidth="1"/>
    <col min="10504" max="10504" width="15.7109375" style="756" customWidth="1"/>
    <col min="10505" max="10514" width="0" style="756" hidden="1" customWidth="1"/>
    <col min="10515" max="10516" width="15.7109375" style="756" customWidth="1"/>
    <col min="10517" max="10517" width="0" style="756" hidden="1" customWidth="1"/>
    <col min="10518" max="10518" width="15.7109375" style="756" customWidth="1"/>
    <col min="10519" max="10528" width="0" style="756" hidden="1" customWidth="1"/>
    <col min="10529" max="10529" width="15.7109375" style="756" customWidth="1"/>
    <col min="10530" max="10530" width="2" style="756" customWidth="1"/>
    <col min="10531" max="10531" width="1.7109375" style="756" customWidth="1"/>
    <col min="10532" max="10532" width="19.85546875" style="756" bestFit="1" customWidth="1"/>
    <col min="10533" max="10533" width="0" style="756" hidden="1" customWidth="1"/>
    <col min="10534" max="10534" width="12.5703125" style="756" customWidth="1"/>
    <col min="10535" max="10752" width="8.85546875" style="756"/>
    <col min="10753" max="10754" width="0.85546875" style="756" customWidth="1"/>
    <col min="10755" max="10755" width="2.7109375" style="756" customWidth="1"/>
    <col min="10756" max="10756" width="35.140625" style="756" customWidth="1"/>
    <col min="10757" max="10757" width="3" style="756" customWidth="1"/>
    <col min="10758" max="10758" width="15.7109375" style="756" customWidth="1"/>
    <col min="10759" max="10759" width="0" style="756" hidden="1" customWidth="1"/>
    <col min="10760" max="10760" width="15.7109375" style="756" customWidth="1"/>
    <col min="10761" max="10770" width="0" style="756" hidden="1" customWidth="1"/>
    <col min="10771" max="10772" width="15.7109375" style="756" customWidth="1"/>
    <col min="10773" max="10773" width="0" style="756" hidden="1" customWidth="1"/>
    <col min="10774" max="10774" width="15.7109375" style="756" customWidth="1"/>
    <col min="10775" max="10784" width="0" style="756" hidden="1" customWidth="1"/>
    <col min="10785" max="10785" width="15.7109375" style="756" customWidth="1"/>
    <col min="10786" max="10786" width="2" style="756" customWidth="1"/>
    <col min="10787" max="10787" width="1.7109375" style="756" customWidth="1"/>
    <col min="10788" max="10788" width="19.85546875" style="756" bestFit="1" customWidth="1"/>
    <col min="10789" max="10789" width="0" style="756" hidden="1" customWidth="1"/>
    <col min="10790" max="10790" width="12.5703125" style="756" customWidth="1"/>
    <col min="10791" max="11008" width="8.85546875" style="756"/>
    <col min="11009" max="11010" width="0.85546875" style="756" customWidth="1"/>
    <col min="11011" max="11011" width="2.7109375" style="756" customWidth="1"/>
    <col min="11012" max="11012" width="35.140625" style="756" customWidth="1"/>
    <col min="11013" max="11013" width="3" style="756" customWidth="1"/>
    <col min="11014" max="11014" width="15.7109375" style="756" customWidth="1"/>
    <col min="11015" max="11015" width="0" style="756" hidden="1" customWidth="1"/>
    <col min="11016" max="11016" width="15.7109375" style="756" customWidth="1"/>
    <col min="11017" max="11026" width="0" style="756" hidden="1" customWidth="1"/>
    <col min="11027" max="11028" width="15.7109375" style="756" customWidth="1"/>
    <col min="11029" max="11029" width="0" style="756" hidden="1" customWidth="1"/>
    <col min="11030" max="11030" width="15.7109375" style="756" customWidth="1"/>
    <col min="11031" max="11040" width="0" style="756" hidden="1" customWidth="1"/>
    <col min="11041" max="11041" width="15.7109375" style="756" customWidth="1"/>
    <col min="11042" max="11042" width="2" style="756" customWidth="1"/>
    <col min="11043" max="11043" width="1.7109375" style="756" customWidth="1"/>
    <col min="11044" max="11044" width="19.85546875" style="756" bestFit="1" customWidth="1"/>
    <col min="11045" max="11045" width="0" style="756" hidden="1" customWidth="1"/>
    <col min="11046" max="11046" width="12.5703125" style="756" customWidth="1"/>
    <col min="11047" max="11264" width="8.85546875" style="756"/>
    <col min="11265" max="11266" width="0.85546875" style="756" customWidth="1"/>
    <col min="11267" max="11267" width="2.7109375" style="756" customWidth="1"/>
    <col min="11268" max="11268" width="35.140625" style="756" customWidth="1"/>
    <col min="11269" max="11269" width="3" style="756" customWidth="1"/>
    <col min="11270" max="11270" width="15.7109375" style="756" customWidth="1"/>
    <col min="11271" max="11271" width="0" style="756" hidden="1" customWidth="1"/>
    <col min="11272" max="11272" width="15.7109375" style="756" customWidth="1"/>
    <col min="11273" max="11282" width="0" style="756" hidden="1" customWidth="1"/>
    <col min="11283" max="11284" width="15.7109375" style="756" customWidth="1"/>
    <col min="11285" max="11285" width="0" style="756" hidden="1" customWidth="1"/>
    <col min="11286" max="11286" width="15.7109375" style="756" customWidth="1"/>
    <col min="11287" max="11296" width="0" style="756" hidden="1" customWidth="1"/>
    <col min="11297" max="11297" width="15.7109375" style="756" customWidth="1"/>
    <col min="11298" max="11298" width="2" style="756" customWidth="1"/>
    <col min="11299" max="11299" width="1.7109375" style="756" customWidth="1"/>
    <col min="11300" max="11300" width="19.85546875" style="756" bestFit="1" customWidth="1"/>
    <col min="11301" max="11301" width="0" style="756" hidden="1" customWidth="1"/>
    <col min="11302" max="11302" width="12.5703125" style="756" customWidth="1"/>
    <col min="11303" max="11520" width="8.85546875" style="756"/>
    <col min="11521" max="11522" width="0.85546875" style="756" customWidth="1"/>
    <col min="11523" max="11523" width="2.7109375" style="756" customWidth="1"/>
    <col min="11524" max="11524" width="35.140625" style="756" customWidth="1"/>
    <col min="11525" max="11525" width="3" style="756" customWidth="1"/>
    <col min="11526" max="11526" width="15.7109375" style="756" customWidth="1"/>
    <col min="11527" max="11527" width="0" style="756" hidden="1" customWidth="1"/>
    <col min="11528" max="11528" width="15.7109375" style="756" customWidth="1"/>
    <col min="11529" max="11538" width="0" style="756" hidden="1" customWidth="1"/>
    <col min="11539" max="11540" width="15.7109375" style="756" customWidth="1"/>
    <col min="11541" max="11541" width="0" style="756" hidden="1" customWidth="1"/>
    <col min="11542" max="11542" width="15.7109375" style="756" customWidth="1"/>
    <col min="11543" max="11552" width="0" style="756" hidden="1" customWidth="1"/>
    <col min="11553" max="11553" width="15.7109375" style="756" customWidth="1"/>
    <col min="11554" max="11554" width="2" style="756" customWidth="1"/>
    <col min="11555" max="11555" width="1.7109375" style="756" customWidth="1"/>
    <col min="11556" max="11556" width="19.85546875" style="756" bestFit="1" customWidth="1"/>
    <col min="11557" max="11557" width="0" style="756" hidden="1" customWidth="1"/>
    <col min="11558" max="11558" width="12.5703125" style="756" customWidth="1"/>
    <col min="11559" max="11776" width="8.85546875" style="756"/>
    <col min="11777" max="11778" width="0.85546875" style="756" customWidth="1"/>
    <col min="11779" max="11779" width="2.7109375" style="756" customWidth="1"/>
    <col min="11780" max="11780" width="35.140625" style="756" customWidth="1"/>
    <col min="11781" max="11781" width="3" style="756" customWidth="1"/>
    <col min="11782" max="11782" width="15.7109375" style="756" customWidth="1"/>
    <col min="11783" max="11783" width="0" style="756" hidden="1" customWidth="1"/>
    <col min="11784" max="11784" width="15.7109375" style="756" customWidth="1"/>
    <col min="11785" max="11794" width="0" style="756" hidden="1" customWidth="1"/>
    <col min="11795" max="11796" width="15.7109375" style="756" customWidth="1"/>
    <col min="11797" max="11797" width="0" style="756" hidden="1" customWidth="1"/>
    <col min="11798" max="11798" width="15.7109375" style="756" customWidth="1"/>
    <col min="11799" max="11808" width="0" style="756" hidden="1" customWidth="1"/>
    <col min="11809" max="11809" width="15.7109375" style="756" customWidth="1"/>
    <col min="11810" max="11810" width="2" style="756" customWidth="1"/>
    <col min="11811" max="11811" width="1.7109375" style="756" customWidth="1"/>
    <col min="11812" max="11812" width="19.85546875" style="756" bestFit="1" customWidth="1"/>
    <col min="11813" max="11813" width="0" style="756" hidden="1" customWidth="1"/>
    <col min="11814" max="11814" width="12.5703125" style="756" customWidth="1"/>
    <col min="11815" max="12032" width="8.85546875" style="756"/>
    <col min="12033" max="12034" width="0.85546875" style="756" customWidth="1"/>
    <col min="12035" max="12035" width="2.7109375" style="756" customWidth="1"/>
    <col min="12036" max="12036" width="35.140625" style="756" customWidth="1"/>
    <col min="12037" max="12037" width="3" style="756" customWidth="1"/>
    <col min="12038" max="12038" width="15.7109375" style="756" customWidth="1"/>
    <col min="12039" max="12039" width="0" style="756" hidden="1" customWidth="1"/>
    <col min="12040" max="12040" width="15.7109375" style="756" customWidth="1"/>
    <col min="12041" max="12050" width="0" style="756" hidden="1" customWidth="1"/>
    <col min="12051" max="12052" width="15.7109375" style="756" customWidth="1"/>
    <col min="12053" max="12053" width="0" style="756" hidden="1" customWidth="1"/>
    <col min="12054" max="12054" width="15.7109375" style="756" customWidth="1"/>
    <col min="12055" max="12064" width="0" style="756" hidden="1" customWidth="1"/>
    <col min="12065" max="12065" width="15.7109375" style="756" customWidth="1"/>
    <col min="12066" max="12066" width="2" style="756" customWidth="1"/>
    <col min="12067" max="12067" width="1.7109375" style="756" customWidth="1"/>
    <col min="12068" max="12068" width="19.85546875" style="756" bestFit="1" customWidth="1"/>
    <col min="12069" max="12069" width="0" style="756" hidden="1" customWidth="1"/>
    <col min="12070" max="12070" width="12.5703125" style="756" customWidth="1"/>
    <col min="12071" max="12288" width="8.85546875" style="756"/>
    <col min="12289" max="12290" width="0.85546875" style="756" customWidth="1"/>
    <col min="12291" max="12291" width="2.7109375" style="756" customWidth="1"/>
    <col min="12292" max="12292" width="35.140625" style="756" customWidth="1"/>
    <col min="12293" max="12293" width="3" style="756" customWidth="1"/>
    <col min="12294" max="12294" width="15.7109375" style="756" customWidth="1"/>
    <col min="12295" max="12295" width="0" style="756" hidden="1" customWidth="1"/>
    <col min="12296" max="12296" width="15.7109375" style="756" customWidth="1"/>
    <col min="12297" max="12306" width="0" style="756" hidden="1" customWidth="1"/>
    <col min="12307" max="12308" width="15.7109375" style="756" customWidth="1"/>
    <col min="12309" max="12309" width="0" style="756" hidden="1" customWidth="1"/>
    <col min="12310" max="12310" width="15.7109375" style="756" customWidth="1"/>
    <col min="12311" max="12320" width="0" style="756" hidden="1" customWidth="1"/>
    <col min="12321" max="12321" width="15.7109375" style="756" customWidth="1"/>
    <col min="12322" max="12322" width="2" style="756" customWidth="1"/>
    <col min="12323" max="12323" width="1.7109375" style="756" customWidth="1"/>
    <col min="12324" max="12324" width="19.85546875" style="756" bestFit="1" customWidth="1"/>
    <col min="12325" max="12325" width="0" style="756" hidden="1" customWidth="1"/>
    <col min="12326" max="12326" width="12.5703125" style="756" customWidth="1"/>
    <col min="12327" max="12544" width="8.85546875" style="756"/>
    <col min="12545" max="12546" width="0.85546875" style="756" customWidth="1"/>
    <col min="12547" max="12547" width="2.7109375" style="756" customWidth="1"/>
    <col min="12548" max="12548" width="35.140625" style="756" customWidth="1"/>
    <col min="12549" max="12549" width="3" style="756" customWidth="1"/>
    <col min="12550" max="12550" width="15.7109375" style="756" customWidth="1"/>
    <col min="12551" max="12551" width="0" style="756" hidden="1" customWidth="1"/>
    <col min="12552" max="12552" width="15.7109375" style="756" customWidth="1"/>
    <col min="12553" max="12562" width="0" style="756" hidden="1" customWidth="1"/>
    <col min="12563" max="12564" width="15.7109375" style="756" customWidth="1"/>
    <col min="12565" max="12565" width="0" style="756" hidden="1" customWidth="1"/>
    <col min="12566" max="12566" width="15.7109375" style="756" customWidth="1"/>
    <col min="12567" max="12576" width="0" style="756" hidden="1" customWidth="1"/>
    <col min="12577" max="12577" width="15.7109375" style="756" customWidth="1"/>
    <col min="12578" max="12578" width="2" style="756" customWidth="1"/>
    <col min="12579" max="12579" width="1.7109375" style="756" customWidth="1"/>
    <col min="12580" max="12580" width="19.85546875" style="756" bestFit="1" customWidth="1"/>
    <col min="12581" max="12581" width="0" style="756" hidden="1" customWidth="1"/>
    <col min="12582" max="12582" width="12.5703125" style="756" customWidth="1"/>
    <col min="12583" max="12800" width="8.85546875" style="756"/>
    <col min="12801" max="12802" width="0.85546875" style="756" customWidth="1"/>
    <col min="12803" max="12803" width="2.7109375" style="756" customWidth="1"/>
    <col min="12804" max="12804" width="35.140625" style="756" customWidth="1"/>
    <col min="12805" max="12805" width="3" style="756" customWidth="1"/>
    <col min="12806" max="12806" width="15.7109375" style="756" customWidth="1"/>
    <col min="12807" max="12807" width="0" style="756" hidden="1" customWidth="1"/>
    <col min="12808" max="12808" width="15.7109375" style="756" customWidth="1"/>
    <col min="12809" max="12818" width="0" style="756" hidden="1" customWidth="1"/>
    <col min="12819" max="12820" width="15.7109375" style="756" customWidth="1"/>
    <col min="12821" max="12821" width="0" style="756" hidden="1" customWidth="1"/>
    <col min="12822" max="12822" width="15.7109375" style="756" customWidth="1"/>
    <col min="12823" max="12832" width="0" style="756" hidden="1" customWidth="1"/>
    <col min="12833" max="12833" width="15.7109375" style="756" customWidth="1"/>
    <col min="12834" max="12834" width="2" style="756" customWidth="1"/>
    <col min="12835" max="12835" width="1.7109375" style="756" customWidth="1"/>
    <col min="12836" max="12836" width="19.85546875" style="756" bestFit="1" customWidth="1"/>
    <col min="12837" max="12837" width="0" style="756" hidden="1" customWidth="1"/>
    <col min="12838" max="12838" width="12.5703125" style="756" customWidth="1"/>
    <col min="12839" max="13056" width="8.85546875" style="756"/>
    <col min="13057" max="13058" width="0.85546875" style="756" customWidth="1"/>
    <col min="13059" max="13059" width="2.7109375" style="756" customWidth="1"/>
    <col min="13060" max="13060" width="35.140625" style="756" customWidth="1"/>
    <col min="13061" max="13061" width="3" style="756" customWidth="1"/>
    <col min="13062" max="13062" width="15.7109375" style="756" customWidth="1"/>
    <col min="13063" max="13063" width="0" style="756" hidden="1" customWidth="1"/>
    <col min="13064" max="13064" width="15.7109375" style="756" customWidth="1"/>
    <col min="13065" max="13074" width="0" style="756" hidden="1" customWidth="1"/>
    <col min="13075" max="13076" width="15.7109375" style="756" customWidth="1"/>
    <col min="13077" max="13077" width="0" style="756" hidden="1" customWidth="1"/>
    <col min="13078" max="13078" width="15.7109375" style="756" customWidth="1"/>
    <col min="13079" max="13088" width="0" style="756" hidden="1" customWidth="1"/>
    <col min="13089" max="13089" width="15.7109375" style="756" customWidth="1"/>
    <col min="13090" max="13090" width="2" style="756" customWidth="1"/>
    <col min="13091" max="13091" width="1.7109375" style="756" customWidth="1"/>
    <col min="13092" max="13092" width="19.85546875" style="756" bestFit="1" customWidth="1"/>
    <col min="13093" max="13093" width="0" style="756" hidden="1" customWidth="1"/>
    <col min="13094" max="13094" width="12.5703125" style="756" customWidth="1"/>
    <col min="13095" max="13312" width="8.85546875" style="756"/>
    <col min="13313" max="13314" width="0.85546875" style="756" customWidth="1"/>
    <col min="13315" max="13315" width="2.7109375" style="756" customWidth="1"/>
    <col min="13316" max="13316" width="35.140625" style="756" customWidth="1"/>
    <col min="13317" max="13317" width="3" style="756" customWidth="1"/>
    <col min="13318" max="13318" width="15.7109375" style="756" customWidth="1"/>
    <col min="13319" max="13319" width="0" style="756" hidden="1" customWidth="1"/>
    <col min="13320" max="13320" width="15.7109375" style="756" customWidth="1"/>
    <col min="13321" max="13330" width="0" style="756" hidden="1" customWidth="1"/>
    <col min="13331" max="13332" width="15.7109375" style="756" customWidth="1"/>
    <col min="13333" max="13333" width="0" style="756" hidden="1" customWidth="1"/>
    <col min="13334" max="13334" width="15.7109375" style="756" customWidth="1"/>
    <col min="13335" max="13344" width="0" style="756" hidden="1" customWidth="1"/>
    <col min="13345" max="13345" width="15.7109375" style="756" customWidth="1"/>
    <col min="13346" max="13346" width="2" style="756" customWidth="1"/>
    <col min="13347" max="13347" width="1.7109375" style="756" customWidth="1"/>
    <col min="13348" max="13348" width="19.85546875" style="756" bestFit="1" customWidth="1"/>
    <col min="13349" max="13349" width="0" style="756" hidden="1" customWidth="1"/>
    <col min="13350" max="13350" width="12.5703125" style="756" customWidth="1"/>
    <col min="13351" max="13568" width="8.85546875" style="756"/>
    <col min="13569" max="13570" width="0.85546875" style="756" customWidth="1"/>
    <col min="13571" max="13571" width="2.7109375" style="756" customWidth="1"/>
    <col min="13572" max="13572" width="35.140625" style="756" customWidth="1"/>
    <col min="13573" max="13573" width="3" style="756" customWidth="1"/>
    <col min="13574" max="13574" width="15.7109375" style="756" customWidth="1"/>
    <col min="13575" max="13575" width="0" style="756" hidden="1" customWidth="1"/>
    <col min="13576" max="13576" width="15.7109375" style="756" customWidth="1"/>
    <col min="13577" max="13586" width="0" style="756" hidden="1" customWidth="1"/>
    <col min="13587" max="13588" width="15.7109375" style="756" customWidth="1"/>
    <col min="13589" max="13589" width="0" style="756" hidden="1" customWidth="1"/>
    <col min="13590" max="13590" width="15.7109375" style="756" customWidth="1"/>
    <col min="13591" max="13600" width="0" style="756" hidden="1" customWidth="1"/>
    <col min="13601" max="13601" width="15.7109375" style="756" customWidth="1"/>
    <col min="13602" max="13602" width="2" style="756" customWidth="1"/>
    <col min="13603" max="13603" width="1.7109375" style="756" customWidth="1"/>
    <col min="13604" max="13604" width="19.85546875" style="756" bestFit="1" customWidth="1"/>
    <col min="13605" max="13605" width="0" style="756" hidden="1" customWidth="1"/>
    <col min="13606" max="13606" width="12.5703125" style="756" customWidth="1"/>
    <col min="13607" max="13824" width="8.85546875" style="756"/>
    <col min="13825" max="13826" width="0.85546875" style="756" customWidth="1"/>
    <col min="13827" max="13827" width="2.7109375" style="756" customWidth="1"/>
    <col min="13828" max="13828" width="35.140625" style="756" customWidth="1"/>
    <col min="13829" max="13829" width="3" style="756" customWidth="1"/>
    <col min="13830" max="13830" width="15.7109375" style="756" customWidth="1"/>
    <col min="13831" max="13831" width="0" style="756" hidden="1" customWidth="1"/>
    <col min="13832" max="13832" width="15.7109375" style="756" customWidth="1"/>
    <col min="13833" max="13842" width="0" style="756" hidden="1" customWidth="1"/>
    <col min="13843" max="13844" width="15.7109375" style="756" customWidth="1"/>
    <col min="13845" max="13845" width="0" style="756" hidden="1" customWidth="1"/>
    <col min="13846" max="13846" width="15.7109375" style="756" customWidth="1"/>
    <col min="13847" max="13856" width="0" style="756" hidden="1" customWidth="1"/>
    <col min="13857" max="13857" width="15.7109375" style="756" customWidth="1"/>
    <col min="13858" max="13858" width="2" style="756" customWidth="1"/>
    <col min="13859" max="13859" width="1.7109375" style="756" customWidth="1"/>
    <col min="13860" max="13860" width="19.85546875" style="756" bestFit="1" customWidth="1"/>
    <col min="13861" max="13861" width="0" style="756" hidden="1" customWidth="1"/>
    <col min="13862" max="13862" width="12.5703125" style="756" customWidth="1"/>
    <col min="13863" max="14080" width="8.85546875" style="756"/>
    <col min="14081" max="14082" width="0.85546875" style="756" customWidth="1"/>
    <col min="14083" max="14083" width="2.7109375" style="756" customWidth="1"/>
    <col min="14084" max="14084" width="35.140625" style="756" customWidth="1"/>
    <col min="14085" max="14085" width="3" style="756" customWidth="1"/>
    <col min="14086" max="14086" width="15.7109375" style="756" customWidth="1"/>
    <col min="14087" max="14087" width="0" style="756" hidden="1" customWidth="1"/>
    <col min="14088" max="14088" width="15.7109375" style="756" customWidth="1"/>
    <col min="14089" max="14098" width="0" style="756" hidden="1" customWidth="1"/>
    <col min="14099" max="14100" width="15.7109375" style="756" customWidth="1"/>
    <col min="14101" max="14101" width="0" style="756" hidden="1" customWidth="1"/>
    <col min="14102" max="14102" width="15.7109375" style="756" customWidth="1"/>
    <col min="14103" max="14112" width="0" style="756" hidden="1" customWidth="1"/>
    <col min="14113" max="14113" width="15.7109375" style="756" customWidth="1"/>
    <col min="14114" max="14114" width="2" style="756" customWidth="1"/>
    <col min="14115" max="14115" width="1.7109375" style="756" customWidth="1"/>
    <col min="14116" max="14116" width="19.85546875" style="756" bestFit="1" customWidth="1"/>
    <col min="14117" max="14117" width="0" style="756" hidden="1" customWidth="1"/>
    <col min="14118" max="14118" width="12.5703125" style="756" customWidth="1"/>
    <col min="14119" max="14336" width="8.85546875" style="756"/>
    <col min="14337" max="14338" width="0.85546875" style="756" customWidth="1"/>
    <col min="14339" max="14339" width="2.7109375" style="756" customWidth="1"/>
    <col min="14340" max="14340" width="35.140625" style="756" customWidth="1"/>
    <col min="14341" max="14341" width="3" style="756" customWidth="1"/>
    <col min="14342" max="14342" width="15.7109375" style="756" customWidth="1"/>
    <col min="14343" max="14343" width="0" style="756" hidden="1" customWidth="1"/>
    <col min="14344" max="14344" width="15.7109375" style="756" customWidth="1"/>
    <col min="14345" max="14354" width="0" style="756" hidden="1" customWidth="1"/>
    <col min="14355" max="14356" width="15.7109375" style="756" customWidth="1"/>
    <col min="14357" max="14357" width="0" style="756" hidden="1" customWidth="1"/>
    <col min="14358" max="14358" width="15.7109375" style="756" customWidth="1"/>
    <col min="14359" max="14368" width="0" style="756" hidden="1" customWidth="1"/>
    <col min="14369" max="14369" width="15.7109375" style="756" customWidth="1"/>
    <col min="14370" max="14370" width="2" style="756" customWidth="1"/>
    <col min="14371" max="14371" width="1.7109375" style="756" customWidth="1"/>
    <col min="14372" max="14372" width="19.85546875" style="756" bestFit="1" customWidth="1"/>
    <col min="14373" max="14373" width="0" style="756" hidden="1" customWidth="1"/>
    <col min="14374" max="14374" width="12.5703125" style="756" customWidth="1"/>
    <col min="14375" max="14592" width="8.85546875" style="756"/>
    <col min="14593" max="14594" width="0.85546875" style="756" customWidth="1"/>
    <col min="14595" max="14595" width="2.7109375" style="756" customWidth="1"/>
    <col min="14596" max="14596" width="35.140625" style="756" customWidth="1"/>
    <col min="14597" max="14597" width="3" style="756" customWidth="1"/>
    <col min="14598" max="14598" width="15.7109375" style="756" customWidth="1"/>
    <col min="14599" max="14599" width="0" style="756" hidden="1" customWidth="1"/>
    <col min="14600" max="14600" width="15.7109375" style="756" customWidth="1"/>
    <col min="14601" max="14610" width="0" style="756" hidden="1" customWidth="1"/>
    <col min="14611" max="14612" width="15.7109375" style="756" customWidth="1"/>
    <col min="14613" max="14613" width="0" style="756" hidden="1" customWidth="1"/>
    <col min="14614" max="14614" width="15.7109375" style="756" customWidth="1"/>
    <col min="14615" max="14624" width="0" style="756" hidden="1" customWidth="1"/>
    <col min="14625" max="14625" width="15.7109375" style="756" customWidth="1"/>
    <col min="14626" max="14626" width="2" style="756" customWidth="1"/>
    <col min="14627" max="14627" width="1.7109375" style="756" customWidth="1"/>
    <col min="14628" max="14628" width="19.85546875" style="756" bestFit="1" customWidth="1"/>
    <col min="14629" max="14629" width="0" style="756" hidden="1" customWidth="1"/>
    <col min="14630" max="14630" width="12.5703125" style="756" customWidth="1"/>
    <col min="14631" max="14848" width="8.85546875" style="756"/>
    <col min="14849" max="14850" width="0.85546875" style="756" customWidth="1"/>
    <col min="14851" max="14851" width="2.7109375" style="756" customWidth="1"/>
    <col min="14852" max="14852" width="35.140625" style="756" customWidth="1"/>
    <col min="14853" max="14853" width="3" style="756" customWidth="1"/>
    <col min="14854" max="14854" width="15.7109375" style="756" customWidth="1"/>
    <col min="14855" max="14855" width="0" style="756" hidden="1" customWidth="1"/>
    <col min="14856" max="14856" width="15.7109375" style="756" customWidth="1"/>
    <col min="14857" max="14866" width="0" style="756" hidden="1" customWidth="1"/>
    <col min="14867" max="14868" width="15.7109375" style="756" customWidth="1"/>
    <col min="14869" max="14869" width="0" style="756" hidden="1" customWidth="1"/>
    <col min="14870" max="14870" width="15.7109375" style="756" customWidth="1"/>
    <col min="14871" max="14880" width="0" style="756" hidden="1" customWidth="1"/>
    <col min="14881" max="14881" width="15.7109375" style="756" customWidth="1"/>
    <col min="14882" max="14882" width="2" style="756" customWidth="1"/>
    <col min="14883" max="14883" width="1.7109375" style="756" customWidth="1"/>
    <col min="14884" max="14884" width="19.85546875" style="756" bestFit="1" customWidth="1"/>
    <col min="14885" max="14885" width="0" style="756" hidden="1" customWidth="1"/>
    <col min="14886" max="14886" width="12.5703125" style="756" customWidth="1"/>
    <col min="14887" max="15104" width="8.85546875" style="756"/>
    <col min="15105" max="15106" width="0.85546875" style="756" customWidth="1"/>
    <col min="15107" max="15107" width="2.7109375" style="756" customWidth="1"/>
    <col min="15108" max="15108" width="35.140625" style="756" customWidth="1"/>
    <col min="15109" max="15109" width="3" style="756" customWidth="1"/>
    <col min="15110" max="15110" width="15.7109375" style="756" customWidth="1"/>
    <col min="15111" max="15111" width="0" style="756" hidden="1" customWidth="1"/>
    <col min="15112" max="15112" width="15.7109375" style="756" customWidth="1"/>
    <col min="15113" max="15122" width="0" style="756" hidden="1" customWidth="1"/>
    <col min="15123" max="15124" width="15.7109375" style="756" customWidth="1"/>
    <col min="15125" max="15125" width="0" style="756" hidden="1" customWidth="1"/>
    <col min="15126" max="15126" width="15.7109375" style="756" customWidth="1"/>
    <col min="15127" max="15136" width="0" style="756" hidden="1" customWidth="1"/>
    <col min="15137" max="15137" width="15.7109375" style="756" customWidth="1"/>
    <col min="15138" max="15138" width="2" style="756" customWidth="1"/>
    <col min="15139" max="15139" width="1.7109375" style="756" customWidth="1"/>
    <col min="15140" max="15140" width="19.85546875" style="756" bestFit="1" customWidth="1"/>
    <col min="15141" max="15141" width="0" style="756" hidden="1" customWidth="1"/>
    <col min="15142" max="15142" width="12.5703125" style="756" customWidth="1"/>
    <col min="15143" max="15360" width="8.85546875" style="756"/>
    <col min="15361" max="15362" width="0.85546875" style="756" customWidth="1"/>
    <col min="15363" max="15363" width="2.7109375" style="756" customWidth="1"/>
    <col min="15364" max="15364" width="35.140625" style="756" customWidth="1"/>
    <col min="15365" max="15365" width="3" style="756" customWidth="1"/>
    <col min="15366" max="15366" width="15.7109375" style="756" customWidth="1"/>
    <col min="15367" max="15367" width="0" style="756" hidden="1" customWidth="1"/>
    <col min="15368" max="15368" width="15.7109375" style="756" customWidth="1"/>
    <col min="15369" max="15378" width="0" style="756" hidden="1" customWidth="1"/>
    <col min="15379" max="15380" width="15.7109375" style="756" customWidth="1"/>
    <col min="15381" max="15381" width="0" style="756" hidden="1" customWidth="1"/>
    <col min="15382" max="15382" width="15.7109375" style="756" customWidth="1"/>
    <col min="15383" max="15392" width="0" style="756" hidden="1" customWidth="1"/>
    <col min="15393" max="15393" width="15.7109375" style="756" customWidth="1"/>
    <col min="15394" max="15394" width="2" style="756" customWidth="1"/>
    <col min="15395" max="15395" width="1.7109375" style="756" customWidth="1"/>
    <col min="15396" max="15396" width="19.85546875" style="756" bestFit="1" customWidth="1"/>
    <col min="15397" max="15397" width="0" style="756" hidden="1" customWidth="1"/>
    <col min="15398" max="15398" width="12.5703125" style="756" customWidth="1"/>
    <col min="15399" max="15616" width="8.85546875" style="756"/>
    <col min="15617" max="15618" width="0.85546875" style="756" customWidth="1"/>
    <col min="15619" max="15619" width="2.7109375" style="756" customWidth="1"/>
    <col min="15620" max="15620" width="35.140625" style="756" customWidth="1"/>
    <col min="15621" max="15621" width="3" style="756" customWidth="1"/>
    <col min="15622" max="15622" width="15.7109375" style="756" customWidth="1"/>
    <col min="15623" max="15623" width="0" style="756" hidden="1" customWidth="1"/>
    <col min="15624" max="15624" width="15.7109375" style="756" customWidth="1"/>
    <col min="15625" max="15634" width="0" style="756" hidden="1" customWidth="1"/>
    <col min="15635" max="15636" width="15.7109375" style="756" customWidth="1"/>
    <col min="15637" max="15637" width="0" style="756" hidden="1" customWidth="1"/>
    <col min="15638" max="15638" width="15.7109375" style="756" customWidth="1"/>
    <col min="15639" max="15648" width="0" style="756" hidden="1" customWidth="1"/>
    <col min="15649" max="15649" width="15.7109375" style="756" customWidth="1"/>
    <col min="15650" max="15650" width="2" style="756" customWidth="1"/>
    <col min="15651" max="15651" width="1.7109375" style="756" customWidth="1"/>
    <col min="15652" max="15652" width="19.85546875" style="756" bestFit="1" customWidth="1"/>
    <col min="15653" max="15653" width="0" style="756" hidden="1" customWidth="1"/>
    <col min="15654" max="15654" width="12.5703125" style="756" customWidth="1"/>
    <col min="15655" max="15872" width="8.85546875" style="756"/>
    <col min="15873" max="15874" width="0.85546875" style="756" customWidth="1"/>
    <col min="15875" max="15875" width="2.7109375" style="756" customWidth="1"/>
    <col min="15876" max="15876" width="35.140625" style="756" customWidth="1"/>
    <col min="15877" max="15877" width="3" style="756" customWidth="1"/>
    <col min="15878" max="15878" width="15.7109375" style="756" customWidth="1"/>
    <col min="15879" max="15879" width="0" style="756" hidden="1" customWidth="1"/>
    <col min="15880" max="15880" width="15.7109375" style="756" customWidth="1"/>
    <col min="15881" max="15890" width="0" style="756" hidden="1" customWidth="1"/>
    <col min="15891" max="15892" width="15.7109375" style="756" customWidth="1"/>
    <col min="15893" max="15893" width="0" style="756" hidden="1" customWidth="1"/>
    <col min="15894" max="15894" width="15.7109375" style="756" customWidth="1"/>
    <col min="15895" max="15904" width="0" style="756" hidden="1" customWidth="1"/>
    <col min="15905" max="15905" width="15.7109375" style="756" customWidth="1"/>
    <col min="15906" max="15906" width="2" style="756" customWidth="1"/>
    <col min="15907" max="15907" width="1.7109375" style="756" customWidth="1"/>
    <col min="15908" max="15908" width="19.85546875" style="756" bestFit="1" customWidth="1"/>
    <col min="15909" max="15909" width="0" style="756" hidden="1" customWidth="1"/>
    <col min="15910" max="15910" width="12.5703125" style="756" customWidth="1"/>
    <col min="15911" max="16128" width="8.85546875" style="756"/>
    <col min="16129" max="16130" width="0.85546875" style="756" customWidth="1"/>
    <col min="16131" max="16131" width="2.7109375" style="756" customWidth="1"/>
    <col min="16132" max="16132" width="35.140625" style="756" customWidth="1"/>
    <col min="16133" max="16133" width="3" style="756" customWidth="1"/>
    <col min="16134" max="16134" width="15.7109375" style="756" customWidth="1"/>
    <col min="16135" max="16135" width="0" style="756" hidden="1" customWidth="1"/>
    <col min="16136" max="16136" width="15.7109375" style="756" customWidth="1"/>
    <col min="16137" max="16146" width="0" style="756" hidden="1" customWidth="1"/>
    <col min="16147" max="16148" width="15.7109375" style="756" customWidth="1"/>
    <col min="16149" max="16149" width="0" style="756" hidden="1" customWidth="1"/>
    <col min="16150" max="16150" width="15.7109375" style="756" customWidth="1"/>
    <col min="16151" max="16160" width="0" style="756" hidden="1" customWidth="1"/>
    <col min="16161" max="16161" width="15.7109375" style="756" customWidth="1"/>
    <col min="16162" max="16162" width="2" style="756" customWidth="1"/>
    <col min="16163" max="16163" width="1.7109375" style="756" customWidth="1"/>
    <col min="16164" max="16164" width="19.85546875" style="756" bestFit="1" customWidth="1"/>
    <col min="16165" max="16165" width="0" style="756" hidden="1" customWidth="1"/>
    <col min="16166" max="16166" width="12.5703125" style="756" customWidth="1"/>
    <col min="16167" max="16384" width="8.85546875" style="756"/>
  </cols>
  <sheetData>
    <row r="1" spans="1:37" ht="15.75" x14ac:dyDescent="0.25">
      <c r="A1" s="751"/>
      <c r="B1" s="751"/>
      <c r="C1" s="752" t="s">
        <v>582</v>
      </c>
      <c r="D1" s="753"/>
      <c r="E1" s="754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5"/>
      <c r="AH1" s="751"/>
      <c r="AI1" s="751"/>
    </row>
    <row r="2" spans="1:37" x14ac:dyDescent="0.2">
      <c r="A2" s="751"/>
      <c r="B2" s="751"/>
      <c r="C2" s="757"/>
      <c r="D2" s="758"/>
      <c r="E2" s="759"/>
      <c r="F2" s="25" t="s">
        <v>3</v>
      </c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6"/>
      <c r="T2" s="25" t="s">
        <v>4</v>
      </c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6"/>
      <c r="AH2" s="760"/>
      <c r="AI2" s="751"/>
    </row>
    <row r="3" spans="1:37" x14ac:dyDescent="0.2">
      <c r="A3" s="751"/>
      <c r="B3" s="751"/>
      <c r="C3" s="761"/>
      <c r="D3" s="762"/>
      <c r="E3" s="375"/>
      <c r="F3" s="763" t="s">
        <v>583</v>
      </c>
      <c r="G3" s="376" t="s">
        <v>6</v>
      </c>
      <c r="H3" s="386" t="s">
        <v>7</v>
      </c>
      <c r="I3" s="376" t="s">
        <v>8</v>
      </c>
      <c r="J3" s="386" t="s">
        <v>9</v>
      </c>
      <c r="K3" s="376" t="s">
        <v>10</v>
      </c>
      <c r="L3" s="386" t="s">
        <v>11</v>
      </c>
      <c r="M3" s="376" t="s">
        <v>12</v>
      </c>
      <c r="N3" s="386" t="s">
        <v>13</v>
      </c>
      <c r="O3" s="376" t="s">
        <v>14</v>
      </c>
      <c r="P3" s="386" t="s">
        <v>15</v>
      </c>
      <c r="Q3" s="376" t="s">
        <v>16</v>
      </c>
      <c r="R3" s="386" t="s">
        <v>17</v>
      </c>
      <c r="S3" s="386" t="s">
        <v>18</v>
      </c>
      <c r="T3" s="376" t="s">
        <v>19</v>
      </c>
      <c r="U3" s="376" t="s">
        <v>6</v>
      </c>
      <c r="V3" s="764" t="s">
        <v>7</v>
      </c>
      <c r="W3" s="376" t="s">
        <v>8</v>
      </c>
      <c r="X3" s="375" t="s">
        <v>9</v>
      </c>
      <c r="Y3" s="376" t="s">
        <v>10</v>
      </c>
      <c r="Z3" s="375" t="s">
        <v>11</v>
      </c>
      <c r="AA3" s="376" t="s">
        <v>12</v>
      </c>
      <c r="AB3" s="375" t="s">
        <v>13</v>
      </c>
      <c r="AC3" s="376" t="s">
        <v>14</v>
      </c>
      <c r="AD3" s="375" t="s">
        <v>15</v>
      </c>
      <c r="AE3" s="376" t="s">
        <v>16</v>
      </c>
      <c r="AF3" s="375" t="s">
        <v>17</v>
      </c>
      <c r="AG3" s="386" t="s">
        <v>18</v>
      </c>
      <c r="AH3" s="760"/>
      <c r="AI3" s="751"/>
    </row>
    <row r="4" spans="1:37" x14ac:dyDescent="0.2">
      <c r="A4" s="751"/>
      <c r="B4" s="751"/>
      <c r="C4" s="765" t="s">
        <v>20</v>
      </c>
      <c r="D4" s="766"/>
      <c r="E4" s="382"/>
      <c r="F4" s="681" t="s">
        <v>22</v>
      </c>
      <c r="G4" s="383"/>
      <c r="H4" s="241"/>
      <c r="I4" s="383"/>
      <c r="J4" s="241"/>
      <c r="K4" s="383"/>
      <c r="L4" s="241"/>
      <c r="M4" s="383"/>
      <c r="N4" s="241"/>
      <c r="O4" s="383"/>
      <c r="P4" s="241"/>
      <c r="Q4" s="383"/>
      <c r="R4" s="241"/>
      <c r="S4" s="241"/>
      <c r="T4" s="383" t="s">
        <v>23</v>
      </c>
      <c r="U4" s="383"/>
      <c r="V4" s="41"/>
      <c r="W4" s="383"/>
      <c r="X4" s="382"/>
      <c r="Y4" s="383"/>
      <c r="Z4" s="382"/>
      <c r="AA4" s="383"/>
      <c r="AB4" s="382"/>
      <c r="AC4" s="383"/>
      <c r="AD4" s="382"/>
      <c r="AE4" s="383"/>
      <c r="AF4" s="382"/>
      <c r="AG4" s="241"/>
      <c r="AH4" s="760"/>
      <c r="AI4" s="751"/>
    </row>
    <row r="5" spans="1:37" x14ac:dyDescent="0.2">
      <c r="A5" s="751"/>
      <c r="B5" s="751"/>
      <c r="C5" s="761"/>
      <c r="D5" s="767"/>
      <c r="E5" s="375"/>
      <c r="F5" s="387"/>
      <c r="G5" s="387"/>
      <c r="H5" s="367"/>
      <c r="I5" s="387"/>
      <c r="J5" s="375"/>
      <c r="K5" s="387"/>
      <c r="L5" s="375"/>
      <c r="M5" s="387"/>
      <c r="N5" s="375"/>
      <c r="O5" s="387"/>
      <c r="P5" s="375"/>
      <c r="Q5" s="387"/>
      <c r="R5" s="375"/>
      <c r="S5" s="202"/>
      <c r="T5" s="387"/>
      <c r="U5" s="387"/>
      <c r="V5" s="367"/>
      <c r="W5" s="387"/>
      <c r="X5" s="375"/>
      <c r="Y5" s="387"/>
      <c r="Z5" s="375"/>
      <c r="AA5" s="387"/>
      <c r="AB5" s="375"/>
      <c r="AC5" s="387"/>
      <c r="AD5" s="375"/>
      <c r="AE5" s="387"/>
      <c r="AF5" s="375"/>
      <c r="AG5" s="202"/>
      <c r="AH5" s="760"/>
      <c r="AI5" s="751"/>
    </row>
    <row r="6" spans="1:37" x14ac:dyDescent="0.2">
      <c r="A6" s="751"/>
      <c r="B6" s="751"/>
      <c r="C6" s="768" t="s">
        <v>584</v>
      </c>
      <c r="D6" s="762"/>
      <c r="E6" s="92"/>
      <c r="F6" s="202">
        <f>SUM(F7:F38)</f>
        <v>6005000</v>
      </c>
      <c r="G6" s="202">
        <f>SUM(G7:G38)</f>
        <v>1236489</v>
      </c>
      <c r="H6" s="202">
        <f t="shared" ref="H6:R6" si="0">SUM(H7:H38)</f>
        <v>2807140</v>
      </c>
      <c r="I6" s="202">
        <f>SUM(I7:I38)</f>
        <v>0</v>
      </c>
      <c r="J6" s="202">
        <f>SUM(J7:J38)</f>
        <v>0</v>
      </c>
      <c r="K6" s="202">
        <f t="shared" si="0"/>
        <v>0</v>
      </c>
      <c r="L6" s="202">
        <f>SUM(L7:L38)</f>
        <v>0</v>
      </c>
      <c r="M6" s="202">
        <f t="shared" si="0"/>
        <v>0</v>
      </c>
      <c r="N6" s="202">
        <f t="shared" si="0"/>
        <v>0</v>
      </c>
      <c r="O6" s="202">
        <f>SUM(O7:O38)</f>
        <v>0</v>
      </c>
      <c r="P6" s="202">
        <f>SUM(P7:P38)</f>
        <v>0</v>
      </c>
      <c r="Q6" s="202">
        <f t="shared" si="0"/>
        <v>0</v>
      </c>
      <c r="R6" s="202">
        <f t="shared" si="0"/>
        <v>0</v>
      </c>
      <c r="S6" s="202">
        <f t="shared" ref="S6:AG6" si="1">SUM(S7:S38)</f>
        <v>4043629</v>
      </c>
      <c r="T6" s="202">
        <f t="shared" si="1"/>
        <v>12801333</v>
      </c>
      <c r="U6" s="202">
        <f t="shared" si="1"/>
        <v>1191518</v>
      </c>
      <c r="V6" s="202">
        <f t="shared" si="1"/>
        <v>5522378</v>
      </c>
      <c r="W6" s="202">
        <f t="shared" si="1"/>
        <v>193328</v>
      </c>
      <c r="X6" s="202">
        <f t="shared" si="1"/>
        <v>236828</v>
      </c>
      <c r="Y6" s="202">
        <f t="shared" si="1"/>
        <v>536881</v>
      </c>
      <c r="Z6" s="202">
        <f t="shared" si="1"/>
        <v>309645</v>
      </c>
      <c r="AA6" s="202">
        <f t="shared" si="1"/>
        <v>149579</v>
      </c>
      <c r="AB6" s="202">
        <f t="shared" si="1"/>
        <v>389977</v>
      </c>
      <c r="AC6" s="202">
        <f t="shared" si="1"/>
        <v>143285</v>
      </c>
      <c r="AD6" s="202">
        <f t="shared" si="1"/>
        <v>307553</v>
      </c>
      <c r="AE6" s="202">
        <f t="shared" si="1"/>
        <v>558415</v>
      </c>
      <c r="AF6" s="202">
        <f t="shared" si="1"/>
        <v>3261946</v>
      </c>
      <c r="AG6" s="202">
        <f t="shared" si="1"/>
        <v>6713896</v>
      </c>
      <c r="AH6" s="769"/>
      <c r="AI6" s="751"/>
      <c r="AJ6" s="770"/>
      <c r="AK6" s="770"/>
    </row>
    <row r="7" spans="1:37" ht="12" hidden="1" customHeight="1" x14ac:dyDescent="0.2">
      <c r="A7" s="751"/>
      <c r="B7" s="751"/>
      <c r="C7" s="768"/>
      <c r="D7" s="55" t="s">
        <v>585</v>
      </c>
      <c r="E7" s="771"/>
      <c r="F7" s="181">
        <v>0</v>
      </c>
      <c r="G7" s="181">
        <v>0</v>
      </c>
      <c r="H7" s="181">
        <v>0</v>
      </c>
      <c r="I7" s="181">
        <v>0</v>
      </c>
      <c r="J7" s="181">
        <v>0</v>
      </c>
      <c r="K7" s="181">
        <v>0</v>
      </c>
      <c r="L7" s="181">
        <v>0</v>
      </c>
      <c r="M7" s="181">
        <v>0</v>
      </c>
      <c r="N7" s="181">
        <v>0</v>
      </c>
      <c r="O7" s="181">
        <v>0</v>
      </c>
      <c r="P7" s="181">
        <v>0</v>
      </c>
      <c r="Q7" s="181">
        <v>0</v>
      </c>
      <c r="R7" s="181">
        <v>0</v>
      </c>
      <c r="S7" s="63">
        <f>SUM(G7:R7)</f>
        <v>0</v>
      </c>
      <c r="T7" s="181">
        <v>0</v>
      </c>
      <c r="U7" s="181">
        <v>0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1">
        <v>0</v>
      </c>
      <c r="AC7" s="181">
        <v>0</v>
      </c>
      <c r="AD7" s="181">
        <v>0</v>
      </c>
      <c r="AE7" s="181">
        <v>0</v>
      </c>
      <c r="AF7" s="181">
        <v>0</v>
      </c>
      <c r="AG7" s="63">
        <f t="shared" ref="AG7:AG20" si="2">SUM(U7:U7)</f>
        <v>0</v>
      </c>
      <c r="AH7" s="772"/>
      <c r="AI7" s="751"/>
      <c r="AJ7" s="770"/>
      <c r="AK7" s="770"/>
    </row>
    <row r="8" spans="1:37" ht="12.75" hidden="1" customHeight="1" x14ac:dyDescent="0.2">
      <c r="A8" s="751"/>
      <c r="B8" s="751"/>
      <c r="C8" s="768"/>
      <c r="D8" s="773" t="s">
        <v>586</v>
      </c>
      <c r="E8" s="771"/>
      <c r="F8" s="181">
        <v>0</v>
      </c>
      <c r="G8" s="181">
        <v>0</v>
      </c>
      <c r="H8" s="181">
        <v>0</v>
      </c>
      <c r="I8" s="181">
        <v>0</v>
      </c>
      <c r="J8" s="181">
        <v>0</v>
      </c>
      <c r="K8" s="181">
        <v>0</v>
      </c>
      <c r="L8" s="181">
        <v>0</v>
      </c>
      <c r="M8" s="181">
        <v>0</v>
      </c>
      <c r="N8" s="181">
        <v>0</v>
      </c>
      <c r="O8" s="181">
        <v>0</v>
      </c>
      <c r="P8" s="181">
        <v>0</v>
      </c>
      <c r="Q8" s="181">
        <v>0</v>
      </c>
      <c r="R8" s="181">
        <v>0</v>
      </c>
      <c r="S8" s="63">
        <f t="shared" ref="S8:S34" si="3">SUM(G8:R8)</f>
        <v>0</v>
      </c>
      <c r="T8" s="181">
        <v>0</v>
      </c>
      <c r="U8" s="181">
        <v>0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1">
        <v>0</v>
      </c>
      <c r="AC8" s="181">
        <v>0</v>
      </c>
      <c r="AD8" s="181">
        <v>0</v>
      </c>
      <c r="AE8" s="181">
        <v>0</v>
      </c>
      <c r="AF8" s="181">
        <v>0</v>
      </c>
      <c r="AG8" s="63">
        <f t="shared" si="2"/>
        <v>0</v>
      </c>
      <c r="AH8" s="772"/>
      <c r="AI8" s="751"/>
      <c r="AJ8" s="770"/>
      <c r="AK8" s="770"/>
    </row>
    <row r="9" spans="1:37" ht="12.75" hidden="1" customHeight="1" x14ac:dyDescent="0.2">
      <c r="A9" s="751"/>
      <c r="B9" s="751"/>
      <c r="C9" s="768"/>
      <c r="D9" s="773" t="s">
        <v>587</v>
      </c>
      <c r="E9" s="771"/>
      <c r="F9" s="181">
        <v>0</v>
      </c>
      <c r="G9" s="181">
        <v>0</v>
      </c>
      <c r="H9" s="181">
        <v>0</v>
      </c>
      <c r="I9" s="181">
        <v>0</v>
      </c>
      <c r="J9" s="181">
        <v>0</v>
      </c>
      <c r="K9" s="181">
        <v>0</v>
      </c>
      <c r="L9" s="181">
        <v>0</v>
      </c>
      <c r="M9" s="181"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63">
        <f t="shared" si="3"/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1">
        <v>0</v>
      </c>
      <c r="AC9" s="181">
        <v>0</v>
      </c>
      <c r="AD9" s="181">
        <v>0</v>
      </c>
      <c r="AE9" s="181">
        <v>0</v>
      </c>
      <c r="AF9" s="181">
        <v>0</v>
      </c>
      <c r="AG9" s="63">
        <f t="shared" si="2"/>
        <v>0</v>
      </c>
      <c r="AH9" s="772"/>
      <c r="AI9" s="751"/>
      <c r="AJ9" s="770"/>
      <c r="AK9" s="770"/>
    </row>
    <row r="10" spans="1:37" ht="12.75" hidden="1" customHeight="1" x14ac:dyDescent="0.2">
      <c r="A10" s="751"/>
      <c r="B10" s="751"/>
      <c r="C10" s="768"/>
      <c r="D10" s="55" t="s">
        <v>588</v>
      </c>
      <c r="E10" s="774"/>
      <c r="F10" s="181">
        <v>0</v>
      </c>
      <c r="G10" s="181">
        <v>0</v>
      </c>
      <c r="H10" s="181">
        <v>0</v>
      </c>
      <c r="I10" s="181">
        <v>0</v>
      </c>
      <c r="J10" s="181">
        <v>0</v>
      </c>
      <c r="K10" s="181">
        <v>0</v>
      </c>
      <c r="L10" s="181">
        <v>0</v>
      </c>
      <c r="M10" s="181">
        <v>0</v>
      </c>
      <c r="N10" s="181">
        <v>0</v>
      </c>
      <c r="O10" s="181">
        <v>0</v>
      </c>
      <c r="P10" s="181">
        <v>0</v>
      </c>
      <c r="Q10" s="181">
        <v>0</v>
      </c>
      <c r="R10" s="181">
        <v>0</v>
      </c>
      <c r="S10" s="63">
        <f>SUM(G10:R10)</f>
        <v>0</v>
      </c>
      <c r="T10" s="181">
        <v>0</v>
      </c>
      <c r="U10" s="181">
        <v>0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1">
        <v>0</v>
      </c>
      <c r="AC10" s="181">
        <v>0</v>
      </c>
      <c r="AD10" s="181">
        <v>0</v>
      </c>
      <c r="AE10" s="181">
        <v>0</v>
      </c>
      <c r="AF10" s="181">
        <v>0</v>
      </c>
      <c r="AG10" s="63">
        <f t="shared" si="2"/>
        <v>0</v>
      </c>
      <c r="AH10" s="772"/>
      <c r="AI10" s="751"/>
      <c r="AJ10" s="770"/>
      <c r="AK10" s="770"/>
    </row>
    <row r="11" spans="1:37" hidden="1" x14ac:dyDescent="0.2">
      <c r="A11" s="751"/>
      <c r="B11" s="751"/>
      <c r="C11" s="768"/>
      <c r="D11" s="773" t="s">
        <v>589</v>
      </c>
      <c r="E11" s="771"/>
      <c r="F11" s="181">
        <v>0</v>
      </c>
      <c r="G11" s="181">
        <v>0</v>
      </c>
      <c r="H11" s="181">
        <v>0</v>
      </c>
      <c r="I11" s="181">
        <v>0</v>
      </c>
      <c r="J11" s="181">
        <v>0</v>
      </c>
      <c r="K11" s="181">
        <v>0</v>
      </c>
      <c r="L11" s="181">
        <v>0</v>
      </c>
      <c r="M11" s="181">
        <v>0</v>
      </c>
      <c r="N11" s="181">
        <v>0</v>
      </c>
      <c r="O11" s="181">
        <v>0</v>
      </c>
      <c r="P11" s="181">
        <v>0</v>
      </c>
      <c r="Q11" s="181">
        <v>0</v>
      </c>
      <c r="R11" s="181">
        <v>0</v>
      </c>
      <c r="S11" s="63">
        <f>SUM(G11:R11)</f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1">
        <v>0</v>
      </c>
      <c r="AC11" s="181">
        <v>0</v>
      </c>
      <c r="AD11" s="181">
        <v>0</v>
      </c>
      <c r="AE11" s="181">
        <v>0</v>
      </c>
      <c r="AF11" s="181">
        <v>0</v>
      </c>
      <c r="AG11" s="63">
        <f t="shared" si="2"/>
        <v>0</v>
      </c>
      <c r="AH11" s="772"/>
      <c r="AI11" s="751"/>
      <c r="AJ11" s="770"/>
      <c r="AK11" s="770"/>
    </row>
    <row r="12" spans="1:37" ht="12.75" hidden="1" customHeight="1" x14ac:dyDescent="0.2">
      <c r="A12" s="751"/>
      <c r="B12" s="751"/>
      <c r="C12" s="768"/>
      <c r="D12" s="773" t="s">
        <v>590</v>
      </c>
      <c r="E12" s="771"/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>
        <v>0</v>
      </c>
      <c r="S12" s="63">
        <f t="shared" si="3"/>
        <v>0</v>
      </c>
      <c r="T12" s="181">
        <v>0</v>
      </c>
      <c r="U12" s="181">
        <v>0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0</v>
      </c>
      <c r="AD12" s="181">
        <v>0</v>
      </c>
      <c r="AE12" s="181">
        <v>0</v>
      </c>
      <c r="AF12" s="181">
        <v>0</v>
      </c>
      <c r="AG12" s="63">
        <f t="shared" si="2"/>
        <v>0</v>
      </c>
      <c r="AH12" s="772"/>
      <c r="AI12" s="751"/>
      <c r="AJ12" s="770"/>
      <c r="AK12" s="770"/>
    </row>
    <row r="13" spans="1:37" ht="12.75" hidden="1" customHeight="1" x14ac:dyDescent="0.2">
      <c r="A13" s="751"/>
      <c r="B13" s="751"/>
      <c r="C13" s="768"/>
      <c r="D13" s="55" t="s">
        <v>591</v>
      </c>
      <c r="E13" s="771"/>
      <c r="F13" s="181">
        <v>0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f t="shared" si="3"/>
        <v>0</v>
      </c>
      <c r="T13" s="181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  <c r="AG13" s="63">
        <f t="shared" si="2"/>
        <v>0</v>
      </c>
      <c r="AH13" s="772"/>
      <c r="AI13" s="751"/>
      <c r="AJ13" s="770"/>
      <c r="AK13" s="770"/>
    </row>
    <row r="14" spans="1:37" ht="12.75" hidden="1" customHeight="1" x14ac:dyDescent="0.2">
      <c r="A14" s="751"/>
      <c r="B14" s="751"/>
      <c r="C14" s="768"/>
      <c r="D14" s="773" t="s">
        <v>592</v>
      </c>
      <c r="E14" s="771"/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>
        <v>0</v>
      </c>
      <c r="S14" s="63">
        <f t="shared" si="3"/>
        <v>0</v>
      </c>
      <c r="T14" s="181">
        <v>0</v>
      </c>
      <c r="U14" s="181">
        <v>0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81">
        <v>0</v>
      </c>
      <c r="AC14" s="181">
        <v>0</v>
      </c>
      <c r="AD14" s="181">
        <v>0</v>
      </c>
      <c r="AE14" s="181">
        <v>0</v>
      </c>
      <c r="AF14" s="181">
        <v>0</v>
      </c>
      <c r="AG14" s="63">
        <f t="shared" si="2"/>
        <v>0</v>
      </c>
      <c r="AH14" s="772"/>
      <c r="AI14" s="751"/>
      <c r="AJ14" s="770"/>
      <c r="AK14" s="770"/>
    </row>
    <row r="15" spans="1:37" ht="12.75" hidden="1" customHeight="1" x14ac:dyDescent="0.2">
      <c r="A15" s="751"/>
      <c r="B15" s="751"/>
      <c r="C15" s="768"/>
      <c r="D15" s="773" t="s">
        <v>593</v>
      </c>
      <c r="E15" s="771"/>
      <c r="F15" s="181">
        <v>0</v>
      </c>
      <c r="G15" s="181">
        <v>0</v>
      </c>
      <c r="H15" s="181">
        <v>0</v>
      </c>
      <c r="I15" s="181">
        <v>0</v>
      </c>
      <c r="J15" s="181">
        <v>0</v>
      </c>
      <c r="K15" s="181">
        <v>0</v>
      </c>
      <c r="L15" s="181">
        <v>0</v>
      </c>
      <c r="M15" s="181">
        <v>0</v>
      </c>
      <c r="N15" s="181">
        <v>0</v>
      </c>
      <c r="O15" s="181">
        <v>0</v>
      </c>
      <c r="P15" s="181">
        <v>0</v>
      </c>
      <c r="Q15" s="181">
        <v>0</v>
      </c>
      <c r="R15" s="181">
        <v>0</v>
      </c>
      <c r="S15" s="63">
        <f t="shared" si="3"/>
        <v>0</v>
      </c>
      <c r="T15" s="181">
        <v>0</v>
      </c>
      <c r="U15" s="181">
        <v>0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81">
        <v>0</v>
      </c>
      <c r="AC15" s="181">
        <v>0</v>
      </c>
      <c r="AD15" s="181">
        <v>0</v>
      </c>
      <c r="AE15" s="181">
        <v>0</v>
      </c>
      <c r="AF15" s="181">
        <v>0</v>
      </c>
      <c r="AG15" s="63">
        <f t="shared" si="2"/>
        <v>0</v>
      </c>
      <c r="AH15" s="772"/>
      <c r="AI15" s="751"/>
      <c r="AJ15" s="770"/>
      <c r="AK15" s="770"/>
    </row>
    <row r="16" spans="1:37" ht="12.75" hidden="1" customHeight="1" x14ac:dyDescent="0.2">
      <c r="A16" s="751"/>
      <c r="B16" s="751"/>
      <c r="C16" s="768"/>
      <c r="D16" s="773" t="s">
        <v>594</v>
      </c>
      <c r="E16" s="771"/>
      <c r="F16" s="181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f t="shared" si="3"/>
        <v>0</v>
      </c>
      <c r="T16" s="181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f t="shared" si="2"/>
        <v>0</v>
      </c>
      <c r="AH16" s="772"/>
      <c r="AI16" s="751"/>
      <c r="AJ16" s="770"/>
      <c r="AK16" s="770"/>
    </row>
    <row r="17" spans="1:37" ht="12.75" hidden="1" customHeight="1" x14ac:dyDescent="0.2">
      <c r="A17" s="751"/>
      <c r="B17" s="751"/>
      <c r="C17" s="768"/>
      <c r="D17" s="55" t="s">
        <v>595</v>
      </c>
      <c r="E17" s="771"/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  <c r="P17" s="181">
        <v>0</v>
      </c>
      <c r="Q17" s="181">
        <v>0</v>
      </c>
      <c r="R17" s="181">
        <v>0</v>
      </c>
      <c r="S17" s="63">
        <f t="shared" si="3"/>
        <v>0</v>
      </c>
      <c r="T17" s="181">
        <v>0</v>
      </c>
      <c r="U17" s="181">
        <v>0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81">
        <v>0</v>
      </c>
      <c r="AC17" s="181">
        <v>0</v>
      </c>
      <c r="AD17" s="181">
        <v>0</v>
      </c>
      <c r="AE17" s="181">
        <v>0</v>
      </c>
      <c r="AF17" s="181">
        <v>0</v>
      </c>
      <c r="AG17" s="63">
        <f t="shared" si="2"/>
        <v>0</v>
      </c>
      <c r="AH17" s="772"/>
      <c r="AI17" s="751"/>
      <c r="AJ17" s="770"/>
      <c r="AK17" s="770"/>
    </row>
    <row r="18" spans="1:37" x14ac:dyDescent="0.2">
      <c r="A18" s="751"/>
      <c r="B18" s="751"/>
      <c r="C18" s="768"/>
      <c r="D18" s="55" t="s">
        <v>596</v>
      </c>
      <c r="E18" s="771"/>
      <c r="F18" s="775">
        <v>0</v>
      </c>
      <c r="G18" s="775">
        <v>316</v>
      </c>
      <c r="H18" s="775">
        <v>168</v>
      </c>
      <c r="I18" s="775">
        <v>0</v>
      </c>
      <c r="J18" s="775">
        <v>0</v>
      </c>
      <c r="K18" s="775">
        <v>0</v>
      </c>
      <c r="L18" s="775">
        <v>0</v>
      </c>
      <c r="M18" s="775">
        <v>0</v>
      </c>
      <c r="N18" s="775">
        <v>0</v>
      </c>
      <c r="O18" s="775">
        <v>0</v>
      </c>
      <c r="P18" s="775">
        <v>0</v>
      </c>
      <c r="Q18" s="775">
        <v>0</v>
      </c>
      <c r="R18" s="775">
        <v>0</v>
      </c>
      <c r="S18" s="63">
        <f>SUM(G18:R18)</f>
        <v>484</v>
      </c>
      <c r="T18" s="775">
        <v>2345</v>
      </c>
      <c r="U18" s="775">
        <v>228</v>
      </c>
      <c r="V18" s="775">
        <v>407</v>
      </c>
      <c r="W18" s="775">
        <v>198</v>
      </c>
      <c r="X18" s="775">
        <v>167</v>
      </c>
      <c r="Y18" s="775">
        <v>84</v>
      </c>
      <c r="Z18" s="775">
        <v>204</v>
      </c>
      <c r="AA18" s="775">
        <v>142</v>
      </c>
      <c r="AB18" s="775">
        <v>262</v>
      </c>
      <c r="AC18" s="775">
        <v>130</v>
      </c>
      <c r="AD18" s="775">
        <v>173</v>
      </c>
      <c r="AE18" s="775">
        <v>168</v>
      </c>
      <c r="AF18" s="775">
        <v>182</v>
      </c>
      <c r="AG18" s="63">
        <f>SUM(U18:V18)</f>
        <v>635</v>
      </c>
      <c r="AH18" s="772"/>
      <c r="AI18" s="751"/>
      <c r="AJ18" s="770"/>
      <c r="AK18" s="770"/>
    </row>
    <row r="19" spans="1:37" ht="12.75" hidden="1" customHeight="1" x14ac:dyDescent="0.2">
      <c r="A19" s="751"/>
      <c r="B19" s="751"/>
      <c r="C19" s="768"/>
      <c r="D19" s="55" t="s">
        <v>597</v>
      </c>
      <c r="E19" s="771"/>
      <c r="F19" s="775">
        <v>0</v>
      </c>
      <c r="G19" s="775">
        <v>0</v>
      </c>
      <c r="H19" s="775">
        <v>0</v>
      </c>
      <c r="I19" s="775">
        <v>0</v>
      </c>
      <c r="J19" s="775">
        <v>0</v>
      </c>
      <c r="K19" s="775">
        <v>0</v>
      </c>
      <c r="L19" s="775">
        <v>0</v>
      </c>
      <c r="M19" s="775">
        <v>0</v>
      </c>
      <c r="N19" s="775">
        <v>0</v>
      </c>
      <c r="O19" s="775">
        <v>0</v>
      </c>
      <c r="P19" s="775">
        <v>0</v>
      </c>
      <c r="Q19" s="775">
        <v>0</v>
      </c>
      <c r="R19" s="775">
        <v>0</v>
      </c>
      <c r="S19" s="63">
        <f t="shared" si="3"/>
        <v>0</v>
      </c>
      <c r="T19" s="775">
        <v>0</v>
      </c>
      <c r="U19" s="775">
        <v>0</v>
      </c>
      <c r="V19" s="775">
        <v>0</v>
      </c>
      <c r="W19" s="775">
        <v>0</v>
      </c>
      <c r="X19" s="775">
        <v>0</v>
      </c>
      <c r="Y19" s="775">
        <v>0</v>
      </c>
      <c r="Z19" s="775">
        <v>0</v>
      </c>
      <c r="AA19" s="775">
        <v>0</v>
      </c>
      <c r="AB19" s="775">
        <v>0</v>
      </c>
      <c r="AC19" s="775">
        <v>0</v>
      </c>
      <c r="AD19" s="775">
        <v>0</v>
      </c>
      <c r="AE19" s="775">
        <v>0</v>
      </c>
      <c r="AF19" s="775">
        <v>0</v>
      </c>
      <c r="AG19" s="63">
        <f t="shared" si="2"/>
        <v>0</v>
      </c>
      <c r="AH19" s="772"/>
      <c r="AI19" s="751"/>
      <c r="AJ19" s="770"/>
      <c r="AK19" s="770"/>
    </row>
    <row r="20" spans="1:37" ht="12.75" hidden="1" customHeight="1" x14ac:dyDescent="0.2">
      <c r="A20" s="751"/>
      <c r="B20" s="751"/>
      <c r="C20" s="768"/>
      <c r="D20" s="55" t="s">
        <v>598</v>
      </c>
      <c r="E20" s="771"/>
      <c r="F20" s="775">
        <v>0</v>
      </c>
      <c r="G20" s="775">
        <v>0</v>
      </c>
      <c r="H20" s="775">
        <v>0</v>
      </c>
      <c r="I20" s="775">
        <v>0</v>
      </c>
      <c r="J20" s="775">
        <v>0</v>
      </c>
      <c r="K20" s="775">
        <v>0</v>
      </c>
      <c r="L20" s="775">
        <v>0</v>
      </c>
      <c r="M20" s="775">
        <v>0</v>
      </c>
      <c r="N20" s="775">
        <v>0</v>
      </c>
      <c r="O20" s="775">
        <v>0</v>
      </c>
      <c r="P20" s="775">
        <v>0</v>
      </c>
      <c r="Q20" s="775">
        <v>0</v>
      </c>
      <c r="R20" s="775">
        <v>0</v>
      </c>
      <c r="S20" s="63">
        <f t="shared" si="3"/>
        <v>0</v>
      </c>
      <c r="T20" s="775">
        <v>0</v>
      </c>
      <c r="U20" s="775">
        <v>0</v>
      </c>
      <c r="V20" s="775">
        <v>0</v>
      </c>
      <c r="W20" s="775">
        <v>0</v>
      </c>
      <c r="X20" s="775">
        <v>0</v>
      </c>
      <c r="Y20" s="775">
        <v>0</v>
      </c>
      <c r="Z20" s="775">
        <v>0</v>
      </c>
      <c r="AA20" s="775">
        <v>0</v>
      </c>
      <c r="AB20" s="775">
        <v>0</v>
      </c>
      <c r="AC20" s="775">
        <v>0</v>
      </c>
      <c r="AD20" s="775">
        <v>0</v>
      </c>
      <c r="AE20" s="775">
        <v>0</v>
      </c>
      <c r="AF20" s="775">
        <v>0</v>
      </c>
      <c r="AG20" s="63">
        <f t="shared" si="2"/>
        <v>0</v>
      </c>
      <c r="AH20" s="772"/>
      <c r="AI20" s="751"/>
      <c r="AJ20" s="770"/>
      <c r="AK20" s="770"/>
    </row>
    <row r="21" spans="1:37" ht="12.75" customHeight="1" x14ac:dyDescent="0.2">
      <c r="A21" s="751"/>
      <c r="B21" s="751"/>
      <c r="C21" s="768"/>
      <c r="D21" s="773" t="s">
        <v>599</v>
      </c>
      <c r="E21" s="129"/>
      <c r="F21" s="775">
        <v>0</v>
      </c>
      <c r="G21" s="775">
        <v>0</v>
      </c>
      <c r="H21" s="775">
        <v>0</v>
      </c>
      <c r="I21" s="775">
        <v>0</v>
      </c>
      <c r="J21" s="775">
        <v>0</v>
      </c>
      <c r="K21" s="775">
        <v>0</v>
      </c>
      <c r="L21" s="775">
        <v>0</v>
      </c>
      <c r="M21" s="775">
        <v>0</v>
      </c>
      <c r="N21" s="775">
        <v>0</v>
      </c>
      <c r="O21" s="775">
        <v>0</v>
      </c>
      <c r="P21" s="775">
        <v>0</v>
      </c>
      <c r="Q21" s="775">
        <v>0</v>
      </c>
      <c r="R21" s="775">
        <v>0</v>
      </c>
      <c r="S21" s="63">
        <f>SUM(G21:R21)</f>
        <v>0</v>
      </c>
      <c r="T21" s="775">
        <v>378078</v>
      </c>
      <c r="U21" s="775">
        <v>0</v>
      </c>
      <c r="V21" s="775">
        <v>378078</v>
      </c>
      <c r="W21" s="775">
        <v>0</v>
      </c>
      <c r="X21" s="775">
        <v>0</v>
      </c>
      <c r="Y21" s="775">
        <v>0</v>
      </c>
      <c r="Z21" s="775">
        <v>0</v>
      </c>
      <c r="AA21" s="775">
        <v>0</v>
      </c>
      <c r="AB21" s="775">
        <v>0</v>
      </c>
      <c r="AC21" s="775">
        <v>0</v>
      </c>
      <c r="AD21" s="775">
        <v>0</v>
      </c>
      <c r="AE21" s="775">
        <v>0</v>
      </c>
      <c r="AF21" s="775">
        <v>0</v>
      </c>
      <c r="AG21" s="63">
        <f>SUM(U21:V21)</f>
        <v>378078</v>
      </c>
      <c r="AH21" s="772"/>
      <c r="AI21" s="751"/>
      <c r="AJ21" s="770"/>
      <c r="AK21" s="770"/>
    </row>
    <row r="22" spans="1:37" x14ac:dyDescent="0.2">
      <c r="A22" s="751"/>
      <c r="B22" s="751"/>
      <c r="C22" s="768"/>
      <c r="D22" s="773" t="s">
        <v>600</v>
      </c>
      <c r="E22" s="92"/>
      <c r="F22" s="775">
        <v>0</v>
      </c>
      <c r="G22" s="775">
        <v>376261</v>
      </c>
      <c r="H22" s="775">
        <v>1466990</v>
      </c>
      <c r="I22" s="775">
        <v>0</v>
      </c>
      <c r="J22" s="775">
        <v>0</v>
      </c>
      <c r="K22" s="775">
        <v>0</v>
      </c>
      <c r="L22" s="775">
        <v>0</v>
      </c>
      <c r="M22" s="775">
        <v>0</v>
      </c>
      <c r="N22" s="775">
        <v>0</v>
      </c>
      <c r="O22" s="775">
        <v>0</v>
      </c>
      <c r="P22" s="775">
        <v>0</v>
      </c>
      <c r="Q22" s="775">
        <v>0</v>
      </c>
      <c r="R22" s="775">
        <v>0</v>
      </c>
      <c r="S22" s="63">
        <f>SUM(G22:R22)</f>
        <v>1843251</v>
      </c>
      <c r="T22" s="775">
        <v>3462654</v>
      </c>
      <c r="U22" s="775">
        <v>236014</v>
      </c>
      <c r="V22" s="775">
        <v>324359</v>
      </c>
      <c r="W22" s="775">
        <v>183897</v>
      </c>
      <c r="X22" s="775">
        <v>236661</v>
      </c>
      <c r="Y22" s="775">
        <v>513409</v>
      </c>
      <c r="Z22" s="775">
        <v>241446</v>
      </c>
      <c r="AA22" s="775">
        <v>54544</v>
      </c>
      <c r="AB22" s="775">
        <v>368953</v>
      </c>
      <c r="AC22" s="775">
        <v>133269</v>
      </c>
      <c r="AD22" s="775">
        <v>279324</v>
      </c>
      <c r="AE22" s="775">
        <v>508862</v>
      </c>
      <c r="AF22" s="775">
        <v>381916</v>
      </c>
      <c r="AG22" s="63">
        <f>SUM(U22:V22)</f>
        <v>560373</v>
      </c>
      <c r="AH22" s="772"/>
      <c r="AI22" s="751"/>
      <c r="AJ22" s="776"/>
      <c r="AK22" s="770"/>
    </row>
    <row r="23" spans="1:37" ht="12.75" hidden="1" customHeight="1" x14ac:dyDescent="0.2">
      <c r="A23" s="751"/>
      <c r="B23" s="751"/>
      <c r="C23" s="768"/>
      <c r="D23" s="55" t="s">
        <v>601</v>
      </c>
      <c r="E23" s="771"/>
      <c r="F23" s="775">
        <v>0</v>
      </c>
      <c r="G23" s="775">
        <v>0</v>
      </c>
      <c r="H23" s="775">
        <v>0</v>
      </c>
      <c r="I23" s="775">
        <v>0</v>
      </c>
      <c r="J23" s="775">
        <v>0</v>
      </c>
      <c r="K23" s="775">
        <v>0</v>
      </c>
      <c r="L23" s="775">
        <v>0</v>
      </c>
      <c r="M23" s="775">
        <v>0</v>
      </c>
      <c r="N23" s="775">
        <v>0</v>
      </c>
      <c r="O23" s="775">
        <v>0</v>
      </c>
      <c r="P23" s="775">
        <v>0</v>
      </c>
      <c r="Q23" s="775">
        <v>0</v>
      </c>
      <c r="R23" s="775">
        <v>0</v>
      </c>
      <c r="S23" s="63">
        <f>SUM(G23:R23)</f>
        <v>0</v>
      </c>
      <c r="T23" s="775">
        <v>0</v>
      </c>
      <c r="U23" s="775">
        <v>0</v>
      </c>
      <c r="V23" s="775">
        <v>0</v>
      </c>
      <c r="W23" s="775">
        <v>0</v>
      </c>
      <c r="X23" s="775">
        <v>0</v>
      </c>
      <c r="Y23" s="775">
        <v>0</v>
      </c>
      <c r="Z23" s="775">
        <v>0</v>
      </c>
      <c r="AA23" s="775">
        <v>0</v>
      </c>
      <c r="AB23" s="775">
        <v>0</v>
      </c>
      <c r="AC23" s="775">
        <v>0</v>
      </c>
      <c r="AD23" s="775">
        <v>0</v>
      </c>
      <c r="AE23" s="775">
        <v>0</v>
      </c>
      <c r="AF23" s="775">
        <v>0</v>
      </c>
      <c r="AG23" s="63">
        <f t="shared" ref="AG23:AG37" si="4">SUM(U23:V23)</f>
        <v>0</v>
      </c>
      <c r="AH23" s="772"/>
      <c r="AI23" s="751"/>
      <c r="AJ23" s="770"/>
      <c r="AK23" s="770"/>
    </row>
    <row r="24" spans="1:37" ht="12.75" hidden="1" customHeight="1" x14ac:dyDescent="0.2">
      <c r="A24" s="751"/>
      <c r="B24" s="751"/>
      <c r="C24" s="768"/>
      <c r="D24" s="773" t="s">
        <v>602</v>
      </c>
      <c r="E24" s="771"/>
      <c r="F24" s="775">
        <v>0</v>
      </c>
      <c r="G24" s="775">
        <v>0</v>
      </c>
      <c r="H24" s="775">
        <v>0</v>
      </c>
      <c r="I24" s="775">
        <v>0</v>
      </c>
      <c r="J24" s="775">
        <v>0</v>
      </c>
      <c r="K24" s="775">
        <v>0</v>
      </c>
      <c r="L24" s="775">
        <v>0</v>
      </c>
      <c r="M24" s="775">
        <v>0</v>
      </c>
      <c r="N24" s="775">
        <v>0</v>
      </c>
      <c r="O24" s="775">
        <v>0</v>
      </c>
      <c r="P24" s="775">
        <v>0</v>
      </c>
      <c r="Q24" s="775">
        <v>0</v>
      </c>
      <c r="R24" s="775">
        <v>0</v>
      </c>
      <c r="S24" s="63">
        <f t="shared" si="3"/>
        <v>0</v>
      </c>
      <c r="T24" s="775">
        <v>0</v>
      </c>
      <c r="U24" s="775">
        <v>0</v>
      </c>
      <c r="V24" s="775">
        <v>0</v>
      </c>
      <c r="W24" s="775">
        <v>0</v>
      </c>
      <c r="X24" s="775">
        <v>0</v>
      </c>
      <c r="Y24" s="775">
        <v>0</v>
      </c>
      <c r="Z24" s="775">
        <v>0</v>
      </c>
      <c r="AA24" s="775">
        <v>0</v>
      </c>
      <c r="AB24" s="775">
        <v>0</v>
      </c>
      <c r="AC24" s="775">
        <v>0</v>
      </c>
      <c r="AD24" s="775">
        <v>0</v>
      </c>
      <c r="AE24" s="775">
        <v>0</v>
      </c>
      <c r="AF24" s="775">
        <v>0</v>
      </c>
      <c r="AG24" s="63">
        <f t="shared" si="4"/>
        <v>0</v>
      </c>
      <c r="AH24" s="772"/>
      <c r="AI24" s="751"/>
      <c r="AJ24" s="770"/>
      <c r="AK24" s="770"/>
    </row>
    <row r="25" spans="1:37" ht="12.75" hidden="1" customHeight="1" x14ac:dyDescent="0.2">
      <c r="A25" s="751"/>
      <c r="B25" s="751"/>
      <c r="C25" s="768"/>
      <c r="D25" s="773" t="s">
        <v>603</v>
      </c>
      <c r="E25" s="771"/>
      <c r="F25" s="775">
        <v>0</v>
      </c>
      <c r="G25" s="775">
        <v>0</v>
      </c>
      <c r="H25" s="775">
        <v>0</v>
      </c>
      <c r="I25" s="775">
        <v>0</v>
      </c>
      <c r="J25" s="775">
        <v>0</v>
      </c>
      <c r="K25" s="775">
        <v>0</v>
      </c>
      <c r="L25" s="775">
        <v>0</v>
      </c>
      <c r="M25" s="775">
        <v>0</v>
      </c>
      <c r="N25" s="775">
        <v>0</v>
      </c>
      <c r="O25" s="775">
        <v>0</v>
      </c>
      <c r="P25" s="775">
        <v>0</v>
      </c>
      <c r="Q25" s="775">
        <v>0</v>
      </c>
      <c r="R25" s="775">
        <v>0</v>
      </c>
      <c r="S25" s="63">
        <f t="shared" si="3"/>
        <v>0</v>
      </c>
      <c r="T25" s="775">
        <v>0</v>
      </c>
      <c r="U25" s="775">
        <v>0</v>
      </c>
      <c r="V25" s="775">
        <v>0</v>
      </c>
      <c r="W25" s="775">
        <v>0</v>
      </c>
      <c r="X25" s="775">
        <v>0</v>
      </c>
      <c r="Y25" s="775">
        <v>0</v>
      </c>
      <c r="Z25" s="775">
        <v>0</v>
      </c>
      <c r="AA25" s="775">
        <v>0</v>
      </c>
      <c r="AB25" s="775">
        <v>0</v>
      </c>
      <c r="AC25" s="775">
        <v>0</v>
      </c>
      <c r="AD25" s="775">
        <v>0</v>
      </c>
      <c r="AE25" s="775">
        <v>0</v>
      </c>
      <c r="AF25" s="775">
        <v>0</v>
      </c>
      <c r="AG25" s="63">
        <f t="shared" si="4"/>
        <v>0</v>
      </c>
      <c r="AH25" s="772"/>
      <c r="AI25" s="751"/>
      <c r="AJ25" s="770"/>
      <c r="AK25" s="770"/>
    </row>
    <row r="26" spans="1:37" x14ac:dyDescent="0.2">
      <c r="A26" s="751"/>
      <c r="B26" s="751"/>
      <c r="C26" s="768"/>
      <c r="D26" s="773" t="s">
        <v>604</v>
      </c>
      <c r="E26" s="771"/>
      <c r="F26" s="775">
        <v>6005000</v>
      </c>
      <c r="G26" s="775">
        <v>859912</v>
      </c>
      <c r="H26" s="775">
        <v>1339982</v>
      </c>
      <c r="I26" s="775">
        <v>0</v>
      </c>
      <c r="J26" s="775">
        <v>0</v>
      </c>
      <c r="K26" s="775">
        <v>0</v>
      </c>
      <c r="L26" s="775">
        <v>0</v>
      </c>
      <c r="M26" s="775">
        <v>0</v>
      </c>
      <c r="N26" s="775">
        <v>0</v>
      </c>
      <c r="O26" s="775">
        <v>0</v>
      </c>
      <c r="P26" s="775">
        <v>0</v>
      </c>
      <c r="Q26" s="775">
        <v>0</v>
      </c>
      <c r="R26" s="775">
        <v>0</v>
      </c>
      <c r="S26" s="63">
        <f>SUM(G26:R26)</f>
        <v>2199894</v>
      </c>
      <c r="T26" s="775">
        <v>8958256</v>
      </c>
      <c r="U26" s="775">
        <v>955276</v>
      </c>
      <c r="V26" s="775">
        <v>4819534</v>
      </c>
      <c r="W26" s="775">
        <v>9233</v>
      </c>
      <c r="X26" s="775">
        <v>0</v>
      </c>
      <c r="Y26" s="775">
        <v>23388</v>
      </c>
      <c r="Z26" s="775">
        <v>67995</v>
      </c>
      <c r="AA26" s="775">
        <v>94893</v>
      </c>
      <c r="AB26" s="775">
        <v>20762</v>
      </c>
      <c r="AC26" s="775">
        <v>9886</v>
      </c>
      <c r="AD26" s="775">
        <v>28056</v>
      </c>
      <c r="AE26" s="775">
        <v>49385</v>
      </c>
      <c r="AF26" s="775">
        <v>2879848</v>
      </c>
      <c r="AG26" s="63">
        <f>SUM(U26:V26)</f>
        <v>5774810</v>
      </c>
      <c r="AH26" s="772"/>
      <c r="AI26" s="751"/>
      <c r="AJ26" s="776"/>
      <c r="AK26" s="770"/>
    </row>
    <row r="27" spans="1:37" ht="12.75" hidden="1" customHeight="1" x14ac:dyDescent="0.2">
      <c r="A27" s="751"/>
      <c r="B27" s="751"/>
      <c r="C27" s="768"/>
      <c r="D27" s="773" t="s">
        <v>605</v>
      </c>
      <c r="E27" s="771"/>
      <c r="F27" s="775">
        <v>0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>
        <v>0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>
        <v>0</v>
      </c>
      <c r="S27" s="63">
        <f t="shared" si="3"/>
        <v>0</v>
      </c>
      <c r="T27" s="775">
        <v>0</v>
      </c>
      <c r="U27" s="181">
        <v>0</v>
      </c>
      <c r="V27" s="181">
        <v>0</v>
      </c>
      <c r="W27" s="181">
        <v>0</v>
      </c>
      <c r="X27" s="181">
        <v>0</v>
      </c>
      <c r="Y27" s="181">
        <v>0</v>
      </c>
      <c r="Z27" s="181">
        <v>0</v>
      </c>
      <c r="AA27" s="181">
        <v>0</v>
      </c>
      <c r="AB27" s="181">
        <v>0</v>
      </c>
      <c r="AC27" s="181">
        <v>0</v>
      </c>
      <c r="AD27" s="181">
        <v>0</v>
      </c>
      <c r="AE27" s="181">
        <v>0</v>
      </c>
      <c r="AF27" s="181">
        <v>0</v>
      </c>
      <c r="AG27" s="63">
        <f t="shared" si="4"/>
        <v>0</v>
      </c>
      <c r="AH27" s="772"/>
      <c r="AI27" s="751"/>
      <c r="AJ27" s="770"/>
      <c r="AK27" s="770"/>
    </row>
    <row r="28" spans="1:37" ht="12.75" hidden="1" customHeight="1" x14ac:dyDescent="0.2">
      <c r="A28" s="751"/>
      <c r="B28" s="751"/>
      <c r="C28" s="768"/>
      <c r="D28" s="55" t="s">
        <v>606</v>
      </c>
      <c r="E28" s="774" t="s">
        <v>87</v>
      </c>
      <c r="F28" s="775">
        <v>0</v>
      </c>
      <c r="G28" s="181">
        <v>0</v>
      </c>
      <c r="H28" s="181">
        <v>0</v>
      </c>
      <c r="I28" s="181">
        <v>0</v>
      </c>
      <c r="J28" s="181">
        <v>0</v>
      </c>
      <c r="K28" s="181">
        <v>0</v>
      </c>
      <c r="L28" s="181">
        <v>0</v>
      </c>
      <c r="M28" s="181">
        <v>0</v>
      </c>
      <c r="N28" s="181">
        <v>0</v>
      </c>
      <c r="O28" s="181">
        <v>0</v>
      </c>
      <c r="P28" s="181">
        <v>0</v>
      </c>
      <c r="Q28" s="181">
        <v>0</v>
      </c>
      <c r="R28" s="181">
        <v>0</v>
      </c>
      <c r="S28" s="63">
        <f t="shared" si="3"/>
        <v>0</v>
      </c>
      <c r="T28" s="775">
        <v>0</v>
      </c>
      <c r="U28" s="181">
        <v>0</v>
      </c>
      <c r="V28" s="181">
        <v>0</v>
      </c>
      <c r="W28" s="181">
        <v>0</v>
      </c>
      <c r="X28" s="181">
        <v>0</v>
      </c>
      <c r="Y28" s="181">
        <v>0</v>
      </c>
      <c r="Z28" s="181">
        <v>0</v>
      </c>
      <c r="AA28" s="181">
        <v>0</v>
      </c>
      <c r="AB28" s="181">
        <v>0</v>
      </c>
      <c r="AC28" s="181">
        <v>0</v>
      </c>
      <c r="AD28" s="181">
        <v>0</v>
      </c>
      <c r="AE28" s="181">
        <v>0</v>
      </c>
      <c r="AF28" s="181">
        <v>0</v>
      </c>
      <c r="AG28" s="63">
        <f t="shared" si="4"/>
        <v>0</v>
      </c>
      <c r="AH28" s="772"/>
      <c r="AI28" s="751"/>
      <c r="AJ28" s="770"/>
      <c r="AK28" s="770"/>
    </row>
    <row r="29" spans="1:37" s="778" customFormat="1" ht="12.75" hidden="1" customHeight="1" x14ac:dyDescent="0.2">
      <c r="A29" s="754"/>
      <c r="B29" s="754"/>
      <c r="C29" s="727"/>
      <c r="D29" s="773" t="s">
        <v>607</v>
      </c>
      <c r="E29" s="771"/>
      <c r="F29" s="775">
        <v>0</v>
      </c>
      <c r="G29" s="181">
        <v>0</v>
      </c>
      <c r="H29" s="181">
        <v>0</v>
      </c>
      <c r="I29" s="181">
        <v>0</v>
      </c>
      <c r="J29" s="181">
        <v>0</v>
      </c>
      <c r="K29" s="181">
        <v>0</v>
      </c>
      <c r="L29" s="181">
        <v>0</v>
      </c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1">
        <v>0</v>
      </c>
      <c r="S29" s="63">
        <f>SUM(G29:R29)</f>
        <v>0</v>
      </c>
      <c r="T29" s="775">
        <v>0</v>
      </c>
      <c r="U29" s="181">
        <v>0</v>
      </c>
      <c r="V29" s="181">
        <v>0</v>
      </c>
      <c r="W29" s="181">
        <v>0</v>
      </c>
      <c r="X29" s="181">
        <v>0</v>
      </c>
      <c r="Y29" s="181">
        <v>0</v>
      </c>
      <c r="Z29" s="181">
        <v>0</v>
      </c>
      <c r="AA29" s="181">
        <v>0</v>
      </c>
      <c r="AB29" s="181">
        <v>0</v>
      </c>
      <c r="AC29" s="181">
        <v>0</v>
      </c>
      <c r="AD29" s="181">
        <v>0</v>
      </c>
      <c r="AE29" s="181">
        <v>0</v>
      </c>
      <c r="AF29" s="181">
        <v>0</v>
      </c>
      <c r="AG29" s="63">
        <f t="shared" si="4"/>
        <v>0</v>
      </c>
      <c r="AH29" s="777"/>
      <c r="AI29" s="754"/>
      <c r="AJ29" s="770"/>
      <c r="AK29" s="770"/>
    </row>
    <row r="30" spans="1:37" s="778" customFormat="1" ht="12.75" hidden="1" customHeight="1" x14ac:dyDescent="0.2">
      <c r="A30" s="754"/>
      <c r="B30" s="754"/>
      <c r="C30" s="727"/>
      <c r="D30" s="55" t="s">
        <v>608</v>
      </c>
      <c r="E30" s="771"/>
      <c r="F30" s="775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  <c r="P30" s="181">
        <v>0</v>
      </c>
      <c r="Q30" s="181">
        <v>0</v>
      </c>
      <c r="R30" s="181">
        <v>0</v>
      </c>
      <c r="S30" s="63">
        <f t="shared" si="3"/>
        <v>0</v>
      </c>
      <c r="T30" s="775">
        <v>0</v>
      </c>
      <c r="U30" s="181">
        <v>0</v>
      </c>
      <c r="V30" s="181">
        <v>0</v>
      </c>
      <c r="W30" s="181">
        <v>0</v>
      </c>
      <c r="X30" s="181">
        <v>0</v>
      </c>
      <c r="Y30" s="181">
        <v>0</v>
      </c>
      <c r="Z30" s="181">
        <v>0</v>
      </c>
      <c r="AA30" s="181">
        <v>0</v>
      </c>
      <c r="AB30" s="181">
        <v>0</v>
      </c>
      <c r="AC30" s="181">
        <v>0</v>
      </c>
      <c r="AD30" s="181">
        <v>0</v>
      </c>
      <c r="AE30" s="181">
        <v>0</v>
      </c>
      <c r="AF30" s="181">
        <v>0</v>
      </c>
      <c r="AG30" s="63">
        <f t="shared" si="4"/>
        <v>0</v>
      </c>
      <c r="AH30" s="777"/>
      <c r="AI30" s="754"/>
      <c r="AJ30" s="770"/>
      <c r="AK30" s="770"/>
    </row>
    <row r="31" spans="1:37" s="778" customFormat="1" ht="12.75" hidden="1" customHeight="1" x14ac:dyDescent="0.2">
      <c r="A31" s="754"/>
      <c r="B31" s="754"/>
      <c r="C31" s="727"/>
      <c r="D31" s="55" t="s">
        <v>609</v>
      </c>
      <c r="E31" s="771"/>
      <c r="F31" s="775">
        <v>0</v>
      </c>
      <c r="G31" s="181">
        <v>0</v>
      </c>
      <c r="H31" s="181">
        <v>0</v>
      </c>
      <c r="I31" s="181">
        <v>0</v>
      </c>
      <c r="J31" s="181">
        <v>0</v>
      </c>
      <c r="K31" s="181">
        <v>0</v>
      </c>
      <c r="L31" s="181">
        <v>0</v>
      </c>
      <c r="M31" s="181">
        <v>0</v>
      </c>
      <c r="N31" s="181">
        <v>0</v>
      </c>
      <c r="O31" s="181">
        <v>0</v>
      </c>
      <c r="P31" s="181">
        <v>0</v>
      </c>
      <c r="Q31" s="181">
        <v>0</v>
      </c>
      <c r="R31" s="181">
        <v>0</v>
      </c>
      <c r="S31" s="63">
        <f t="shared" si="3"/>
        <v>0</v>
      </c>
      <c r="T31" s="775">
        <v>0</v>
      </c>
      <c r="U31" s="181">
        <v>0</v>
      </c>
      <c r="V31" s="181">
        <v>0</v>
      </c>
      <c r="W31" s="181">
        <v>0</v>
      </c>
      <c r="X31" s="181">
        <v>0</v>
      </c>
      <c r="Y31" s="181">
        <v>0</v>
      </c>
      <c r="Z31" s="181">
        <v>0</v>
      </c>
      <c r="AA31" s="181">
        <v>0</v>
      </c>
      <c r="AB31" s="181">
        <v>0</v>
      </c>
      <c r="AC31" s="181">
        <v>0</v>
      </c>
      <c r="AD31" s="181">
        <v>0</v>
      </c>
      <c r="AE31" s="181">
        <v>0</v>
      </c>
      <c r="AF31" s="181">
        <v>0</v>
      </c>
      <c r="AG31" s="63">
        <f t="shared" si="4"/>
        <v>0</v>
      </c>
      <c r="AH31" s="777"/>
      <c r="AI31" s="754"/>
      <c r="AJ31" s="770"/>
      <c r="AK31" s="770"/>
    </row>
    <row r="32" spans="1:37" ht="12.75" hidden="1" customHeight="1" x14ac:dyDescent="0.2">
      <c r="A32" s="751"/>
      <c r="B32" s="751"/>
      <c r="C32" s="768"/>
      <c r="D32" s="55" t="s">
        <v>610</v>
      </c>
      <c r="E32" s="771"/>
      <c r="F32" s="775">
        <v>0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>
        <v>0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>
        <v>0</v>
      </c>
      <c r="S32" s="63">
        <f t="shared" si="3"/>
        <v>0</v>
      </c>
      <c r="T32" s="775">
        <v>0</v>
      </c>
      <c r="U32" s="181">
        <v>0</v>
      </c>
      <c r="V32" s="181">
        <v>0</v>
      </c>
      <c r="W32" s="181">
        <v>0</v>
      </c>
      <c r="X32" s="181">
        <v>0</v>
      </c>
      <c r="Y32" s="181">
        <v>0</v>
      </c>
      <c r="Z32" s="181">
        <v>0</v>
      </c>
      <c r="AA32" s="181">
        <v>0</v>
      </c>
      <c r="AB32" s="181">
        <v>0</v>
      </c>
      <c r="AC32" s="181">
        <v>0</v>
      </c>
      <c r="AD32" s="181">
        <v>0</v>
      </c>
      <c r="AE32" s="181">
        <v>0</v>
      </c>
      <c r="AF32" s="181">
        <v>0</v>
      </c>
      <c r="AG32" s="63">
        <f t="shared" si="4"/>
        <v>0</v>
      </c>
      <c r="AH32" s="772"/>
      <c r="AI32" s="751"/>
      <c r="AJ32" s="770"/>
      <c r="AK32" s="770"/>
    </row>
    <row r="33" spans="1:37" ht="12.75" hidden="1" customHeight="1" x14ac:dyDescent="0.2">
      <c r="A33" s="751"/>
      <c r="B33" s="751"/>
      <c r="C33" s="768"/>
      <c r="D33" s="55" t="s">
        <v>610</v>
      </c>
      <c r="E33" s="771"/>
      <c r="F33" s="775">
        <v>0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>
        <v>0</v>
      </c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1">
        <v>0</v>
      </c>
      <c r="S33" s="63">
        <f t="shared" si="3"/>
        <v>0</v>
      </c>
      <c r="T33" s="775">
        <v>0</v>
      </c>
      <c r="U33" s="181">
        <v>0</v>
      </c>
      <c r="V33" s="181">
        <v>0</v>
      </c>
      <c r="W33" s="181">
        <v>0</v>
      </c>
      <c r="X33" s="181">
        <v>0</v>
      </c>
      <c r="Y33" s="181">
        <v>0</v>
      </c>
      <c r="Z33" s="181">
        <v>0</v>
      </c>
      <c r="AA33" s="181">
        <v>0</v>
      </c>
      <c r="AB33" s="181">
        <v>0</v>
      </c>
      <c r="AC33" s="181">
        <v>0</v>
      </c>
      <c r="AD33" s="181">
        <v>0</v>
      </c>
      <c r="AE33" s="181">
        <v>0</v>
      </c>
      <c r="AF33" s="181">
        <v>0</v>
      </c>
      <c r="AG33" s="63">
        <f t="shared" si="4"/>
        <v>0</v>
      </c>
      <c r="AH33" s="772"/>
      <c r="AI33" s="751"/>
      <c r="AJ33" s="770"/>
      <c r="AK33" s="770"/>
    </row>
    <row r="34" spans="1:37" ht="15" hidden="1" customHeight="1" x14ac:dyDescent="0.2">
      <c r="A34" s="751"/>
      <c r="B34" s="751"/>
      <c r="C34" s="768"/>
      <c r="D34" s="773" t="s">
        <v>611</v>
      </c>
      <c r="E34" s="771"/>
      <c r="F34" s="775">
        <v>0</v>
      </c>
      <c r="G34" s="181">
        <v>0</v>
      </c>
      <c r="H34" s="181">
        <v>0</v>
      </c>
      <c r="I34" s="181">
        <v>0</v>
      </c>
      <c r="J34" s="181">
        <v>0</v>
      </c>
      <c r="K34" s="181">
        <v>0</v>
      </c>
      <c r="L34" s="181">
        <v>0</v>
      </c>
      <c r="M34" s="181">
        <v>0</v>
      </c>
      <c r="N34" s="181">
        <v>0</v>
      </c>
      <c r="O34" s="181">
        <v>0</v>
      </c>
      <c r="P34" s="181">
        <v>0</v>
      </c>
      <c r="Q34" s="181">
        <v>0</v>
      </c>
      <c r="R34" s="181">
        <v>0</v>
      </c>
      <c r="S34" s="63">
        <f t="shared" si="3"/>
        <v>0</v>
      </c>
      <c r="T34" s="775">
        <v>0</v>
      </c>
      <c r="U34" s="181">
        <v>0</v>
      </c>
      <c r="V34" s="181">
        <v>0</v>
      </c>
      <c r="W34" s="181">
        <v>0</v>
      </c>
      <c r="X34" s="181">
        <v>0</v>
      </c>
      <c r="Y34" s="181">
        <v>0</v>
      </c>
      <c r="Z34" s="181">
        <v>0</v>
      </c>
      <c r="AA34" s="181">
        <v>0</v>
      </c>
      <c r="AB34" s="181">
        <v>0</v>
      </c>
      <c r="AC34" s="181">
        <v>0</v>
      </c>
      <c r="AD34" s="181">
        <v>0</v>
      </c>
      <c r="AE34" s="181">
        <v>0</v>
      </c>
      <c r="AF34" s="181">
        <v>0</v>
      </c>
      <c r="AG34" s="63">
        <f t="shared" si="4"/>
        <v>0</v>
      </c>
      <c r="AH34" s="772"/>
      <c r="AI34" s="751"/>
      <c r="AJ34" s="770"/>
      <c r="AK34" s="770"/>
    </row>
    <row r="35" spans="1:37" ht="12.75" hidden="1" customHeight="1" x14ac:dyDescent="0.2">
      <c r="A35" s="751"/>
      <c r="B35" s="751"/>
      <c r="C35" s="768"/>
      <c r="D35" s="55" t="s">
        <v>612</v>
      </c>
      <c r="E35" s="771"/>
      <c r="F35" s="775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0</v>
      </c>
      <c r="O35" s="181">
        <v>0</v>
      </c>
      <c r="P35" s="181">
        <v>0</v>
      </c>
      <c r="Q35" s="181">
        <v>0</v>
      </c>
      <c r="R35" s="181">
        <v>0</v>
      </c>
      <c r="S35" s="63">
        <f>SUM(G35:R35)</f>
        <v>0</v>
      </c>
      <c r="T35" s="775">
        <v>0</v>
      </c>
      <c r="U35" s="181">
        <v>0</v>
      </c>
      <c r="V35" s="181">
        <v>0</v>
      </c>
      <c r="W35" s="181">
        <v>0</v>
      </c>
      <c r="X35" s="181">
        <v>0</v>
      </c>
      <c r="Y35" s="181">
        <v>0</v>
      </c>
      <c r="Z35" s="181">
        <v>0</v>
      </c>
      <c r="AA35" s="181">
        <v>0</v>
      </c>
      <c r="AB35" s="181">
        <v>0</v>
      </c>
      <c r="AC35" s="181">
        <v>0</v>
      </c>
      <c r="AD35" s="181">
        <v>0</v>
      </c>
      <c r="AE35" s="181">
        <v>0</v>
      </c>
      <c r="AF35" s="181">
        <v>0</v>
      </c>
      <c r="AG35" s="63">
        <f t="shared" si="4"/>
        <v>0</v>
      </c>
      <c r="AH35" s="772"/>
      <c r="AI35" s="751"/>
      <c r="AJ35" s="770"/>
      <c r="AK35" s="770"/>
    </row>
    <row r="36" spans="1:37" hidden="1" x14ac:dyDescent="0.2">
      <c r="A36" s="751"/>
      <c r="B36" s="751"/>
      <c r="C36" s="768"/>
      <c r="D36" s="55" t="s">
        <v>613</v>
      </c>
      <c r="E36" s="771"/>
      <c r="F36" s="775">
        <v>0</v>
      </c>
      <c r="G36" s="181">
        <v>0</v>
      </c>
      <c r="H36" s="181"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>
        <v>0</v>
      </c>
      <c r="S36" s="63">
        <f>SUM(G36:R36)</f>
        <v>0</v>
      </c>
      <c r="T36" s="775">
        <v>0</v>
      </c>
      <c r="U36" s="181">
        <v>0</v>
      </c>
      <c r="V36" s="181">
        <v>0</v>
      </c>
      <c r="W36" s="181">
        <v>0</v>
      </c>
      <c r="X36" s="181">
        <v>0</v>
      </c>
      <c r="Y36" s="181">
        <v>0</v>
      </c>
      <c r="Z36" s="181">
        <v>0</v>
      </c>
      <c r="AA36" s="181">
        <v>0</v>
      </c>
      <c r="AB36" s="181">
        <v>0</v>
      </c>
      <c r="AC36" s="181">
        <v>0</v>
      </c>
      <c r="AD36" s="181">
        <v>0</v>
      </c>
      <c r="AE36" s="181">
        <v>0</v>
      </c>
      <c r="AF36" s="181">
        <v>0</v>
      </c>
      <c r="AG36" s="63">
        <f t="shared" si="4"/>
        <v>0</v>
      </c>
      <c r="AH36" s="772"/>
      <c r="AI36" s="751"/>
      <c r="AJ36" s="770"/>
      <c r="AK36" s="770">
        <v>1316271</v>
      </c>
    </row>
    <row r="37" spans="1:37" hidden="1" x14ac:dyDescent="0.2">
      <c r="A37" s="751"/>
      <c r="B37" s="751"/>
      <c r="C37" s="768"/>
      <c r="D37" s="55" t="s">
        <v>614</v>
      </c>
      <c r="E37" s="771"/>
      <c r="F37" s="775">
        <v>0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>
        <v>0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>
        <v>0</v>
      </c>
      <c r="S37" s="63">
        <f>SUM(G37:R37)</f>
        <v>0</v>
      </c>
      <c r="T37" s="775">
        <v>0</v>
      </c>
      <c r="U37" s="181">
        <v>0</v>
      </c>
      <c r="V37" s="181">
        <v>0</v>
      </c>
      <c r="W37" s="181">
        <v>0</v>
      </c>
      <c r="X37" s="181">
        <v>0</v>
      </c>
      <c r="Y37" s="181">
        <v>0</v>
      </c>
      <c r="Z37" s="181">
        <v>0</v>
      </c>
      <c r="AA37" s="181">
        <v>0</v>
      </c>
      <c r="AB37" s="181">
        <v>0</v>
      </c>
      <c r="AC37" s="181">
        <v>0</v>
      </c>
      <c r="AD37" s="181">
        <v>0</v>
      </c>
      <c r="AE37" s="181">
        <v>0</v>
      </c>
      <c r="AF37" s="181">
        <v>0</v>
      </c>
      <c r="AG37" s="63">
        <f t="shared" si="4"/>
        <v>0</v>
      </c>
      <c r="AH37" s="772"/>
      <c r="AI37" s="751"/>
      <c r="AJ37" s="770"/>
      <c r="AK37" s="770"/>
    </row>
    <row r="38" spans="1:37" x14ac:dyDescent="0.2">
      <c r="A38" s="751"/>
      <c r="B38" s="751"/>
      <c r="C38" s="768"/>
      <c r="D38" s="773" t="s">
        <v>615</v>
      </c>
      <c r="E38" s="771"/>
      <c r="F38" s="181">
        <v>0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1">
        <v>0</v>
      </c>
      <c r="S38" s="63">
        <f>SUM(G38:R38)</f>
        <v>0</v>
      </c>
      <c r="T38" s="181">
        <v>0</v>
      </c>
      <c r="U38" s="181">
        <v>0</v>
      </c>
      <c r="V38" s="181">
        <v>0</v>
      </c>
      <c r="W38" s="181">
        <v>0</v>
      </c>
      <c r="X38" s="181">
        <v>0</v>
      </c>
      <c r="Y38" s="181">
        <v>0</v>
      </c>
      <c r="Z38" s="181">
        <v>0</v>
      </c>
      <c r="AA38" s="181">
        <v>0</v>
      </c>
      <c r="AB38" s="181">
        <v>0</v>
      </c>
      <c r="AC38" s="181">
        <v>0</v>
      </c>
      <c r="AD38" s="181">
        <v>0</v>
      </c>
      <c r="AE38" s="181">
        <v>0</v>
      </c>
      <c r="AF38" s="181">
        <v>0</v>
      </c>
      <c r="AG38" s="63">
        <f>SUM(U38:V38)</f>
        <v>0</v>
      </c>
      <c r="AH38" s="772"/>
      <c r="AI38" s="751"/>
      <c r="AJ38" s="770"/>
      <c r="AK38" s="770"/>
    </row>
    <row r="39" spans="1:37" ht="12.75" customHeight="1" x14ac:dyDescent="0.2">
      <c r="A39" s="751"/>
      <c r="B39" s="751"/>
      <c r="C39" s="768"/>
      <c r="D39" s="773"/>
      <c r="E39" s="129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63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63"/>
      <c r="AH39" s="772"/>
      <c r="AI39" s="751"/>
      <c r="AJ39" s="770"/>
      <c r="AK39" s="770"/>
    </row>
    <row r="40" spans="1:37" x14ac:dyDescent="0.2">
      <c r="A40" s="751"/>
      <c r="B40" s="751"/>
      <c r="C40" s="768" t="s">
        <v>616</v>
      </c>
      <c r="D40" s="762"/>
      <c r="E40" s="779"/>
      <c r="F40" s="202">
        <f t="shared" ref="F40:R40" si="5">SUM(F41:F49)</f>
        <v>-97937</v>
      </c>
      <c r="G40" s="202">
        <f>SUM(G41:G49)</f>
        <v>-18</v>
      </c>
      <c r="H40" s="202">
        <f t="shared" si="5"/>
        <v>-111334</v>
      </c>
      <c r="I40" s="202">
        <f t="shared" si="5"/>
        <v>0</v>
      </c>
      <c r="J40" s="202">
        <f t="shared" si="5"/>
        <v>0</v>
      </c>
      <c r="K40" s="202">
        <f t="shared" si="5"/>
        <v>0</v>
      </c>
      <c r="L40" s="202">
        <f t="shared" si="5"/>
        <v>0</v>
      </c>
      <c r="M40" s="202">
        <f t="shared" si="5"/>
        <v>0</v>
      </c>
      <c r="N40" s="202">
        <f t="shared" si="5"/>
        <v>0</v>
      </c>
      <c r="O40" s="202">
        <f t="shared" si="5"/>
        <v>0</v>
      </c>
      <c r="P40" s="202">
        <f>SUM(P41:P49)</f>
        <v>0</v>
      </c>
      <c r="Q40" s="202">
        <f t="shared" si="5"/>
        <v>0</v>
      </c>
      <c r="R40" s="202">
        <f t="shared" si="5"/>
        <v>0</v>
      </c>
      <c r="S40" s="202">
        <f>SUM(S41:S49)</f>
        <v>-111352</v>
      </c>
      <c r="T40" s="202">
        <f>SUM(T41:T49)</f>
        <v>-468468</v>
      </c>
      <c r="U40" s="202">
        <f>SUM(U41:U49)</f>
        <v>-131872</v>
      </c>
      <c r="V40" s="202">
        <f t="shared" ref="V40:AC40" si="6">SUM(V41:V49)</f>
        <v>-83878</v>
      </c>
      <c r="W40" s="202">
        <f t="shared" si="6"/>
        <v>-23306</v>
      </c>
      <c r="X40" s="202">
        <f t="shared" si="6"/>
        <v>-119906</v>
      </c>
      <c r="Y40" s="202">
        <f t="shared" si="6"/>
        <v>-230</v>
      </c>
      <c r="Z40" s="202">
        <f t="shared" si="6"/>
        <v>-21</v>
      </c>
      <c r="AA40" s="202">
        <f t="shared" si="6"/>
        <v>-30</v>
      </c>
      <c r="AB40" s="202">
        <f t="shared" si="6"/>
        <v>-1363</v>
      </c>
      <c r="AC40" s="202">
        <f t="shared" si="6"/>
        <v>-107525</v>
      </c>
      <c r="AD40" s="202">
        <f>SUM(AD41:AD49)</f>
        <v>-298</v>
      </c>
      <c r="AE40" s="202">
        <f>SUM(AE41:AE49)</f>
        <v>0</v>
      </c>
      <c r="AF40" s="202">
        <f>SUM(AF41:AF49)</f>
        <v>-39</v>
      </c>
      <c r="AG40" s="202">
        <f>SUM(AG41:AG49)</f>
        <v>-215750</v>
      </c>
      <c r="AH40" s="772"/>
      <c r="AI40" s="751"/>
      <c r="AJ40" s="770"/>
      <c r="AK40" s="770"/>
    </row>
    <row r="41" spans="1:37" hidden="1" x14ac:dyDescent="0.2">
      <c r="A41" s="751"/>
      <c r="B41" s="751"/>
      <c r="C41" s="780"/>
      <c r="D41" s="773" t="s">
        <v>617</v>
      </c>
      <c r="E41" s="771"/>
      <c r="F41" s="181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f t="shared" ref="S41:S49" si="7">SUM(G41:R41)</f>
        <v>0</v>
      </c>
      <c r="T41" s="181">
        <v>0</v>
      </c>
      <c r="U41" s="63">
        <v>0</v>
      </c>
      <c r="V41" s="63">
        <v>0</v>
      </c>
      <c r="W41" s="63">
        <v>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0</v>
      </c>
      <c r="AE41" s="63">
        <v>0</v>
      </c>
      <c r="AF41" s="63">
        <v>0</v>
      </c>
      <c r="AG41" s="63">
        <f>SUM(U41:AF41)</f>
        <v>0</v>
      </c>
      <c r="AH41" s="769"/>
      <c r="AI41" s="751"/>
      <c r="AJ41" s="770"/>
      <c r="AK41" s="770"/>
    </row>
    <row r="42" spans="1:37" hidden="1" x14ac:dyDescent="0.2">
      <c r="A42" s="751"/>
      <c r="B42" s="751"/>
      <c r="C42" s="780"/>
      <c r="D42" s="773" t="s">
        <v>618</v>
      </c>
      <c r="E42" s="771"/>
      <c r="F42" s="775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f t="shared" si="7"/>
        <v>0</v>
      </c>
      <c r="T42" s="775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0</v>
      </c>
      <c r="AE42" s="63">
        <v>0</v>
      </c>
      <c r="AF42" s="63">
        <v>0</v>
      </c>
      <c r="AG42" s="63">
        <f>SUM(U42:AF42)</f>
        <v>0</v>
      </c>
      <c r="AH42" s="769"/>
      <c r="AI42" s="751"/>
      <c r="AJ42" s="770"/>
      <c r="AK42" s="770"/>
    </row>
    <row r="43" spans="1:37" x14ac:dyDescent="0.2">
      <c r="A43" s="751"/>
      <c r="B43" s="751"/>
      <c r="C43" s="780"/>
      <c r="D43" s="55" t="s">
        <v>619</v>
      </c>
      <c r="E43" s="779" t="s">
        <v>89</v>
      </c>
      <c r="F43" s="775">
        <v>-97937</v>
      </c>
      <c r="G43" s="63">
        <v>0</v>
      </c>
      <c r="H43" s="63">
        <v>-111331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63">
        <v>0</v>
      </c>
      <c r="R43" s="63">
        <v>0</v>
      </c>
      <c r="S43" s="63">
        <f t="shared" si="7"/>
        <v>-111331</v>
      </c>
      <c r="T43" s="775">
        <v>-131729</v>
      </c>
      <c r="U43" s="63">
        <v>-131729</v>
      </c>
      <c r="V43" s="63">
        <v>0</v>
      </c>
      <c r="W43" s="63">
        <v>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f t="shared" ref="AG43:AG49" si="8">SUM(U43:V43)</f>
        <v>-131729</v>
      </c>
      <c r="AH43" s="769"/>
      <c r="AI43" s="751"/>
      <c r="AJ43" s="770"/>
      <c r="AK43" s="770"/>
    </row>
    <row r="44" spans="1:37" ht="12.75" customHeight="1" x14ac:dyDescent="0.2">
      <c r="A44" s="751"/>
      <c r="B44" s="751"/>
      <c r="C44" s="780"/>
      <c r="D44" s="773" t="s">
        <v>620</v>
      </c>
      <c r="E44" s="771"/>
      <c r="F44" s="775">
        <v>0</v>
      </c>
      <c r="G44" s="63">
        <v>0</v>
      </c>
      <c r="H44" s="63">
        <v>0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0</v>
      </c>
      <c r="R44" s="63">
        <v>0</v>
      </c>
      <c r="S44" s="63">
        <f t="shared" si="7"/>
        <v>0</v>
      </c>
      <c r="T44" s="775">
        <v>-252652</v>
      </c>
      <c r="U44" s="63">
        <v>0</v>
      </c>
      <c r="V44" s="63">
        <v>0</v>
      </c>
      <c r="W44" s="63">
        <v>-23306</v>
      </c>
      <c r="X44" s="63">
        <v>-119905</v>
      </c>
      <c r="Y44" s="63">
        <v>-217</v>
      </c>
      <c r="Z44" s="63">
        <v>0</v>
      </c>
      <c r="AA44" s="63">
        <v>-30</v>
      </c>
      <c r="AB44" s="63">
        <v>-1360</v>
      </c>
      <c r="AC44" s="63">
        <v>-107525</v>
      </c>
      <c r="AD44" s="63">
        <v>-298</v>
      </c>
      <c r="AE44" s="63">
        <v>0</v>
      </c>
      <c r="AF44" s="63">
        <v>-11</v>
      </c>
      <c r="AG44" s="63">
        <f t="shared" si="8"/>
        <v>0</v>
      </c>
      <c r="AH44" s="769"/>
      <c r="AI44" s="751"/>
      <c r="AJ44" s="770"/>
      <c r="AK44" s="770"/>
    </row>
    <row r="45" spans="1:37" x14ac:dyDescent="0.2">
      <c r="A45" s="751"/>
      <c r="B45" s="751"/>
      <c r="C45" s="780"/>
      <c r="D45" s="773" t="s">
        <v>621</v>
      </c>
      <c r="E45" s="771"/>
      <c r="F45" s="775">
        <v>0</v>
      </c>
      <c r="G45" s="63">
        <v>0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0</v>
      </c>
      <c r="O45" s="63">
        <v>0</v>
      </c>
      <c r="P45" s="63">
        <v>0</v>
      </c>
      <c r="Q45" s="63">
        <v>0</v>
      </c>
      <c r="R45" s="63">
        <v>0</v>
      </c>
      <c r="S45" s="63">
        <f t="shared" si="7"/>
        <v>0</v>
      </c>
      <c r="T45" s="775">
        <v>-83878</v>
      </c>
      <c r="U45" s="63">
        <v>0</v>
      </c>
      <c r="V45" s="63">
        <v>-83878</v>
      </c>
      <c r="W45" s="63">
        <v>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f t="shared" si="8"/>
        <v>-83878</v>
      </c>
      <c r="AH45" s="769"/>
      <c r="AI45" s="751"/>
      <c r="AJ45" s="770"/>
      <c r="AK45" s="770"/>
    </row>
    <row r="46" spans="1:37" hidden="1" x14ac:dyDescent="0.2">
      <c r="A46" s="751"/>
      <c r="B46" s="751"/>
      <c r="C46" s="780"/>
      <c r="D46" s="773" t="s">
        <v>622</v>
      </c>
      <c r="E46" s="771"/>
      <c r="F46" s="181">
        <v>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v>0</v>
      </c>
      <c r="O46" s="63">
        <v>0</v>
      </c>
      <c r="P46" s="63">
        <v>0</v>
      </c>
      <c r="Q46" s="63">
        <v>0</v>
      </c>
      <c r="R46" s="63">
        <v>0</v>
      </c>
      <c r="S46" s="63">
        <f t="shared" si="7"/>
        <v>0</v>
      </c>
      <c r="T46" s="181">
        <v>0</v>
      </c>
      <c r="U46" s="63">
        <v>0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f t="shared" si="8"/>
        <v>0</v>
      </c>
      <c r="AH46" s="769"/>
      <c r="AI46" s="751"/>
      <c r="AJ46" s="770"/>
      <c r="AK46" s="770"/>
    </row>
    <row r="47" spans="1:37" ht="12.75" hidden="1" customHeight="1" x14ac:dyDescent="0.2">
      <c r="A47" s="751"/>
      <c r="B47" s="751"/>
      <c r="C47" s="780"/>
      <c r="D47" s="55" t="s">
        <v>623</v>
      </c>
      <c r="E47" s="129"/>
      <c r="F47" s="181">
        <v>0</v>
      </c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0</v>
      </c>
      <c r="O47" s="63">
        <v>0</v>
      </c>
      <c r="P47" s="63">
        <v>0</v>
      </c>
      <c r="Q47" s="63">
        <v>0</v>
      </c>
      <c r="R47" s="63">
        <v>0</v>
      </c>
      <c r="S47" s="63">
        <f t="shared" si="7"/>
        <v>0</v>
      </c>
      <c r="T47" s="181">
        <v>0</v>
      </c>
      <c r="U47" s="63">
        <v>0</v>
      </c>
      <c r="V47" s="63">
        <v>0</v>
      </c>
      <c r="W47" s="63">
        <v>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0</v>
      </c>
      <c r="AE47" s="63">
        <v>0</v>
      </c>
      <c r="AF47" s="63">
        <v>0</v>
      </c>
      <c r="AG47" s="63">
        <f t="shared" si="8"/>
        <v>0</v>
      </c>
      <c r="AH47" s="769"/>
      <c r="AI47" s="751"/>
      <c r="AJ47" s="770"/>
      <c r="AK47" s="770"/>
    </row>
    <row r="48" spans="1:37" ht="12.75" hidden="1" customHeight="1" x14ac:dyDescent="0.2">
      <c r="A48" s="751"/>
      <c r="B48" s="751"/>
      <c r="C48" s="780"/>
      <c r="D48" s="55" t="s">
        <v>624</v>
      </c>
      <c r="E48" s="129"/>
      <c r="F48" s="181">
        <v>0</v>
      </c>
      <c r="G48" s="63">
        <v>0</v>
      </c>
      <c r="H48" s="63">
        <v>0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0</v>
      </c>
      <c r="R48" s="63">
        <v>0</v>
      </c>
      <c r="S48" s="63">
        <f t="shared" si="7"/>
        <v>0</v>
      </c>
      <c r="T48" s="181">
        <v>0</v>
      </c>
      <c r="U48" s="63">
        <v>0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f t="shared" si="8"/>
        <v>0</v>
      </c>
      <c r="AH48" s="769"/>
      <c r="AI48" s="751"/>
      <c r="AJ48" s="770"/>
      <c r="AK48" s="770"/>
    </row>
    <row r="49" spans="1:37" ht="12.75" customHeight="1" x14ac:dyDescent="0.2">
      <c r="A49" s="751"/>
      <c r="B49" s="751"/>
      <c r="C49" s="780"/>
      <c r="D49" s="55" t="s">
        <v>625</v>
      </c>
      <c r="E49" s="129"/>
      <c r="F49" s="181">
        <v>0</v>
      </c>
      <c r="G49" s="63">
        <v>-18</v>
      </c>
      <c r="H49" s="63">
        <v>-3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63">
        <v>0</v>
      </c>
      <c r="R49" s="63">
        <v>0</v>
      </c>
      <c r="S49" s="63">
        <f t="shared" si="7"/>
        <v>-21</v>
      </c>
      <c r="T49" s="181">
        <v>-209</v>
      </c>
      <c r="U49" s="63">
        <v>-143</v>
      </c>
      <c r="V49" s="63">
        <v>0</v>
      </c>
      <c r="W49" s="63">
        <v>0</v>
      </c>
      <c r="X49" s="63">
        <v>-1</v>
      </c>
      <c r="Y49" s="63">
        <v>-13</v>
      </c>
      <c r="Z49" s="63">
        <v>-21</v>
      </c>
      <c r="AA49" s="63">
        <v>0</v>
      </c>
      <c r="AB49" s="63">
        <v>-3</v>
      </c>
      <c r="AC49" s="63">
        <v>0</v>
      </c>
      <c r="AD49" s="63">
        <v>0</v>
      </c>
      <c r="AE49" s="63">
        <v>0</v>
      </c>
      <c r="AF49" s="63">
        <v>-28</v>
      </c>
      <c r="AG49" s="63">
        <f t="shared" si="8"/>
        <v>-143</v>
      </c>
      <c r="AH49" s="769"/>
      <c r="AI49" s="751"/>
      <c r="AJ49" s="770"/>
      <c r="AK49" s="770"/>
    </row>
    <row r="50" spans="1:37" ht="12.75" hidden="1" customHeight="1" x14ac:dyDescent="0.2">
      <c r="A50" s="751"/>
      <c r="B50" s="751"/>
      <c r="C50" s="780"/>
      <c r="D50" s="55"/>
      <c r="E50" s="129"/>
      <c r="F50" s="181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181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560"/>
      <c r="AH50" s="769"/>
      <c r="AI50" s="751"/>
      <c r="AJ50" s="770"/>
      <c r="AK50" s="770"/>
    </row>
    <row r="51" spans="1:37" ht="12.75" hidden="1" customHeight="1" x14ac:dyDescent="0.2">
      <c r="A51" s="751"/>
      <c r="B51" s="751"/>
      <c r="C51" s="780"/>
      <c r="D51" s="55"/>
      <c r="E51" s="129"/>
      <c r="F51" s="181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181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560"/>
      <c r="AH51" s="769"/>
      <c r="AI51" s="751"/>
      <c r="AJ51" s="770"/>
      <c r="AK51" s="770"/>
    </row>
    <row r="52" spans="1:37" ht="12.75" hidden="1" customHeight="1" x14ac:dyDescent="0.2">
      <c r="A52" s="751"/>
      <c r="B52" s="751"/>
      <c r="C52" s="780"/>
      <c r="D52" s="55"/>
      <c r="E52" s="129"/>
      <c r="F52" s="181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181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560"/>
      <c r="AH52" s="769"/>
      <c r="AI52" s="751"/>
      <c r="AJ52" s="770"/>
      <c r="AK52" s="770"/>
    </row>
    <row r="53" spans="1:37" ht="12.75" hidden="1" customHeight="1" x14ac:dyDescent="0.2">
      <c r="A53" s="751"/>
      <c r="B53" s="751"/>
      <c r="C53" s="780"/>
      <c r="D53" s="55"/>
      <c r="E53" s="129"/>
      <c r="F53" s="181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181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560"/>
      <c r="AH53" s="769"/>
      <c r="AI53" s="751"/>
      <c r="AJ53" s="770"/>
      <c r="AK53" s="770"/>
    </row>
    <row r="54" spans="1:37" ht="12.75" hidden="1" customHeight="1" x14ac:dyDescent="0.2">
      <c r="A54" s="751"/>
      <c r="B54" s="751"/>
      <c r="C54" s="780"/>
      <c r="D54" s="55"/>
      <c r="E54" s="129"/>
      <c r="F54" s="181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181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560"/>
      <c r="AH54" s="769"/>
      <c r="AI54" s="751"/>
      <c r="AJ54" s="770"/>
      <c r="AK54" s="770"/>
    </row>
    <row r="55" spans="1:37" ht="12.75" hidden="1" customHeight="1" x14ac:dyDescent="0.2">
      <c r="A55" s="751"/>
      <c r="B55" s="751"/>
      <c r="C55" s="780"/>
      <c r="D55" s="55"/>
      <c r="E55" s="129"/>
      <c r="F55" s="181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181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560"/>
      <c r="AH55" s="769"/>
      <c r="AI55" s="751"/>
      <c r="AJ55" s="770"/>
      <c r="AK55" s="770"/>
    </row>
    <row r="56" spans="1:37" ht="12.75" hidden="1" customHeight="1" x14ac:dyDescent="0.2">
      <c r="A56" s="751"/>
      <c r="B56" s="751"/>
      <c r="C56" s="780"/>
      <c r="D56" s="55"/>
      <c r="E56" s="129"/>
      <c r="F56" s="181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181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560"/>
      <c r="AH56" s="769"/>
      <c r="AI56" s="751"/>
      <c r="AJ56" s="770"/>
      <c r="AK56" s="770"/>
    </row>
    <row r="57" spans="1:37" ht="12.75" hidden="1" customHeight="1" x14ac:dyDescent="0.2">
      <c r="A57" s="751"/>
      <c r="B57" s="751"/>
      <c r="C57" s="780"/>
      <c r="D57" s="55"/>
      <c r="E57" s="129"/>
      <c r="F57" s="181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181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560"/>
      <c r="AH57" s="769"/>
      <c r="AI57" s="751"/>
      <c r="AJ57" s="770"/>
      <c r="AK57" s="770"/>
    </row>
    <row r="58" spans="1:37" ht="12.75" hidden="1" customHeight="1" x14ac:dyDescent="0.2">
      <c r="A58" s="751"/>
      <c r="B58" s="751"/>
      <c r="C58" s="780"/>
      <c r="D58" s="55"/>
      <c r="E58" s="129"/>
      <c r="F58" s="181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181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560"/>
      <c r="AH58" s="769"/>
      <c r="AI58" s="751"/>
      <c r="AJ58" s="770"/>
      <c r="AK58" s="770"/>
    </row>
    <row r="59" spans="1:37" ht="12.75" hidden="1" customHeight="1" x14ac:dyDescent="0.2">
      <c r="A59" s="751"/>
      <c r="B59" s="751"/>
      <c r="C59" s="780"/>
      <c r="D59" s="55"/>
      <c r="E59" s="129"/>
      <c r="F59" s="181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181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560"/>
      <c r="AH59" s="769"/>
      <c r="AI59" s="751"/>
      <c r="AJ59" s="770"/>
      <c r="AK59" s="770"/>
    </row>
    <row r="60" spans="1:37" ht="12.75" hidden="1" customHeight="1" x14ac:dyDescent="0.2">
      <c r="A60" s="751"/>
      <c r="B60" s="751"/>
      <c r="C60" s="780"/>
      <c r="D60" s="55"/>
      <c r="E60" s="129"/>
      <c r="F60" s="181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181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560"/>
      <c r="AH60" s="769"/>
      <c r="AI60" s="751"/>
      <c r="AJ60" s="770"/>
      <c r="AK60" s="770"/>
    </row>
    <row r="61" spans="1:37" ht="12.75" hidden="1" customHeight="1" x14ac:dyDescent="0.2">
      <c r="A61" s="751"/>
      <c r="B61" s="751"/>
      <c r="C61" s="780"/>
      <c r="D61" s="55"/>
      <c r="E61" s="129"/>
      <c r="F61" s="181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181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560"/>
      <c r="AH61" s="769"/>
      <c r="AI61" s="751"/>
      <c r="AJ61" s="770"/>
      <c r="AK61" s="770"/>
    </row>
    <row r="62" spans="1:37" ht="12.75" hidden="1" customHeight="1" x14ac:dyDescent="0.2">
      <c r="A62" s="751"/>
      <c r="B62" s="751"/>
      <c r="C62" s="780"/>
      <c r="D62" s="55"/>
      <c r="E62" s="129"/>
      <c r="F62" s="181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181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560"/>
      <c r="AH62" s="769"/>
      <c r="AI62" s="751"/>
      <c r="AJ62" s="770"/>
      <c r="AK62" s="770"/>
    </row>
    <row r="63" spans="1:37" hidden="1" x14ac:dyDescent="0.2">
      <c r="A63" s="751"/>
      <c r="B63" s="751"/>
      <c r="C63" s="780"/>
      <c r="D63" s="55"/>
      <c r="E63" s="129"/>
      <c r="F63" s="181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181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560"/>
      <c r="AH63" s="769"/>
      <c r="AI63" s="751"/>
      <c r="AJ63" s="770"/>
      <c r="AK63" s="770"/>
    </row>
    <row r="64" spans="1:37" ht="12.75" customHeight="1" x14ac:dyDescent="0.2">
      <c r="A64" s="751"/>
      <c r="B64" s="751"/>
      <c r="C64" s="781"/>
      <c r="D64" s="782"/>
      <c r="E64" s="783"/>
      <c r="F64" s="784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784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785"/>
      <c r="AH64" s="769"/>
      <c r="AI64" s="751"/>
      <c r="AJ64" s="770"/>
      <c r="AK64" s="770"/>
    </row>
    <row r="65" spans="1:38" ht="12.75" hidden="1" customHeight="1" x14ac:dyDescent="0.2">
      <c r="A65" s="751"/>
      <c r="B65" s="751"/>
      <c r="C65" s="786" t="s">
        <v>626</v>
      </c>
      <c r="D65" s="787"/>
      <c r="E65" s="788"/>
      <c r="F65" s="789">
        <v>0</v>
      </c>
      <c r="G65" s="123">
        <v>0</v>
      </c>
      <c r="H65" s="123">
        <v>0</v>
      </c>
      <c r="I65" s="123">
        <v>0</v>
      </c>
      <c r="J65" s="123">
        <v>0</v>
      </c>
      <c r="K65" s="123">
        <v>0</v>
      </c>
      <c r="L65" s="123">
        <v>0</v>
      </c>
      <c r="M65" s="123">
        <v>0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f>SUM(G65:R65)</f>
        <v>0</v>
      </c>
      <c r="T65" s="784">
        <v>0</v>
      </c>
      <c r="U65" s="123">
        <v>0</v>
      </c>
      <c r="V65" s="123">
        <v>0</v>
      </c>
      <c r="W65" s="123">
        <v>0</v>
      </c>
      <c r="X65" s="123">
        <v>0</v>
      </c>
      <c r="Y65" s="123">
        <v>0</v>
      </c>
      <c r="Z65" s="123">
        <v>0</v>
      </c>
      <c r="AA65" s="123">
        <v>0</v>
      </c>
      <c r="AB65" s="123">
        <v>0</v>
      </c>
      <c r="AC65" s="123">
        <v>0</v>
      </c>
      <c r="AD65" s="123">
        <v>0</v>
      </c>
      <c r="AE65" s="123">
        <v>0</v>
      </c>
      <c r="AF65" s="123">
        <v>0</v>
      </c>
      <c r="AG65" s="785">
        <f>SUM(U65:V65)</f>
        <v>0</v>
      </c>
      <c r="AH65" s="769"/>
      <c r="AI65" s="751"/>
      <c r="AJ65" s="770"/>
      <c r="AK65" s="770"/>
    </row>
    <row r="66" spans="1:38" s="794" customFormat="1" ht="15" customHeight="1" x14ac:dyDescent="0.2">
      <c r="A66" s="751"/>
      <c r="B66" s="751"/>
      <c r="C66" s="790" t="s">
        <v>627</v>
      </c>
      <c r="D66" s="791"/>
      <c r="E66" s="375"/>
      <c r="F66" s="158"/>
      <c r="G66" s="158"/>
      <c r="H66" s="158"/>
      <c r="I66" s="158"/>
      <c r="J66" s="158"/>
      <c r="K66" s="158"/>
      <c r="L66" s="158"/>
      <c r="M66" s="58"/>
      <c r="N66" s="58"/>
      <c r="O66" s="58"/>
      <c r="P66" s="58"/>
      <c r="Q66" s="58"/>
      <c r="R66" s="58"/>
      <c r="S66" s="58"/>
      <c r="T66" s="158"/>
      <c r="U66" s="158"/>
      <c r="V66" s="158"/>
      <c r="W66" s="158"/>
      <c r="X66" s="158"/>
      <c r="Y66" s="158"/>
      <c r="Z66" s="158"/>
      <c r="AA66" s="58"/>
      <c r="AB66" s="58"/>
      <c r="AC66" s="58"/>
      <c r="AD66" s="58"/>
      <c r="AE66" s="58"/>
      <c r="AF66" s="58"/>
      <c r="AG66" s="58"/>
      <c r="AH66" s="792"/>
      <c r="AI66" s="793"/>
    </row>
    <row r="67" spans="1:38" x14ac:dyDescent="0.2">
      <c r="A67" s="751"/>
      <c r="B67" s="751"/>
      <c r="C67" s="790" t="s">
        <v>628</v>
      </c>
      <c r="D67" s="791"/>
      <c r="E67" s="69"/>
      <c r="F67" s="22"/>
      <c r="G67" s="22"/>
      <c r="H67" s="53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53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792"/>
      <c r="AI67" s="751"/>
      <c r="AJ67" s="795"/>
      <c r="AL67" s="770"/>
    </row>
    <row r="68" spans="1:38" x14ac:dyDescent="0.2">
      <c r="A68" s="751"/>
      <c r="B68" s="751"/>
      <c r="C68" s="790"/>
      <c r="D68" s="773"/>
      <c r="E68" s="129"/>
      <c r="F68" s="55"/>
      <c r="G68" s="55"/>
      <c r="H68" s="442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792"/>
      <c r="AI68" s="751"/>
      <c r="AJ68" s="795"/>
      <c r="AL68" s="770"/>
    </row>
    <row r="69" spans="1:38" x14ac:dyDescent="0.2">
      <c r="A69" s="751"/>
      <c r="B69" s="751"/>
      <c r="C69" s="773"/>
      <c r="E69" s="55"/>
      <c r="F69" s="55"/>
      <c r="G69" s="55"/>
      <c r="H69" s="442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751"/>
      <c r="AL69" s="796"/>
    </row>
    <row r="70" spans="1:38" ht="12.75" hidden="1" customHeight="1" x14ac:dyDescent="0.2">
      <c r="C70" s="756" t="s">
        <v>629</v>
      </c>
      <c r="H70" s="795"/>
    </row>
    <row r="71" spans="1:38" ht="12.75" hidden="1" customHeight="1" x14ac:dyDescent="0.2">
      <c r="C71" s="756" t="s">
        <v>630</v>
      </c>
      <c r="H71" s="795"/>
    </row>
    <row r="72" spans="1:38" ht="12.75" hidden="1" customHeight="1" x14ac:dyDescent="0.2">
      <c r="C72" s="756" t="s">
        <v>631</v>
      </c>
      <c r="H72" s="795"/>
    </row>
    <row r="73" spans="1:38" ht="12.75" hidden="1" customHeight="1" x14ac:dyDescent="0.2">
      <c r="C73" s="756" t="s">
        <v>632</v>
      </c>
      <c r="H73" s="795"/>
    </row>
    <row r="74" spans="1:38" ht="12.75" hidden="1" customHeight="1" x14ac:dyDescent="0.2">
      <c r="C74" s="756" t="s">
        <v>633</v>
      </c>
    </row>
    <row r="75" spans="1:38" ht="12.75" hidden="1" customHeight="1" x14ac:dyDescent="0.2">
      <c r="C75" s="756" t="s">
        <v>634</v>
      </c>
    </row>
    <row r="76" spans="1:38" ht="12.75" hidden="1" customHeight="1" x14ac:dyDescent="0.2">
      <c r="C76" s="756" t="s">
        <v>635</v>
      </c>
    </row>
    <row r="77" spans="1:38" hidden="1" x14ac:dyDescent="0.2">
      <c r="A77" s="751"/>
      <c r="B77" s="751"/>
      <c r="D77" s="797"/>
      <c r="M77" s="795"/>
      <c r="AH77" s="792"/>
      <c r="AI77" s="751"/>
    </row>
    <row r="78" spans="1:38" hidden="1" x14ac:dyDescent="0.2">
      <c r="A78" s="751"/>
      <c r="B78" s="751"/>
      <c r="T78" s="795"/>
      <c r="AH78" s="792"/>
      <c r="AI78" s="751"/>
    </row>
    <row r="79" spans="1:38" hidden="1" x14ac:dyDescent="0.2">
      <c r="C79" s="798"/>
      <c r="D79" s="798"/>
      <c r="E79" s="799"/>
      <c r="F79" s="799"/>
    </row>
    <row r="80" spans="1:38" hidden="1" x14ac:dyDescent="0.2">
      <c r="F80" s="795"/>
    </row>
    <row r="81" spans="4:33" hidden="1" x14ac:dyDescent="0.2">
      <c r="T81" s="800">
        <v>9603525</v>
      </c>
    </row>
    <row r="82" spans="4:33" hidden="1" x14ac:dyDescent="0.2">
      <c r="T82" s="800">
        <f>T81-S6</f>
        <v>5559896</v>
      </c>
    </row>
    <row r="83" spans="4:33" hidden="1" x14ac:dyDescent="0.2">
      <c r="T83" s="800"/>
    </row>
    <row r="84" spans="4:33" hidden="1" x14ac:dyDescent="0.2">
      <c r="T84" s="800">
        <v>3335838</v>
      </c>
    </row>
    <row r="85" spans="4:33" hidden="1" x14ac:dyDescent="0.2">
      <c r="T85" s="800">
        <f>T84-S22</f>
        <v>1492587</v>
      </c>
    </row>
    <row r="86" spans="4:33" hidden="1" x14ac:dyDescent="0.2">
      <c r="T86" s="800"/>
    </row>
    <row r="87" spans="4:33" s="801" customFormat="1" x14ac:dyDescent="0.2">
      <c r="E87" s="800"/>
      <c r="F87" s="800"/>
      <c r="G87" s="802"/>
      <c r="H87" s="802"/>
      <c r="I87" s="802"/>
      <c r="J87" s="802"/>
      <c r="K87" s="802"/>
      <c r="L87" s="802"/>
      <c r="M87" s="803"/>
      <c r="N87" s="802"/>
      <c r="O87" s="802"/>
      <c r="P87" s="802"/>
      <c r="Q87" s="802"/>
      <c r="R87" s="802"/>
      <c r="S87" s="804"/>
      <c r="T87" s="800"/>
      <c r="U87" s="800"/>
      <c r="V87" s="800"/>
      <c r="W87" s="800"/>
      <c r="X87" s="800"/>
      <c r="Y87" s="800"/>
      <c r="Z87" s="800"/>
      <c r="AA87" s="800"/>
      <c r="AB87" s="800"/>
      <c r="AC87" s="800"/>
      <c r="AD87" s="800"/>
      <c r="AE87" s="800"/>
      <c r="AF87" s="800"/>
      <c r="AG87" s="800"/>
    </row>
    <row r="88" spans="4:33" s="801" customFormat="1" x14ac:dyDescent="0.2">
      <c r="E88" s="800"/>
      <c r="F88" s="800"/>
      <c r="G88" s="802"/>
      <c r="H88" s="802"/>
      <c r="I88" s="802"/>
      <c r="J88" s="802"/>
      <c r="K88" s="802"/>
      <c r="L88" s="802"/>
      <c r="M88" s="802"/>
      <c r="N88" s="802"/>
      <c r="O88" s="802"/>
      <c r="P88" s="802"/>
      <c r="Q88" s="802"/>
      <c r="R88" s="802"/>
      <c r="S88" s="804"/>
      <c r="T88" s="800"/>
      <c r="U88" s="800"/>
      <c r="V88" s="800"/>
      <c r="W88" s="800"/>
      <c r="X88" s="800"/>
      <c r="Y88" s="800"/>
      <c r="Z88" s="800"/>
      <c r="AA88" s="800"/>
      <c r="AB88" s="800"/>
      <c r="AC88" s="800"/>
      <c r="AD88" s="800"/>
      <c r="AE88" s="800"/>
      <c r="AF88" s="800"/>
      <c r="AG88" s="800"/>
    </row>
    <row r="89" spans="4:33" s="801" customFormat="1" x14ac:dyDescent="0.2">
      <c r="E89" s="800"/>
      <c r="F89" s="800"/>
      <c r="G89" s="800"/>
      <c r="H89" s="800"/>
      <c r="I89" s="800"/>
      <c r="J89" s="800"/>
      <c r="K89" s="800"/>
      <c r="L89" s="800"/>
      <c r="M89" s="800"/>
      <c r="N89" s="800"/>
      <c r="O89" s="800"/>
      <c r="P89" s="800"/>
      <c r="Q89" s="800"/>
      <c r="R89" s="800"/>
      <c r="S89" s="804"/>
      <c r="T89" s="800"/>
      <c r="U89" s="800"/>
      <c r="V89" s="800"/>
      <c r="W89" s="800"/>
      <c r="X89" s="800"/>
      <c r="Y89" s="800"/>
      <c r="Z89" s="800"/>
      <c r="AA89" s="800"/>
      <c r="AB89" s="800"/>
      <c r="AC89" s="800"/>
      <c r="AD89" s="800"/>
      <c r="AE89" s="800"/>
      <c r="AF89" s="800"/>
      <c r="AG89" s="800"/>
    </row>
    <row r="90" spans="4:33" s="801" customFormat="1" x14ac:dyDescent="0.2">
      <c r="E90" s="800"/>
      <c r="F90" s="778"/>
      <c r="G90" s="803"/>
      <c r="H90" s="803"/>
      <c r="I90" s="803"/>
      <c r="J90" s="803"/>
      <c r="K90" s="803"/>
      <c r="L90" s="803"/>
      <c r="M90" s="803"/>
      <c r="N90" s="803"/>
      <c r="O90" s="803"/>
      <c r="P90" s="800"/>
      <c r="Q90" s="800"/>
      <c r="R90" s="800"/>
      <c r="S90" s="804"/>
      <c r="T90" s="800"/>
      <c r="U90" s="800"/>
      <c r="V90" s="800"/>
      <c r="W90" s="800"/>
      <c r="X90" s="800"/>
      <c r="Y90" s="800"/>
      <c r="Z90" s="800"/>
      <c r="AA90" s="800"/>
      <c r="AB90" s="800"/>
      <c r="AC90" s="800"/>
      <c r="AD90" s="800"/>
      <c r="AE90" s="800"/>
      <c r="AF90" s="800"/>
      <c r="AG90" s="800"/>
    </row>
    <row r="91" spans="4:33" ht="15.75" customHeight="1" x14ac:dyDescent="0.2">
      <c r="G91" s="802"/>
      <c r="H91" s="802"/>
      <c r="I91" s="802"/>
      <c r="J91" s="802"/>
      <c r="K91" s="802"/>
      <c r="L91" s="802"/>
      <c r="M91" s="802"/>
      <c r="N91" s="802"/>
      <c r="O91" s="802"/>
      <c r="S91" s="804"/>
    </row>
    <row r="92" spans="4:33" x14ac:dyDescent="0.2">
      <c r="S92" s="804"/>
    </row>
    <row r="93" spans="4:33" x14ac:dyDescent="0.2">
      <c r="G93" s="795"/>
      <c r="H93" s="795"/>
      <c r="I93" s="795"/>
      <c r="J93" s="795"/>
      <c r="K93" s="795"/>
      <c r="L93" s="795"/>
      <c r="M93" s="795"/>
      <c r="N93" s="795"/>
      <c r="O93" s="795"/>
      <c r="S93" s="804"/>
    </row>
    <row r="94" spans="4:33" x14ac:dyDescent="0.2">
      <c r="D94" s="751"/>
      <c r="G94" s="795"/>
      <c r="H94" s="795"/>
      <c r="I94" s="795"/>
      <c r="J94" s="795"/>
      <c r="K94" s="795"/>
      <c r="L94" s="795"/>
      <c r="M94" s="795"/>
      <c r="N94" s="795"/>
      <c r="O94" s="795"/>
      <c r="P94" s="795"/>
      <c r="Q94" s="795"/>
      <c r="R94" s="795"/>
      <c r="S94" s="804"/>
    </row>
    <row r="95" spans="4:33" x14ac:dyDescent="0.2">
      <c r="D95" s="751"/>
      <c r="G95" s="795"/>
      <c r="H95" s="795"/>
      <c r="I95" s="795"/>
      <c r="J95" s="795"/>
      <c r="K95" s="795"/>
      <c r="L95" s="795"/>
      <c r="M95" s="795"/>
      <c r="N95" s="795"/>
      <c r="O95" s="795"/>
      <c r="P95" s="795"/>
      <c r="Q95" s="795"/>
      <c r="R95" s="795"/>
      <c r="S95" s="795"/>
    </row>
    <row r="96" spans="4:33" x14ac:dyDescent="0.2">
      <c r="G96" s="795"/>
      <c r="H96" s="795"/>
      <c r="I96" s="795"/>
      <c r="J96" s="795"/>
      <c r="K96" s="795"/>
      <c r="L96" s="795"/>
      <c r="M96" s="795"/>
      <c r="N96" s="795"/>
      <c r="O96" s="795"/>
      <c r="P96" s="795"/>
      <c r="Q96" s="795"/>
      <c r="R96" s="795"/>
      <c r="S96" s="795"/>
    </row>
    <row r="97" spans="7:19" x14ac:dyDescent="0.2">
      <c r="G97" s="795"/>
      <c r="H97" s="795"/>
      <c r="I97" s="795"/>
      <c r="J97" s="795"/>
      <c r="K97" s="795"/>
      <c r="L97" s="795"/>
      <c r="M97" s="795"/>
      <c r="N97" s="795"/>
      <c r="O97" s="795"/>
      <c r="P97" s="795"/>
      <c r="Q97" s="795"/>
      <c r="R97" s="795"/>
      <c r="S97" s="795"/>
    </row>
    <row r="98" spans="7:19" x14ac:dyDescent="0.2">
      <c r="G98" s="795"/>
      <c r="H98" s="795"/>
      <c r="I98" s="795"/>
      <c r="J98" s="795"/>
      <c r="K98" s="795"/>
      <c r="L98" s="795"/>
      <c r="M98" s="795"/>
      <c r="N98" s="795"/>
      <c r="O98" s="795"/>
      <c r="P98" s="795"/>
      <c r="Q98" s="795"/>
      <c r="R98" s="795"/>
      <c r="S98" s="795"/>
    </row>
    <row r="99" spans="7:19" x14ac:dyDescent="0.2">
      <c r="G99" s="795"/>
      <c r="H99" s="795"/>
      <c r="I99" s="795"/>
      <c r="J99" s="795"/>
      <c r="K99" s="795"/>
      <c r="L99" s="795"/>
      <c r="M99" s="795"/>
      <c r="N99" s="795"/>
      <c r="O99" s="795"/>
      <c r="P99" s="795"/>
      <c r="Q99" s="795"/>
      <c r="R99" s="795"/>
      <c r="S99" s="795"/>
    </row>
    <row r="100" spans="7:19" x14ac:dyDescent="0.2">
      <c r="G100" s="795"/>
      <c r="H100" s="795"/>
      <c r="I100" s="795"/>
      <c r="J100" s="795"/>
      <c r="K100" s="795"/>
      <c r="L100" s="795"/>
      <c r="M100" s="795"/>
      <c r="N100" s="795"/>
      <c r="O100" s="795"/>
      <c r="P100" s="795"/>
      <c r="Q100" s="795"/>
      <c r="R100" s="795"/>
      <c r="S100" s="795"/>
    </row>
    <row r="101" spans="7:19" x14ac:dyDescent="0.2">
      <c r="G101" s="795"/>
      <c r="H101" s="795"/>
      <c r="I101" s="795"/>
      <c r="J101" s="795"/>
      <c r="K101" s="795"/>
      <c r="L101" s="795"/>
      <c r="M101" s="795"/>
      <c r="N101" s="795"/>
      <c r="O101" s="795"/>
      <c r="P101" s="795"/>
      <c r="Q101" s="795"/>
      <c r="R101" s="795"/>
      <c r="S101" s="795"/>
    </row>
    <row r="102" spans="7:19" x14ac:dyDescent="0.2">
      <c r="G102" s="795"/>
      <c r="H102" s="795"/>
      <c r="I102" s="795"/>
      <c r="J102" s="795"/>
      <c r="K102" s="795"/>
      <c r="L102" s="795"/>
      <c r="M102" s="795"/>
      <c r="N102" s="795"/>
      <c r="O102" s="795"/>
      <c r="P102" s="795"/>
      <c r="Q102" s="795"/>
      <c r="R102" s="795"/>
      <c r="S102" s="795"/>
    </row>
    <row r="103" spans="7:19" x14ac:dyDescent="0.2">
      <c r="G103" s="795"/>
      <c r="H103" s="795"/>
      <c r="I103" s="795"/>
      <c r="J103" s="795"/>
      <c r="K103" s="795"/>
      <c r="L103" s="795"/>
      <c r="M103" s="795"/>
      <c r="N103" s="795"/>
      <c r="O103" s="795"/>
      <c r="P103" s="795"/>
      <c r="Q103" s="795"/>
      <c r="R103" s="795"/>
      <c r="S103" s="795"/>
    </row>
    <row r="104" spans="7:19" x14ac:dyDescent="0.2">
      <c r="G104" s="795"/>
      <c r="H104" s="795"/>
      <c r="I104" s="795"/>
      <c r="J104" s="795"/>
      <c r="K104" s="795"/>
      <c r="L104" s="795"/>
      <c r="M104" s="795"/>
      <c r="N104" s="795"/>
      <c r="O104" s="795"/>
      <c r="P104" s="795"/>
      <c r="Q104" s="795"/>
      <c r="R104" s="795"/>
      <c r="S104" s="795"/>
    </row>
    <row r="105" spans="7:19" x14ac:dyDescent="0.2">
      <c r="G105" s="795"/>
      <c r="H105" s="795"/>
      <c r="I105" s="795"/>
      <c r="J105" s="795"/>
      <c r="K105" s="795"/>
      <c r="L105" s="795"/>
      <c r="M105" s="795"/>
      <c r="N105" s="795"/>
      <c r="O105" s="795"/>
      <c r="P105" s="795"/>
      <c r="Q105" s="795"/>
      <c r="R105" s="795"/>
      <c r="S105" s="795"/>
    </row>
    <row r="106" spans="7:19" x14ac:dyDescent="0.2">
      <c r="G106" s="795"/>
      <c r="H106" s="795"/>
      <c r="I106" s="795"/>
      <c r="J106" s="795"/>
      <c r="K106" s="795"/>
      <c r="L106" s="795"/>
      <c r="M106" s="795"/>
      <c r="N106" s="795"/>
      <c r="O106" s="795"/>
      <c r="P106" s="795"/>
      <c r="Q106" s="795"/>
      <c r="R106" s="795"/>
      <c r="S106" s="795"/>
    </row>
    <row r="107" spans="7:19" x14ac:dyDescent="0.2">
      <c r="G107" s="795"/>
      <c r="H107" s="795"/>
      <c r="I107" s="795"/>
      <c r="J107" s="795"/>
      <c r="K107" s="795"/>
      <c r="L107" s="795"/>
      <c r="M107" s="795"/>
      <c r="N107" s="795"/>
      <c r="O107" s="795"/>
      <c r="P107" s="795"/>
      <c r="Q107" s="795"/>
      <c r="R107" s="795"/>
      <c r="S107" s="795"/>
    </row>
    <row r="108" spans="7:19" x14ac:dyDescent="0.2">
      <c r="G108" s="795"/>
      <c r="H108" s="795"/>
      <c r="I108" s="795"/>
      <c r="J108" s="795"/>
      <c r="K108" s="795"/>
      <c r="L108" s="795"/>
      <c r="M108" s="795"/>
      <c r="N108" s="795"/>
      <c r="O108" s="795"/>
      <c r="P108" s="795"/>
      <c r="Q108" s="795"/>
      <c r="R108" s="795"/>
      <c r="S108" s="795"/>
    </row>
    <row r="109" spans="7:19" x14ac:dyDescent="0.2">
      <c r="G109" s="795"/>
      <c r="H109" s="795"/>
      <c r="I109" s="795"/>
      <c r="J109" s="795"/>
      <c r="K109" s="795"/>
      <c r="L109" s="795"/>
      <c r="M109" s="795"/>
      <c r="N109" s="795"/>
      <c r="O109" s="795"/>
      <c r="P109" s="795"/>
      <c r="Q109" s="795"/>
      <c r="R109" s="795"/>
      <c r="S109" s="795"/>
    </row>
    <row r="110" spans="7:19" x14ac:dyDescent="0.2">
      <c r="G110" s="795"/>
      <c r="H110" s="795"/>
      <c r="I110" s="795"/>
      <c r="J110" s="795"/>
      <c r="K110" s="795"/>
      <c r="L110" s="795"/>
      <c r="M110" s="795"/>
      <c r="N110" s="795"/>
      <c r="O110" s="795"/>
      <c r="P110" s="795"/>
      <c r="Q110" s="795"/>
      <c r="R110" s="795"/>
      <c r="S110" s="795"/>
    </row>
    <row r="111" spans="7:19" x14ac:dyDescent="0.2">
      <c r="G111" s="795"/>
      <c r="H111" s="795"/>
      <c r="I111" s="795"/>
      <c r="J111" s="795"/>
      <c r="K111" s="795"/>
      <c r="L111" s="795"/>
      <c r="M111" s="795"/>
      <c r="N111" s="795"/>
      <c r="O111" s="795"/>
      <c r="P111" s="795"/>
      <c r="Q111" s="795"/>
      <c r="R111" s="795"/>
      <c r="S111" s="795"/>
    </row>
    <row r="112" spans="7:19" x14ac:dyDescent="0.2">
      <c r="G112" s="795"/>
      <c r="H112" s="795"/>
      <c r="I112" s="795"/>
      <c r="J112" s="795"/>
      <c r="K112" s="795"/>
      <c r="L112" s="795"/>
      <c r="M112" s="795"/>
      <c r="N112" s="795"/>
      <c r="O112" s="795"/>
      <c r="P112" s="795"/>
      <c r="Q112" s="795"/>
      <c r="R112" s="795"/>
      <c r="S112" s="795"/>
    </row>
    <row r="113" spans="7:19" x14ac:dyDescent="0.2">
      <c r="G113" s="795"/>
      <c r="H113" s="795"/>
      <c r="I113" s="795"/>
      <c r="J113" s="795"/>
      <c r="K113" s="795"/>
      <c r="L113" s="795"/>
      <c r="M113" s="795"/>
      <c r="N113" s="795"/>
      <c r="O113" s="795"/>
      <c r="P113" s="795"/>
      <c r="Q113" s="795"/>
      <c r="R113" s="795"/>
      <c r="S113" s="795"/>
    </row>
    <row r="114" spans="7:19" x14ac:dyDescent="0.2">
      <c r="G114" s="795"/>
      <c r="H114" s="795"/>
      <c r="I114" s="795"/>
      <c r="J114" s="795"/>
      <c r="K114" s="795"/>
      <c r="L114" s="795"/>
      <c r="M114" s="795"/>
      <c r="N114" s="795"/>
      <c r="O114" s="795"/>
      <c r="P114" s="795"/>
      <c r="Q114" s="795"/>
      <c r="R114" s="795"/>
      <c r="S114" s="795"/>
    </row>
    <row r="115" spans="7:19" x14ac:dyDescent="0.2">
      <c r="G115" s="795"/>
      <c r="H115" s="795"/>
      <c r="I115" s="795"/>
      <c r="J115" s="795"/>
      <c r="K115" s="795"/>
      <c r="L115" s="795"/>
      <c r="M115" s="795"/>
      <c r="N115" s="795"/>
      <c r="O115" s="795"/>
      <c r="P115" s="795"/>
      <c r="Q115" s="795"/>
      <c r="R115" s="795"/>
      <c r="S115" s="795"/>
    </row>
    <row r="116" spans="7:19" x14ac:dyDescent="0.2">
      <c r="G116" s="795"/>
      <c r="H116" s="795"/>
      <c r="I116" s="795"/>
      <c r="J116" s="795"/>
      <c r="K116" s="795"/>
      <c r="L116" s="795"/>
      <c r="M116" s="795"/>
      <c r="N116" s="795"/>
      <c r="O116" s="795"/>
      <c r="P116" s="795"/>
      <c r="Q116" s="795"/>
      <c r="R116" s="795"/>
      <c r="S116" s="795"/>
    </row>
    <row r="117" spans="7:19" x14ac:dyDescent="0.2">
      <c r="G117" s="795"/>
      <c r="H117" s="795"/>
      <c r="I117" s="795"/>
      <c r="J117" s="795"/>
      <c r="K117" s="795"/>
      <c r="L117" s="795"/>
      <c r="M117" s="795"/>
      <c r="N117" s="795"/>
      <c r="O117" s="795"/>
      <c r="P117" s="795"/>
      <c r="Q117" s="795"/>
      <c r="R117" s="795"/>
      <c r="S117" s="795"/>
    </row>
    <row r="118" spans="7:19" x14ac:dyDescent="0.2">
      <c r="G118" s="795"/>
      <c r="H118" s="795"/>
      <c r="I118" s="795"/>
      <c r="J118" s="795"/>
      <c r="K118" s="795"/>
      <c r="L118" s="795"/>
      <c r="M118" s="795"/>
      <c r="N118" s="795"/>
      <c r="O118" s="795"/>
      <c r="P118" s="795"/>
      <c r="Q118" s="795"/>
      <c r="R118" s="795"/>
      <c r="S118" s="795"/>
    </row>
    <row r="119" spans="7:19" x14ac:dyDescent="0.2">
      <c r="G119" s="795"/>
      <c r="H119" s="795"/>
      <c r="I119" s="795"/>
      <c r="J119" s="795"/>
      <c r="K119" s="795"/>
      <c r="L119" s="795"/>
      <c r="M119" s="795"/>
      <c r="N119" s="795"/>
      <c r="O119" s="795"/>
      <c r="P119" s="795"/>
      <c r="Q119" s="795"/>
      <c r="R119" s="795"/>
      <c r="S119" s="795"/>
    </row>
    <row r="120" spans="7:19" x14ac:dyDescent="0.2">
      <c r="G120" s="795"/>
      <c r="H120" s="795"/>
      <c r="I120" s="795"/>
      <c r="J120" s="795"/>
      <c r="K120" s="795"/>
      <c r="L120" s="795"/>
      <c r="M120" s="795"/>
      <c r="N120" s="795"/>
      <c r="O120" s="795"/>
      <c r="P120" s="795"/>
      <c r="Q120" s="795"/>
      <c r="R120" s="795"/>
      <c r="S120" s="795"/>
    </row>
    <row r="121" spans="7:19" x14ac:dyDescent="0.2">
      <c r="G121" s="795"/>
      <c r="H121" s="795"/>
      <c r="I121" s="795"/>
      <c r="J121" s="795"/>
      <c r="K121" s="795"/>
      <c r="L121" s="795"/>
      <c r="M121" s="795"/>
      <c r="N121" s="795"/>
      <c r="O121" s="795"/>
      <c r="P121" s="795"/>
      <c r="Q121" s="795"/>
      <c r="R121" s="795"/>
      <c r="S121" s="795"/>
    </row>
    <row r="122" spans="7:19" x14ac:dyDescent="0.2">
      <c r="G122" s="795"/>
      <c r="H122" s="795"/>
      <c r="I122" s="795"/>
      <c r="J122" s="795"/>
      <c r="K122" s="795"/>
      <c r="L122" s="795"/>
      <c r="M122" s="795"/>
      <c r="N122" s="795"/>
      <c r="O122" s="795"/>
      <c r="P122" s="795"/>
      <c r="Q122" s="795"/>
      <c r="R122" s="795"/>
      <c r="S122" s="795"/>
    </row>
    <row r="123" spans="7:19" x14ac:dyDescent="0.2">
      <c r="G123" s="795"/>
      <c r="H123" s="795"/>
      <c r="I123" s="795"/>
      <c r="J123" s="795"/>
      <c r="K123" s="795"/>
      <c r="L123" s="795"/>
      <c r="M123" s="795"/>
      <c r="N123" s="795"/>
      <c r="O123" s="795"/>
      <c r="P123" s="795"/>
      <c r="Q123" s="795"/>
      <c r="R123" s="795"/>
      <c r="S123" s="795"/>
    </row>
    <row r="124" spans="7:19" x14ac:dyDescent="0.2">
      <c r="G124" s="795"/>
      <c r="H124" s="795"/>
      <c r="I124" s="795"/>
      <c r="J124" s="795"/>
      <c r="K124" s="795"/>
      <c r="L124" s="795"/>
      <c r="M124" s="795"/>
      <c r="N124" s="795"/>
      <c r="O124" s="795"/>
      <c r="P124" s="795"/>
      <c r="Q124" s="795"/>
      <c r="R124" s="795"/>
      <c r="S124" s="795"/>
    </row>
    <row r="125" spans="7:19" x14ac:dyDescent="0.2">
      <c r="G125" s="795"/>
      <c r="H125" s="795"/>
      <c r="I125" s="795"/>
      <c r="J125" s="795"/>
      <c r="K125" s="795"/>
      <c r="L125" s="795"/>
      <c r="M125" s="795"/>
      <c r="N125" s="795"/>
      <c r="O125" s="795"/>
      <c r="P125" s="795"/>
      <c r="Q125" s="795"/>
      <c r="R125" s="795"/>
      <c r="S125" s="795"/>
    </row>
    <row r="126" spans="7:19" x14ac:dyDescent="0.2">
      <c r="G126" s="795"/>
      <c r="H126" s="795"/>
      <c r="I126" s="795"/>
      <c r="J126" s="795"/>
      <c r="K126" s="795"/>
      <c r="L126" s="795"/>
      <c r="M126" s="795"/>
      <c r="N126" s="795"/>
      <c r="O126" s="795"/>
      <c r="P126" s="795"/>
      <c r="Q126" s="795"/>
      <c r="R126" s="795"/>
      <c r="S126" s="795"/>
    </row>
    <row r="127" spans="7:19" x14ac:dyDescent="0.2">
      <c r="G127" s="795"/>
      <c r="H127" s="795"/>
      <c r="I127" s="795"/>
      <c r="J127" s="795"/>
      <c r="K127" s="795"/>
      <c r="L127" s="795"/>
      <c r="M127" s="795"/>
      <c r="N127" s="795"/>
      <c r="O127" s="795"/>
      <c r="P127" s="795"/>
      <c r="Q127" s="795"/>
      <c r="R127" s="795"/>
      <c r="S127" s="795"/>
    </row>
    <row r="128" spans="7:19" x14ac:dyDescent="0.2">
      <c r="G128" s="795"/>
      <c r="H128" s="795"/>
      <c r="I128" s="795"/>
      <c r="J128" s="795"/>
      <c r="K128" s="795"/>
      <c r="L128" s="795"/>
      <c r="M128" s="795"/>
      <c r="N128" s="795"/>
      <c r="O128" s="795"/>
      <c r="P128" s="795"/>
      <c r="Q128" s="795"/>
      <c r="R128" s="795"/>
      <c r="S128" s="795"/>
    </row>
    <row r="129" spans="7:19" x14ac:dyDescent="0.2">
      <c r="G129" s="795"/>
      <c r="H129" s="795"/>
      <c r="I129" s="795"/>
      <c r="J129" s="795"/>
      <c r="K129" s="795"/>
      <c r="L129" s="795"/>
      <c r="M129" s="795"/>
      <c r="N129" s="795"/>
      <c r="O129" s="795"/>
      <c r="P129" s="795"/>
      <c r="Q129" s="795"/>
      <c r="R129" s="795"/>
      <c r="S129" s="795"/>
    </row>
    <row r="130" spans="7:19" x14ac:dyDescent="0.2">
      <c r="G130" s="795"/>
      <c r="H130" s="795"/>
      <c r="I130" s="795"/>
      <c r="J130" s="795"/>
      <c r="K130" s="795"/>
      <c r="L130" s="795"/>
      <c r="M130" s="795"/>
      <c r="N130" s="795"/>
      <c r="O130" s="795"/>
      <c r="P130" s="795"/>
      <c r="Q130" s="795"/>
      <c r="R130" s="795"/>
      <c r="S130" s="795"/>
    </row>
    <row r="131" spans="7:19" x14ac:dyDescent="0.2">
      <c r="G131" s="795"/>
      <c r="H131" s="795"/>
      <c r="I131" s="795"/>
      <c r="J131" s="795"/>
      <c r="K131" s="795"/>
      <c r="L131" s="795"/>
      <c r="M131" s="795"/>
      <c r="N131" s="795"/>
      <c r="O131" s="795"/>
      <c r="P131" s="795"/>
      <c r="Q131" s="795"/>
      <c r="R131" s="795"/>
      <c r="S131" s="795"/>
    </row>
    <row r="132" spans="7:19" x14ac:dyDescent="0.2">
      <c r="G132" s="795"/>
      <c r="H132" s="795"/>
      <c r="I132" s="795"/>
      <c r="J132" s="795"/>
      <c r="K132" s="795"/>
      <c r="L132" s="795"/>
      <c r="M132" s="795"/>
      <c r="N132" s="795"/>
      <c r="O132" s="795"/>
      <c r="P132" s="795"/>
      <c r="Q132" s="795"/>
      <c r="R132" s="795"/>
      <c r="S132" s="795"/>
    </row>
    <row r="133" spans="7:19" x14ac:dyDescent="0.2">
      <c r="G133" s="795"/>
      <c r="H133" s="795"/>
      <c r="I133" s="795"/>
      <c r="J133" s="795"/>
      <c r="K133" s="795"/>
      <c r="L133" s="795"/>
      <c r="M133" s="795"/>
      <c r="N133" s="795"/>
      <c r="O133" s="795"/>
      <c r="P133" s="795"/>
      <c r="Q133" s="795"/>
      <c r="R133" s="795"/>
      <c r="S133" s="795"/>
    </row>
    <row r="134" spans="7:19" x14ac:dyDescent="0.2">
      <c r="G134" s="795"/>
      <c r="H134" s="795"/>
      <c r="I134" s="795"/>
      <c r="J134" s="795"/>
      <c r="K134" s="795"/>
      <c r="L134" s="795"/>
      <c r="M134" s="795"/>
      <c r="N134" s="795"/>
      <c r="O134" s="795"/>
      <c r="P134" s="795"/>
      <c r="Q134" s="795"/>
      <c r="R134" s="795"/>
      <c r="S134" s="795"/>
    </row>
    <row r="135" spans="7:19" x14ac:dyDescent="0.2">
      <c r="G135" s="795"/>
      <c r="H135" s="795"/>
      <c r="I135" s="795"/>
      <c r="J135" s="795"/>
      <c r="K135" s="795"/>
      <c r="L135" s="795"/>
      <c r="M135" s="795"/>
      <c r="N135" s="795"/>
      <c r="O135" s="795"/>
      <c r="P135" s="795"/>
      <c r="Q135" s="795"/>
      <c r="R135" s="795"/>
      <c r="S135" s="795"/>
    </row>
    <row r="136" spans="7:19" x14ac:dyDescent="0.2">
      <c r="G136" s="795"/>
      <c r="H136" s="795"/>
      <c r="I136" s="795"/>
      <c r="J136" s="795"/>
      <c r="K136" s="795"/>
      <c r="L136" s="795"/>
      <c r="M136" s="795"/>
      <c r="N136" s="795"/>
      <c r="O136" s="795"/>
      <c r="P136" s="795"/>
      <c r="Q136" s="795"/>
      <c r="R136" s="795"/>
      <c r="S136" s="795"/>
    </row>
    <row r="137" spans="7:19" x14ac:dyDescent="0.2">
      <c r="G137" s="795"/>
      <c r="H137" s="795"/>
      <c r="I137" s="795"/>
      <c r="J137" s="795"/>
      <c r="K137" s="795"/>
      <c r="L137" s="795"/>
      <c r="M137" s="795"/>
      <c r="N137" s="795"/>
      <c r="O137" s="795"/>
      <c r="P137" s="795"/>
      <c r="Q137" s="795"/>
      <c r="R137" s="795"/>
      <c r="S137" s="795"/>
    </row>
    <row r="138" spans="7:19" x14ac:dyDescent="0.2">
      <c r="G138" s="795"/>
      <c r="H138" s="795"/>
      <c r="I138" s="795"/>
      <c r="J138" s="795"/>
      <c r="K138" s="795"/>
      <c r="L138" s="795"/>
      <c r="M138" s="795"/>
      <c r="N138" s="795"/>
      <c r="O138" s="795"/>
      <c r="P138" s="795"/>
      <c r="Q138" s="795"/>
      <c r="R138" s="795"/>
      <c r="S138" s="795"/>
    </row>
    <row r="139" spans="7:19" x14ac:dyDescent="0.2">
      <c r="G139" s="795"/>
      <c r="H139" s="795"/>
      <c r="I139" s="795"/>
      <c r="J139" s="795"/>
      <c r="K139" s="795"/>
      <c r="L139" s="795"/>
      <c r="M139" s="795"/>
      <c r="N139" s="795"/>
      <c r="O139" s="795"/>
      <c r="P139" s="795"/>
      <c r="Q139" s="795"/>
      <c r="R139" s="795"/>
      <c r="S139" s="795"/>
    </row>
    <row r="140" spans="7:19" x14ac:dyDescent="0.2">
      <c r="G140" s="795"/>
      <c r="H140" s="795"/>
      <c r="I140" s="795"/>
      <c r="J140" s="795"/>
      <c r="K140" s="795"/>
      <c r="L140" s="795"/>
      <c r="M140" s="795"/>
      <c r="N140" s="795"/>
      <c r="O140" s="795"/>
      <c r="P140" s="795"/>
      <c r="Q140" s="795"/>
      <c r="R140" s="795"/>
      <c r="S140" s="795"/>
    </row>
    <row r="141" spans="7:19" x14ac:dyDescent="0.2">
      <c r="S141" s="795"/>
    </row>
    <row r="142" spans="7:19" x14ac:dyDescent="0.2">
      <c r="S142" s="795"/>
    </row>
    <row r="143" spans="7:19" x14ac:dyDescent="0.2">
      <c r="S143" s="795"/>
    </row>
    <row r="144" spans="7:19" x14ac:dyDescent="0.2">
      <c r="S144" s="795"/>
    </row>
    <row r="145" spans="19:19" x14ac:dyDescent="0.2">
      <c r="S145" s="795"/>
    </row>
    <row r="146" spans="19:19" x14ac:dyDescent="0.2">
      <c r="S146" s="795"/>
    </row>
    <row r="147" spans="19:19" x14ac:dyDescent="0.2">
      <c r="S147" s="795"/>
    </row>
    <row r="148" spans="19:19" x14ac:dyDescent="0.2">
      <c r="S148" s="795"/>
    </row>
    <row r="149" spans="19:19" x14ac:dyDescent="0.2">
      <c r="S149" s="795"/>
    </row>
    <row r="150" spans="19:19" x14ac:dyDescent="0.2">
      <c r="S150" s="795"/>
    </row>
    <row r="151" spans="19:19" x14ac:dyDescent="0.2">
      <c r="S151" s="795"/>
    </row>
    <row r="152" spans="19:19" x14ac:dyDescent="0.2">
      <c r="S152" s="795"/>
    </row>
    <row r="153" spans="19:19" x14ac:dyDescent="0.2">
      <c r="S153" s="795"/>
    </row>
    <row r="154" spans="19:19" x14ac:dyDescent="0.2">
      <c r="S154" s="795"/>
    </row>
    <row r="155" spans="19:19" x14ac:dyDescent="0.2">
      <c r="S155" s="795"/>
    </row>
    <row r="156" spans="19:19" x14ac:dyDescent="0.2">
      <c r="S156" s="795"/>
    </row>
    <row r="157" spans="19:19" x14ac:dyDescent="0.2">
      <c r="S157" s="795"/>
    </row>
    <row r="158" spans="19:19" x14ac:dyDescent="0.2">
      <c r="S158" s="795"/>
    </row>
    <row r="159" spans="19:19" x14ac:dyDescent="0.2">
      <c r="S159" s="795"/>
    </row>
    <row r="160" spans="19:19" x14ac:dyDescent="0.2">
      <c r="S160" s="795"/>
    </row>
    <row r="161" spans="19:19" x14ac:dyDescent="0.2">
      <c r="S161" s="795"/>
    </row>
    <row r="162" spans="19:19" x14ac:dyDescent="0.2">
      <c r="S162" s="795"/>
    </row>
    <row r="163" spans="19:19" x14ac:dyDescent="0.2">
      <c r="S163" s="795"/>
    </row>
    <row r="164" spans="19:19" x14ac:dyDescent="0.2">
      <c r="S164" s="795"/>
    </row>
    <row r="165" spans="19:19" x14ac:dyDescent="0.2">
      <c r="S165" s="795"/>
    </row>
    <row r="166" spans="19:19" x14ac:dyDescent="0.2">
      <c r="S166" s="795"/>
    </row>
    <row r="167" spans="19:19" x14ac:dyDescent="0.2">
      <c r="S167" s="795"/>
    </row>
    <row r="168" spans="19:19" x14ac:dyDescent="0.2">
      <c r="S168" s="795"/>
    </row>
    <row r="169" spans="19:19" x14ac:dyDescent="0.2">
      <c r="S169" s="795"/>
    </row>
    <row r="170" spans="19:19" x14ac:dyDescent="0.2">
      <c r="S170" s="795"/>
    </row>
    <row r="171" spans="19:19" x14ac:dyDescent="0.2">
      <c r="S171" s="795"/>
    </row>
    <row r="172" spans="19:19" x14ac:dyDescent="0.2">
      <c r="S172" s="795"/>
    </row>
    <row r="173" spans="19:19" x14ac:dyDescent="0.2">
      <c r="S173" s="795"/>
    </row>
    <row r="174" spans="19:19" x14ac:dyDescent="0.2">
      <c r="S174" s="795"/>
    </row>
    <row r="175" spans="19:19" x14ac:dyDescent="0.2">
      <c r="S175" s="795"/>
    </row>
    <row r="176" spans="19:19" x14ac:dyDescent="0.2">
      <c r="S176" s="795"/>
    </row>
    <row r="177" spans="19:19" x14ac:dyDescent="0.2">
      <c r="S177" s="795"/>
    </row>
    <row r="178" spans="19:19" x14ac:dyDescent="0.2">
      <c r="S178" s="795"/>
    </row>
    <row r="179" spans="19:19" x14ac:dyDescent="0.2">
      <c r="S179" s="795"/>
    </row>
    <row r="180" spans="19:19" x14ac:dyDescent="0.2">
      <c r="S180" s="795"/>
    </row>
    <row r="181" spans="19:19" x14ac:dyDescent="0.2">
      <c r="S181" s="795"/>
    </row>
    <row r="182" spans="19:19" x14ac:dyDescent="0.2">
      <c r="S182" s="795"/>
    </row>
    <row r="183" spans="19:19" x14ac:dyDescent="0.2">
      <c r="S183" s="795"/>
    </row>
    <row r="184" spans="19:19" x14ac:dyDescent="0.2">
      <c r="S184" s="795"/>
    </row>
    <row r="185" spans="19:19" x14ac:dyDescent="0.2">
      <c r="S185" s="795"/>
    </row>
    <row r="186" spans="19:19" x14ac:dyDescent="0.2">
      <c r="S186" s="795"/>
    </row>
    <row r="187" spans="19:19" x14ac:dyDescent="0.2">
      <c r="S187" s="795"/>
    </row>
    <row r="188" spans="19:19" x14ac:dyDescent="0.2">
      <c r="S188" s="795"/>
    </row>
    <row r="189" spans="19:19" x14ac:dyDescent="0.2">
      <c r="S189" s="795"/>
    </row>
    <row r="190" spans="19:19" x14ac:dyDescent="0.2">
      <c r="S190" s="795"/>
    </row>
    <row r="191" spans="19:19" x14ac:dyDescent="0.2">
      <c r="S191" s="795"/>
    </row>
    <row r="192" spans="19:19" x14ac:dyDescent="0.2">
      <c r="S192" s="795"/>
    </row>
    <row r="193" spans="19:19" x14ac:dyDescent="0.2">
      <c r="S193" s="795"/>
    </row>
    <row r="194" spans="19:19" x14ac:dyDescent="0.2">
      <c r="S194" s="795"/>
    </row>
    <row r="195" spans="19:19" x14ac:dyDescent="0.2">
      <c r="S195" s="795"/>
    </row>
    <row r="196" spans="19:19" x14ac:dyDescent="0.2">
      <c r="S196" s="795"/>
    </row>
    <row r="197" spans="19:19" x14ac:dyDescent="0.2">
      <c r="S197" s="795"/>
    </row>
    <row r="198" spans="19:19" x14ac:dyDescent="0.2">
      <c r="S198" s="795"/>
    </row>
    <row r="199" spans="19:19" x14ac:dyDescent="0.2">
      <c r="S199" s="795"/>
    </row>
    <row r="200" spans="19:19" x14ac:dyDescent="0.2">
      <c r="S200" s="795"/>
    </row>
    <row r="201" spans="19:19" x14ac:dyDescent="0.2">
      <c r="S201" s="795"/>
    </row>
    <row r="202" spans="19:19" x14ac:dyDescent="0.2">
      <c r="S202" s="795"/>
    </row>
    <row r="203" spans="19:19" x14ac:dyDescent="0.2">
      <c r="S203" s="795"/>
    </row>
    <row r="204" spans="19:19" x14ac:dyDescent="0.2">
      <c r="S204" s="795"/>
    </row>
    <row r="205" spans="19:19" x14ac:dyDescent="0.2">
      <c r="S205" s="795"/>
    </row>
    <row r="206" spans="19:19" x14ac:dyDescent="0.2">
      <c r="S206" s="795"/>
    </row>
    <row r="207" spans="19:19" x14ac:dyDescent="0.2">
      <c r="S207" s="795"/>
    </row>
    <row r="208" spans="19:19" x14ac:dyDescent="0.2">
      <c r="S208" s="795"/>
    </row>
    <row r="209" spans="19:19" x14ac:dyDescent="0.2">
      <c r="S209" s="795"/>
    </row>
    <row r="210" spans="19:19" x14ac:dyDescent="0.2">
      <c r="S210" s="795"/>
    </row>
    <row r="211" spans="19:19" x14ac:dyDescent="0.2">
      <c r="S211" s="795"/>
    </row>
    <row r="212" spans="19:19" x14ac:dyDescent="0.2">
      <c r="S212" s="795"/>
    </row>
    <row r="213" spans="19:19" x14ac:dyDescent="0.2">
      <c r="S213" s="795"/>
    </row>
    <row r="214" spans="19:19" x14ac:dyDescent="0.2">
      <c r="S214" s="795"/>
    </row>
    <row r="215" spans="19:19" x14ac:dyDescent="0.2">
      <c r="S215" s="795"/>
    </row>
    <row r="216" spans="19:19" x14ac:dyDescent="0.2">
      <c r="S216" s="795"/>
    </row>
    <row r="217" spans="19:19" x14ac:dyDescent="0.2">
      <c r="S217" s="795"/>
    </row>
  </sheetData>
  <mergeCells count="2">
    <mergeCell ref="F2:S2"/>
    <mergeCell ref="T2:AG2"/>
  </mergeCells>
  <pageMargins left="0.7" right="0.7" top="0.75" bottom="0.75" header="0.3" footer="0.3"/>
  <pageSetup scale="9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75"/>
  <sheetViews>
    <sheetView view="pageBreakPreview" zoomScaleNormal="100" zoomScaleSheetLayoutView="100" workbookViewId="0">
      <selection activeCell="U10" sqref="U10"/>
    </sheetView>
  </sheetViews>
  <sheetFormatPr defaultColWidth="9.140625" defaultRowHeight="12.75" x14ac:dyDescent="0.2"/>
  <cols>
    <col min="1" max="4" width="0.85546875" style="136" customWidth="1"/>
    <col min="5" max="5" width="50.7109375" style="136" customWidth="1"/>
    <col min="6" max="6" width="3.42578125" style="136" customWidth="1"/>
    <col min="7" max="7" width="3.5703125" style="136" customWidth="1"/>
    <col min="8" max="8" width="13.7109375" style="136" customWidth="1"/>
    <col min="9" max="9" width="13.7109375" style="136" hidden="1" customWidth="1"/>
    <col min="10" max="10" width="13.7109375" style="136" customWidth="1"/>
    <col min="11" max="20" width="13.7109375" style="136" hidden="1" customWidth="1"/>
    <col min="21" max="21" width="13.7109375" style="136" customWidth="1"/>
    <col min="22" max="22" width="13.7109375" style="321" customWidth="1"/>
    <col min="23" max="23" width="13.7109375" style="136" hidden="1" customWidth="1"/>
    <col min="24" max="24" width="13.7109375" style="136" customWidth="1"/>
    <col min="25" max="34" width="13.7109375" style="136" hidden="1" customWidth="1"/>
    <col min="35" max="35" width="13.7109375" style="136" customWidth="1"/>
    <col min="36" max="36" width="2.28515625" style="136" customWidth="1"/>
    <col min="37" max="39" width="14" style="136" hidden="1" customWidth="1"/>
    <col min="40" max="40" width="13.42578125" style="136" hidden="1" customWidth="1"/>
    <col min="41" max="41" width="11.42578125" style="136" hidden="1" customWidth="1"/>
    <col min="42" max="42" width="9.7109375" style="136" hidden="1" customWidth="1"/>
    <col min="43" max="44" width="12.7109375" style="136" hidden="1" customWidth="1"/>
    <col min="45" max="45" width="14.5703125" style="136" hidden="1" customWidth="1"/>
    <col min="46" max="54" width="6.7109375" style="136" hidden="1" customWidth="1"/>
    <col min="55" max="55" width="9.5703125" style="136" bestFit="1" customWidth="1"/>
    <col min="56" max="16384" width="9.140625" style="136"/>
  </cols>
  <sheetData>
    <row r="1" spans="1:50" ht="12.75" customHeight="1" x14ac:dyDescent="0.2">
      <c r="V1" s="137"/>
    </row>
    <row r="2" spans="1:50" ht="12.75" customHeight="1" x14ac:dyDescent="0.2">
      <c r="A2" s="138" t="s">
        <v>47</v>
      </c>
      <c r="B2" s="138"/>
      <c r="C2" s="138"/>
      <c r="D2" s="139"/>
      <c r="E2" s="138"/>
      <c r="F2" s="138"/>
      <c r="G2" s="139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9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</row>
    <row r="3" spans="1:50" ht="12.75" customHeight="1" x14ac:dyDescent="0.2">
      <c r="A3" s="140"/>
      <c r="B3" s="141"/>
      <c r="C3" s="141"/>
      <c r="D3" s="141"/>
      <c r="E3" s="141"/>
      <c r="F3" s="141"/>
      <c r="G3" s="142"/>
      <c r="H3" s="143" t="s">
        <v>3</v>
      </c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744" t="s">
        <v>4</v>
      </c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5"/>
      <c r="AJ3" s="146"/>
      <c r="AK3" s="147"/>
      <c r="AL3" s="147"/>
      <c r="AM3" s="147"/>
      <c r="AN3" s="148"/>
      <c r="AX3" s="148"/>
    </row>
    <row r="4" spans="1:50" ht="12.75" customHeight="1" x14ac:dyDescent="0.2">
      <c r="A4" s="148"/>
      <c r="B4" s="137"/>
      <c r="C4" s="149"/>
      <c r="D4" s="137"/>
      <c r="E4" s="149"/>
      <c r="F4" s="149"/>
      <c r="G4" s="150"/>
      <c r="H4" s="151" t="s">
        <v>5</v>
      </c>
      <c r="I4" s="152" t="s">
        <v>6</v>
      </c>
      <c r="J4" s="152" t="s">
        <v>7</v>
      </c>
      <c r="K4" s="152" t="s">
        <v>8</v>
      </c>
      <c r="L4" s="152" t="s">
        <v>9</v>
      </c>
      <c r="M4" s="152" t="s">
        <v>10</v>
      </c>
      <c r="N4" s="152" t="s">
        <v>11</v>
      </c>
      <c r="O4" s="152" t="s">
        <v>12</v>
      </c>
      <c r="P4" s="152" t="s">
        <v>13</v>
      </c>
      <c r="Q4" s="152" t="s">
        <v>14</v>
      </c>
      <c r="R4" s="152" t="s">
        <v>15</v>
      </c>
      <c r="S4" s="152" t="s">
        <v>16</v>
      </c>
      <c r="T4" s="152" t="s">
        <v>17</v>
      </c>
      <c r="U4" s="153" t="s">
        <v>18</v>
      </c>
      <c r="V4" s="154" t="s">
        <v>19</v>
      </c>
      <c r="W4" s="155" t="s">
        <v>6</v>
      </c>
      <c r="X4" s="156" t="s">
        <v>7</v>
      </c>
      <c r="Y4" s="156" t="s">
        <v>48</v>
      </c>
      <c r="Z4" s="156" t="s">
        <v>9</v>
      </c>
      <c r="AA4" s="156" t="s">
        <v>10</v>
      </c>
      <c r="AB4" s="156" t="s">
        <v>11</v>
      </c>
      <c r="AC4" s="156" t="s">
        <v>12</v>
      </c>
      <c r="AD4" s="156" t="s">
        <v>13</v>
      </c>
      <c r="AE4" s="156" t="s">
        <v>14</v>
      </c>
      <c r="AF4" s="156" t="s">
        <v>15</v>
      </c>
      <c r="AG4" s="156" t="s">
        <v>16</v>
      </c>
      <c r="AH4" s="156" t="s">
        <v>17</v>
      </c>
      <c r="AI4" s="153" t="s">
        <v>18</v>
      </c>
      <c r="AJ4" s="157"/>
      <c r="AK4" s="158"/>
      <c r="AL4" s="158"/>
      <c r="AM4" s="158"/>
      <c r="AN4" s="148"/>
    </row>
    <row r="5" spans="1:50" ht="12.75" customHeight="1" x14ac:dyDescent="0.2">
      <c r="A5" s="159" t="s">
        <v>20</v>
      </c>
      <c r="B5" s="160"/>
      <c r="C5" s="160"/>
      <c r="D5" s="160"/>
      <c r="E5" s="160"/>
      <c r="F5" s="160"/>
      <c r="G5" s="161"/>
      <c r="H5" s="162" t="s">
        <v>22</v>
      </c>
      <c r="I5" s="163"/>
      <c r="J5" s="164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6"/>
      <c r="V5" s="167" t="s">
        <v>23</v>
      </c>
      <c r="W5" s="168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70"/>
      <c r="AJ5" s="157"/>
      <c r="AK5" s="158"/>
      <c r="AL5" s="158"/>
      <c r="AM5" s="158"/>
      <c r="AN5" s="148"/>
    </row>
    <row r="6" spans="1:50" s="179" customFormat="1" ht="12.75" customHeight="1" x14ac:dyDescent="0.2">
      <c r="A6" s="171"/>
      <c r="B6" s="149" t="s">
        <v>49</v>
      </c>
      <c r="C6" s="172"/>
      <c r="D6" s="173"/>
      <c r="E6" s="172"/>
      <c r="F6" s="174"/>
      <c r="G6" s="175"/>
      <c r="H6" s="152">
        <f>+H7+H14+H15+H16+H17+H19+H20</f>
        <v>813588183.02600002</v>
      </c>
      <c r="I6" s="152">
        <f t="shared" ref="I6:V6" si="0">+I7+I14+I15+I16+I17+I19+I20</f>
        <v>44502247.688879997</v>
      </c>
      <c r="J6" s="176">
        <f t="shared" si="0"/>
        <v>40267541.448380001</v>
      </c>
      <c r="K6" s="177">
        <f t="shared" si="0"/>
        <v>0</v>
      </c>
      <c r="L6" s="177">
        <f t="shared" si="0"/>
        <v>0</v>
      </c>
      <c r="M6" s="177">
        <f t="shared" si="0"/>
        <v>0</v>
      </c>
      <c r="N6" s="177">
        <f t="shared" si="0"/>
        <v>0</v>
      </c>
      <c r="O6" s="177">
        <f t="shared" si="0"/>
        <v>0</v>
      </c>
      <c r="P6" s="177">
        <f t="shared" si="0"/>
        <v>0</v>
      </c>
      <c r="Q6" s="177">
        <f t="shared" si="0"/>
        <v>0</v>
      </c>
      <c r="R6" s="177">
        <f t="shared" si="0"/>
        <v>0</v>
      </c>
      <c r="S6" s="177">
        <f t="shared" si="0"/>
        <v>0</v>
      </c>
      <c r="T6" s="177">
        <f t="shared" si="0"/>
        <v>0</v>
      </c>
      <c r="U6" s="153">
        <f t="shared" si="0"/>
        <v>84769789.137260005</v>
      </c>
      <c r="V6" s="176">
        <f t="shared" si="0"/>
        <v>772680576.00985014</v>
      </c>
      <c r="W6" s="177">
        <f>+W7+W14+W15+W16+W17+W19+W20</f>
        <v>47553752.77249001</v>
      </c>
      <c r="X6" s="156">
        <f t="shared" ref="X6:Y6" si="1">+X7+X14+X15+X16+X17+X19+X20</f>
        <v>47282401.413939998</v>
      </c>
      <c r="Y6" s="156">
        <f t="shared" si="1"/>
        <v>96420082.301810011</v>
      </c>
      <c r="Z6" s="177">
        <f>+Z7+Z14+Z15+Z16+Z17+Z19+Z20</f>
        <v>38395560.228289992</v>
      </c>
      <c r="AA6" s="156">
        <f>+AA7+AA14+AA15+AA16+AA17+AA19+AA20</f>
        <v>70448927.873320013</v>
      </c>
      <c r="AB6" s="156">
        <f t="shared" ref="AB6:AH6" si="2">+AB7+AB14+AB15+AB16+AB17+AB19+AB20</f>
        <v>65436322.300100014</v>
      </c>
      <c r="AC6" s="156">
        <f>+AC7+AC14+AC15+AC16+AC17+AC19+AC20+1</f>
        <v>46743452.980879992</v>
      </c>
      <c r="AD6" s="156">
        <f t="shared" si="2"/>
        <v>44884045.116439998</v>
      </c>
      <c r="AE6" s="156">
        <f>+AE7+AE14+AE15+AE16+AE17+AE19+AE20</f>
        <v>103738985.99437</v>
      </c>
      <c r="AF6" s="156">
        <f t="shared" ref="AF6:AG6" si="3">+AF7+AF14+AF15+AF16+AF17+AF19+AF20</f>
        <v>48109044.612840027</v>
      </c>
      <c r="AG6" s="156">
        <f t="shared" si="3"/>
        <v>92425907.679609984</v>
      </c>
      <c r="AH6" s="156">
        <f t="shared" si="2"/>
        <v>71242093.735759988</v>
      </c>
      <c r="AI6" s="153">
        <f>+AI7+AI14+AI15+AI16+AI17+AI19+AI20</f>
        <v>94836154.186430007</v>
      </c>
      <c r="AJ6" s="157"/>
      <c r="AK6" s="158"/>
      <c r="AL6" s="158"/>
      <c r="AM6" s="158"/>
      <c r="AN6" s="178">
        <f>H6-U6</f>
        <v>728818393.88874006</v>
      </c>
      <c r="AO6" s="173"/>
    </row>
    <row r="7" spans="1:50" ht="12.75" customHeight="1" x14ac:dyDescent="0.2">
      <c r="A7" s="148"/>
      <c r="B7" s="137"/>
      <c r="C7" s="136" t="s">
        <v>50</v>
      </c>
      <c r="D7" s="137"/>
      <c r="E7" s="137"/>
      <c r="F7" s="149"/>
      <c r="G7" s="150"/>
      <c r="H7" s="180">
        <f t="shared" ref="H7:U7" si="4">(+H8+H9+H10+H11+H12)</f>
        <v>546771493.78499997</v>
      </c>
      <c r="I7" s="180">
        <f t="shared" si="4"/>
        <v>41615902.929719999</v>
      </c>
      <c r="J7" s="180">
        <f t="shared" si="4"/>
        <v>36192555.250660002</v>
      </c>
      <c r="K7" s="181">
        <f t="shared" si="4"/>
        <v>0</v>
      </c>
      <c r="L7" s="181">
        <f t="shared" si="4"/>
        <v>0</v>
      </c>
      <c r="M7" s="181">
        <f t="shared" si="4"/>
        <v>0</v>
      </c>
      <c r="N7" s="181">
        <f t="shared" si="4"/>
        <v>0</v>
      </c>
      <c r="O7" s="181">
        <f t="shared" si="4"/>
        <v>0</v>
      </c>
      <c r="P7" s="181">
        <f t="shared" si="4"/>
        <v>0</v>
      </c>
      <c r="Q7" s="181">
        <f t="shared" si="4"/>
        <v>0</v>
      </c>
      <c r="R7" s="181">
        <f t="shared" si="4"/>
        <v>0</v>
      </c>
      <c r="S7" s="181">
        <f t="shared" si="4"/>
        <v>0</v>
      </c>
      <c r="T7" s="181">
        <f t="shared" si="4"/>
        <v>0</v>
      </c>
      <c r="U7" s="182">
        <f t="shared" si="4"/>
        <v>77808458.180380017</v>
      </c>
      <c r="V7" s="180">
        <v>527623015.12565017</v>
      </c>
      <c r="W7" s="183">
        <f t="shared" ref="W7" si="5">(+W8+W9+W10+W11+W12)</f>
        <v>43776459.651640005</v>
      </c>
      <c r="X7" s="181">
        <f>(+X8+X9+X10+X11+X12)</f>
        <v>41154239.428300001</v>
      </c>
      <c r="Y7" s="181">
        <f>(+Y8+Y9+Y10+Y11+Y12)</f>
        <v>40754501.706720002</v>
      </c>
      <c r="Z7" s="181">
        <f t="shared" ref="Z7:AH7" si="6">(+Z8+Z9+Z10+Z11+Z12)</f>
        <v>35484723.235689998</v>
      </c>
      <c r="AA7" s="181">
        <f t="shared" si="6"/>
        <v>46609599.916050002</v>
      </c>
      <c r="AB7" s="181">
        <f t="shared" si="6"/>
        <v>40730037.182510003</v>
      </c>
      <c r="AC7" s="181">
        <f t="shared" si="6"/>
        <v>40946946.799479991</v>
      </c>
      <c r="AD7" s="181">
        <f t="shared" si="6"/>
        <v>40153656.112360008</v>
      </c>
      <c r="AE7" s="181">
        <f>(+AE8+AE9+AE10+AE11+AE12)</f>
        <v>44888641.336540006</v>
      </c>
      <c r="AF7" s="181">
        <f t="shared" ref="AF7" si="7">(+AF8+AF9+AF10+AF11+AF12)</f>
        <v>44810442.238950029</v>
      </c>
      <c r="AG7" s="181">
        <f>(+AG8+AG9+AG10+AG11+AG12)</f>
        <v>60385934.534630008</v>
      </c>
      <c r="AH7" s="181">
        <f t="shared" si="6"/>
        <v>47927832.982779995</v>
      </c>
      <c r="AI7" s="182">
        <f>+AI8+AI9+AI10+AI11+AI12</f>
        <v>84930699.079939991</v>
      </c>
      <c r="AJ7" s="184"/>
      <c r="AK7" s="185"/>
      <c r="AL7" s="185"/>
      <c r="AM7" s="185"/>
      <c r="AN7" s="186">
        <f>H7-U7</f>
        <v>468963035.60461998</v>
      </c>
      <c r="AO7" s="137">
        <f>+V7-AI7</f>
        <v>442692316.04571021</v>
      </c>
      <c r="AP7" s="136">
        <v>170898.13723003864</v>
      </c>
    </row>
    <row r="8" spans="1:50" ht="12.75" customHeight="1" x14ac:dyDescent="0.2">
      <c r="A8" s="148"/>
      <c r="B8" s="149"/>
      <c r="C8" s="137"/>
      <c r="D8" s="137"/>
      <c r="E8" s="187" t="s">
        <v>51</v>
      </c>
      <c r="F8" s="187"/>
      <c r="G8" s="188"/>
      <c r="H8" s="181">
        <v>41242038.254999995</v>
      </c>
      <c r="I8" s="180">
        <v>532955.74387999997</v>
      </c>
      <c r="J8" s="185">
        <f>629316.68601-532956+534747</f>
        <v>631107.68600999995</v>
      </c>
      <c r="K8" s="183">
        <v>0</v>
      </c>
      <c r="L8" s="183">
        <v>0</v>
      </c>
      <c r="M8" s="183">
        <v>0</v>
      </c>
      <c r="N8" s="183">
        <v>0</v>
      </c>
      <c r="O8" s="183">
        <v>0</v>
      </c>
      <c r="P8" s="183">
        <v>0</v>
      </c>
      <c r="Q8" s="183">
        <v>0</v>
      </c>
      <c r="R8" s="183">
        <v>0</v>
      </c>
      <c r="S8" s="183">
        <v>0</v>
      </c>
      <c r="T8" s="183">
        <v>0</v>
      </c>
      <c r="U8" s="182">
        <f>SUM(I8:T8)</f>
        <v>1164063.4298899998</v>
      </c>
      <c r="V8" s="180">
        <v>45498854.065650001</v>
      </c>
      <c r="W8" s="183">
        <v>1045401.3255700001</v>
      </c>
      <c r="X8" s="181">
        <f>1137548.45739-1045401+1047053</f>
        <v>1139200.4573900001</v>
      </c>
      <c r="Y8" s="183">
        <f>874787.9188-2184601+2187354</f>
        <v>877540.9188000001</v>
      </c>
      <c r="Z8" s="183">
        <f>777885.04315-3062143+3066086</f>
        <v>781828.04315000027</v>
      </c>
      <c r="AA8" s="183">
        <f>10743657.94912-3843971+3848401</f>
        <v>10748087.94912</v>
      </c>
      <c r="AB8" s="181">
        <f>2224163.80386-14592059+14617120</f>
        <v>2249224.8038599994</v>
      </c>
      <c r="AC8" s="181">
        <f>1402260.17375-16841283+16847028-2</f>
        <v>1408003.1737500001</v>
      </c>
      <c r="AD8" s="181">
        <f>1553124.62623-289456508+289463308</f>
        <v>1559924.6262300014</v>
      </c>
      <c r="AE8" s="181">
        <f>1391700.5638-19809211+19813860</f>
        <v>1396349.5637999997</v>
      </c>
      <c r="AF8" s="181">
        <f>1809076.33346-21205561+21210499</f>
        <v>1814014.3334599994</v>
      </c>
      <c r="AG8" s="181">
        <f>20207521.13668-23019575+23029478-1</f>
        <v>20217423.13668</v>
      </c>
      <c r="AH8" s="181">
        <v>2261855.7338399999</v>
      </c>
      <c r="AI8" s="182">
        <f>SUM(W8:X8)</f>
        <v>2184601.7829600004</v>
      </c>
      <c r="AJ8" s="184"/>
      <c r="AK8" s="185"/>
      <c r="AL8" s="185"/>
      <c r="AM8" s="185"/>
      <c r="AN8" s="186">
        <f t="shared" ref="AN8:AN20" si="8">H8-U8</f>
        <v>40077974.825109996</v>
      </c>
      <c r="AO8" s="137">
        <f t="shared" ref="AO8:AO72" si="9">+V8-AI8</f>
        <v>43314252.282690004</v>
      </c>
      <c r="AP8" s="136">
        <v>170760.4681699872</v>
      </c>
    </row>
    <row r="9" spans="1:50" ht="12.75" customHeight="1" x14ac:dyDescent="0.2">
      <c r="A9" s="148"/>
      <c r="B9" s="149"/>
      <c r="C9" s="137"/>
      <c r="D9" s="137"/>
      <c r="E9" s="137" t="s">
        <v>52</v>
      </c>
      <c r="F9" s="149"/>
      <c r="G9" s="180"/>
      <c r="H9" s="181">
        <v>542040047.42299998</v>
      </c>
      <c r="I9" s="180">
        <v>41692107.038860001</v>
      </c>
      <c r="J9" s="185">
        <f>37255109.59198-41692107+41692107</f>
        <v>37255109.591980003</v>
      </c>
      <c r="K9" s="183">
        <v>0</v>
      </c>
      <c r="L9" s="183">
        <v>0</v>
      </c>
      <c r="M9" s="183">
        <v>0</v>
      </c>
      <c r="N9" s="183">
        <v>0</v>
      </c>
      <c r="O9" s="183">
        <v>0</v>
      </c>
      <c r="P9" s="183">
        <v>0</v>
      </c>
      <c r="Q9" s="183">
        <v>0</v>
      </c>
      <c r="R9" s="183">
        <v>0</v>
      </c>
      <c r="S9" s="183">
        <v>0</v>
      </c>
      <c r="T9" s="183">
        <v>0</v>
      </c>
      <c r="U9" s="182">
        <f t="shared" ref="U9:U12" si="10">SUM(I9:T9)</f>
        <v>78947216.630840003</v>
      </c>
      <c r="V9" s="180">
        <v>518242315.96610004</v>
      </c>
      <c r="W9" s="183">
        <v>44296731.578749999</v>
      </c>
      <c r="X9" s="181">
        <f>40997229.68907-44296732+44296732</f>
        <v>40997229.689070001</v>
      </c>
      <c r="Y9" s="183">
        <f>41027937.84181-85293961+85293961</f>
        <v>41027937.841810003</v>
      </c>
      <c r="Z9" s="183">
        <f>41101466.76307-126321899+126321899</f>
        <v>41101466.763070002</v>
      </c>
      <c r="AA9" s="183">
        <f>41635415.68559-167423366+167423365</f>
        <v>41635414.685589999</v>
      </c>
      <c r="AB9" s="181">
        <f>42402182.92276-209058781+209058782</f>
        <v>42402183.92276001</v>
      </c>
      <c r="AC9" s="181">
        <f>43698245.36275-251460964+251460966-2</f>
        <v>43698245.362749994</v>
      </c>
      <c r="AD9" s="181">
        <f>42086554.0146-295159210+295159211+1</f>
        <v>42086556.014600009</v>
      </c>
      <c r="AE9" s="181">
        <f>46004117.27296-337245766+337245766</f>
        <v>46004117.272960007</v>
      </c>
      <c r="AF9" s="181">
        <f>45298877.20745-383249883+383249882</f>
        <v>45298876.207450032</v>
      </c>
      <c r="AG9" s="181">
        <f>42198090.29802-428548759+428548759-1</f>
        <v>42198089.298020005</v>
      </c>
      <c r="AH9" s="181">
        <v>47495467.329269998</v>
      </c>
      <c r="AI9" s="182">
        <f t="shared" ref="AI9:AI22" si="11">SUM(W9:X9)</f>
        <v>85293961.267820001</v>
      </c>
      <c r="AJ9" s="184"/>
      <c r="AK9" s="185"/>
      <c r="AL9" s="185"/>
      <c r="AM9" s="185"/>
      <c r="AN9" s="186">
        <f t="shared" si="8"/>
        <v>463092830.79215997</v>
      </c>
      <c r="AO9" s="137">
        <f t="shared" si="9"/>
        <v>432948354.69828004</v>
      </c>
      <c r="AP9" s="136">
        <v>-0.62007993459701538</v>
      </c>
    </row>
    <row r="10" spans="1:50" ht="12.75" customHeight="1" x14ac:dyDescent="0.25">
      <c r="A10" s="148"/>
      <c r="B10" s="149"/>
      <c r="C10" s="137"/>
      <c r="D10" s="137"/>
      <c r="E10" s="189" t="s">
        <v>53</v>
      </c>
      <c r="F10" s="190"/>
      <c r="G10" s="191"/>
      <c r="H10" s="181">
        <v>-4627261.5439999998</v>
      </c>
      <c r="I10" s="180">
        <v>-50673.258329999997</v>
      </c>
      <c r="J10" s="185">
        <f>-835644.90192-50673 +50673</f>
        <v>-835644.90191999997</v>
      </c>
      <c r="K10" s="183">
        <v>0</v>
      </c>
      <c r="L10" s="183">
        <v>0</v>
      </c>
      <c r="M10" s="183">
        <v>0</v>
      </c>
      <c r="N10" s="183">
        <v>0</v>
      </c>
      <c r="O10" s="183">
        <v>0</v>
      </c>
      <c r="P10" s="183">
        <v>0</v>
      </c>
      <c r="Q10" s="183">
        <v>0</v>
      </c>
      <c r="R10" s="183">
        <v>0</v>
      </c>
      <c r="S10" s="183">
        <v>0</v>
      </c>
      <c r="T10" s="183">
        <v>0</v>
      </c>
      <c r="U10" s="182">
        <f t="shared" si="10"/>
        <v>-886318.16024999996</v>
      </c>
      <c r="V10" s="180">
        <v>-4150348.5131299994</v>
      </c>
      <c r="W10" s="183">
        <v>-422029.25579999998</v>
      </c>
      <c r="X10" s="181">
        <f>-83296.61501-422029+422029</f>
        <v>-83296.615010000009</v>
      </c>
      <c r="Y10" s="183">
        <f>-356825.11998-505326+505326</f>
        <v>-356825.11997999996</v>
      </c>
      <c r="Z10" s="183">
        <f>-429038.7422-862151+862151</f>
        <v>-429038.74219999998</v>
      </c>
      <c r="AA10" s="183">
        <f>-339904.13563-1291190+1291190</f>
        <v>-339904.13562999992</v>
      </c>
      <c r="AB10" s="181">
        <f>-380196.25669-1631094+1631094</f>
        <v>-380196.25668999995</v>
      </c>
      <c r="AC10" s="181">
        <v>-343097.10807000002</v>
      </c>
      <c r="AD10" s="181">
        <v>-336545.33994999999</v>
      </c>
      <c r="AE10" s="181">
        <v>-359236.86654000002</v>
      </c>
      <c r="AF10" s="181">
        <v>-362400.42050999997</v>
      </c>
      <c r="AG10" s="181">
        <v>-357899.94475999998</v>
      </c>
      <c r="AH10" s="181">
        <v>-379878.70799000002</v>
      </c>
      <c r="AI10" s="182">
        <f t="shared" si="11"/>
        <v>-505325.87080999999</v>
      </c>
      <c r="AJ10" s="184"/>
      <c r="AK10" s="185"/>
      <c r="AL10" s="185"/>
      <c r="AM10" s="185"/>
      <c r="AN10" s="186">
        <f t="shared" si="8"/>
        <v>-3740943.38375</v>
      </c>
      <c r="AO10" s="137">
        <f t="shared" si="9"/>
        <v>-3645022.6423199996</v>
      </c>
      <c r="AP10" s="136">
        <v>-0.18653000053018332</v>
      </c>
    </row>
    <row r="11" spans="1:50" ht="12.75" customHeight="1" x14ac:dyDescent="0.2">
      <c r="A11" s="148"/>
      <c r="B11" s="149"/>
      <c r="C11" s="137"/>
      <c r="D11" s="137"/>
      <c r="E11" s="137" t="s">
        <v>54</v>
      </c>
      <c r="F11" s="149"/>
      <c r="G11" s="180"/>
      <c r="H11" s="181">
        <v>-746296.22699999996</v>
      </c>
      <c r="I11" s="180">
        <v>-28022.66575</v>
      </c>
      <c r="J11" s="185">
        <f>-172007.06936-28023+28023</f>
        <v>-172007.06935999999</v>
      </c>
      <c r="K11" s="183">
        <v>0</v>
      </c>
      <c r="L11" s="183">
        <v>0</v>
      </c>
      <c r="M11" s="183">
        <v>0</v>
      </c>
      <c r="N11" s="183">
        <v>0</v>
      </c>
      <c r="O11" s="183">
        <v>0</v>
      </c>
      <c r="P11" s="183">
        <v>0</v>
      </c>
      <c r="Q11" s="183">
        <v>0</v>
      </c>
      <c r="R11" s="183">
        <v>0</v>
      </c>
      <c r="S11" s="183">
        <v>0</v>
      </c>
      <c r="T11" s="183">
        <v>0</v>
      </c>
      <c r="U11" s="182">
        <f t="shared" si="10"/>
        <v>-200029.73511000001</v>
      </c>
      <c r="V11" s="180">
        <v>-603878.8677099999</v>
      </c>
      <c r="W11" s="183">
        <v>-283731.10194999998</v>
      </c>
      <c r="X11" s="181">
        <f>-22971.71472-283731+283731</f>
        <v>-22971.714719999989</v>
      </c>
      <c r="Y11" s="183">
        <f>-16854.091-306703+306703</f>
        <v>-16854.091000000015</v>
      </c>
      <c r="Z11" s="183">
        <f>-30074.48565-323557+323557</f>
        <v>-30074.485649999988</v>
      </c>
      <c r="AA11" s="183">
        <f>-25479.95229-353631+353631</f>
        <v>-25479.952289999987</v>
      </c>
      <c r="AB11" s="181">
        <f>-42236.93293-379111+379111</f>
        <v>-42236.93293000001</v>
      </c>
      <c r="AC11" s="181">
        <f>-31139.0697-421348+421348</f>
        <v>-31139.069699999993</v>
      </c>
      <c r="AD11" s="181">
        <v>-17600.217149999997</v>
      </c>
      <c r="AE11" s="181">
        <v>-25607.755020000001</v>
      </c>
      <c r="AF11" s="181">
        <v>-17295.282360000001</v>
      </c>
      <c r="AG11" s="181">
        <v>-51730.900750000001</v>
      </c>
      <c r="AH11" s="181">
        <v>-39157.36419</v>
      </c>
      <c r="AI11" s="182">
        <f t="shared" si="11"/>
        <v>-306702.81666999997</v>
      </c>
      <c r="AJ11" s="184"/>
      <c r="AK11" s="185"/>
      <c r="AL11" s="185"/>
      <c r="AM11" s="185"/>
      <c r="AN11" s="186">
        <f t="shared" si="8"/>
        <v>-546266.49188999995</v>
      </c>
      <c r="AO11" s="137">
        <f t="shared" si="9"/>
        <v>-297176.05103999993</v>
      </c>
      <c r="AP11" s="136">
        <v>-0.23753000004217029</v>
      </c>
    </row>
    <row r="12" spans="1:50" ht="12.75" customHeight="1" x14ac:dyDescent="0.2">
      <c r="A12" s="148"/>
      <c r="B12" s="149"/>
      <c r="C12" s="137"/>
      <c r="D12" s="137"/>
      <c r="E12" s="137" t="s">
        <v>55</v>
      </c>
      <c r="F12" s="149"/>
      <c r="G12" s="180"/>
      <c r="H12" s="181">
        <v>-31137034.122000001</v>
      </c>
      <c r="I12" s="180">
        <v>-530463.92894000001</v>
      </c>
      <c r="J12" s="185">
        <f>-686010.05605-530464+530464</f>
        <v>-686010.05605000001</v>
      </c>
      <c r="K12" s="183">
        <v>0</v>
      </c>
      <c r="L12" s="183">
        <v>0</v>
      </c>
      <c r="M12" s="183">
        <v>0</v>
      </c>
      <c r="N12" s="183">
        <v>0</v>
      </c>
      <c r="O12" s="183">
        <v>0</v>
      </c>
      <c r="P12" s="183">
        <v>0</v>
      </c>
      <c r="Q12" s="183">
        <v>0</v>
      </c>
      <c r="R12" s="183">
        <v>0</v>
      </c>
      <c r="S12" s="183">
        <v>0</v>
      </c>
      <c r="T12" s="183">
        <v>0</v>
      </c>
      <c r="U12" s="182">
        <f t="shared" si="10"/>
        <v>-1216473.98499</v>
      </c>
      <c r="V12" s="180">
        <v>-31363927.525260001</v>
      </c>
      <c r="W12" s="183">
        <v>-859912.89492999995</v>
      </c>
      <c r="X12" s="181">
        <f>-875922.38843-859913+859913</f>
        <v>-875922.38843000005</v>
      </c>
      <c r="Y12" s="183">
        <f>-777297.84291-1735835+1735835</f>
        <v>-777297.84291000012</v>
      </c>
      <c r="Z12" s="183">
        <f>-5939458.34268-2513133+2513133</f>
        <v>-5939458.3426799998</v>
      </c>
      <c r="AA12" s="183">
        <f>-5408518.63074-8452591+8452591</f>
        <v>-5408518.6307399999</v>
      </c>
      <c r="AB12" s="181">
        <f>-3498938.35449-13861110+13861110</f>
        <v>-3498938.3544900008</v>
      </c>
      <c r="AC12" s="181">
        <f>-3785065.55925-17360048+17360048</f>
        <v>-3785065.5592500009</v>
      </c>
      <c r="AD12" s="181">
        <v>-3138678.9713699999</v>
      </c>
      <c r="AE12" s="181">
        <v>-2126980.8786599999</v>
      </c>
      <c r="AF12" s="181">
        <v>-1922752.5990899999</v>
      </c>
      <c r="AG12" s="181">
        <v>-1619947.0545599998</v>
      </c>
      <c r="AH12" s="181">
        <v>-1410454.0081500001</v>
      </c>
      <c r="AI12" s="182">
        <f t="shared" si="11"/>
        <v>-1735835.28336</v>
      </c>
      <c r="AJ12" s="184"/>
      <c r="AK12" s="185"/>
      <c r="AL12" s="185"/>
      <c r="AM12" s="185"/>
      <c r="AN12" s="186">
        <f t="shared" si="8"/>
        <v>-29920560.137010001</v>
      </c>
      <c r="AO12" s="137">
        <f t="shared" si="9"/>
        <v>-29628092.241900001</v>
      </c>
      <c r="AP12" s="136">
        <v>138.71320000290871</v>
      </c>
    </row>
    <row r="13" spans="1:50" ht="12.75" customHeight="1" x14ac:dyDescent="0.2">
      <c r="A13" s="148"/>
      <c r="B13" s="137"/>
      <c r="C13" s="187" t="s">
        <v>56</v>
      </c>
      <c r="D13" s="187"/>
      <c r="E13" s="187"/>
      <c r="F13" s="187"/>
      <c r="G13" s="188"/>
      <c r="H13" s="181"/>
      <c r="I13" s="180"/>
      <c r="J13" s="185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2"/>
      <c r="V13" s="180"/>
      <c r="W13" s="183"/>
      <c r="X13" s="181"/>
      <c r="Y13" s="183"/>
      <c r="Z13" s="183"/>
      <c r="AA13" s="183"/>
      <c r="AB13" s="181"/>
      <c r="AC13" s="181"/>
      <c r="AD13" s="181"/>
      <c r="AE13" s="181"/>
      <c r="AF13" s="181"/>
      <c r="AG13" s="181"/>
      <c r="AH13" s="181"/>
      <c r="AI13" s="182"/>
      <c r="AJ13" s="184"/>
      <c r="AK13" s="185"/>
      <c r="AL13" s="185"/>
      <c r="AM13" s="185"/>
      <c r="AN13" s="186">
        <f t="shared" si="8"/>
        <v>0</v>
      </c>
      <c r="AO13" s="137">
        <f t="shared" si="9"/>
        <v>0</v>
      </c>
      <c r="AP13" s="179">
        <v>0</v>
      </c>
    </row>
    <row r="14" spans="1:50" ht="12.75" customHeight="1" x14ac:dyDescent="0.2">
      <c r="A14" s="148"/>
      <c r="B14" s="137"/>
      <c r="C14" s="137"/>
      <c r="D14" s="137"/>
      <c r="E14" s="137" t="s">
        <v>57</v>
      </c>
      <c r="F14" s="137"/>
      <c r="G14" s="180"/>
      <c r="H14" s="181">
        <v>230225624.72100002</v>
      </c>
      <c r="I14" s="180">
        <v>384842.90894999984</v>
      </c>
      <c r="J14" s="185">
        <f>437017.20909-384843+393075</f>
        <v>445249.20909000002</v>
      </c>
      <c r="K14" s="183">
        <v>0</v>
      </c>
      <c r="L14" s="183">
        <v>0</v>
      </c>
      <c r="M14" s="183">
        <v>0</v>
      </c>
      <c r="N14" s="183">
        <v>0</v>
      </c>
      <c r="O14" s="183">
        <v>0</v>
      </c>
      <c r="P14" s="183">
        <v>0</v>
      </c>
      <c r="Q14" s="183">
        <v>0</v>
      </c>
      <c r="R14" s="183">
        <v>0</v>
      </c>
      <c r="S14" s="183">
        <v>0</v>
      </c>
      <c r="T14" s="183">
        <v>0</v>
      </c>
      <c r="U14" s="182">
        <f t="shared" ref="U14:U17" si="12">SUM(I14:T14)</f>
        <v>830092.11803999986</v>
      </c>
      <c r="V14" s="180">
        <v>211485535.01819998</v>
      </c>
      <c r="W14" s="183">
        <v>1151770.1174699999</v>
      </c>
      <c r="X14" s="181">
        <f>1242986.25581-1151770+1159116</f>
        <v>1250332.25581</v>
      </c>
      <c r="Y14" s="183">
        <f>53804452.5886-2402102+2407792</f>
        <v>53810142.588600002</v>
      </c>
      <c r="Z14" s="183">
        <f>772540.9806-56212245+56235607</f>
        <v>795902.98059999943</v>
      </c>
      <c r="AA14" s="183">
        <f>21429184.58605-57008148+57021979</f>
        <v>21443015.586050004</v>
      </c>
      <c r="AB14" s="181">
        <f>22865269.4949-78451164+78458396</f>
        <v>22872501.494900003</v>
      </c>
      <c r="AC14" s="181">
        <f>1235090.86865-101323665+101426457</f>
        <v>1337882.8686500043</v>
      </c>
      <c r="AD14" s="181">
        <f>2071070.62865-102661548+102687261</f>
        <v>2096783.6286499947</v>
      </c>
      <c r="AE14" s="181">
        <f>57072343.36717-104758332+104770608</f>
        <v>57084619.367169999</v>
      </c>
      <c r="AF14" s="181">
        <f>979655.8143-161842951+161853757</f>
        <v>990461.81430000067</v>
      </c>
      <c r="AG14" s="181">
        <f>29223756.40822-162833413+162916282-2</f>
        <v>29306623.408219993</v>
      </c>
      <c r="AH14" s="181">
        <v>19345498.907779999</v>
      </c>
      <c r="AI14" s="182">
        <f t="shared" si="11"/>
        <v>2402102.3732799999</v>
      </c>
      <c r="AJ14" s="184"/>
      <c r="AK14" s="185"/>
      <c r="AL14" s="185"/>
      <c r="AM14" s="185"/>
      <c r="AN14" s="186">
        <f t="shared" si="8"/>
        <v>229395532.60296002</v>
      </c>
      <c r="AO14" s="137">
        <f t="shared" si="9"/>
        <v>209083432.64491999</v>
      </c>
      <c r="AP14" s="179">
        <v>390830.13055998087</v>
      </c>
    </row>
    <row r="15" spans="1:50" ht="12.75" customHeight="1" x14ac:dyDescent="0.2">
      <c r="A15" s="148"/>
      <c r="B15" s="137"/>
      <c r="C15" s="137"/>
      <c r="D15" s="137"/>
      <c r="E15" s="192" t="s">
        <v>58</v>
      </c>
      <c r="F15" s="192"/>
      <c r="G15" s="193"/>
      <c r="H15" s="181">
        <v>15024.16</v>
      </c>
      <c r="I15" s="180">
        <v>591.75368000000003</v>
      </c>
      <c r="J15" s="185">
        <v>358.55195000000003</v>
      </c>
      <c r="K15" s="183">
        <v>0</v>
      </c>
      <c r="L15" s="183">
        <v>0</v>
      </c>
      <c r="M15" s="183">
        <v>0</v>
      </c>
      <c r="N15" s="183">
        <v>0</v>
      </c>
      <c r="O15" s="183">
        <v>0</v>
      </c>
      <c r="P15" s="183">
        <v>0</v>
      </c>
      <c r="Q15" s="183">
        <v>0</v>
      </c>
      <c r="R15" s="183">
        <v>0</v>
      </c>
      <c r="S15" s="183">
        <v>0</v>
      </c>
      <c r="T15" s="183">
        <v>0</v>
      </c>
      <c r="U15" s="182">
        <f t="shared" si="12"/>
        <v>950.30563000000006</v>
      </c>
      <c r="V15" s="180">
        <v>15961.07682</v>
      </c>
      <c r="W15" s="183">
        <v>4086.3198600000001</v>
      </c>
      <c r="X15" s="181">
        <v>1391.03548</v>
      </c>
      <c r="Y15" s="183">
        <v>1839.0604599999999</v>
      </c>
      <c r="Z15" s="183">
        <v>2009.00775</v>
      </c>
      <c r="AA15" s="183">
        <v>-506.63587000000001</v>
      </c>
      <c r="AB15" s="181">
        <v>2410.3167599999997</v>
      </c>
      <c r="AC15" s="181">
        <v>-2272.4185699999998</v>
      </c>
      <c r="AD15" s="181">
        <v>995.00096999999994</v>
      </c>
      <c r="AE15" s="181">
        <v>962.30282</v>
      </c>
      <c r="AF15" s="181">
        <v>455.23854</v>
      </c>
      <c r="AG15" s="181">
        <v>1236.0751599999999</v>
      </c>
      <c r="AH15" s="181">
        <v>3355.7734599999999</v>
      </c>
      <c r="AI15" s="182">
        <f t="shared" si="11"/>
        <v>5477.3553400000001</v>
      </c>
      <c r="AJ15" s="184"/>
      <c r="AK15" s="185"/>
      <c r="AL15" s="185"/>
      <c r="AM15" s="185"/>
      <c r="AN15" s="186">
        <f t="shared" si="8"/>
        <v>14073.854369999999</v>
      </c>
      <c r="AO15" s="137">
        <f t="shared" si="9"/>
        <v>10483.72148</v>
      </c>
      <c r="AP15" s="179">
        <v>-0.55058999999891967</v>
      </c>
    </row>
    <row r="16" spans="1:50" ht="12.75" customHeight="1" x14ac:dyDescent="0.2">
      <c r="A16" s="148"/>
      <c r="B16" s="137"/>
      <c r="C16" s="137"/>
      <c r="D16" s="137"/>
      <c r="E16" s="192" t="s">
        <v>59</v>
      </c>
      <c r="F16" s="192"/>
      <c r="G16" s="193"/>
      <c r="H16" s="181">
        <v>31154064.427000001</v>
      </c>
      <c r="I16" s="180">
        <v>2209079.9366000001</v>
      </c>
      <c r="J16" s="185">
        <v>3349193.38399</v>
      </c>
      <c r="K16" s="183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3">
        <v>0</v>
      </c>
      <c r="S16" s="183">
        <v>0</v>
      </c>
      <c r="T16" s="183">
        <v>0</v>
      </c>
      <c r="U16" s="182">
        <f t="shared" si="12"/>
        <v>5558273.3205900006</v>
      </c>
      <c r="V16" s="180">
        <v>27913927.080180001</v>
      </c>
      <c r="W16" s="183">
        <v>2235723.95352</v>
      </c>
      <c r="X16" s="181">
        <v>4519590.4822399998</v>
      </c>
      <c r="Y16" s="183">
        <v>1612104.69774</v>
      </c>
      <c r="Z16" s="183">
        <f>1859617.30539</f>
        <v>1859617.3053900001</v>
      </c>
      <c r="AA16" s="183">
        <v>2149459.6524899998</v>
      </c>
      <c r="AB16" s="181">
        <v>1449432.13283</v>
      </c>
      <c r="AC16" s="181">
        <v>4138770.48563</v>
      </c>
      <c r="AD16" s="181">
        <v>2186872.68707</v>
      </c>
      <c r="AE16" s="181">
        <v>1435581.0780199999</v>
      </c>
      <c r="AF16" s="181">
        <v>1988054.2304700001</v>
      </c>
      <c r="AG16" s="181">
        <v>2192578.1497199996</v>
      </c>
      <c r="AH16" s="181">
        <v>2146142.2250600001</v>
      </c>
      <c r="AI16" s="182">
        <f t="shared" si="11"/>
        <v>6755314.4357599998</v>
      </c>
      <c r="AJ16" s="184"/>
      <c r="AK16" s="185"/>
      <c r="AL16" s="185"/>
      <c r="AM16" s="185"/>
      <c r="AN16" s="186">
        <f t="shared" si="8"/>
        <v>25595791.10641</v>
      </c>
      <c r="AO16" s="137">
        <f t="shared" si="9"/>
        <v>21158612.644420002</v>
      </c>
      <c r="AP16" s="179">
        <v>-0.31317000091075897</v>
      </c>
    </row>
    <row r="17" spans="1:42" ht="12.75" customHeight="1" x14ac:dyDescent="0.2">
      <c r="A17" s="148"/>
      <c r="B17" s="137"/>
      <c r="C17" s="137"/>
      <c r="D17" s="137"/>
      <c r="E17" s="192" t="s">
        <v>60</v>
      </c>
      <c r="F17" s="192"/>
      <c r="G17" s="193"/>
      <c r="H17" s="181">
        <v>638701.45299999998</v>
      </c>
      <c r="I17" s="180">
        <v>59182.997109999997</v>
      </c>
      <c r="J17" s="185">
        <v>31029.25405</v>
      </c>
      <c r="K17" s="183">
        <v>0</v>
      </c>
      <c r="L17" s="183">
        <v>0</v>
      </c>
      <c r="M17" s="183">
        <v>0</v>
      </c>
      <c r="N17" s="183">
        <v>0</v>
      </c>
      <c r="O17" s="183">
        <v>0</v>
      </c>
      <c r="P17" s="183">
        <v>0</v>
      </c>
      <c r="Q17" s="183">
        <v>0</v>
      </c>
      <c r="R17" s="183">
        <v>0</v>
      </c>
      <c r="S17" s="183">
        <v>0</v>
      </c>
      <c r="T17" s="183">
        <v>0</v>
      </c>
      <c r="U17" s="182">
        <f t="shared" si="12"/>
        <v>90212.25116</v>
      </c>
      <c r="V17" s="180">
        <v>596498.06310999999</v>
      </c>
      <c r="W17" s="183">
        <v>79112.289799999999</v>
      </c>
      <c r="X17" s="181">
        <v>46548.474719999998</v>
      </c>
      <c r="Y17" s="183">
        <v>24033.462829999997</v>
      </c>
      <c r="Z17" s="183">
        <v>46036.769560000001</v>
      </c>
      <c r="AA17" s="183">
        <v>46016.670460000001</v>
      </c>
      <c r="AB17" s="181">
        <v>31131.278460000001</v>
      </c>
      <c r="AC17" s="181">
        <v>97489.750290000011</v>
      </c>
      <c r="AD17" s="181">
        <v>35097.179700000001</v>
      </c>
      <c r="AE17" s="181">
        <v>42773.009170000005</v>
      </c>
      <c r="AF17" s="181">
        <v>50320.79163</v>
      </c>
      <c r="AG17" s="181">
        <v>46528.848770000004</v>
      </c>
      <c r="AH17" s="181">
        <v>51409.53772</v>
      </c>
      <c r="AI17" s="182">
        <f t="shared" si="11"/>
        <v>125660.76452</v>
      </c>
      <c r="AJ17" s="184"/>
      <c r="AK17" s="185"/>
      <c r="AL17" s="185"/>
      <c r="AM17" s="185"/>
      <c r="AN17" s="186">
        <f t="shared" si="8"/>
        <v>548489.20183999999</v>
      </c>
      <c r="AO17" s="137">
        <f t="shared" si="9"/>
        <v>470837.29859000002</v>
      </c>
      <c r="AP17" s="179">
        <v>-0.36829999997280538</v>
      </c>
    </row>
    <row r="18" spans="1:42" x14ac:dyDescent="0.2">
      <c r="A18" s="148"/>
      <c r="B18" s="137"/>
      <c r="C18" s="137" t="s">
        <v>61</v>
      </c>
      <c r="D18" s="137"/>
      <c r="E18" s="137"/>
      <c r="F18" s="137"/>
      <c r="G18" s="180"/>
      <c r="H18" s="181"/>
      <c r="I18" s="180"/>
      <c r="J18" s="185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2"/>
      <c r="V18" s="180"/>
      <c r="W18" s="183"/>
      <c r="X18" s="181"/>
      <c r="Y18" s="183"/>
      <c r="Z18" s="183"/>
      <c r="AA18" s="183"/>
      <c r="AB18" s="181"/>
      <c r="AC18" s="181"/>
      <c r="AD18" s="181"/>
      <c r="AE18" s="181"/>
      <c r="AF18" s="181"/>
      <c r="AG18" s="181"/>
      <c r="AH18" s="181"/>
      <c r="AI18" s="182"/>
      <c r="AJ18" s="184"/>
      <c r="AK18" s="185"/>
      <c r="AL18" s="185"/>
      <c r="AM18" s="185"/>
      <c r="AN18" s="186">
        <f>H1-U18</f>
        <v>0</v>
      </c>
      <c r="AO18" s="137">
        <f t="shared" si="9"/>
        <v>0</v>
      </c>
      <c r="AP18" s="179">
        <v>0</v>
      </c>
    </row>
    <row r="19" spans="1:42" ht="12.75" customHeight="1" x14ac:dyDescent="0.2">
      <c r="A19" s="148"/>
      <c r="B19" s="137"/>
      <c r="C19" s="137"/>
      <c r="D19" s="137"/>
      <c r="E19" s="187" t="s">
        <v>62</v>
      </c>
      <c r="F19" s="187"/>
      <c r="G19" s="188"/>
      <c r="H19" s="181">
        <v>4783092.3880000003</v>
      </c>
      <c r="I19" s="180">
        <v>232647.16282000003</v>
      </c>
      <c r="J19" s="185">
        <f>259107.23964-232647+222624</f>
        <v>249084.23964000001</v>
      </c>
      <c r="K19" s="183">
        <v>0</v>
      </c>
      <c r="L19" s="183">
        <v>0</v>
      </c>
      <c r="M19" s="183">
        <v>0</v>
      </c>
      <c r="N19" s="183">
        <v>0</v>
      </c>
      <c r="O19" s="183">
        <v>0</v>
      </c>
      <c r="P19" s="183">
        <v>0</v>
      </c>
      <c r="Q19" s="183">
        <v>0</v>
      </c>
      <c r="R19" s="183">
        <v>0</v>
      </c>
      <c r="S19" s="183">
        <v>0</v>
      </c>
      <c r="T19" s="183">
        <v>0</v>
      </c>
      <c r="U19" s="182">
        <f>SUM(I19:T19)</f>
        <v>481731.40246000001</v>
      </c>
      <c r="V19" s="180">
        <v>5045618.9134899992</v>
      </c>
      <c r="W19" s="183">
        <v>306533.35495000001</v>
      </c>
      <c r="X19" s="181">
        <f>319293.59839-306533+297535</f>
        <v>310295.59839</v>
      </c>
      <c r="Y19" s="183">
        <f>225899.78546-616829+608386</f>
        <v>217456.78546000004</v>
      </c>
      <c r="Z19" s="183">
        <f>234556.5963-834286+806981</f>
        <v>207251.59629999998</v>
      </c>
      <c r="AA19" s="183">
        <f>219603.94414-1041537+1023277</f>
        <v>201343.94414000004</v>
      </c>
      <c r="AB19" s="181">
        <f>383103.00164-1242881+1210587</f>
        <v>350809.00163999991</v>
      </c>
      <c r="AC19" s="181">
        <f>333168.168-1593690+1485154</f>
        <v>224632.16800000006</v>
      </c>
      <c r="AD19" s="181">
        <f>443153.50769-1818324+1785811</f>
        <v>410640.50768999988</v>
      </c>
      <c r="AE19" s="181">
        <f>303333.90065-2228965+2212040</f>
        <v>286408.90064999997</v>
      </c>
      <c r="AF19" s="181">
        <f>285068.99895-2515374+2499630</f>
        <v>269324.99894999992</v>
      </c>
      <c r="AG19" s="181">
        <f>585774.66311-2784697+2691929</f>
        <v>493006.66311000008</v>
      </c>
      <c r="AH19" s="181">
        <v>1767915.3942100001</v>
      </c>
      <c r="AI19" s="182">
        <f t="shared" si="11"/>
        <v>616828.95334000001</v>
      </c>
      <c r="AJ19" s="184"/>
      <c r="AK19" s="185"/>
      <c r="AL19" s="185"/>
      <c r="AM19" s="185"/>
      <c r="AN19" s="186">
        <f t="shared" si="8"/>
        <v>4301360.9855400007</v>
      </c>
      <c r="AO19" s="137">
        <f t="shared" si="9"/>
        <v>4428789.9601499997</v>
      </c>
      <c r="AP19" s="179">
        <v>-561728.9774600002</v>
      </c>
    </row>
    <row r="20" spans="1:42" ht="12.75" customHeight="1" x14ac:dyDescent="0.2">
      <c r="A20" s="148"/>
      <c r="B20" s="137"/>
      <c r="C20" s="137"/>
      <c r="D20" s="137"/>
      <c r="E20" s="192" t="s">
        <v>63</v>
      </c>
      <c r="F20" s="192"/>
      <c r="G20" s="193"/>
      <c r="H20" s="181">
        <v>182.09200000000001</v>
      </c>
      <c r="I20" s="180">
        <v>0</v>
      </c>
      <c r="J20" s="185">
        <v>71.558999999999997</v>
      </c>
      <c r="K20" s="183">
        <v>0</v>
      </c>
      <c r="L20" s="183">
        <v>0</v>
      </c>
      <c r="M20" s="183">
        <v>0</v>
      </c>
      <c r="N20" s="183">
        <v>0</v>
      </c>
      <c r="O20" s="183">
        <v>0</v>
      </c>
      <c r="P20" s="183">
        <v>0</v>
      </c>
      <c r="Q20" s="183">
        <v>0</v>
      </c>
      <c r="R20" s="183">
        <v>0</v>
      </c>
      <c r="S20" s="183">
        <v>0</v>
      </c>
      <c r="T20" s="183">
        <v>0</v>
      </c>
      <c r="U20" s="182">
        <f>SUM(I20:T20)</f>
        <v>71.558999999999997</v>
      </c>
      <c r="V20" s="180">
        <v>20.732399999999984</v>
      </c>
      <c r="W20" s="183">
        <v>67.085250000000002</v>
      </c>
      <c r="X20" s="181">
        <v>4.1390000000000002</v>
      </c>
      <c r="Y20" s="183">
        <v>4</v>
      </c>
      <c r="Z20" s="183">
        <v>19.332999999999998</v>
      </c>
      <c r="AA20" s="183">
        <v>-1.26</v>
      </c>
      <c r="AB20" s="181">
        <v>0.89300000000000002</v>
      </c>
      <c r="AC20" s="181">
        <v>2.3273999999999999</v>
      </c>
      <c r="AD20" s="181">
        <v>0</v>
      </c>
      <c r="AE20" s="181">
        <v>0</v>
      </c>
      <c r="AF20" s="181">
        <v>-14.7</v>
      </c>
      <c r="AG20" s="181">
        <v>0</v>
      </c>
      <c r="AH20" s="181">
        <v>-61.085250000000002</v>
      </c>
      <c r="AI20" s="182">
        <f t="shared" si="11"/>
        <v>71.224249999999998</v>
      </c>
      <c r="AJ20" s="184"/>
      <c r="AK20" s="185"/>
      <c r="AL20" s="185"/>
      <c r="AM20" s="185"/>
      <c r="AN20" s="186">
        <f t="shared" si="8"/>
        <v>110.53300000000002</v>
      </c>
      <c r="AO20" s="137">
        <f t="shared" si="9"/>
        <v>-50.491850000000014</v>
      </c>
      <c r="AP20" s="179">
        <v>-0.58600000000001273</v>
      </c>
    </row>
    <row r="21" spans="1:42" s="179" customFormat="1" ht="12.75" customHeight="1" x14ac:dyDescent="0.2">
      <c r="A21" s="186"/>
      <c r="B21" s="149" t="s">
        <v>64</v>
      </c>
      <c r="C21" s="172"/>
      <c r="D21" s="173"/>
      <c r="E21" s="194"/>
      <c r="F21" s="194"/>
      <c r="G21" s="195"/>
      <c r="H21" s="196">
        <f>H22</f>
        <v>19412896.109999999</v>
      </c>
      <c r="I21" s="196">
        <f t="shared" ref="I21:AH21" si="13">I22</f>
        <v>1448896.29446</v>
      </c>
      <c r="J21" s="197">
        <f t="shared" si="13"/>
        <v>1119036.5325999998</v>
      </c>
      <c r="K21" s="198">
        <f t="shared" si="13"/>
        <v>0</v>
      </c>
      <c r="L21" s="198">
        <f t="shared" si="13"/>
        <v>0</v>
      </c>
      <c r="M21" s="198">
        <f t="shared" si="13"/>
        <v>0</v>
      </c>
      <c r="N21" s="198">
        <f t="shared" si="13"/>
        <v>0</v>
      </c>
      <c r="O21" s="198">
        <f t="shared" si="13"/>
        <v>0</v>
      </c>
      <c r="P21" s="198">
        <f t="shared" si="13"/>
        <v>0</v>
      </c>
      <c r="Q21" s="198">
        <f t="shared" si="13"/>
        <v>0</v>
      </c>
      <c r="R21" s="198">
        <f t="shared" si="13"/>
        <v>0</v>
      </c>
      <c r="S21" s="198">
        <f t="shared" si="13"/>
        <v>0</v>
      </c>
      <c r="T21" s="198">
        <f t="shared" si="13"/>
        <v>0</v>
      </c>
      <c r="U21" s="199">
        <f t="shared" si="13"/>
        <v>2567932.82706</v>
      </c>
      <c r="V21" s="200">
        <f t="shared" si="13"/>
        <v>18486280.33836</v>
      </c>
      <c r="W21" s="201">
        <f t="shared" si="13"/>
        <v>1486557.3596700002</v>
      </c>
      <c r="X21" s="202">
        <f t="shared" si="13"/>
        <v>1412889.2435599999</v>
      </c>
      <c r="Y21" s="202">
        <f t="shared" si="13"/>
        <v>1388120.6329900001</v>
      </c>
      <c r="Z21" s="198">
        <f t="shared" si="13"/>
        <v>1443837.3841199998</v>
      </c>
      <c r="AA21" s="202">
        <f t="shared" si="13"/>
        <v>1524560.1272400001</v>
      </c>
      <c r="AB21" s="202">
        <f t="shared" si="13"/>
        <v>1497959.2152200001</v>
      </c>
      <c r="AC21" s="202">
        <f>AC22</f>
        <v>1535608.7352400001</v>
      </c>
      <c r="AD21" s="202">
        <f t="shared" si="13"/>
        <v>1485949.6038800001</v>
      </c>
      <c r="AE21" s="202">
        <f t="shared" si="13"/>
        <v>1683694.1335400001</v>
      </c>
      <c r="AF21" s="202">
        <f t="shared" si="13"/>
        <v>1704155.1792899999</v>
      </c>
      <c r="AG21" s="202">
        <f t="shared" si="13"/>
        <v>1575779.40793</v>
      </c>
      <c r="AH21" s="202">
        <f t="shared" si="13"/>
        <v>1747169.31568</v>
      </c>
      <c r="AI21" s="199">
        <f>AI22</f>
        <v>2899446.60323</v>
      </c>
      <c r="AJ21" s="203"/>
      <c r="AK21" s="197"/>
      <c r="AL21" s="197"/>
      <c r="AM21" s="197"/>
      <c r="AN21" s="186">
        <f>H21-U21</f>
        <v>16844963.28294</v>
      </c>
      <c r="AO21" s="137">
        <f t="shared" si="9"/>
        <v>15586833.735130001</v>
      </c>
      <c r="AP21" s="179">
        <v>-9.3469999730587006E-2</v>
      </c>
    </row>
    <row r="22" spans="1:42" ht="12.75" customHeight="1" x14ac:dyDescent="0.2">
      <c r="A22" s="148"/>
      <c r="B22" s="137"/>
      <c r="C22" s="204" t="s">
        <v>65</v>
      </c>
      <c r="D22" s="137"/>
      <c r="E22" s="137"/>
      <c r="F22" s="205"/>
      <c r="G22" s="195"/>
      <c r="H22" s="181">
        <v>19412896.109999999</v>
      </c>
      <c r="I22" s="180">
        <v>1448896.29446</v>
      </c>
      <c r="J22" s="185">
        <v>1119036.5325999998</v>
      </c>
      <c r="K22" s="183">
        <v>0</v>
      </c>
      <c r="L22" s="183">
        <v>0</v>
      </c>
      <c r="M22" s="183">
        <v>0</v>
      </c>
      <c r="N22" s="183">
        <v>0</v>
      </c>
      <c r="O22" s="183">
        <v>0</v>
      </c>
      <c r="P22" s="183">
        <v>0</v>
      </c>
      <c r="Q22" s="183">
        <v>0</v>
      </c>
      <c r="R22" s="183">
        <v>0</v>
      </c>
      <c r="S22" s="183">
        <v>0</v>
      </c>
      <c r="T22" s="183">
        <v>0</v>
      </c>
      <c r="U22" s="182">
        <f>SUM(I22:T22)</f>
        <v>2567932.82706</v>
      </c>
      <c r="V22" s="180">
        <v>18486280.33836</v>
      </c>
      <c r="W22" s="183">
        <v>1486557.3596700002</v>
      </c>
      <c r="X22" s="181">
        <v>1412889.2435599999</v>
      </c>
      <c r="Y22" s="183">
        <v>1388120.6329900001</v>
      </c>
      <c r="Z22" s="183">
        <v>1443837.3841199998</v>
      </c>
      <c r="AA22" s="183">
        <v>1524560.1272400001</v>
      </c>
      <c r="AB22" s="181">
        <v>1497959.2152200001</v>
      </c>
      <c r="AC22" s="202">
        <v>1535608.7352400001</v>
      </c>
      <c r="AD22" s="181">
        <v>1485949.6038800001</v>
      </c>
      <c r="AE22" s="181">
        <v>1683694.1335400001</v>
      </c>
      <c r="AF22" s="181">
        <v>1704155.1792899999</v>
      </c>
      <c r="AG22" s="181">
        <v>1575779.40793</v>
      </c>
      <c r="AH22" s="181">
        <v>1747169.31568</v>
      </c>
      <c r="AI22" s="182">
        <f t="shared" si="11"/>
        <v>2899446.60323</v>
      </c>
      <c r="AJ22" s="184"/>
      <c r="AK22" s="185"/>
      <c r="AL22" s="185"/>
      <c r="AM22" s="185"/>
      <c r="AN22" s="186">
        <f t="shared" ref="AN22:AN63" si="14">H22-U22</f>
        <v>16844963.28294</v>
      </c>
      <c r="AO22" s="137">
        <f t="shared" si="9"/>
        <v>15586833.735130001</v>
      </c>
      <c r="AP22" s="179">
        <v>-9.3469999730587006E-2</v>
      </c>
    </row>
    <row r="23" spans="1:42" s="179" customFormat="1" ht="12.75" customHeight="1" x14ac:dyDescent="0.2">
      <c r="A23" s="186"/>
      <c r="B23" s="149" t="s">
        <v>66</v>
      </c>
      <c r="C23" s="172"/>
      <c r="D23" s="173"/>
      <c r="E23" s="194"/>
      <c r="F23" s="194"/>
      <c r="G23" s="195"/>
      <c r="H23" s="196">
        <f>SUM(H24:H29)</f>
        <v>17509809.943</v>
      </c>
      <c r="I23" s="196">
        <f t="shared" ref="I23:U23" si="15">SUM(I24:I29)</f>
        <v>930000.28094000008</v>
      </c>
      <c r="J23" s="197">
        <f t="shared" si="15"/>
        <v>964345.83990000002</v>
      </c>
      <c r="K23" s="198">
        <f t="shared" si="15"/>
        <v>0</v>
      </c>
      <c r="L23" s="198">
        <f t="shared" si="15"/>
        <v>0</v>
      </c>
      <c r="M23" s="198">
        <f t="shared" si="15"/>
        <v>0</v>
      </c>
      <c r="N23" s="198">
        <f t="shared" si="15"/>
        <v>0</v>
      </c>
      <c r="O23" s="198">
        <f t="shared" si="15"/>
        <v>0</v>
      </c>
      <c r="P23" s="198">
        <f t="shared" si="15"/>
        <v>0</v>
      </c>
      <c r="Q23" s="198">
        <f t="shared" si="15"/>
        <v>0</v>
      </c>
      <c r="R23" s="198">
        <f t="shared" si="15"/>
        <v>0</v>
      </c>
      <c r="S23" s="198">
        <f t="shared" si="15"/>
        <v>0</v>
      </c>
      <c r="T23" s="198">
        <f t="shared" si="15"/>
        <v>0</v>
      </c>
      <c r="U23" s="199">
        <f t="shared" si="15"/>
        <v>1894346.12084</v>
      </c>
      <c r="V23" s="196">
        <f>SUM(V24:V29)</f>
        <v>15979940.205900002</v>
      </c>
      <c r="W23" s="198">
        <f>SUM(W24:W29)</f>
        <v>1273463.2842899999</v>
      </c>
      <c r="X23" s="206">
        <f t="shared" ref="X23:AH23" si="16">SUM(X24:X29)</f>
        <v>1218002.7180599999</v>
      </c>
      <c r="Y23" s="206">
        <f t="shared" si="16"/>
        <v>1197194.08048</v>
      </c>
      <c r="Z23" s="198">
        <f t="shared" si="16"/>
        <v>1255267.6250199997</v>
      </c>
      <c r="AA23" s="206">
        <f t="shared" si="16"/>
        <v>1311750.4920399999</v>
      </c>
      <c r="AB23" s="206">
        <f t="shared" si="16"/>
        <v>1150972.34228</v>
      </c>
      <c r="AC23" s="206">
        <f>SUM(AC24:AC29)</f>
        <v>1419716.86209</v>
      </c>
      <c r="AD23" s="206">
        <f t="shared" si="16"/>
        <v>2619856.30528</v>
      </c>
      <c r="AE23" s="206">
        <f>SUM(AE24:AE29)</f>
        <v>951461.71384999994</v>
      </c>
      <c r="AF23" s="206">
        <f t="shared" ref="AF23:AG23" si="17">SUM(AF24:AF29)</f>
        <v>1107402.01119</v>
      </c>
      <c r="AG23" s="206">
        <f t="shared" si="17"/>
        <v>1203624.8027900001</v>
      </c>
      <c r="AH23" s="206">
        <f t="shared" si="16"/>
        <v>1271227.96853</v>
      </c>
      <c r="AI23" s="199">
        <f>SUM(AI24:AI29)</f>
        <v>2491466.0023499997</v>
      </c>
      <c r="AJ23" s="203"/>
      <c r="AK23" s="197"/>
      <c r="AL23" s="197"/>
      <c r="AM23" s="197"/>
      <c r="AN23" s="186">
        <f t="shared" si="14"/>
        <v>15615463.82216</v>
      </c>
      <c r="AO23" s="137">
        <f t="shared" si="9"/>
        <v>13488474.203550003</v>
      </c>
      <c r="AP23" s="179">
        <v>0.50685000047087669</v>
      </c>
    </row>
    <row r="24" spans="1:42" s="179" customFormat="1" ht="12.75" customHeight="1" x14ac:dyDescent="0.2">
      <c r="A24" s="186"/>
      <c r="B24" s="149"/>
      <c r="C24" s="187" t="s">
        <v>67</v>
      </c>
      <c r="D24" s="187"/>
      <c r="E24" s="187"/>
      <c r="F24" s="187"/>
      <c r="G24" s="188"/>
      <c r="H24" s="181"/>
      <c r="I24" s="180"/>
      <c r="J24" s="185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2"/>
      <c r="V24" s="180"/>
      <c r="W24" s="185"/>
      <c r="X24" s="181"/>
      <c r="Y24" s="181"/>
      <c r="Z24" s="183"/>
      <c r="AA24" s="181"/>
      <c r="AB24" s="181"/>
      <c r="AC24" s="181"/>
      <c r="AD24" s="181"/>
      <c r="AE24" s="181"/>
      <c r="AF24" s="181"/>
      <c r="AG24" s="181"/>
      <c r="AH24" s="181"/>
      <c r="AI24" s="182"/>
      <c r="AJ24" s="184"/>
      <c r="AK24" s="185"/>
      <c r="AL24" s="185"/>
      <c r="AM24" s="185"/>
      <c r="AN24" s="186"/>
      <c r="AO24" s="137">
        <f t="shared" si="9"/>
        <v>0</v>
      </c>
      <c r="AP24" s="179">
        <v>0</v>
      </c>
    </row>
    <row r="25" spans="1:42" ht="12.75" customHeight="1" x14ac:dyDescent="0.2">
      <c r="A25" s="148"/>
      <c r="B25" s="137"/>
      <c r="C25" s="137"/>
      <c r="D25" s="137"/>
      <c r="E25" s="204" t="s">
        <v>68</v>
      </c>
      <c r="F25" s="204"/>
      <c r="G25" s="195"/>
      <c r="H25" s="181">
        <v>702681.78</v>
      </c>
      <c r="I25" s="180">
        <v>31559.846730000001</v>
      </c>
      <c r="J25" s="185">
        <v>10892.31041</v>
      </c>
      <c r="K25" s="183">
        <v>0</v>
      </c>
      <c r="L25" s="183">
        <v>0</v>
      </c>
      <c r="M25" s="183">
        <v>0</v>
      </c>
      <c r="N25" s="183">
        <v>0</v>
      </c>
      <c r="O25" s="183">
        <v>0</v>
      </c>
      <c r="P25" s="183">
        <v>0</v>
      </c>
      <c r="Q25" s="183">
        <v>0</v>
      </c>
      <c r="R25" s="183">
        <v>0</v>
      </c>
      <c r="S25" s="183">
        <v>0</v>
      </c>
      <c r="T25" s="183">
        <v>0</v>
      </c>
      <c r="U25" s="182">
        <f t="shared" ref="U25:U26" si="18">SUM(I25:T25)</f>
        <v>42452.157140000003</v>
      </c>
      <c r="V25" s="180">
        <v>572260.51356000011</v>
      </c>
      <c r="W25" s="185">
        <v>44296.821329999999</v>
      </c>
      <c r="X25" s="181">
        <v>35163.065840000003</v>
      </c>
      <c r="Y25" s="183">
        <v>25841.288860000001</v>
      </c>
      <c r="Z25" s="183">
        <v>41455.151149999998</v>
      </c>
      <c r="AA25" s="183">
        <v>26383.988730000001</v>
      </c>
      <c r="AB25" s="181">
        <v>49254.720159999997</v>
      </c>
      <c r="AC25" s="181">
        <v>100003.02798999999</v>
      </c>
      <c r="AD25" s="181">
        <v>26963.738420000001</v>
      </c>
      <c r="AE25" s="181">
        <v>21675.22249</v>
      </c>
      <c r="AF25" s="181">
        <v>34255.995880000002</v>
      </c>
      <c r="AG25" s="181">
        <v>54902.155279999999</v>
      </c>
      <c r="AH25" s="181">
        <v>112065.33743000001</v>
      </c>
      <c r="AI25" s="182">
        <f t="shared" ref="AI25:AI26" si="19">SUM(W25:X25)</f>
        <v>79459.887170000002</v>
      </c>
      <c r="AJ25" s="184"/>
      <c r="AK25" s="185"/>
      <c r="AL25" s="185"/>
      <c r="AM25" s="185"/>
      <c r="AN25" s="186">
        <f t="shared" si="14"/>
        <v>660229.62286</v>
      </c>
      <c r="AO25" s="137">
        <f t="shared" si="9"/>
        <v>492800.62639000011</v>
      </c>
      <c r="AP25" s="179">
        <v>0.43591000000014901</v>
      </c>
    </row>
    <row r="26" spans="1:42" ht="12.75" customHeight="1" x14ac:dyDescent="0.2">
      <c r="A26" s="148"/>
      <c r="B26" s="137"/>
      <c r="C26" s="137"/>
      <c r="D26" s="137"/>
      <c r="E26" s="204" t="s">
        <v>69</v>
      </c>
      <c r="F26" s="204"/>
      <c r="G26" s="195"/>
      <c r="H26" s="181">
        <v>2320507.0649999999</v>
      </c>
      <c r="I26" s="180">
        <v>96256.162180000014</v>
      </c>
      <c r="J26" s="185">
        <v>129073.12845999999</v>
      </c>
      <c r="K26" s="183">
        <v>0</v>
      </c>
      <c r="L26" s="183">
        <v>0</v>
      </c>
      <c r="M26" s="183">
        <v>0</v>
      </c>
      <c r="N26" s="183">
        <v>0</v>
      </c>
      <c r="O26" s="183">
        <v>0</v>
      </c>
      <c r="P26" s="183">
        <v>0</v>
      </c>
      <c r="Q26" s="183">
        <v>0</v>
      </c>
      <c r="R26" s="183">
        <v>0</v>
      </c>
      <c r="S26" s="183">
        <v>0</v>
      </c>
      <c r="T26" s="183">
        <v>0</v>
      </c>
      <c r="U26" s="182">
        <f t="shared" si="18"/>
        <v>225329.29064000002</v>
      </c>
      <c r="V26" s="180">
        <v>2047842.9223399998</v>
      </c>
      <c r="W26" s="185">
        <v>146391.82277</v>
      </c>
      <c r="X26" s="181">
        <v>143514.96836999999</v>
      </c>
      <c r="Y26" s="183">
        <v>156403.32399</v>
      </c>
      <c r="Z26" s="183">
        <v>197905.40074000001</v>
      </c>
      <c r="AA26" s="183">
        <v>169148.53209999998</v>
      </c>
      <c r="AB26" s="181">
        <v>138645.72691</v>
      </c>
      <c r="AC26" s="181">
        <v>174047.93703</v>
      </c>
      <c r="AD26" s="181">
        <v>178701.3413</v>
      </c>
      <c r="AE26" s="181">
        <v>168839.29102999999</v>
      </c>
      <c r="AF26" s="181">
        <v>173464.23949000001</v>
      </c>
      <c r="AG26" s="181">
        <v>183943.45116</v>
      </c>
      <c r="AH26" s="181">
        <v>216836.88744999998</v>
      </c>
      <c r="AI26" s="182">
        <f t="shared" si="19"/>
        <v>289906.79113999999</v>
      </c>
      <c r="AJ26" s="184"/>
      <c r="AK26" s="185"/>
      <c r="AL26" s="185"/>
      <c r="AM26" s="185"/>
      <c r="AN26" s="186">
        <f t="shared" si="14"/>
        <v>2095177.7743599999</v>
      </c>
      <c r="AO26" s="137">
        <f t="shared" si="9"/>
        <v>1757936.1311999997</v>
      </c>
      <c r="AP26" s="179">
        <v>3.3559999894350767E-2</v>
      </c>
    </row>
    <row r="27" spans="1:42" x14ac:dyDescent="0.2">
      <c r="A27" s="148"/>
      <c r="B27" s="137"/>
      <c r="C27" s="187" t="s">
        <v>70</v>
      </c>
      <c r="D27" s="187"/>
      <c r="E27" s="187"/>
      <c r="F27" s="187"/>
      <c r="G27" s="188"/>
      <c r="H27" s="181"/>
      <c r="I27" s="180"/>
      <c r="J27" s="185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2"/>
      <c r="V27" s="180"/>
      <c r="W27" s="185"/>
      <c r="X27" s="181"/>
      <c r="Y27" s="183"/>
      <c r="Z27" s="183"/>
      <c r="AA27" s="183"/>
      <c r="AB27" s="181"/>
      <c r="AC27" s="181"/>
      <c r="AD27" s="181"/>
      <c r="AE27" s="181"/>
      <c r="AF27" s="181"/>
      <c r="AG27" s="181"/>
      <c r="AH27" s="181"/>
      <c r="AI27" s="182"/>
      <c r="AJ27" s="184"/>
      <c r="AK27" s="185"/>
      <c r="AL27" s="185"/>
      <c r="AM27" s="185"/>
      <c r="AN27" s="186"/>
      <c r="AO27" s="137">
        <f t="shared" si="9"/>
        <v>0</v>
      </c>
      <c r="AP27" s="179">
        <v>0</v>
      </c>
    </row>
    <row r="28" spans="1:42" ht="12.75" customHeight="1" x14ac:dyDescent="0.2">
      <c r="A28" s="148"/>
      <c r="B28" s="137"/>
      <c r="C28" s="137"/>
      <c r="D28" s="137"/>
      <c r="E28" s="204" t="s">
        <v>71</v>
      </c>
      <c r="F28" s="204"/>
      <c r="G28" s="195"/>
      <c r="H28" s="181">
        <v>6865932.0310000004</v>
      </c>
      <c r="I28" s="180">
        <v>724379.24122000008</v>
      </c>
      <c r="J28" s="185">
        <v>440553.43148000003</v>
      </c>
      <c r="K28" s="183">
        <v>0</v>
      </c>
      <c r="L28" s="183">
        <v>0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2">
        <f t="shared" ref="U28:U29" si="20">SUM(I28:T28)</f>
        <v>1164932.6727</v>
      </c>
      <c r="V28" s="180">
        <v>6240209.3064200003</v>
      </c>
      <c r="W28" s="185">
        <v>458925.01891000004</v>
      </c>
      <c r="X28" s="181">
        <v>346662.08555999998</v>
      </c>
      <c r="Y28" s="183">
        <v>480309.75639999995</v>
      </c>
      <c r="Z28" s="183">
        <v>353650.14681999997</v>
      </c>
      <c r="AA28" s="183">
        <v>504941.19263000001</v>
      </c>
      <c r="AB28" s="181">
        <v>389420.60843000002</v>
      </c>
      <c r="AC28" s="181">
        <v>433222.00581</v>
      </c>
      <c r="AD28" s="181">
        <v>1723424.1935999999</v>
      </c>
      <c r="AE28" s="181">
        <v>427934.50442000001</v>
      </c>
      <c r="AF28" s="181">
        <v>387633.97282999998</v>
      </c>
      <c r="AG28" s="181">
        <v>354439.98926999996</v>
      </c>
      <c r="AH28" s="181">
        <v>379645.83173999999</v>
      </c>
      <c r="AI28" s="182">
        <f t="shared" ref="AI28:AI29" si="21">SUM(W28:X28)</f>
        <v>805587.10447000002</v>
      </c>
      <c r="AJ28" s="184"/>
      <c r="AK28" s="185"/>
      <c r="AL28" s="185"/>
      <c r="AM28" s="185"/>
      <c r="AN28" s="186">
        <f t="shared" si="14"/>
        <v>5700999.3583000004</v>
      </c>
      <c r="AO28" s="137">
        <f t="shared" si="9"/>
        <v>5434622.2019500006</v>
      </c>
      <c r="AP28" s="179">
        <v>-0.43056999985128641</v>
      </c>
    </row>
    <row r="29" spans="1:42" ht="12.75" customHeight="1" x14ac:dyDescent="0.2">
      <c r="A29" s="148"/>
      <c r="B29" s="137"/>
      <c r="C29" s="137"/>
      <c r="D29" s="137"/>
      <c r="E29" s="204" t="s">
        <v>72</v>
      </c>
      <c r="F29" s="204"/>
      <c r="G29" s="195"/>
      <c r="H29" s="181">
        <v>7620689.0669999998</v>
      </c>
      <c r="I29" s="180">
        <v>77805.030809999997</v>
      </c>
      <c r="J29" s="185">
        <v>383826.96955000004</v>
      </c>
      <c r="K29" s="183">
        <v>0</v>
      </c>
      <c r="L29" s="183">
        <v>0</v>
      </c>
      <c r="M29" s="183">
        <v>0</v>
      </c>
      <c r="N29" s="183">
        <v>0</v>
      </c>
      <c r="O29" s="183">
        <v>0</v>
      </c>
      <c r="P29" s="183">
        <v>0</v>
      </c>
      <c r="Q29" s="183">
        <v>0</v>
      </c>
      <c r="R29" s="183">
        <v>0</v>
      </c>
      <c r="S29" s="183">
        <v>0</v>
      </c>
      <c r="T29" s="183">
        <v>0</v>
      </c>
      <c r="U29" s="182">
        <f t="shared" si="20"/>
        <v>461632.00036000006</v>
      </c>
      <c r="V29" s="180">
        <v>7119627.4635800002</v>
      </c>
      <c r="W29" s="185">
        <v>623849.62127999996</v>
      </c>
      <c r="X29" s="181">
        <v>692662.59828999999</v>
      </c>
      <c r="Y29" s="183">
        <v>534639.71123000002</v>
      </c>
      <c r="Z29" s="183">
        <v>662256.92630999989</v>
      </c>
      <c r="AA29" s="183">
        <v>611276.77858000004</v>
      </c>
      <c r="AB29" s="181">
        <v>573651.28677999997</v>
      </c>
      <c r="AC29" s="181">
        <v>712443.89125999995</v>
      </c>
      <c r="AD29" s="181">
        <v>690767.03196000005</v>
      </c>
      <c r="AE29" s="181">
        <v>333012.69591000001</v>
      </c>
      <c r="AF29" s="181">
        <v>512047.80299</v>
      </c>
      <c r="AG29" s="181">
        <v>610339.20708000008</v>
      </c>
      <c r="AH29" s="181">
        <v>562679.91191000002</v>
      </c>
      <c r="AI29" s="182">
        <f t="shared" si="21"/>
        <v>1316512.21957</v>
      </c>
      <c r="AJ29" s="184"/>
      <c r="AK29" s="185"/>
      <c r="AL29" s="185"/>
      <c r="AM29" s="185"/>
      <c r="AN29" s="186">
        <f t="shared" si="14"/>
        <v>7159057.0666399999</v>
      </c>
      <c r="AO29" s="137">
        <f t="shared" si="9"/>
        <v>5803115.2440100005</v>
      </c>
      <c r="AP29" s="179">
        <v>0.4679500013589859</v>
      </c>
    </row>
    <row r="30" spans="1:42" ht="12.75" customHeight="1" x14ac:dyDescent="0.2">
      <c r="A30" s="148"/>
      <c r="B30" s="149" t="s">
        <v>73</v>
      </c>
      <c r="C30" s="172"/>
      <c r="D30" s="137"/>
      <c r="E30" s="204"/>
      <c r="F30" s="204"/>
      <c r="G30" s="195"/>
      <c r="H30" s="196">
        <f>H31+H35+H37+H46+H47+H48+H54+H55+H56+H57+H58+H59+H60+H63+H61</f>
        <v>514266828.89200002</v>
      </c>
      <c r="I30" s="206">
        <f>I31+I35+I37+I46+I47+I48+I54+I55+I56+I57+I58+I59+I60+I63</f>
        <v>28356908.747899994</v>
      </c>
      <c r="J30" s="206">
        <f t="shared" ref="J30:T30" si="22">J31+J35+J37+J46+J47+J48+J54+J55+J56+J57+J58+J59+J60+J63</f>
        <v>20250969.917430002</v>
      </c>
      <c r="K30" s="196">
        <f t="shared" si="22"/>
        <v>0</v>
      </c>
      <c r="L30" s="196">
        <f t="shared" si="22"/>
        <v>0</v>
      </c>
      <c r="M30" s="196">
        <f t="shared" si="22"/>
        <v>0</v>
      </c>
      <c r="N30" s="196">
        <f t="shared" si="22"/>
        <v>0</v>
      </c>
      <c r="O30" s="196">
        <f t="shared" si="22"/>
        <v>0</v>
      </c>
      <c r="P30" s="196">
        <f t="shared" si="22"/>
        <v>0</v>
      </c>
      <c r="Q30" s="196">
        <f t="shared" si="22"/>
        <v>0</v>
      </c>
      <c r="R30" s="196">
        <f t="shared" si="22"/>
        <v>0</v>
      </c>
      <c r="S30" s="196">
        <f t="shared" si="22"/>
        <v>0</v>
      </c>
      <c r="T30" s="196">
        <f t="shared" si="22"/>
        <v>0</v>
      </c>
      <c r="U30" s="207">
        <f t="shared" ref="U30" si="23">U31+U35+U37+U46+U47+U48+U54+U55+U56+U57+U58+U59+U60+U63+U61</f>
        <v>48607878.665329993</v>
      </c>
      <c r="V30" s="196">
        <f>V31+V35+V37+V46+V47+V48+V54+V55+V56+V57+V58+V59+V60+V63</f>
        <v>492269714.61021</v>
      </c>
      <c r="W30" s="196">
        <f>W31+W35+W37+W46+W47+W48+W54+W55+W56+W57+W58+W59+W60+W63</f>
        <v>32377446.9802</v>
      </c>
      <c r="X30" s="196">
        <f>X31+X35+X37+X46+X47+X48+X54+X55+X56+X57+X58+X59+X60+X63</f>
        <v>36952393.600270025</v>
      </c>
      <c r="Y30" s="196">
        <f t="shared" ref="Y30:AH30" si="24">Y31+Y35+Y37+Y46+Y47+Y48+Y54+Y55+Y56+Y57+Y58+Y59+Y60+Y63</f>
        <v>38221349.329040006</v>
      </c>
      <c r="Z30" s="196">
        <f t="shared" si="24"/>
        <v>39714315.318700001</v>
      </c>
      <c r="AA30" s="196">
        <f t="shared" si="24"/>
        <v>38378682.190399982</v>
      </c>
      <c r="AB30" s="196">
        <f t="shared" si="24"/>
        <v>42869845.250019997</v>
      </c>
      <c r="AC30" s="196">
        <f t="shared" si="24"/>
        <v>40284335.230359994</v>
      </c>
      <c r="AD30" s="196">
        <f t="shared" si="24"/>
        <v>40722661.34173999</v>
      </c>
      <c r="AE30" s="196">
        <f t="shared" si="24"/>
        <v>42252814.115399994</v>
      </c>
      <c r="AF30" s="196">
        <f t="shared" si="24"/>
        <v>48002585.085210003</v>
      </c>
      <c r="AG30" s="196">
        <f t="shared" si="24"/>
        <v>42758806.629029997</v>
      </c>
      <c r="AH30" s="196">
        <f t="shared" si="24"/>
        <v>49734479.539840005</v>
      </c>
      <c r="AI30" s="206">
        <f>AI31+AI35+AI37+AI46+AI47+AI48+AI54+AI55+AI56+AI57+AI58+AI59+AI60+AI63</f>
        <v>69329840.580470011</v>
      </c>
      <c r="AJ30" s="203"/>
      <c r="AK30" s="197"/>
      <c r="AL30" s="197"/>
      <c r="AM30" s="197"/>
      <c r="AN30" s="178">
        <f t="shared" si="14"/>
        <v>465658950.22667003</v>
      </c>
      <c r="AO30" s="137">
        <f t="shared" si="9"/>
        <v>422939874.02973998</v>
      </c>
      <c r="AP30" s="179">
        <v>-3.0540049076080322E-2</v>
      </c>
    </row>
    <row r="31" spans="1:42" s="179" customFormat="1" ht="12.75" customHeight="1" x14ac:dyDescent="0.2">
      <c r="A31" s="186"/>
      <c r="B31" s="137"/>
      <c r="C31" s="204" t="s">
        <v>74</v>
      </c>
      <c r="D31" s="137"/>
      <c r="E31" s="137"/>
      <c r="F31" s="208"/>
      <c r="G31" s="209"/>
      <c r="H31" s="181">
        <f t="shared" ref="H31" si="25">+H32+H33+H34</f>
        <v>360554607.69499999</v>
      </c>
      <c r="I31" s="180">
        <f>+I32+I33+I34</f>
        <v>18776740.935239997</v>
      </c>
      <c r="J31" s="185">
        <f t="shared" ref="J31" si="26">+J32+J33+J34</f>
        <v>16236146.551860001</v>
      </c>
      <c r="K31" s="183">
        <v>0</v>
      </c>
      <c r="L31" s="183">
        <v>0</v>
      </c>
      <c r="M31" s="183">
        <v>0</v>
      </c>
      <c r="N31" s="183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3">
        <v>0</v>
      </c>
      <c r="U31" s="182">
        <f t="shared" ref="U31" si="27">+U32+U33+U34</f>
        <v>35012887.487099998</v>
      </c>
      <c r="V31" s="180">
        <f>SUM(V32:V34)</f>
        <v>346747694.24808002</v>
      </c>
      <c r="W31" s="185">
        <f>+W32+W33+W34</f>
        <v>19087796.203689996</v>
      </c>
      <c r="X31" s="181">
        <f>+X32+X33+X34</f>
        <v>26452644.209570009</v>
      </c>
      <c r="Y31" s="181">
        <f t="shared" ref="Y31:AC31" si="28">+Y32+Y33+Y34</f>
        <v>27469523.342359997</v>
      </c>
      <c r="Z31" s="183">
        <f t="shared" si="28"/>
        <v>27931003.059100002</v>
      </c>
      <c r="AA31" s="181">
        <f t="shared" si="28"/>
        <v>28309249.809279997</v>
      </c>
      <c r="AB31" s="181">
        <f t="shared" si="28"/>
        <v>31178326.168849997</v>
      </c>
      <c r="AC31" s="181">
        <f t="shared" si="28"/>
        <v>27125465.40343</v>
      </c>
      <c r="AD31" s="181">
        <f>+AD32+AD33+AD34</f>
        <v>28526341.00395</v>
      </c>
      <c r="AE31" s="181">
        <f>+AE32+AE33+AE34</f>
        <v>30619163.936020002</v>
      </c>
      <c r="AF31" s="181">
        <f>+AF32+AF33+AF34</f>
        <v>33441736.308420002</v>
      </c>
      <c r="AG31" s="181">
        <f>+AG32+AG33+AG34</f>
        <v>30419416.516730003</v>
      </c>
      <c r="AH31" s="181">
        <f t="shared" ref="AH31" si="29">+AH32+AH33+AH34</f>
        <v>36187028.286680013</v>
      </c>
      <c r="AI31" s="182">
        <f t="shared" ref="AI31:AI35" si="30">SUM(W31:X31)</f>
        <v>45540440.413260005</v>
      </c>
      <c r="AJ31" s="184"/>
      <c r="AK31" s="185"/>
      <c r="AL31" s="185"/>
      <c r="AM31" s="185"/>
      <c r="AN31" s="186">
        <f t="shared" si="14"/>
        <v>325541720.20789999</v>
      </c>
      <c r="AO31" s="137">
        <f t="shared" si="9"/>
        <v>301207253.83482003</v>
      </c>
      <c r="AP31" s="179">
        <v>17.168430030345917</v>
      </c>
    </row>
    <row r="32" spans="1:42" s="179" customFormat="1" ht="12.75" customHeight="1" x14ac:dyDescent="0.2">
      <c r="A32" s="186"/>
      <c r="B32" s="173"/>
      <c r="C32" s="210"/>
      <c r="D32" s="137"/>
      <c r="E32" s="211" t="s">
        <v>75</v>
      </c>
      <c r="F32" s="208"/>
      <c r="G32" s="195"/>
      <c r="H32" s="181">
        <v>421650757.023</v>
      </c>
      <c r="I32" s="180">
        <v>30729928.097920001</v>
      </c>
      <c r="J32" s="185">
        <v>23628213.569529999</v>
      </c>
      <c r="K32" s="183">
        <v>0</v>
      </c>
      <c r="L32" s="183">
        <v>0</v>
      </c>
      <c r="M32" s="183">
        <v>0</v>
      </c>
      <c r="N32" s="183">
        <v>0</v>
      </c>
      <c r="O32" s="183">
        <v>0</v>
      </c>
      <c r="P32" s="183">
        <v>0</v>
      </c>
      <c r="Q32" s="183">
        <v>0</v>
      </c>
      <c r="R32" s="183">
        <v>0</v>
      </c>
      <c r="S32" s="183">
        <v>0</v>
      </c>
      <c r="T32" s="183">
        <v>0</v>
      </c>
      <c r="U32" s="182">
        <f t="shared" ref="U32:U35" si="31">SUM(I32:T32)</f>
        <v>54358141.667449996</v>
      </c>
      <c r="V32" s="180">
        <v>399281299.9940201</v>
      </c>
      <c r="W32" s="185">
        <v>32106002.039889999</v>
      </c>
      <c r="X32" s="181">
        <v>32788533.340090003</v>
      </c>
      <c r="Y32" s="183">
        <v>31097090.10334</v>
      </c>
      <c r="Z32" s="183">
        <v>33218205.330849998</v>
      </c>
      <c r="AA32" s="183">
        <v>32067614.14443</v>
      </c>
      <c r="AB32" s="181">
        <v>33883265.714919999</v>
      </c>
      <c r="AC32" s="181">
        <v>32588168.592829999</v>
      </c>
      <c r="AD32" s="181">
        <v>34203684.948849998</v>
      </c>
      <c r="AE32" s="181">
        <v>34614001.725600004</v>
      </c>
      <c r="AF32" s="181">
        <v>37954856.541610003</v>
      </c>
      <c r="AG32" s="181">
        <v>32000073.457700003</v>
      </c>
      <c r="AH32" s="181">
        <v>32759804.053910002</v>
      </c>
      <c r="AI32" s="182">
        <f t="shared" si="30"/>
        <v>64894535.379979998</v>
      </c>
      <c r="AJ32" s="184"/>
      <c r="AK32" s="185"/>
      <c r="AL32" s="185"/>
      <c r="AM32" s="185"/>
      <c r="AN32" s="186">
        <f t="shared" si="14"/>
        <v>367292615.35554999</v>
      </c>
      <c r="AO32" s="137">
        <f t="shared" si="9"/>
        <v>334386764.61404014</v>
      </c>
      <c r="AP32" s="179">
        <v>0.34689003229141235</v>
      </c>
    </row>
    <row r="33" spans="1:42" s="179" customFormat="1" ht="12.75" customHeight="1" x14ac:dyDescent="0.2">
      <c r="A33" s="186"/>
      <c r="B33" s="173"/>
      <c r="C33" s="210"/>
      <c r="D33" s="137"/>
      <c r="E33" s="211" t="s">
        <v>76</v>
      </c>
      <c r="F33" s="208"/>
      <c r="G33" s="195"/>
      <c r="H33" s="181">
        <v>192962797.796</v>
      </c>
      <c r="I33" s="180">
        <v>3529370.3886099998</v>
      </c>
      <c r="J33" s="185">
        <v>11130423.847820001</v>
      </c>
      <c r="K33" s="183">
        <v>0</v>
      </c>
      <c r="L33" s="183">
        <v>0</v>
      </c>
      <c r="M33" s="183">
        <v>0</v>
      </c>
      <c r="N33" s="183">
        <v>0</v>
      </c>
      <c r="O33" s="183">
        <v>0</v>
      </c>
      <c r="P33" s="183">
        <v>0</v>
      </c>
      <c r="Q33" s="183">
        <v>0</v>
      </c>
      <c r="R33" s="183">
        <v>0</v>
      </c>
      <c r="S33" s="183">
        <v>0</v>
      </c>
      <c r="T33" s="183">
        <v>0</v>
      </c>
      <c r="U33" s="182">
        <f t="shared" si="31"/>
        <v>14659794.236430001</v>
      </c>
      <c r="V33" s="180">
        <v>179987356.5767</v>
      </c>
      <c r="W33" s="185">
        <v>4712214.7641599998</v>
      </c>
      <c r="X33" s="181">
        <v>15016547.501580002</v>
      </c>
      <c r="Y33" s="183">
        <v>14694802.62631</v>
      </c>
      <c r="Z33" s="183">
        <v>15210416.082280001</v>
      </c>
      <c r="AA33" s="183">
        <v>16752271.243469998</v>
      </c>
      <c r="AB33" s="181">
        <v>16851360.23731</v>
      </c>
      <c r="AC33" s="181">
        <v>16548049.56246</v>
      </c>
      <c r="AD33" s="181">
        <v>16186736.69562</v>
      </c>
      <c r="AE33" s="181">
        <v>14799895.336339999</v>
      </c>
      <c r="AF33" s="181">
        <v>11976843.05473</v>
      </c>
      <c r="AG33" s="181">
        <v>14437887.10369</v>
      </c>
      <c r="AH33" s="181">
        <v>22800332.368750002</v>
      </c>
      <c r="AI33" s="182">
        <f t="shared" si="30"/>
        <v>19728762.26574</v>
      </c>
      <c r="AJ33" s="184"/>
      <c r="AK33" s="185"/>
      <c r="AL33" s="185"/>
      <c r="AM33" s="185"/>
      <c r="AN33" s="186">
        <f t="shared" si="14"/>
        <v>178303003.55957001</v>
      </c>
      <c r="AO33" s="137">
        <f t="shared" si="9"/>
        <v>160258594.31095999</v>
      </c>
      <c r="AP33" s="179">
        <v>-231.0765900015831</v>
      </c>
    </row>
    <row r="34" spans="1:42" s="179" customFormat="1" ht="12.75" customHeight="1" x14ac:dyDescent="0.2">
      <c r="A34" s="186"/>
      <c r="B34" s="173"/>
      <c r="C34" s="210"/>
      <c r="D34" s="137"/>
      <c r="E34" s="211" t="s">
        <v>77</v>
      </c>
      <c r="F34" s="208"/>
      <c r="G34" s="209"/>
      <c r="H34" s="181">
        <v>-254058947.12400001</v>
      </c>
      <c r="I34" s="180">
        <v>-15482557.551290002</v>
      </c>
      <c r="J34" s="185">
        <v>-18522490.865490001</v>
      </c>
      <c r="K34" s="183">
        <v>0</v>
      </c>
      <c r="L34" s="183">
        <v>0</v>
      </c>
      <c r="M34" s="183">
        <v>0</v>
      </c>
      <c r="N34" s="183">
        <v>0</v>
      </c>
      <c r="O34" s="183">
        <v>0</v>
      </c>
      <c r="P34" s="183">
        <v>0</v>
      </c>
      <c r="Q34" s="183">
        <v>0</v>
      </c>
      <c r="R34" s="183">
        <v>0</v>
      </c>
      <c r="S34" s="183">
        <v>0</v>
      </c>
      <c r="T34" s="183">
        <v>0</v>
      </c>
      <c r="U34" s="182">
        <f t="shared" si="31"/>
        <v>-34005048.416780002</v>
      </c>
      <c r="V34" s="180">
        <v>-232520962.32264003</v>
      </c>
      <c r="W34" s="185">
        <v>-17730420.600360002</v>
      </c>
      <c r="X34" s="181">
        <v>-21352436.632099997</v>
      </c>
      <c r="Y34" s="183">
        <v>-18322369.387290001</v>
      </c>
      <c r="Z34" s="183">
        <v>-20497618.354029998</v>
      </c>
      <c r="AA34" s="183">
        <v>-20510635.578619998</v>
      </c>
      <c r="AB34" s="181">
        <v>-19556299.783380002</v>
      </c>
      <c r="AC34" s="181">
        <v>-22010752.75186</v>
      </c>
      <c r="AD34" s="181">
        <v>-21864080.640519999</v>
      </c>
      <c r="AE34" s="181">
        <v>-18794733.125919998</v>
      </c>
      <c r="AF34" s="181">
        <v>-16489963.28792</v>
      </c>
      <c r="AG34" s="181">
        <v>-16018544.04466</v>
      </c>
      <c r="AH34" s="181">
        <v>-19373108.135979999</v>
      </c>
      <c r="AI34" s="182">
        <f t="shared" si="30"/>
        <v>-39082857.23246</v>
      </c>
      <c r="AJ34" s="184"/>
      <c r="AK34" s="185"/>
      <c r="AL34" s="185"/>
      <c r="AM34" s="185"/>
      <c r="AN34" s="186">
        <f t="shared" si="14"/>
        <v>-220053898.70722002</v>
      </c>
      <c r="AO34" s="137">
        <f t="shared" si="9"/>
        <v>-193438105.09018004</v>
      </c>
      <c r="AP34" s="179">
        <v>247.8981299996376</v>
      </c>
    </row>
    <row r="35" spans="1:42" s="179" customFormat="1" ht="12.75" customHeight="1" x14ac:dyDescent="0.2">
      <c r="A35" s="186"/>
      <c r="B35" s="137"/>
      <c r="C35" s="204" t="s">
        <v>78</v>
      </c>
      <c r="D35" s="204"/>
      <c r="E35" s="204"/>
      <c r="F35" s="204"/>
      <c r="G35" s="195"/>
      <c r="H35" s="181">
        <v>26263.483</v>
      </c>
      <c r="I35" s="180">
        <v>92.286479999999997</v>
      </c>
      <c r="J35" s="185">
        <v>357.09545000000003</v>
      </c>
      <c r="K35" s="183">
        <v>0</v>
      </c>
      <c r="L35" s="183">
        <v>0</v>
      </c>
      <c r="M35" s="183">
        <v>0</v>
      </c>
      <c r="N35" s="183">
        <v>0</v>
      </c>
      <c r="O35" s="183">
        <v>0</v>
      </c>
      <c r="P35" s="183">
        <v>0</v>
      </c>
      <c r="Q35" s="183">
        <v>0</v>
      </c>
      <c r="R35" s="183">
        <v>0</v>
      </c>
      <c r="S35" s="183">
        <v>0</v>
      </c>
      <c r="T35" s="183">
        <v>0</v>
      </c>
      <c r="U35" s="182">
        <f t="shared" si="31"/>
        <v>449.38193000000001</v>
      </c>
      <c r="V35" s="180">
        <v>8449.8804199999977</v>
      </c>
      <c r="W35" s="185">
        <v>864.69512999999995</v>
      </c>
      <c r="X35" s="181">
        <v>157.87732</v>
      </c>
      <c r="Y35" s="183">
        <v>76.537289999999999</v>
      </c>
      <c r="Z35" s="183">
        <v>114.95444999999999</v>
      </c>
      <c r="AA35" s="183">
        <v>12441.686609999999</v>
      </c>
      <c r="AB35" s="181">
        <v>1408.2118500000001</v>
      </c>
      <c r="AC35" s="181">
        <v>128.68188000000001</v>
      </c>
      <c r="AD35" s="181">
        <v>88.296940000000006</v>
      </c>
      <c r="AE35" s="181">
        <v>105.89149</v>
      </c>
      <c r="AF35" s="181">
        <v>479.04048</v>
      </c>
      <c r="AG35" s="181">
        <v>-7850.3513899999998</v>
      </c>
      <c r="AH35" s="181">
        <v>434.35836999999998</v>
      </c>
      <c r="AI35" s="182">
        <f t="shared" si="30"/>
        <v>1022.5724499999999</v>
      </c>
      <c r="AJ35" s="184"/>
      <c r="AK35" s="185"/>
      <c r="AL35" s="185"/>
      <c r="AM35" s="185"/>
      <c r="AN35" s="186">
        <f t="shared" si="14"/>
        <v>25814.101070000001</v>
      </c>
      <c r="AO35" s="137">
        <f t="shared" si="9"/>
        <v>7427.307969999998</v>
      </c>
      <c r="AP35" s="179">
        <v>0</v>
      </c>
    </row>
    <row r="36" spans="1:42" s="179" customFormat="1" ht="12.75" customHeight="1" x14ac:dyDescent="0.2">
      <c r="A36" s="186"/>
      <c r="B36" s="137"/>
      <c r="C36" s="204"/>
      <c r="D36" s="204"/>
      <c r="E36" s="204"/>
      <c r="F36" s="204"/>
      <c r="G36" s="195"/>
      <c r="H36" s="181"/>
      <c r="I36" s="180"/>
      <c r="J36" s="185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2"/>
      <c r="V36" s="180"/>
      <c r="W36" s="185"/>
      <c r="X36" s="181"/>
      <c r="Y36" s="183"/>
      <c r="Z36" s="183"/>
      <c r="AA36" s="181"/>
      <c r="AB36" s="181"/>
      <c r="AC36" s="181"/>
      <c r="AD36" s="181"/>
      <c r="AE36" s="181"/>
      <c r="AF36" s="181"/>
      <c r="AG36" s="181"/>
      <c r="AH36" s="181"/>
      <c r="AI36" s="182"/>
      <c r="AJ36" s="184"/>
      <c r="AK36" s="185"/>
      <c r="AL36" s="185"/>
      <c r="AM36" s="185"/>
      <c r="AN36" s="186"/>
      <c r="AO36" s="137">
        <f t="shared" si="9"/>
        <v>0</v>
      </c>
      <c r="AP36" s="179">
        <v>0</v>
      </c>
    </row>
    <row r="37" spans="1:42" x14ac:dyDescent="0.2">
      <c r="A37" s="148"/>
      <c r="B37" s="137"/>
      <c r="C37" s="137" t="s">
        <v>79</v>
      </c>
      <c r="D37" s="137"/>
      <c r="E37" s="204"/>
      <c r="F37" s="204"/>
      <c r="G37" s="195"/>
      <c r="H37" s="212">
        <f t="shared" ref="H37:T37" si="32">SUM(H38:H45)</f>
        <v>48836105.295000002</v>
      </c>
      <c r="I37" s="213">
        <f t="shared" si="32"/>
        <v>1991407.8530100002</v>
      </c>
      <c r="J37" s="214">
        <f t="shared" si="32"/>
        <v>-332200.97429000004</v>
      </c>
      <c r="K37" s="215">
        <f t="shared" si="32"/>
        <v>0</v>
      </c>
      <c r="L37" s="215">
        <f t="shared" si="32"/>
        <v>0</v>
      </c>
      <c r="M37" s="215">
        <f t="shared" si="32"/>
        <v>0</v>
      </c>
      <c r="N37" s="215">
        <f t="shared" si="32"/>
        <v>0</v>
      </c>
      <c r="O37" s="215">
        <f t="shared" si="32"/>
        <v>0</v>
      </c>
      <c r="P37" s="215">
        <f t="shared" si="32"/>
        <v>0</v>
      </c>
      <c r="Q37" s="215">
        <f t="shared" si="32"/>
        <v>0</v>
      </c>
      <c r="R37" s="215">
        <f t="shared" si="32"/>
        <v>0</v>
      </c>
      <c r="S37" s="215">
        <f t="shared" si="32"/>
        <v>0</v>
      </c>
      <c r="T37" s="215">
        <f t="shared" si="32"/>
        <v>0</v>
      </c>
      <c r="U37" s="216">
        <f t="shared" ref="U37:U48" si="33">SUM(I37:T37)</f>
        <v>1659206.8787200002</v>
      </c>
      <c r="V37" s="180">
        <f>SUM(V38:V45)</f>
        <v>46826574.018409997</v>
      </c>
      <c r="W37" s="180">
        <f t="shared" ref="W37:AH37" si="34">SUM(W38:W45)</f>
        <v>4389537.5104</v>
      </c>
      <c r="X37" s="180">
        <f t="shared" si="34"/>
        <v>2779836.8507400001</v>
      </c>
      <c r="Y37" s="180">
        <f t="shared" si="34"/>
        <v>3429317.8402999998</v>
      </c>
      <c r="Z37" s="180">
        <f t="shared" si="34"/>
        <v>3160961.4994200002</v>
      </c>
      <c r="AA37" s="180">
        <f>SUM(AA38:AA45)</f>
        <v>2848097.9539799998</v>
      </c>
      <c r="AB37" s="180">
        <f t="shared" si="34"/>
        <v>3608974.0604700008</v>
      </c>
      <c r="AC37" s="180">
        <f t="shared" si="34"/>
        <v>3735827.8779500001</v>
      </c>
      <c r="AD37" s="180">
        <f t="shared" si="34"/>
        <v>3607624.5937799998</v>
      </c>
      <c r="AE37" s="180">
        <f t="shared" si="34"/>
        <v>4210492.1567399995</v>
      </c>
      <c r="AF37" s="180">
        <f t="shared" si="34"/>
        <v>5801217.0462600002</v>
      </c>
      <c r="AG37" s="180">
        <f t="shared" si="34"/>
        <v>4205237.7721299995</v>
      </c>
      <c r="AH37" s="180">
        <f t="shared" si="34"/>
        <v>5049448.8562400006</v>
      </c>
      <c r="AI37" s="180">
        <f t="shared" ref="AI37:AI48" si="35">SUM(W37:X37)</f>
        <v>7169374.3611399997</v>
      </c>
      <c r="AJ37" s="157"/>
      <c r="AK37" s="185"/>
      <c r="AL37" s="185"/>
      <c r="AM37" s="185"/>
      <c r="AN37" s="186">
        <f t="shared" si="14"/>
        <v>47176898.416280001</v>
      </c>
      <c r="AO37" s="137">
        <f t="shared" si="9"/>
        <v>39657199.657269999</v>
      </c>
      <c r="AP37" s="179">
        <v>-1.8989987671375275E-2</v>
      </c>
    </row>
    <row r="38" spans="1:42" ht="12.75" customHeight="1" x14ac:dyDescent="0.2">
      <c r="A38" s="148"/>
      <c r="B38" s="137"/>
      <c r="C38" s="137"/>
      <c r="D38" s="137"/>
      <c r="E38" s="204" t="s">
        <v>80</v>
      </c>
      <c r="F38" s="204"/>
      <c r="G38" s="195"/>
      <c r="H38" s="181">
        <v>16483999.973999999</v>
      </c>
      <c r="I38" s="180">
        <v>78054.261659999989</v>
      </c>
      <c r="J38" s="185">
        <v>392.34933000000001</v>
      </c>
      <c r="K38" s="183">
        <v>0</v>
      </c>
      <c r="L38" s="183">
        <v>0</v>
      </c>
      <c r="M38" s="183">
        <v>0</v>
      </c>
      <c r="N38" s="183">
        <v>0</v>
      </c>
      <c r="O38" s="183">
        <v>0</v>
      </c>
      <c r="P38" s="183">
        <v>0</v>
      </c>
      <c r="Q38" s="183">
        <v>0</v>
      </c>
      <c r="R38" s="183">
        <v>0</v>
      </c>
      <c r="S38" s="183">
        <v>0</v>
      </c>
      <c r="T38" s="183">
        <v>0</v>
      </c>
      <c r="U38" s="182">
        <f t="shared" si="33"/>
        <v>78446.610989999986</v>
      </c>
      <c r="V38" s="180">
        <v>15524758.652489999</v>
      </c>
      <c r="W38" s="185">
        <v>645432.03515999997</v>
      </c>
      <c r="X38" s="181">
        <v>1336460.6933599999</v>
      </c>
      <c r="Y38" s="183">
        <v>1217578.0185699998</v>
      </c>
      <c r="Z38" s="183">
        <v>1144692.0212100002</v>
      </c>
      <c r="AA38" s="183">
        <v>1239157.7511500001</v>
      </c>
      <c r="AB38" s="181">
        <v>1311143.52498</v>
      </c>
      <c r="AC38" s="181">
        <v>1227824.49712</v>
      </c>
      <c r="AD38" s="181">
        <v>1346975.6470000001</v>
      </c>
      <c r="AE38" s="212">
        <v>1324690.7493599998</v>
      </c>
      <c r="AF38" s="181">
        <v>1474308.4417999999</v>
      </c>
      <c r="AG38" s="212">
        <v>1403663.5605200001</v>
      </c>
      <c r="AH38" s="212">
        <v>1852831.7122599999</v>
      </c>
      <c r="AI38" s="182">
        <f t="shared" si="35"/>
        <v>1981892.7285199999</v>
      </c>
      <c r="AJ38" s="184"/>
      <c r="AK38" s="185"/>
      <c r="AL38" s="185"/>
      <c r="AM38" s="185"/>
      <c r="AN38" s="186">
        <f t="shared" si="14"/>
        <v>16405553.363009999</v>
      </c>
      <c r="AO38" s="137">
        <f t="shared" si="9"/>
        <v>13542865.923969999</v>
      </c>
      <c r="AP38" s="179">
        <v>-0.12763000279664993</v>
      </c>
    </row>
    <row r="39" spans="1:42" ht="12.75" customHeight="1" x14ac:dyDescent="0.2">
      <c r="A39" s="148"/>
      <c r="B39" s="137"/>
      <c r="C39" s="137"/>
      <c r="D39" s="137"/>
      <c r="E39" s="204" t="s">
        <v>81</v>
      </c>
      <c r="F39" s="204"/>
      <c r="G39" s="195"/>
      <c r="H39" s="181">
        <v>4939.2740000000003</v>
      </c>
      <c r="I39" s="180">
        <v>425.25809999999996</v>
      </c>
      <c r="J39" s="185">
        <v>224.7467</v>
      </c>
      <c r="K39" s="183">
        <v>0</v>
      </c>
      <c r="L39" s="183">
        <v>0</v>
      </c>
      <c r="M39" s="183">
        <v>0</v>
      </c>
      <c r="N39" s="183">
        <v>0</v>
      </c>
      <c r="O39" s="183">
        <v>0</v>
      </c>
      <c r="P39" s="183">
        <v>0</v>
      </c>
      <c r="Q39" s="183">
        <v>0</v>
      </c>
      <c r="R39" s="183">
        <v>0</v>
      </c>
      <c r="S39" s="183">
        <v>0</v>
      </c>
      <c r="T39" s="183">
        <v>0</v>
      </c>
      <c r="U39" s="182">
        <f t="shared" si="33"/>
        <v>650.00479999999993</v>
      </c>
      <c r="V39" s="180">
        <v>4365.8577800000003</v>
      </c>
      <c r="W39" s="185">
        <v>411.44488000000001</v>
      </c>
      <c r="X39" s="181">
        <v>582.59392000000003</v>
      </c>
      <c r="Y39" s="183">
        <v>379.05412999999999</v>
      </c>
      <c r="Z39" s="183">
        <v>353.22517999999997</v>
      </c>
      <c r="AA39" s="183">
        <v>366.86054999999999</v>
      </c>
      <c r="AB39" s="181">
        <v>126.39821999999999</v>
      </c>
      <c r="AC39" s="181">
        <v>550.99706000000003</v>
      </c>
      <c r="AD39" s="181">
        <v>159.62575000000001</v>
      </c>
      <c r="AE39" s="181">
        <v>314.59178000000003</v>
      </c>
      <c r="AF39" s="181">
        <v>291.13127000000003</v>
      </c>
      <c r="AG39" s="181">
        <v>312.68134000000003</v>
      </c>
      <c r="AH39" s="181">
        <v>517.25369999999998</v>
      </c>
      <c r="AI39" s="182">
        <f t="shared" si="35"/>
        <v>994.03880000000004</v>
      </c>
      <c r="AJ39" s="184"/>
      <c r="AK39" s="185"/>
      <c r="AL39" s="185"/>
      <c r="AM39" s="185"/>
      <c r="AN39" s="186">
        <f t="shared" si="14"/>
        <v>4289.2692000000006</v>
      </c>
      <c r="AO39" s="137">
        <f t="shared" si="9"/>
        <v>3371.81898</v>
      </c>
      <c r="AP39" s="179">
        <v>-0.42710999999962951</v>
      </c>
    </row>
    <row r="40" spans="1:42" s="179" customFormat="1" ht="12.75" customHeight="1" x14ac:dyDescent="0.2">
      <c r="A40" s="186"/>
      <c r="B40" s="137"/>
      <c r="C40" s="137"/>
      <c r="D40" s="173"/>
      <c r="E40" s="204" t="s">
        <v>82</v>
      </c>
      <c r="F40" s="204"/>
      <c r="G40" s="195"/>
      <c r="H40" s="181">
        <v>5326195.9210000001</v>
      </c>
      <c r="I40" s="180">
        <v>59461.878259999998</v>
      </c>
      <c r="J40" s="185">
        <v>2032.2235900000001</v>
      </c>
      <c r="K40" s="183">
        <v>0</v>
      </c>
      <c r="L40" s="183">
        <v>0</v>
      </c>
      <c r="M40" s="183">
        <v>0</v>
      </c>
      <c r="N40" s="183">
        <v>0</v>
      </c>
      <c r="O40" s="183">
        <v>0</v>
      </c>
      <c r="P40" s="183">
        <v>0</v>
      </c>
      <c r="Q40" s="183">
        <v>0</v>
      </c>
      <c r="R40" s="183">
        <v>0</v>
      </c>
      <c r="S40" s="183">
        <v>0</v>
      </c>
      <c r="T40" s="183">
        <v>0</v>
      </c>
      <c r="U40" s="182">
        <f t="shared" si="33"/>
        <v>61494.101849999999</v>
      </c>
      <c r="V40" s="180">
        <v>4574469.0212900005</v>
      </c>
      <c r="W40" s="185">
        <v>344650.07581999997</v>
      </c>
      <c r="X40" s="181">
        <v>311227.37400000001</v>
      </c>
      <c r="Y40" s="183">
        <v>395585.26152</v>
      </c>
      <c r="Z40" s="183">
        <v>328235.43017000001</v>
      </c>
      <c r="AA40" s="183">
        <v>19738.928079999998</v>
      </c>
      <c r="AB40" s="181">
        <v>280802.25291000004</v>
      </c>
      <c r="AC40" s="181">
        <v>375497.53158999997</v>
      </c>
      <c r="AD40" s="181">
        <v>357215.24654000002</v>
      </c>
      <c r="AE40" s="181">
        <v>512121.84948999999</v>
      </c>
      <c r="AF40" s="181">
        <v>508613.17636000004</v>
      </c>
      <c r="AG40" s="181">
        <v>795155.04833999998</v>
      </c>
      <c r="AH40" s="181">
        <v>345626.84647000005</v>
      </c>
      <c r="AI40" s="182">
        <f t="shared" si="35"/>
        <v>655877.44981999998</v>
      </c>
      <c r="AJ40" s="184"/>
      <c r="AK40" s="185"/>
      <c r="AL40" s="185"/>
      <c r="AM40" s="185"/>
      <c r="AN40" s="186">
        <f t="shared" si="14"/>
        <v>5264701.8191499999</v>
      </c>
      <c r="AO40" s="137">
        <f t="shared" si="9"/>
        <v>3918591.5714700008</v>
      </c>
      <c r="AP40" s="179">
        <v>0.15277000050991774</v>
      </c>
    </row>
    <row r="41" spans="1:42" ht="12.75" customHeight="1" x14ac:dyDescent="0.2">
      <c r="A41" s="148"/>
      <c r="B41" s="137"/>
      <c r="C41" s="137"/>
      <c r="D41" s="137"/>
      <c r="E41" s="204" t="s">
        <v>83</v>
      </c>
      <c r="F41" s="204"/>
      <c r="G41" s="195"/>
      <c r="H41" s="181">
        <v>9281460.2789999992</v>
      </c>
      <c r="I41" s="180">
        <v>452189.48809</v>
      </c>
      <c r="J41" s="185">
        <v>22998.270989999997</v>
      </c>
      <c r="K41" s="183">
        <v>0</v>
      </c>
      <c r="L41" s="183">
        <v>0</v>
      </c>
      <c r="M41" s="183">
        <v>0</v>
      </c>
      <c r="N41" s="183">
        <v>0</v>
      </c>
      <c r="O41" s="183">
        <v>0</v>
      </c>
      <c r="P41" s="183">
        <v>0</v>
      </c>
      <c r="Q41" s="183">
        <v>0</v>
      </c>
      <c r="R41" s="183">
        <v>0</v>
      </c>
      <c r="S41" s="183">
        <v>0</v>
      </c>
      <c r="T41" s="183">
        <v>0</v>
      </c>
      <c r="U41" s="182">
        <f t="shared" si="33"/>
        <v>475187.75907999999</v>
      </c>
      <c r="V41" s="180">
        <v>8994733.5919899996</v>
      </c>
      <c r="W41" s="185">
        <v>968423.40338000003</v>
      </c>
      <c r="X41" s="181">
        <v>685639.09735000005</v>
      </c>
      <c r="Y41" s="183">
        <v>708818.19360999996</v>
      </c>
      <c r="Z41" s="183">
        <v>864562.62917999993</v>
      </c>
      <c r="AA41" s="183">
        <v>443237.86310000002</v>
      </c>
      <c r="AB41" s="181">
        <v>450069.79883999994</v>
      </c>
      <c r="AC41" s="181">
        <v>782915.50820000004</v>
      </c>
      <c r="AD41" s="181">
        <v>680063.36220000009</v>
      </c>
      <c r="AE41" s="181">
        <v>727797.45153999992</v>
      </c>
      <c r="AF41" s="181">
        <v>674911.0575</v>
      </c>
      <c r="AG41" s="181">
        <v>934114.52815000003</v>
      </c>
      <c r="AH41" s="181">
        <v>1074180.69894</v>
      </c>
      <c r="AI41" s="182">
        <f t="shared" si="35"/>
        <v>1654062.50073</v>
      </c>
      <c r="AJ41" s="184"/>
      <c r="AK41" s="185"/>
      <c r="AL41" s="185"/>
      <c r="AM41" s="185"/>
      <c r="AN41" s="186">
        <f t="shared" si="14"/>
        <v>8806272.5199199989</v>
      </c>
      <c r="AO41" s="137">
        <f t="shared" si="9"/>
        <v>7340671.0912599992</v>
      </c>
      <c r="AP41" s="179">
        <v>0.15080999955534935</v>
      </c>
    </row>
    <row r="42" spans="1:42" ht="12.75" customHeight="1" x14ac:dyDescent="0.2">
      <c r="A42" s="148"/>
      <c r="B42" s="137"/>
      <c r="C42" s="137"/>
      <c r="D42" s="137"/>
      <c r="E42" s="192" t="s">
        <v>84</v>
      </c>
      <c r="F42" s="192"/>
      <c r="G42" s="193"/>
      <c r="H42" s="181">
        <v>14461679.202</v>
      </c>
      <c r="I42" s="180">
        <v>813649.3255700001</v>
      </c>
      <c r="J42" s="185">
        <v>4202.4741599999998</v>
      </c>
      <c r="K42" s="183">
        <v>0</v>
      </c>
      <c r="L42" s="183">
        <v>0</v>
      </c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3">
        <v>0</v>
      </c>
      <c r="S42" s="183">
        <v>0</v>
      </c>
      <c r="T42" s="183">
        <v>0</v>
      </c>
      <c r="U42" s="182">
        <f t="shared" si="33"/>
        <v>817851.79973000009</v>
      </c>
      <c r="V42" s="180">
        <v>13969781.7259</v>
      </c>
      <c r="W42" s="185">
        <v>1968021.7834000001</v>
      </c>
      <c r="X42" s="181">
        <v>341655.21857999999</v>
      </c>
      <c r="Y42" s="183">
        <v>706865.34465999994</v>
      </c>
      <c r="Z42" s="183">
        <v>630873.85900000005</v>
      </c>
      <c r="AA42" s="183">
        <v>891549.24364</v>
      </c>
      <c r="AB42" s="181">
        <v>1147553.56803</v>
      </c>
      <c r="AC42" s="181">
        <v>1075037.3341400002</v>
      </c>
      <c r="AD42" s="181">
        <v>1116545.6632999999</v>
      </c>
      <c r="AE42" s="181">
        <v>1127724.73465</v>
      </c>
      <c r="AF42" s="181">
        <v>2886153.3446399998</v>
      </c>
      <c r="AG42" s="181">
        <v>962185.49410999997</v>
      </c>
      <c r="AH42" s="181">
        <v>1115616.13775</v>
      </c>
      <c r="AI42" s="182">
        <f t="shared" si="35"/>
        <v>2309677.0019800002</v>
      </c>
      <c r="AJ42" s="184"/>
      <c r="AK42" s="185"/>
      <c r="AL42" s="185"/>
      <c r="AM42" s="185"/>
      <c r="AN42" s="186">
        <f t="shared" si="14"/>
        <v>13643827.40227</v>
      </c>
      <c r="AO42" s="137">
        <f t="shared" si="9"/>
        <v>11660104.723919999</v>
      </c>
      <c r="AP42" s="179">
        <v>-1.2929998338222504E-2</v>
      </c>
    </row>
    <row r="43" spans="1:42" ht="12.75" customHeight="1" x14ac:dyDescent="0.2">
      <c r="A43" s="148"/>
      <c r="B43" s="137"/>
      <c r="C43" s="137"/>
      <c r="D43" s="137"/>
      <c r="E43" s="204" t="s">
        <v>85</v>
      </c>
      <c r="F43" s="210"/>
      <c r="G43" s="195"/>
      <c r="H43" s="181">
        <v>493878.55300000001</v>
      </c>
      <c r="I43" s="180">
        <v>122052.86167</v>
      </c>
      <c r="J43" s="185">
        <v>1675.7114099999999</v>
      </c>
      <c r="K43" s="183">
        <v>0</v>
      </c>
      <c r="L43" s="183">
        <v>0</v>
      </c>
      <c r="M43" s="183">
        <v>0</v>
      </c>
      <c r="N43" s="183">
        <v>0</v>
      </c>
      <c r="O43" s="183">
        <v>0</v>
      </c>
      <c r="P43" s="183">
        <v>0</v>
      </c>
      <c r="Q43" s="183">
        <v>0</v>
      </c>
      <c r="R43" s="183">
        <v>0</v>
      </c>
      <c r="S43" s="183">
        <v>0</v>
      </c>
      <c r="T43" s="183">
        <v>0</v>
      </c>
      <c r="U43" s="182">
        <f t="shared" si="33"/>
        <v>123728.57308</v>
      </c>
      <c r="V43" s="180">
        <v>495694.30487999995</v>
      </c>
      <c r="W43" s="185">
        <v>54108.781920000001</v>
      </c>
      <c r="X43" s="181">
        <v>31660.611089999999</v>
      </c>
      <c r="Y43" s="183">
        <v>34412.940479999997</v>
      </c>
      <c r="Z43" s="183">
        <v>38793.29722</v>
      </c>
      <c r="AA43" s="183">
        <v>37301.608919999999</v>
      </c>
      <c r="AB43" s="181">
        <v>55656.1973</v>
      </c>
      <c r="AC43" s="181">
        <v>39190.156799999997</v>
      </c>
      <c r="AD43" s="181">
        <v>43690.214399999997</v>
      </c>
      <c r="AE43" s="181">
        <v>54160.801009999996</v>
      </c>
      <c r="AF43" s="181">
        <v>56834.95162</v>
      </c>
      <c r="AG43" s="181">
        <v>42652.453270000005</v>
      </c>
      <c r="AH43" s="181">
        <v>7232.2908499999994</v>
      </c>
      <c r="AI43" s="182">
        <f t="shared" si="35"/>
        <v>85769.39301</v>
      </c>
      <c r="AJ43" s="184"/>
      <c r="AK43" s="185"/>
      <c r="AL43" s="185"/>
      <c r="AM43" s="185"/>
      <c r="AN43" s="186">
        <f t="shared" si="14"/>
        <v>370149.97992000001</v>
      </c>
      <c r="AO43" s="137">
        <f t="shared" si="9"/>
        <v>409924.91186999995</v>
      </c>
      <c r="AP43" s="179">
        <v>0.27573999995365739</v>
      </c>
    </row>
    <row r="44" spans="1:42" ht="12.75" customHeight="1" x14ac:dyDescent="0.2">
      <c r="A44" s="148"/>
      <c r="B44" s="137"/>
      <c r="C44" s="137"/>
      <c r="D44" s="137"/>
      <c r="E44" s="204" t="s">
        <v>86</v>
      </c>
      <c r="F44" s="210"/>
      <c r="G44" s="195" t="s">
        <v>87</v>
      </c>
      <c r="H44" s="181">
        <v>1002758.598</v>
      </c>
      <c r="I44" s="180">
        <v>463724.63547000004</v>
      </c>
      <c r="J44" s="185">
        <v>-363726.75047000003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>
        <v>0</v>
      </c>
      <c r="R44" s="183">
        <v>0</v>
      </c>
      <c r="S44" s="183">
        <v>0</v>
      </c>
      <c r="T44" s="183">
        <v>0</v>
      </c>
      <c r="U44" s="182">
        <f t="shared" si="33"/>
        <v>99997.885000000009</v>
      </c>
      <c r="V44" s="180">
        <v>825672.58494999993</v>
      </c>
      <c r="W44" s="185">
        <v>64585.994009999995</v>
      </c>
      <c r="X44" s="181">
        <v>72611.262439999991</v>
      </c>
      <c r="Y44" s="183">
        <v>71939.046860000002</v>
      </c>
      <c r="Z44" s="183">
        <v>69202.47368000001</v>
      </c>
      <c r="AA44" s="183">
        <v>67757.232629999999</v>
      </c>
      <c r="AB44" s="181">
        <v>71545.808239999998</v>
      </c>
      <c r="AC44" s="181">
        <v>66182.183090000006</v>
      </c>
      <c r="AD44" s="181">
        <v>62974.834590000006</v>
      </c>
      <c r="AE44" s="181">
        <v>69292.204599999997</v>
      </c>
      <c r="AF44" s="181">
        <v>75850.491330000004</v>
      </c>
      <c r="AG44" s="181">
        <v>67154.006400000013</v>
      </c>
      <c r="AH44" s="181">
        <v>66577.047080000004</v>
      </c>
      <c r="AI44" s="182">
        <f t="shared" si="35"/>
        <v>137197.25644999999</v>
      </c>
      <c r="AJ44" s="184"/>
      <c r="AK44" s="185"/>
      <c r="AL44" s="185"/>
      <c r="AM44" s="185"/>
      <c r="AN44" s="186">
        <f t="shared" si="14"/>
        <v>902760.71299999999</v>
      </c>
      <c r="AO44" s="137">
        <f t="shared" si="9"/>
        <v>688475.32849999995</v>
      </c>
      <c r="AP44" s="179">
        <v>0.35910000000149012</v>
      </c>
    </row>
    <row r="45" spans="1:42" ht="12.75" customHeight="1" x14ac:dyDescent="0.2">
      <c r="A45" s="148"/>
      <c r="B45" s="137"/>
      <c r="C45" s="137"/>
      <c r="D45" s="137"/>
      <c r="E45" s="187" t="s">
        <v>88</v>
      </c>
      <c r="F45" s="187"/>
      <c r="G45" s="195" t="s">
        <v>89</v>
      </c>
      <c r="H45" s="212">
        <v>1781193.4939999999</v>
      </c>
      <c r="I45" s="213">
        <v>1850.14419</v>
      </c>
      <c r="J45" s="214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0</v>
      </c>
      <c r="Q45" s="215">
        <v>0</v>
      </c>
      <c r="R45" s="215">
        <v>0</v>
      </c>
      <c r="S45" s="215">
        <v>0</v>
      </c>
      <c r="T45" s="215">
        <v>0</v>
      </c>
      <c r="U45" s="216">
        <f t="shared" si="33"/>
        <v>1850.14419</v>
      </c>
      <c r="V45" s="213">
        <v>2437098.2791300002</v>
      </c>
      <c r="W45" s="185">
        <v>343903.99182999996</v>
      </c>
      <c r="X45" s="212">
        <v>0</v>
      </c>
      <c r="Y45" s="215">
        <v>293739.98047000001</v>
      </c>
      <c r="Z45" s="215">
        <v>84248.563779999997</v>
      </c>
      <c r="AA45" s="183">
        <v>148988.46591</v>
      </c>
      <c r="AB45" s="212">
        <v>292076.51195000001</v>
      </c>
      <c r="AC45" s="212">
        <v>168629.66994999998</v>
      </c>
      <c r="AD45" s="212">
        <v>0</v>
      </c>
      <c r="AE45" s="181">
        <v>394389.77431000001</v>
      </c>
      <c r="AF45" s="212">
        <v>124254.45173999999</v>
      </c>
      <c r="AG45" s="181">
        <v>0</v>
      </c>
      <c r="AH45" s="181">
        <v>586866.86919000011</v>
      </c>
      <c r="AI45" s="182">
        <f t="shared" si="35"/>
        <v>343903.99182999996</v>
      </c>
      <c r="AJ45" s="184"/>
      <c r="AK45" s="185"/>
      <c r="AL45" s="185"/>
      <c r="AM45" s="185"/>
      <c r="AN45" s="186">
        <f t="shared" si="14"/>
        <v>1779343.34981</v>
      </c>
      <c r="AO45" s="137">
        <f t="shared" si="9"/>
        <v>2093194.2873000002</v>
      </c>
      <c r="AP45" s="179">
        <v>-0.38974000001326203</v>
      </c>
    </row>
    <row r="46" spans="1:42" ht="12.75" customHeight="1" x14ac:dyDescent="0.2">
      <c r="A46" s="148"/>
      <c r="B46" s="137"/>
      <c r="C46" s="137" t="s">
        <v>90</v>
      </c>
      <c r="D46" s="137"/>
      <c r="E46" s="137"/>
      <c r="F46" s="210"/>
      <c r="G46" s="195"/>
      <c r="H46" s="181">
        <v>4328453.3689999999</v>
      </c>
      <c r="I46" s="180">
        <v>822372.64898000006</v>
      </c>
      <c r="J46" s="185">
        <v>5065.5160199999991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>
        <v>0</v>
      </c>
      <c r="R46" s="183">
        <v>0</v>
      </c>
      <c r="S46" s="183">
        <v>0</v>
      </c>
      <c r="T46" s="183">
        <v>0</v>
      </c>
      <c r="U46" s="182">
        <f t="shared" si="33"/>
        <v>827438.16500000004</v>
      </c>
      <c r="V46" s="180">
        <v>4124241.25648</v>
      </c>
      <c r="W46" s="185">
        <v>1001040.9323300001</v>
      </c>
      <c r="X46" s="181">
        <v>477.95976999999999</v>
      </c>
      <c r="Y46" s="183">
        <v>157.18648000000002</v>
      </c>
      <c r="Z46" s="183">
        <v>1056079.91775</v>
      </c>
      <c r="AA46" s="183">
        <v>19829.603059999998</v>
      </c>
      <c r="AB46" s="181">
        <v>1730.0260600000001</v>
      </c>
      <c r="AC46" s="181">
        <v>1162707.3327800001</v>
      </c>
      <c r="AD46" s="181">
        <v>230.40851999999998</v>
      </c>
      <c r="AE46" s="212">
        <v>1103.14797</v>
      </c>
      <c r="AF46" s="181">
        <v>877230.24240999995</v>
      </c>
      <c r="AG46" s="212">
        <v>3035.86555</v>
      </c>
      <c r="AH46" s="212">
        <v>618.63380000000006</v>
      </c>
      <c r="AI46" s="182">
        <f t="shared" si="35"/>
        <v>1001518.8921000001</v>
      </c>
      <c r="AJ46" s="184"/>
      <c r="AK46" s="185"/>
      <c r="AL46" s="185"/>
      <c r="AM46" s="185"/>
      <c r="AN46" s="186">
        <f t="shared" si="14"/>
        <v>3501015.2039999999</v>
      </c>
      <c r="AO46" s="137">
        <f t="shared" si="9"/>
        <v>3122722.3643800002</v>
      </c>
      <c r="AP46" s="179">
        <v>-0.32648999989032745</v>
      </c>
    </row>
    <row r="47" spans="1:42" ht="12.75" customHeight="1" x14ac:dyDescent="0.2">
      <c r="A47" s="148"/>
      <c r="B47" s="137"/>
      <c r="C47" s="137" t="s">
        <v>91</v>
      </c>
      <c r="D47" s="137"/>
      <c r="E47" s="137"/>
      <c r="F47" s="210"/>
      <c r="G47" s="195"/>
      <c r="H47" s="181">
        <v>2860368.9909999999</v>
      </c>
      <c r="I47" s="180">
        <v>185135.75828000001</v>
      </c>
      <c r="J47" s="185">
        <v>113348.94443999999</v>
      </c>
      <c r="K47" s="183">
        <v>0</v>
      </c>
      <c r="L47" s="183">
        <v>0</v>
      </c>
      <c r="M47" s="183">
        <v>0</v>
      </c>
      <c r="N47" s="183">
        <v>0</v>
      </c>
      <c r="O47" s="183">
        <v>0</v>
      </c>
      <c r="P47" s="183">
        <v>0</v>
      </c>
      <c r="Q47" s="183">
        <v>0</v>
      </c>
      <c r="R47" s="183">
        <v>0</v>
      </c>
      <c r="S47" s="183">
        <v>0</v>
      </c>
      <c r="T47" s="183">
        <v>0</v>
      </c>
      <c r="U47" s="182">
        <f t="shared" si="33"/>
        <v>298484.70272</v>
      </c>
      <c r="V47" s="180">
        <v>2446183.8920800001</v>
      </c>
      <c r="W47" s="185">
        <v>266056.59428000002</v>
      </c>
      <c r="X47" s="181">
        <v>219161.63021</v>
      </c>
      <c r="Y47" s="183">
        <v>208877.07261</v>
      </c>
      <c r="Z47" s="183">
        <v>168243.80935</v>
      </c>
      <c r="AA47" s="183">
        <v>186100.34221</v>
      </c>
      <c r="AB47" s="181">
        <v>216506.90796000001</v>
      </c>
      <c r="AC47" s="181">
        <v>188563.25603999998</v>
      </c>
      <c r="AD47" s="181">
        <v>217177.56147999997</v>
      </c>
      <c r="AE47" s="181">
        <v>234267.22955000002</v>
      </c>
      <c r="AF47" s="181">
        <v>221762.50435</v>
      </c>
      <c r="AG47" s="181">
        <v>157888.63480999999</v>
      </c>
      <c r="AH47" s="181">
        <v>161578.34922999999</v>
      </c>
      <c r="AI47" s="182">
        <f t="shared" si="35"/>
        <v>485218.22449000005</v>
      </c>
      <c r="AJ47" s="184"/>
      <c r="AK47" s="185"/>
      <c r="AL47" s="185"/>
      <c r="AM47" s="185"/>
      <c r="AN47" s="186">
        <f t="shared" si="14"/>
        <v>2561884.28828</v>
      </c>
      <c r="AO47" s="137">
        <f t="shared" si="9"/>
        <v>1960965.6675900002</v>
      </c>
      <c r="AP47" s="179">
        <v>0</v>
      </c>
    </row>
    <row r="48" spans="1:42" ht="12.75" customHeight="1" x14ac:dyDescent="0.2">
      <c r="A48" s="148"/>
      <c r="B48" s="137"/>
      <c r="C48" s="137" t="s">
        <v>92</v>
      </c>
      <c r="D48" s="137"/>
      <c r="E48" s="137"/>
      <c r="F48" s="210"/>
      <c r="G48" s="195"/>
      <c r="H48" s="181">
        <v>83441152.859999999</v>
      </c>
      <c r="I48" s="180">
        <v>5701916.3850499997</v>
      </c>
      <c r="J48" s="185">
        <v>3646380.0375699997</v>
      </c>
      <c r="K48" s="183">
        <v>0</v>
      </c>
      <c r="L48" s="183">
        <v>0</v>
      </c>
      <c r="M48" s="183">
        <v>0</v>
      </c>
      <c r="N48" s="183">
        <v>0</v>
      </c>
      <c r="O48" s="183">
        <v>0</v>
      </c>
      <c r="P48" s="183">
        <v>0</v>
      </c>
      <c r="Q48" s="183">
        <v>0</v>
      </c>
      <c r="R48" s="183">
        <v>0</v>
      </c>
      <c r="S48" s="183">
        <v>0</v>
      </c>
      <c r="T48" s="183">
        <v>0</v>
      </c>
      <c r="U48" s="182">
        <f t="shared" si="33"/>
        <v>9348296.4226199985</v>
      </c>
      <c r="V48" s="180">
        <v>80175160.064259991</v>
      </c>
      <c r="W48" s="185">
        <v>6640862.1658100002</v>
      </c>
      <c r="X48" s="181">
        <v>6614292.1899699997</v>
      </c>
      <c r="Y48" s="183">
        <v>6106205.0218799999</v>
      </c>
      <c r="Z48" s="183">
        <v>6269229.05198</v>
      </c>
      <c r="AA48" s="181">
        <f>6035766.99021</f>
        <v>6035766.9902100004</v>
      </c>
      <c r="AB48" s="181">
        <v>6857348.6157200001</v>
      </c>
      <c r="AC48" s="181">
        <v>6976445.9132900005</v>
      </c>
      <c r="AD48" s="181">
        <v>7311236.0746500008</v>
      </c>
      <c r="AE48" s="181">
        <v>6210686.7699200008</v>
      </c>
      <c r="AF48" s="181">
        <v>6678475.5081499992</v>
      </c>
      <c r="AG48" s="181">
        <v>7103085.8110100003</v>
      </c>
      <c r="AH48" s="181">
        <v>7371525.9516699994</v>
      </c>
      <c r="AI48" s="182">
        <f t="shared" si="35"/>
        <v>13255154.35578</v>
      </c>
      <c r="AJ48" s="184"/>
      <c r="AK48" s="185"/>
      <c r="AL48" s="185"/>
      <c r="AM48" s="185"/>
      <c r="AN48" s="186">
        <f t="shared" si="14"/>
        <v>74092856.437380001</v>
      </c>
      <c r="AO48" s="137">
        <f t="shared" si="9"/>
        <v>66920005.708479993</v>
      </c>
      <c r="AP48" s="179">
        <v>-16.673299998044968</v>
      </c>
    </row>
    <row r="49" spans="1:42" ht="12.75" customHeight="1" x14ac:dyDescent="0.2">
      <c r="A49" s="148"/>
      <c r="B49" s="137"/>
      <c r="C49" s="137"/>
      <c r="D49" s="137"/>
      <c r="E49" s="217" t="s">
        <v>93</v>
      </c>
      <c r="F49" s="210"/>
      <c r="G49" s="195"/>
      <c r="H49" s="181"/>
      <c r="I49" s="180"/>
      <c r="J49" s="185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2"/>
      <c r="V49" s="180"/>
      <c r="W49" s="185"/>
      <c r="X49" s="181"/>
      <c r="Y49" s="183"/>
      <c r="Z49" s="183"/>
      <c r="AA49" s="181"/>
      <c r="AB49" s="181"/>
      <c r="AC49" s="181"/>
      <c r="AD49" s="181"/>
      <c r="AF49" s="181"/>
      <c r="AG49" s="181"/>
      <c r="AH49" s="181"/>
      <c r="AI49" s="182"/>
      <c r="AJ49" s="184"/>
      <c r="AK49" s="185"/>
      <c r="AL49" s="185"/>
      <c r="AM49" s="185"/>
      <c r="AN49" s="186"/>
      <c r="AO49" s="137">
        <f t="shared" si="9"/>
        <v>0</v>
      </c>
      <c r="AP49" s="179">
        <v>0</v>
      </c>
    </row>
    <row r="50" spans="1:42" s="179" customFormat="1" ht="12.75" customHeight="1" x14ac:dyDescent="0.2">
      <c r="A50" s="186"/>
      <c r="B50" s="173"/>
      <c r="D50" s="173"/>
      <c r="E50" s="179" t="s">
        <v>94</v>
      </c>
      <c r="F50" s="210"/>
      <c r="G50" s="195"/>
      <c r="H50" s="218">
        <f>SUM(H51:H52)</f>
        <v>1966180.23</v>
      </c>
      <c r="I50" s="150">
        <f t="shared" ref="I50:J50" si="36">SUM(I51:I52)</f>
        <v>121508.67478999999</v>
      </c>
      <c r="J50" s="219">
        <f t="shared" si="36"/>
        <v>84551.576229999991</v>
      </c>
      <c r="K50" s="218">
        <v>0</v>
      </c>
      <c r="L50" s="218">
        <v>0</v>
      </c>
      <c r="M50" s="220">
        <v>0</v>
      </c>
      <c r="N50" s="220">
        <v>0</v>
      </c>
      <c r="O50" s="220">
        <v>0</v>
      </c>
      <c r="P50" s="220">
        <v>0</v>
      </c>
      <c r="Q50" s="220">
        <v>0</v>
      </c>
      <c r="R50" s="220">
        <v>0</v>
      </c>
      <c r="S50" s="220">
        <v>0</v>
      </c>
      <c r="T50" s="220">
        <v>0</v>
      </c>
      <c r="U50" s="221">
        <f t="shared" ref="U50" si="37">SUM(U51:U52)</f>
        <v>206060.25102</v>
      </c>
      <c r="V50" s="150">
        <v>1287284.94786</v>
      </c>
      <c r="W50" s="219">
        <v>0</v>
      </c>
      <c r="X50" s="218">
        <f>SUM(X51:X52)</f>
        <v>0</v>
      </c>
      <c r="Y50" s="220">
        <f>SUM(Y51:Y52)</f>
        <v>3255.27936</v>
      </c>
      <c r="Z50" s="220">
        <f>SUM(Z51:Z52)</f>
        <v>15660.22831</v>
      </c>
      <c r="AA50" s="218">
        <f>SUM(AA51:AA52)</f>
        <v>65124.925879999995</v>
      </c>
      <c r="AB50" s="218">
        <f>SUM(AB51:AB52)</f>
        <v>135016.89245000001</v>
      </c>
      <c r="AC50" s="218">
        <f t="shared" ref="AC50:AD50" si="38">SUM(AC51:AC52)</f>
        <v>283965.05514000001</v>
      </c>
      <c r="AD50" s="218">
        <f t="shared" si="38"/>
        <v>154274.30668000001</v>
      </c>
      <c r="AE50" s="218">
        <f>SUM(AE51:AE52)</f>
        <v>152960.67767</v>
      </c>
      <c r="AF50" s="218">
        <f>SUM(AF51:AF52)</f>
        <v>147348.14661999998</v>
      </c>
      <c r="AG50" s="218">
        <f>SUM(AG51:AG52)</f>
        <v>158820.49348</v>
      </c>
      <c r="AH50" s="218">
        <f>SUM(AH51:AH52)</f>
        <v>170858.94227</v>
      </c>
      <c r="AI50" s="221">
        <f t="shared" ref="AI50:AI52" si="39">SUM(W50:X50)</f>
        <v>0</v>
      </c>
      <c r="AJ50" s="222"/>
      <c r="AK50" s="219"/>
      <c r="AL50" s="219"/>
      <c r="AM50" s="219"/>
      <c r="AN50" s="186">
        <f t="shared" si="14"/>
        <v>1760119.9789799999</v>
      </c>
      <c r="AO50" s="137">
        <f t="shared" si="9"/>
        <v>1287284.94786</v>
      </c>
      <c r="AP50" s="179">
        <v>0</v>
      </c>
    </row>
    <row r="51" spans="1:42" s="179" customFormat="1" ht="12.75" customHeight="1" x14ac:dyDescent="0.2">
      <c r="A51" s="186"/>
      <c r="B51" s="173"/>
      <c r="C51" s="173"/>
      <c r="D51" s="173"/>
      <c r="E51" s="223" t="s">
        <v>95</v>
      </c>
      <c r="F51" s="210"/>
      <c r="G51" s="195"/>
      <c r="H51" s="218">
        <v>1786081.825</v>
      </c>
      <c r="I51" s="150">
        <v>111705.54444</v>
      </c>
      <c r="J51" s="219">
        <v>75853.334739999991</v>
      </c>
      <c r="K51" s="220">
        <v>0</v>
      </c>
      <c r="L51" s="220">
        <v>0</v>
      </c>
      <c r="M51" s="220">
        <v>0</v>
      </c>
      <c r="N51" s="220">
        <v>0</v>
      </c>
      <c r="O51" s="220">
        <v>0</v>
      </c>
      <c r="P51" s="220">
        <v>0</v>
      </c>
      <c r="Q51" s="220">
        <v>0</v>
      </c>
      <c r="R51" s="220">
        <v>0</v>
      </c>
      <c r="S51" s="220">
        <v>0</v>
      </c>
      <c r="T51" s="220">
        <v>0</v>
      </c>
      <c r="U51" s="221">
        <f t="shared" ref="U51:U52" si="40">SUM(I51:T51)</f>
        <v>187558.87917999999</v>
      </c>
      <c r="V51" s="150">
        <v>1092715.37216</v>
      </c>
      <c r="W51" s="219">
        <v>0</v>
      </c>
      <c r="X51" s="218">
        <v>0</v>
      </c>
      <c r="Y51" s="224">
        <v>0</v>
      </c>
      <c r="Z51" s="224">
        <v>0</v>
      </c>
      <c r="AA51" s="218">
        <v>51884.600989999999</v>
      </c>
      <c r="AB51" s="218">
        <v>116451.20586</v>
      </c>
      <c r="AC51" s="218">
        <v>256103.40635</v>
      </c>
      <c r="AD51" s="218">
        <v>134264.75219</v>
      </c>
      <c r="AE51" s="218">
        <v>139629.97080000001</v>
      </c>
      <c r="AF51" s="218">
        <v>133684.01535999999</v>
      </c>
      <c r="AG51" s="179">
        <v>129730.63045</v>
      </c>
      <c r="AH51" s="218">
        <v>130966.79015999999</v>
      </c>
      <c r="AI51" s="221">
        <f t="shared" si="39"/>
        <v>0</v>
      </c>
      <c r="AJ51" s="222"/>
      <c r="AK51" s="219"/>
      <c r="AL51" s="219"/>
      <c r="AM51" s="219"/>
      <c r="AN51" s="186"/>
      <c r="AO51" s="137">
        <f t="shared" si="9"/>
        <v>1092715.37216</v>
      </c>
      <c r="AP51" s="179">
        <v>0</v>
      </c>
    </row>
    <row r="52" spans="1:42" s="179" customFormat="1" ht="12.75" customHeight="1" x14ac:dyDescent="0.2">
      <c r="A52" s="186"/>
      <c r="B52" s="173"/>
      <c r="C52" s="173"/>
      <c r="D52" s="173"/>
      <c r="E52" s="223" t="s">
        <v>96</v>
      </c>
      <c r="F52" s="210"/>
      <c r="G52" s="195"/>
      <c r="H52" s="224">
        <v>180098.405</v>
      </c>
      <c r="I52" s="225">
        <v>9803.1303499999995</v>
      </c>
      <c r="J52" s="225">
        <v>8698.2414900000003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24">
        <v>0</v>
      </c>
      <c r="T52" s="224">
        <v>0</v>
      </c>
      <c r="U52" s="226">
        <f t="shared" si="40"/>
        <v>18501.37184</v>
      </c>
      <c r="V52" s="225">
        <v>194569.57569999999</v>
      </c>
      <c r="W52" s="219">
        <v>0</v>
      </c>
      <c r="X52" s="224">
        <v>0</v>
      </c>
      <c r="Y52" s="220">
        <v>3255.27936</v>
      </c>
      <c r="Z52" s="220">
        <v>15660.22831</v>
      </c>
      <c r="AA52" s="224">
        <v>13240.32489</v>
      </c>
      <c r="AB52" s="224">
        <v>18565.686590000001</v>
      </c>
      <c r="AC52" s="224">
        <v>27861.648789999999</v>
      </c>
      <c r="AD52" s="224">
        <v>20009.554489999999</v>
      </c>
      <c r="AE52" s="224">
        <v>13330.70687</v>
      </c>
      <c r="AF52" s="224">
        <v>13664.13126</v>
      </c>
      <c r="AG52" s="179">
        <v>29089.86303</v>
      </c>
      <c r="AH52" s="224">
        <v>39892.152110000003</v>
      </c>
      <c r="AI52" s="221">
        <f t="shared" si="39"/>
        <v>0</v>
      </c>
      <c r="AJ52" s="222"/>
      <c r="AK52" s="219"/>
      <c r="AL52" s="219"/>
      <c r="AM52" s="219"/>
      <c r="AN52" s="186">
        <f t="shared" si="14"/>
        <v>161597.03315999999</v>
      </c>
      <c r="AO52" s="137">
        <f t="shared" si="9"/>
        <v>194569.57569999999</v>
      </c>
      <c r="AP52" s="179">
        <v>0</v>
      </c>
    </row>
    <row r="53" spans="1:42" ht="12.75" customHeight="1" x14ac:dyDescent="0.2">
      <c r="A53" s="148"/>
      <c r="B53" s="137"/>
      <c r="C53" s="187" t="s">
        <v>97</v>
      </c>
      <c r="D53" s="187"/>
      <c r="E53" s="187"/>
      <c r="F53" s="187"/>
      <c r="G53" s="188"/>
      <c r="H53" s="181"/>
      <c r="I53" s="180"/>
      <c r="J53" s="185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2"/>
      <c r="V53" s="180"/>
      <c r="W53" s="185"/>
      <c r="X53" s="181"/>
      <c r="Y53" s="183"/>
      <c r="Z53" s="183"/>
      <c r="AA53" s="181"/>
      <c r="AB53" s="181"/>
      <c r="AC53" s="181"/>
      <c r="AD53" s="181"/>
      <c r="AE53" s="181"/>
      <c r="AF53" s="181"/>
      <c r="AH53" s="181"/>
      <c r="AI53" s="182"/>
      <c r="AJ53" s="184"/>
      <c r="AK53" s="185"/>
      <c r="AL53" s="185"/>
      <c r="AM53" s="185"/>
      <c r="AN53" s="186">
        <f t="shared" si="14"/>
        <v>0</v>
      </c>
      <c r="AO53" s="137">
        <f t="shared" si="9"/>
        <v>0</v>
      </c>
      <c r="AP53" s="179">
        <v>0</v>
      </c>
    </row>
    <row r="54" spans="1:42" ht="12.75" customHeight="1" x14ac:dyDescent="0.2">
      <c r="A54" s="148"/>
      <c r="B54" s="137"/>
      <c r="C54" s="137"/>
      <c r="D54" s="137"/>
      <c r="E54" s="204" t="s">
        <v>98</v>
      </c>
      <c r="F54" s="204"/>
      <c r="G54" s="195"/>
      <c r="H54" s="181">
        <v>1150544.554</v>
      </c>
      <c r="I54" s="180">
        <v>44499.3</v>
      </c>
      <c r="J54" s="185">
        <v>7339.5190000000002</v>
      </c>
      <c r="K54" s="183">
        <v>0</v>
      </c>
      <c r="L54" s="183">
        <v>0</v>
      </c>
      <c r="M54" s="183">
        <v>0</v>
      </c>
      <c r="N54" s="183">
        <v>0</v>
      </c>
      <c r="O54" s="183">
        <v>0</v>
      </c>
      <c r="P54" s="183">
        <v>0</v>
      </c>
      <c r="Q54" s="183">
        <v>0</v>
      </c>
      <c r="R54" s="183">
        <v>0</v>
      </c>
      <c r="S54" s="183">
        <v>0</v>
      </c>
      <c r="T54" s="183">
        <v>0</v>
      </c>
      <c r="U54" s="182">
        <f t="shared" ref="U54:U63" si="41">SUM(I54:T54)</f>
        <v>51838.819000000003</v>
      </c>
      <c r="V54" s="180">
        <v>1068258.39194</v>
      </c>
      <c r="W54" s="185">
        <v>101134.07089</v>
      </c>
      <c r="X54" s="181">
        <v>88456.650020000001</v>
      </c>
      <c r="Y54" s="183">
        <v>79895.462639999998</v>
      </c>
      <c r="Z54" s="183">
        <v>89968.693189999991</v>
      </c>
      <c r="AA54" s="183">
        <v>78624.689760000008</v>
      </c>
      <c r="AB54" s="181">
        <v>97444.078309999997</v>
      </c>
      <c r="AC54" s="181">
        <v>90797.060430000012</v>
      </c>
      <c r="AD54" s="181">
        <v>87744.328480000011</v>
      </c>
      <c r="AE54" s="181">
        <v>74769.74166</v>
      </c>
      <c r="AF54" s="181">
        <v>93965.362790000014</v>
      </c>
      <c r="AG54" s="218">
        <v>104745.30426999999</v>
      </c>
      <c r="AH54" s="181">
        <v>80712.949500000002</v>
      </c>
      <c r="AI54" s="182">
        <f t="shared" ref="AI54:AI61" si="42">SUM(W54:X54)</f>
        <v>189590.72091</v>
      </c>
      <c r="AJ54" s="184"/>
      <c r="AK54" s="185"/>
      <c r="AL54" s="185"/>
      <c r="AM54" s="185"/>
      <c r="AN54" s="186">
        <f t="shared" si="14"/>
        <v>1098705.7350000001</v>
      </c>
      <c r="AO54" s="137">
        <f t="shared" si="9"/>
        <v>878667.67102999997</v>
      </c>
      <c r="AP54" s="179">
        <v>-0.26537999999709427</v>
      </c>
    </row>
    <row r="55" spans="1:42" ht="12.75" customHeight="1" x14ac:dyDescent="0.2">
      <c r="A55" s="148"/>
      <c r="B55" s="137"/>
      <c r="C55" s="137"/>
      <c r="D55" s="137"/>
      <c r="E55" s="204" t="s">
        <v>99</v>
      </c>
      <c r="F55" s="204"/>
      <c r="G55" s="195"/>
      <c r="H55" s="212">
        <v>610781.85900000005</v>
      </c>
      <c r="I55" s="213">
        <v>2102.3136199999999</v>
      </c>
      <c r="J55" s="214">
        <v>4279.8074500000002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15">
        <v>0</v>
      </c>
      <c r="T55" s="215">
        <v>0</v>
      </c>
      <c r="U55" s="216">
        <f t="shared" si="41"/>
        <v>6382.1210700000001</v>
      </c>
      <c r="V55" s="213">
        <v>317897.40741999994</v>
      </c>
      <c r="W55" s="185">
        <v>360.00211999999999</v>
      </c>
      <c r="X55" s="212">
        <v>1533.06378</v>
      </c>
      <c r="Y55" s="215">
        <v>79889.292019999993</v>
      </c>
      <c r="Z55" s="215">
        <v>6341.1352000000006</v>
      </c>
      <c r="AA55" s="215">
        <v>807.73906999999997</v>
      </c>
      <c r="AB55" s="212">
        <v>72062.041319999989</v>
      </c>
      <c r="AC55" s="212">
        <v>865.00909000000001</v>
      </c>
      <c r="AD55" s="212">
        <v>757.45093000000008</v>
      </c>
      <c r="AE55" s="212">
        <v>98378.689450000005</v>
      </c>
      <c r="AF55" s="212">
        <v>521.68747999999994</v>
      </c>
      <c r="AG55" s="224">
        <v>709.92959999999994</v>
      </c>
      <c r="AH55" s="212">
        <v>55671.367359999997</v>
      </c>
      <c r="AI55" s="182">
        <f t="shared" si="42"/>
        <v>1893.0659000000001</v>
      </c>
      <c r="AJ55" s="184"/>
      <c r="AK55" s="185"/>
      <c r="AL55" s="185"/>
      <c r="AM55" s="185"/>
      <c r="AN55" s="186">
        <f t="shared" si="14"/>
        <v>604399.73793000006</v>
      </c>
      <c r="AO55" s="137">
        <f t="shared" si="9"/>
        <v>316004.34151999996</v>
      </c>
      <c r="AP55" s="179">
        <v>6.6040000063367188E-2</v>
      </c>
    </row>
    <row r="56" spans="1:42" ht="12.75" customHeight="1" x14ac:dyDescent="0.2">
      <c r="A56" s="148"/>
      <c r="B56" s="137"/>
      <c r="C56" s="137"/>
      <c r="D56" s="137"/>
      <c r="E56" s="204" t="s">
        <v>100</v>
      </c>
      <c r="F56" s="204"/>
      <c r="G56" s="195"/>
      <c r="H56" s="212">
        <v>8100338.8550000004</v>
      </c>
      <c r="I56" s="213">
        <v>663677.81744000001</v>
      </c>
      <c r="J56" s="214">
        <v>516013.16327999998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0</v>
      </c>
      <c r="R56" s="215">
        <v>0</v>
      </c>
      <c r="S56" s="215">
        <v>0</v>
      </c>
      <c r="T56" s="215">
        <v>0</v>
      </c>
      <c r="U56" s="216">
        <f t="shared" si="41"/>
        <v>1179690.9807199999</v>
      </c>
      <c r="V56" s="213">
        <v>8290675.6081699999</v>
      </c>
      <c r="W56" s="185">
        <v>681890.39384999999</v>
      </c>
      <c r="X56" s="212">
        <v>685628.53688000003</v>
      </c>
      <c r="Y56" s="215">
        <v>732383.77339999995</v>
      </c>
      <c r="Z56" s="215">
        <v>724049.92690999992</v>
      </c>
      <c r="AA56" s="215">
        <v>739522.19195000001</v>
      </c>
      <c r="AB56" s="212">
        <v>699763.68946000002</v>
      </c>
      <c r="AC56" s="212">
        <v>683982.67203000002</v>
      </c>
      <c r="AD56" s="212">
        <v>707044.99799000006</v>
      </c>
      <c r="AE56" s="212">
        <v>678337.01846000005</v>
      </c>
      <c r="AF56" s="212">
        <v>642919.55673000007</v>
      </c>
      <c r="AG56" s="181">
        <v>671885.0808</v>
      </c>
      <c r="AH56" s="212">
        <v>643267.76971000002</v>
      </c>
      <c r="AI56" s="182">
        <f t="shared" si="42"/>
        <v>1367518.9307300001</v>
      </c>
      <c r="AJ56" s="184"/>
      <c r="AK56" s="185"/>
      <c r="AL56" s="185"/>
      <c r="AM56" s="185"/>
      <c r="AN56" s="186">
        <f t="shared" si="14"/>
        <v>6920647.8742800001</v>
      </c>
      <c r="AO56" s="137">
        <f t="shared" si="9"/>
        <v>6923156.6774399998</v>
      </c>
      <c r="AP56" s="179">
        <v>-0.17494000121951103</v>
      </c>
    </row>
    <row r="57" spans="1:42" ht="12.75" customHeight="1" x14ac:dyDescent="0.2">
      <c r="A57" s="148"/>
      <c r="B57" s="137"/>
      <c r="C57" s="137"/>
      <c r="D57" s="137"/>
      <c r="E57" s="204" t="s">
        <v>101</v>
      </c>
      <c r="F57" s="204"/>
      <c r="G57" s="180"/>
      <c r="H57" s="212">
        <v>37476.940999999999</v>
      </c>
      <c r="I57" s="213">
        <v>4415.4679400000005</v>
      </c>
      <c r="J57" s="214">
        <v>4473.4460599999993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15">
        <v>0</v>
      </c>
      <c r="S57" s="215">
        <v>0</v>
      </c>
      <c r="T57" s="215">
        <v>0</v>
      </c>
      <c r="U57" s="216">
        <f t="shared" si="41"/>
        <v>8888.9140000000007</v>
      </c>
      <c r="V57" s="213">
        <v>33963.099889999998</v>
      </c>
      <c r="W57" s="185">
        <v>2145.8075800000001</v>
      </c>
      <c r="X57" s="212">
        <v>2248.6260000000002</v>
      </c>
      <c r="Y57" s="215">
        <v>2643.96</v>
      </c>
      <c r="Z57" s="215">
        <v>2476.768</v>
      </c>
      <c r="AA57" s="215">
        <v>3064.7824999999998</v>
      </c>
      <c r="AB57" s="212">
        <v>3354.4690499999997</v>
      </c>
      <c r="AC57" s="212">
        <v>5239.2961699999996</v>
      </c>
      <c r="AD57" s="212">
        <v>2175.9119900000001</v>
      </c>
      <c r="AE57" s="212">
        <v>2199.1088</v>
      </c>
      <c r="AF57" s="212">
        <v>2080.7399999999998</v>
      </c>
      <c r="AG57" s="181">
        <v>2600.232</v>
      </c>
      <c r="AH57" s="212">
        <v>3733.3977999999997</v>
      </c>
      <c r="AI57" s="182">
        <f t="shared" si="42"/>
        <v>4394.4335800000008</v>
      </c>
      <c r="AJ57" s="184"/>
      <c r="AK57" s="185"/>
      <c r="AL57" s="185"/>
      <c r="AM57" s="185"/>
      <c r="AN57" s="186">
        <f t="shared" si="14"/>
        <v>28588.026999999998</v>
      </c>
      <c r="AO57" s="137">
        <f t="shared" si="9"/>
        <v>29568.666309999997</v>
      </c>
      <c r="AP57" s="179">
        <v>9.4299999997019768E-2</v>
      </c>
    </row>
    <row r="58" spans="1:42" ht="12.75" customHeight="1" x14ac:dyDescent="0.2">
      <c r="A58" s="148"/>
      <c r="B58" s="137"/>
      <c r="C58" s="137"/>
      <c r="D58" s="137"/>
      <c r="E58" s="192" t="s">
        <v>102</v>
      </c>
      <c r="F58" s="192"/>
      <c r="G58" s="180"/>
      <c r="H58" s="212">
        <v>1394995.0190000001</v>
      </c>
      <c r="I58" s="213">
        <v>102172.43</v>
      </c>
      <c r="J58" s="214">
        <v>25403.27</v>
      </c>
      <c r="K58" s="215">
        <v>0</v>
      </c>
      <c r="L58" s="215">
        <v>0</v>
      </c>
      <c r="M58" s="215">
        <v>0</v>
      </c>
      <c r="N58" s="215">
        <v>0</v>
      </c>
      <c r="O58" s="215">
        <v>0</v>
      </c>
      <c r="P58" s="215">
        <v>0</v>
      </c>
      <c r="Q58" s="215">
        <v>0</v>
      </c>
      <c r="R58" s="215">
        <v>0</v>
      </c>
      <c r="S58" s="215">
        <v>0</v>
      </c>
      <c r="T58" s="215">
        <v>0</v>
      </c>
      <c r="U58" s="216">
        <f t="shared" si="41"/>
        <v>127575.7</v>
      </c>
      <c r="V58" s="213">
        <v>1327417.47749</v>
      </c>
      <c r="W58" s="185">
        <v>131657.41737000001</v>
      </c>
      <c r="X58" s="212">
        <v>62472.618340000001</v>
      </c>
      <c r="Y58" s="215">
        <v>71468.911699999997</v>
      </c>
      <c r="Z58" s="215">
        <v>196098.67846</v>
      </c>
      <c r="AA58" s="215">
        <v>87745.890510000012</v>
      </c>
      <c r="AB58" s="212">
        <v>73739.958259999999</v>
      </c>
      <c r="AC58" s="212">
        <v>204085.63427000001</v>
      </c>
      <c r="AD58" s="212">
        <v>71881.057889999996</v>
      </c>
      <c r="AE58" s="212">
        <v>79448.182889999996</v>
      </c>
      <c r="AF58" s="212">
        <v>158615.99619000001</v>
      </c>
      <c r="AG58" s="212">
        <v>63012.178039999999</v>
      </c>
      <c r="AH58" s="212">
        <v>127190.95357</v>
      </c>
      <c r="AI58" s="182">
        <f t="shared" si="42"/>
        <v>194130.03571000003</v>
      </c>
      <c r="AJ58" s="184"/>
      <c r="AK58" s="185"/>
      <c r="AL58" s="185"/>
      <c r="AM58" s="185"/>
      <c r="AN58" s="186">
        <f t="shared" si="14"/>
        <v>1267419.3190000001</v>
      </c>
      <c r="AO58" s="137">
        <f t="shared" si="9"/>
        <v>1133287.44178</v>
      </c>
      <c r="AP58" s="179">
        <v>1.5519999898970127E-2</v>
      </c>
    </row>
    <row r="59" spans="1:42" ht="12.75" customHeight="1" x14ac:dyDescent="0.2">
      <c r="A59" s="148"/>
      <c r="B59" s="137"/>
      <c r="C59" s="137"/>
      <c r="D59" s="137"/>
      <c r="E59" s="204" t="s">
        <v>103</v>
      </c>
      <c r="F59" s="137"/>
      <c r="G59" s="180"/>
      <c r="H59" s="212">
        <v>951353.13500000001</v>
      </c>
      <c r="I59" s="213">
        <v>62375.55186</v>
      </c>
      <c r="J59" s="214">
        <v>22795.161649999998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215">
        <v>0</v>
      </c>
      <c r="Q59" s="215">
        <v>0</v>
      </c>
      <c r="R59" s="215">
        <v>0</v>
      </c>
      <c r="S59" s="215">
        <v>0</v>
      </c>
      <c r="T59" s="215">
        <v>0</v>
      </c>
      <c r="U59" s="216">
        <f t="shared" si="41"/>
        <v>85170.713510000001</v>
      </c>
      <c r="V59" s="213">
        <v>708018.0634300001</v>
      </c>
      <c r="W59" s="185">
        <v>73869.339959999998</v>
      </c>
      <c r="X59" s="212">
        <v>42382.25965</v>
      </c>
      <c r="Y59" s="215">
        <v>40728.512750000002</v>
      </c>
      <c r="Z59" s="215">
        <v>107950.1213</v>
      </c>
      <c r="AA59" s="215">
        <v>45735.520219999999</v>
      </c>
      <c r="AB59" s="212">
        <v>45085.570959999997</v>
      </c>
      <c r="AC59" s="212">
        <v>98938.232530000008</v>
      </c>
      <c r="AD59" s="212">
        <v>38617.041709999998</v>
      </c>
      <c r="AE59" s="212">
        <v>43862.242450000005</v>
      </c>
      <c r="AF59" s="212">
        <v>83415.301040000006</v>
      </c>
      <c r="AG59" s="212">
        <v>34783.105149999996</v>
      </c>
      <c r="AH59" s="212">
        <v>52650.815710000003</v>
      </c>
      <c r="AI59" s="182">
        <f t="shared" si="42"/>
        <v>116251.59961</v>
      </c>
      <c r="AJ59" s="184"/>
      <c r="AK59" s="185"/>
      <c r="AL59" s="185"/>
      <c r="AM59" s="185"/>
      <c r="AN59" s="186">
        <f t="shared" si="14"/>
        <v>866182.42148999998</v>
      </c>
      <c r="AO59" s="137">
        <f t="shared" si="9"/>
        <v>591766.46382000006</v>
      </c>
      <c r="AP59" s="179">
        <v>8.4269999992102385E-2</v>
      </c>
    </row>
    <row r="60" spans="1:42" ht="12.75" customHeight="1" x14ac:dyDescent="0.2">
      <c r="A60" s="148"/>
      <c r="B60" s="137"/>
      <c r="C60" s="137"/>
      <c r="D60" s="137"/>
      <c r="E60" s="204" t="s">
        <v>104</v>
      </c>
      <c r="F60" s="204"/>
      <c r="G60" s="180"/>
      <c r="H60" s="212">
        <v>3547.9879999999998</v>
      </c>
      <c r="I60" s="213">
        <v>0</v>
      </c>
      <c r="J60" s="214">
        <v>0</v>
      </c>
      <c r="K60" s="215">
        <v>0</v>
      </c>
      <c r="L60" s="215">
        <v>0</v>
      </c>
      <c r="M60" s="215">
        <v>0</v>
      </c>
      <c r="N60" s="215">
        <v>0</v>
      </c>
      <c r="O60" s="215">
        <v>0</v>
      </c>
      <c r="P60" s="215">
        <v>0</v>
      </c>
      <c r="Q60" s="215">
        <v>0</v>
      </c>
      <c r="R60" s="215">
        <v>0</v>
      </c>
      <c r="S60" s="215">
        <v>0</v>
      </c>
      <c r="T60" s="215">
        <v>0</v>
      </c>
      <c r="U60" s="216">
        <f t="shared" si="41"/>
        <v>0</v>
      </c>
      <c r="V60" s="213">
        <v>3093.03305</v>
      </c>
      <c r="W60" s="185">
        <v>0</v>
      </c>
      <c r="X60" s="212">
        <v>3093.03305</v>
      </c>
      <c r="Y60" s="215">
        <v>0</v>
      </c>
      <c r="Z60" s="215">
        <v>0</v>
      </c>
      <c r="AA60" s="215">
        <v>0</v>
      </c>
      <c r="AB60" s="212">
        <v>0</v>
      </c>
      <c r="AC60" s="212">
        <v>0</v>
      </c>
      <c r="AD60" s="212">
        <v>0</v>
      </c>
      <c r="AE60" s="212">
        <v>0</v>
      </c>
      <c r="AF60" s="212">
        <v>0</v>
      </c>
      <c r="AG60" s="212">
        <v>0</v>
      </c>
      <c r="AH60" s="212">
        <v>0</v>
      </c>
      <c r="AI60" s="182">
        <f t="shared" si="42"/>
        <v>3093.03305</v>
      </c>
      <c r="AJ60" s="184"/>
      <c r="AK60" s="185"/>
      <c r="AL60" s="185"/>
      <c r="AM60" s="185"/>
      <c r="AN60" s="186">
        <f t="shared" si="14"/>
        <v>3547.9879999999998</v>
      </c>
      <c r="AO60" s="137">
        <f t="shared" si="9"/>
        <v>0</v>
      </c>
      <c r="AP60" s="179">
        <v>0</v>
      </c>
    </row>
    <row r="61" spans="1:42" ht="12.75" customHeight="1" x14ac:dyDescent="0.2">
      <c r="A61" s="148"/>
      <c r="B61" s="137"/>
      <c r="C61" s="137"/>
      <c r="D61" s="137"/>
      <c r="E61" s="204" t="s">
        <v>105</v>
      </c>
      <c r="F61" s="204"/>
      <c r="G61" s="180"/>
      <c r="H61" s="212">
        <v>1750000</v>
      </c>
      <c r="I61" s="213">
        <v>0</v>
      </c>
      <c r="J61" s="214">
        <v>0</v>
      </c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6">
        <f t="shared" si="41"/>
        <v>0</v>
      </c>
      <c r="V61" s="213">
        <v>0</v>
      </c>
      <c r="W61" s="185">
        <v>0</v>
      </c>
      <c r="X61" s="212">
        <v>0</v>
      </c>
      <c r="Y61" s="215"/>
      <c r="Z61" s="215"/>
      <c r="AA61" s="215"/>
      <c r="AB61" s="212"/>
      <c r="AC61" s="212"/>
      <c r="AD61" s="212"/>
      <c r="AE61" s="212"/>
      <c r="AF61" s="212"/>
      <c r="AG61" s="212"/>
      <c r="AH61" s="212"/>
      <c r="AI61" s="182">
        <f t="shared" si="42"/>
        <v>0</v>
      </c>
      <c r="AJ61" s="184"/>
      <c r="AK61" s="185"/>
      <c r="AL61" s="185"/>
      <c r="AM61" s="185"/>
      <c r="AN61" s="186"/>
      <c r="AO61" s="137">
        <f t="shared" si="9"/>
        <v>0</v>
      </c>
      <c r="AP61" s="179"/>
    </row>
    <row r="62" spans="1:42" ht="12.75" customHeight="1" x14ac:dyDescent="0.2">
      <c r="A62" s="148"/>
      <c r="B62" s="137"/>
      <c r="C62" s="137" t="s">
        <v>61</v>
      </c>
      <c r="D62" s="137"/>
      <c r="E62" s="204"/>
      <c r="F62" s="204"/>
      <c r="G62" s="180"/>
      <c r="H62" s="181"/>
      <c r="I62" s="180"/>
      <c r="J62" s="185"/>
      <c r="K62" s="183"/>
      <c r="L62" s="183"/>
      <c r="M62" s="183"/>
      <c r="N62" s="215"/>
      <c r="O62" s="183"/>
      <c r="P62" s="183"/>
      <c r="Q62" s="183"/>
      <c r="R62" s="183"/>
      <c r="S62" s="183"/>
      <c r="T62" s="183"/>
      <c r="U62" s="182"/>
      <c r="V62" s="180"/>
      <c r="W62" s="185"/>
      <c r="X62" s="181"/>
      <c r="Y62" s="183"/>
      <c r="Z62" s="183"/>
      <c r="AA62" s="183"/>
      <c r="AB62" s="181"/>
      <c r="AC62" s="181"/>
      <c r="AD62" s="181"/>
      <c r="AE62" s="181"/>
      <c r="AF62" s="181"/>
      <c r="AG62" s="181"/>
      <c r="AH62" s="181"/>
      <c r="AI62" s="182"/>
      <c r="AJ62" s="184"/>
      <c r="AK62" s="185"/>
      <c r="AL62" s="185"/>
      <c r="AM62" s="185"/>
      <c r="AN62" s="186">
        <f t="shared" si="14"/>
        <v>0</v>
      </c>
      <c r="AO62" s="137">
        <f t="shared" si="9"/>
        <v>0</v>
      </c>
      <c r="AP62" s="179">
        <v>0</v>
      </c>
    </row>
    <row r="63" spans="1:42" ht="12.75" customHeight="1" x14ac:dyDescent="0.2">
      <c r="A63" s="148"/>
      <c r="B63" s="137"/>
      <c r="C63" s="137"/>
      <c r="D63" s="137"/>
      <c r="E63" s="204" t="s">
        <v>106</v>
      </c>
      <c r="F63" s="204"/>
      <c r="G63" s="180"/>
      <c r="H63" s="181">
        <v>220838.848</v>
      </c>
      <c r="I63" s="180">
        <v>0</v>
      </c>
      <c r="J63" s="185">
        <v>1568.3789400000001</v>
      </c>
      <c r="K63" s="183">
        <v>0</v>
      </c>
      <c r="L63" s="183">
        <v>0</v>
      </c>
      <c r="M63" s="183">
        <v>0</v>
      </c>
      <c r="N63" s="183">
        <v>0</v>
      </c>
      <c r="O63" s="183">
        <v>0</v>
      </c>
      <c r="P63" s="183">
        <v>0</v>
      </c>
      <c r="Q63" s="183">
        <v>0</v>
      </c>
      <c r="R63" s="183">
        <v>0</v>
      </c>
      <c r="S63" s="183">
        <v>0</v>
      </c>
      <c r="T63" s="183">
        <v>0</v>
      </c>
      <c r="U63" s="182">
        <f t="shared" si="41"/>
        <v>1568.3789400000001</v>
      </c>
      <c r="V63" s="180">
        <v>192088.16909000001</v>
      </c>
      <c r="W63" s="185">
        <v>231.84679</v>
      </c>
      <c r="X63" s="181">
        <v>8.09497</v>
      </c>
      <c r="Y63" s="183">
        <v>182.41560999999999</v>
      </c>
      <c r="Z63" s="183">
        <v>1797.7035900000001</v>
      </c>
      <c r="AA63" s="183">
        <v>11694.991039999999</v>
      </c>
      <c r="AB63" s="181">
        <v>14101.45175</v>
      </c>
      <c r="AC63" s="181">
        <v>11288.860470000001</v>
      </c>
      <c r="AD63" s="181">
        <v>151742.61343</v>
      </c>
      <c r="AE63" s="181">
        <v>0</v>
      </c>
      <c r="AF63" s="181">
        <v>165.79091</v>
      </c>
      <c r="AG63" s="181">
        <v>256.55032999999997</v>
      </c>
      <c r="AH63" s="181">
        <v>617.85019999999997</v>
      </c>
      <c r="AI63" s="182">
        <f t="shared" ref="AI63" si="43">SUM(W63:X63)</f>
        <v>239.94175999999999</v>
      </c>
      <c r="AJ63" s="184"/>
      <c r="AK63" s="185"/>
      <c r="AL63" s="185"/>
      <c r="AM63" s="185"/>
      <c r="AN63" s="186">
        <f t="shared" si="14"/>
        <v>219270.46906</v>
      </c>
      <c r="AO63" s="137">
        <f t="shared" si="9"/>
        <v>191848.22733000002</v>
      </c>
      <c r="AP63" s="179">
        <v>0</v>
      </c>
    </row>
    <row r="64" spans="1:42" s="179" customFormat="1" ht="12.75" customHeight="1" x14ac:dyDescent="0.2">
      <c r="A64" s="178"/>
      <c r="B64" s="149" t="s">
        <v>107</v>
      </c>
      <c r="C64" s="172"/>
      <c r="D64" s="173"/>
      <c r="E64" s="194"/>
      <c r="F64" s="194"/>
      <c r="G64" s="195"/>
      <c r="H64" s="196">
        <f>SUM(H66:H71)</f>
        <v>60639806.644000001</v>
      </c>
      <c r="I64" s="196">
        <f t="shared" ref="I64:Z64" si="44">SUM(I66:I71)</f>
        <v>1871615.1225500002</v>
      </c>
      <c r="J64" s="197">
        <f t="shared" si="44"/>
        <v>2320662.0403300002</v>
      </c>
      <c r="K64" s="198">
        <f t="shared" si="44"/>
        <v>0</v>
      </c>
      <c r="L64" s="198">
        <f t="shared" si="44"/>
        <v>0</v>
      </c>
      <c r="M64" s="198">
        <f t="shared" si="44"/>
        <v>0</v>
      </c>
      <c r="N64" s="198">
        <f t="shared" si="44"/>
        <v>0</v>
      </c>
      <c r="O64" s="198">
        <f t="shared" si="44"/>
        <v>0</v>
      </c>
      <c r="P64" s="198">
        <f t="shared" si="44"/>
        <v>0</v>
      </c>
      <c r="Q64" s="198">
        <f t="shared" si="44"/>
        <v>0</v>
      </c>
      <c r="R64" s="198">
        <f t="shared" si="44"/>
        <v>0</v>
      </c>
      <c r="S64" s="198">
        <f t="shared" si="44"/>
        <v>0</v>
      </c>
      <c r="T64" s="198">
        <f t="shared" si="44"/>
        <v>0</v>
      </c>
      <c r="U64" s="199">
        <f t="shared" si="44"/>
        <v>4192277.1628800007</v>
      </c>
      <c r="V64" s="200">
        <f t="shared" si="44"/>
        <v>56322406.194339991</v>
      </c>
      <c r="W64" s="158">
        <f t="shared" si="44"/>
        <v>2063346.1049899999</v>
      </c>
      <c r="X64" s="202">
        <f t="shared" si="44"/>
        <v>4181882.5542000001</v>
      </c>
      <c r="Y64" s="202">
        <f t="shared" si="44"/>
        <v>4104791.2754799998</v>
      </c>
      <c r="Z64" s="198">
        <f t="shared" si="44"/>
        <v>5008013.8788299998</v>
      </c>
      <c r="AA64" s="206">
        <f>SUM(AA66:AA71)</f>
        <v>4782367.3543799995</v>
      </c>
      <c r="AB64" s="206">
        <f t="shared" ref="AB64:AH64" si="45">SUM(AB66:AB71)</f>
        <v>5307081.4732500007</v>
      </c>
      <c r="AC64" s="206">
        <f>SUM(AC66:AC71)</f>
        <v>5700347.0049300008</v>
      </c>
      <c r="AD64" s="206">
        <f>SUM(AD66:AD71)</f>
        <v>4892079.6717900001</v>
      </c>
      <c r="AE64" s="206">
        <f t="shared" ref="AE64" si="46">SUM(AE66:AE71)</f>
        <v>4865055.8616399998</v>
      </c>
      <c r="AF64" s="206">
        <f t="shared" si="45"/>
        <v>4157283.5933300001</v>
      </c>
      <c r="AG64" s="206">
        <f t="shared" si="45"/>
        <v>4904349.0384299997</v>
      </c>
      <c r="AH64" s="206">
        <f t="shared" si="45"/>
        <v>6355808.3830899997</v>
      </c>
      <c r="AI64" s="199">
        <f>SUM(AI66:AI71)</f>
        <v>6245228.659190001</v>
      </c>
      <c r="AJ64" s="203"/>
      <c r="AK64" s="197"/>
      <c r="AL64" s="197"/>
      <c r="AM64" s="197"/>
      <c r="AN64" s="186"/>
      <c r="AO64" s="137">
        <f t="shared" si="9"/>
        <v>50077177.535149992</v>
      </c>
      <c r="AP64" s="179">
        <v>20.973050005733967</v>
      </c>
    </row>
    <row r="65" spans="1:42" s="179" customFormat="1" ht="12.75" customHeight="1" x14ac:dyDescent="0.2">
      <c r="A65" s="178"/>
      <c r="B65" s="149"/>
      <c r="C65" s="137" t="s">
        <v>108</v>
      </c>
      <c r="D65" s="173"/>
      <c r="E65" s="194"/>
      <c r="F65" s="194"/>
      <c r="G65" s="195"/>
      <c r="H65" s="181"/>
      <c r="I65" s="180"/>
      <c r="J65" s="185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2"/>
      <c r="V65" s="180"/>
      <c r="W65" s="185"/>
      <c r="X65" s="181"/>
      <c r="Y65" s="181"/>
      <c r="Z65" s="183"/>
      <c r="AA65" s="181"/>
      <c r="AB65" s="181"/>
      <c r="AC65" s="181"/>
      <c r="AD65" s="181"/>
      <c r="AE65" s="181"/>
      <c r="AF65" s="181"/>
      <c r="AG65" s="181"/>
      <c r="AH65" s="181"/>
      <c r="AI65" s="182"/>
      <c r="AJ65" s="184"/>
      <c r="AK65" s="185"/>
      <c r="AL65" s="185"/>
      <c r="AM65" s="185"/>
      <c r="AN65" s="186"/>
      <c r="AO65" s="137">
        <f t="shared" si="9"/>
        <v>0</v>
      </c>
      <c r="AP65" s="179">
        <v>0</v>
      </c>
    </row>
    <row r="66" spans="1:42" s="179" customFormat="1" ht="12.75" customHeight="1" x14ac:dyDescent="0.2">
      <c r="A66" s="178"/>
      <c r="B66" s="137"/>
      <c r="C66" s="173"/>
      <c r="D66" s="173"/>
      <c r="E66" s="137" t="s">
        <v>109</v>
      </c>
      <c r="F66" s="204"/>
      <c r="G66" s="195"/>
      <c r="H66" s="181">
        <v>51255902.542999998</v>
      </c>
      <c r="I66" s="180">
        <v>1665132.71854</v>
      </c>
      <c r="J66" s="185">
        <v>2420101.5696100001</v>
      </c>
      <c r="K66" s="183">
        <v>0</v>
      </c>
      <c r="L66" s="183">
        <v>0</v>
      </c>
      <c r="M66" s="183">
        <v>0</v>
      </c>
      <c r="N66" s="183">
        <v>0</v>
      </c>
      <c r="O66" s="183">
        <v>0</v>
      </c>
      <c r="P66" s="183">
        <v>0</v>
      </c>
      <c r="Q66" s="183">
        <v>0</v>
      </c>
      <c r="R66" s="183">
        <v>0</v>
      </c>
      <c r="S66" s="183">
        <v>0</v>
      </c>
      <c r="T66" s="183">
        <v>0</v>
      </c>
      <c r="U66" s="182">
        <f t="shared" ref="U66:U68" si="47">SUM(I66:T66)</f>
        <v>4085234.2881500004</v>
      </c>
      <c r="V66" s="180">
        <v>47504070.831339993</v>
      </c>
      <c r="W66" s="185">
        <v>1848368.75905</v>
      </c>
      <c r="X66" s="181">
        <v>3618440.3049700004</v>
      </c>
      <c r="Y66" s="183">
        <v>3567908.4383200002</v>
      </c>
      <c r="Z66" s="183">
        <v>4364813.0685999999</v>
      </c>
      <c r="AA66" s="183">
        <v>4176623.9757700004</v>
      </c>
      <c r="AB66" s="183">
        <v>4491395.5611000005</v>
      </c>
      <c r="AC66" s="181">
        <v>4837339.7154200003</v>
      </c>
      <c r="AD66" s="181">
        <v>4016644.1704799999</v>
      </c>
      <c r="AE66" s="181">
        <v>3810898.1652700002</v>
      </c>
      <c r="AF66" s="181">
        <v>3325875.0724200001</v>
      </c>
      <c r="AG66" s="181">
        <v>3914912.2271199995</v>
      </c>
      <c r="AH66" s="181">
        <v>5530851.3728200002</v>
      </c>
      <c r="AI66" s="182">
        <f t="shared" ref="AI66:AI68" si="48">SUM(W66:X66)</f>
        <v>5466809.0640200004</v>
      </c>
      <c r="AJ66" s="184"/>
      <c r="AK66" s="185"/>
      <c r="AL66" s="185"/>
      <c r="AM66" s="185"/>
      <c r="AN66" s="186"/>
      <c r="AO66" s="137">
        <f t="shared" si="9"/>
        <v>42037261.767319992</v>
      </c>
      <c r="AP66" s="179">
        <v>20.904030002653599</v>
      </c>
    </row>
    <row r="67" spans="1:42" ht="12.75" customHeight="1" x14ac:dyDescent="0.2">
      <c r="A67" s="148"/>
      <c r="B67" s="137"/>
      <c r="C67" s="137"/>
      <c r="D67" s="137"/>
      <c r="E67" s="137" t="s">
        <v>110</v>
      </c>
      <c r="F67" s="204"/>
      <c r="G67" s="209"/>
      <c r="H67" s="212">
        <v>8244315.6179999998</v>
      </c>
      <c r="I67" s="213">
        <v>45206.048840000003</v>
      </c>
      <c r="J67" s="214">
        <v>17941.464689999997</v>
      </c>
      <c r="K67" s="215">
        <v>0</v>
      </c>
      <c r="L67" s="215">
        <v>0</v>
      </c>
      <c r="M67" s="215">
        <v>0</v>
      </c>
      <c r="N67" s="215">
        <v>0</v>
      </c>
      <c r="O67" s="215">
        <v>0</v>
      </c>
      <c r="P67" s="215">
        <v>0</v>
      </c>
      <c r="Q67" s="215">
        <v>0</v>
      </c>
      <c r="R67" s="215">
        <v>0</v>
      </c>
      <c r="S67" s="215">
        <v>0</v>
      </c>
      <c r="T67" s="215">
        <v>0</v>
      </c>
      <c r="U67" s="216">
        <f t="shared" si="47"/>
        <v>63147.513529999997</v>
      </c>
      <c r="V67" s="213">
        <v>7924289.2635400007</v>
      </c>
      <c r="W67" s="185">
        <v>85988.763349999994</v>
      </c>
      <c r="X67" s="212">
        <v>475109.2157</v>
      </c>
      <c r="Y67" s="215">
        <v>463419.72545999999</v>
      </c>
      <c r="Z67" s="215">
        <v>590126.7547200002</v>
      </c>
      <c r="AA67" s="215">
        <v>557906.75127000001</v>
      </c>
      <c r="AB67" s="215">
        <v>723575.43200999987</v>
      </c>
      <c r="AC67" s="212">
        <v>783193.39619</v>
      </c>
      <c r="AD67" s="212">
        <v>759353.74650000001</v>
      </c>
      <c r="AE67" s="212">
        <v>898141.94186999998</v>
      </c>
      <c r="AF67" s="212">
        <v>784717.23092000012</v>
      </c>
      <c r="AG67" s="212">
        <v>906198.58243000007</v>
      </c>
      <c r="AH67" s="212">
        <v>896557.72311999998</v>
      </c>
      <c r="AI67" s="182">
        <f t="shared" si="48"/>
        <v>561097.97904999997</v>
      </c>
      <c r="AJ67" s="184"/>
      <c r="AK67" s="185"/>
      <c r="AL67" s="185"/>
      <c r="AM67" s="185"/>
      <c r="AN67" s="186"/>
      <c r="AO67" s="137">
        <f t="shared" si="9"/>
        <v>7363191.2844900005</v>
      </c>
      <c r="AP67" s="179">
        <v>-0.45797999948263168</v>
      </c>
    </row>
    <row r="68" spans="1:42" ht="12.75" customHeight="1" x14ac:dyDescent="0.2">
      <c r="A68" s="148"/>
      <c r="B68" s="137"/>
      <c r="C68" s="137" t="s">
        <v>111</v>
      </c>
      <c r="D68" s="137"/>
      <c r="E68" s="137"/>
      <c r="F68" s="137"/>
      <c r="G68" s="209"/>
      <c r="H68" s="212">
        <v>74619.017999999996</v>
      </c>
      <c r="I68" s="213">
        <v>2732.1754100000003</v>
      </c>
      <c r="J68" s="214">
        <v>6056.9970000000003</v>
      </c>
      <c r="K68" s="215">
        <v>0</v>
      </c>
      <c r="L68" s="215">
        <v>0</v>
      </c>
      <c r="M68" s="215">
        <v>0</v>
      </c>
      <c r="N68" s="215">
        <v>0</v>
      </c>
      <c r="O68" s="215">
        <v>0</v>
      </c>
      <c r="P68" s="215">
        <v>0</v>
      </c>
      <c r="Q68" s="215">
        <v>0</v>
      </c>
      <c r="R68" s="215">
        <v>0</v>
      </c>
      <c r="S68" s="215">
        <v>0</v>
      </c>
      <c r="T68" s="215">
        <v>0</v>
      </c>
      <c r="U68" s="216">
        <f t="shared" si="47"/>
        <v>8789.172410000001</v>
      </c>
      <c r="V68" s="213">
        <v>66606.079759999993</v>
      </c>
      <c r="W68" s="185">
        <v>3048.6212799999998</v>
      </c>
      <c r="X68" s="212">
        <v>6114.5615099999995</v>
      </c>
      <c r="Y68" s="215">
        <v>5744.12565</v>
      </c>
      <c r="Z68" s="215">
        <v>6526.5096199999998</v>
      </c>
      <c r="AA68" s="215">
        <v>3406.8414400000001</v>
      </c>
      <c r="AB68" s="215">
        <v>5081.61168</v>
      </c>
      <c r="AC68" s="212">
        <v>3948.0883199999998</v>
      </c>
      <c r="AD68" s="212">
        <v>6684.3316799999993</v>
      </c>
      <c r="AE68" s="212">
        <v>6352.5147300000008</v>
      </c>
      <c r="AF68" s="212">
        <v>5725.3077300000004</v>
      </c>
      <c r="AG68" s="212">
        <v>5889.5580899999995</v>
      </c>
      <c r="AH68" s="212">
        <v>8084.00803</v>
      </c>
      <c r="AI68" s="182">
        <f t="shared" si="48"/>
        <v>9163.1827899999989</v>
      </c>
      <c r="AJ68" s="184"/>
      <c r="AK68" s="185"/>
      <c r="AL68" s="185"/>
      <c r="AM68" s="185"/>
      <c r="AN68" s="186"/>
      <c r="AO68" s="137">
        <f t="shared" si="9"/>
        <v>57442.896969999994</v>
      </c>
      <c r="AP68" s="179">
        <v>5.5469999992055818E-2</v>
      </c>
    </row>
    <row r="69" spans="1:42" s="179" customFormat="1" ht="12.75" customHeight="1" x14ac:dyDescent="0.2">
      <c r="A69" s="178"/>
      <c r="B69" s="137"/>
      <c r="C69" s="137" t="s">
        <v>61</v>
      </c>
      <c r="D69" s="173"/>
      <c r="E69" s="137"/>
      <c r="F69" s="204"/>
      <c r="G69" s="195"/>
      <c r="H69" s="181"/>
      <c r="I69" s="180"/>
      <c r="J69" s="185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2"/>
      <c r="V69" s="180"/>
      <c r="W69" s="185"/>
      <c r="X69" s="181"/>
      <c r="Y69" s="183"/>
      <c r="Z69" s="183"/>
      <c r="AA69" s="183"/>
      <c r="AB69" s="183"/>
      <c r="AC69" s="181"/>
      <c r="AD69" s="181"/>
      <c r="AE69" s="181"/>
      <c r="AF69" s="181"/>
      <c r="AG69" s="181"/>
      <c r="AH69" s="181"/>
      <c r="AI69" s="182"/>
      <c r="AJ69" s="184"/>
      <c r="AK69" s="185"/>
      <c r="AL69" s="185"/>
      <c r="AM69" s="185"/>
      <c r="AN69" s="186"/>
      <c r="AO69" s="137">
        <f t="shared" si="9"/>
        <v>0</v>
      </c>
      <c r="AP69" s="179">
        <v>0</v>
      </c>
    </row>
    <row r="70" spans="1:42" ht="12.75" customHeight="1" x14ac:dyDescent="0.2">
      <c r="A70" s="148"/>
      <c r="B70" s="137"/>
      <c r="C70" s="137"/>
      <c r="D70" s="137"/>
      <c r="E70" s="137" t="s">
        <v>112</v>
      </c>
      <c r="F70" s="137"/>
      <c r="G70" s="195"/>
      <c r="H70" s="181">
        <v>963645.32</v>
      </c>
      <c r="I70" s="180">
        <v>154705.31579000002</v>
      </c>
      <c r="J70" s="185">
        <v>-123637.29246999999</v>
      </c>
      <c r="K70" s="183">
        <v>0</v>
      </c>
      <c r="L70" s="183">
        <v>0</v>
      </c>
      <c r="M70" s="183">
        <v>0</v>
      </c>
      <c r="N70" s="183">
        <v>0</v>
      </c>
      <c r="O70" s="183">
        <v>0</v>
      </c>
      <c r="P70" s="183">
        <v>0</v>
      </c>
      <c r="Q70" s="183">
        <v>0</v>
      </c>
      <c r="R70" s="183">
        <v>0</v>
      </c>
      <c r="S70" s="183">
        <v>0</v>
      </c>
      <c r="T70" s="183">
        <v>0</v>
      </c>
      <c r="U70" s="182">
        <f t="shared" ref="U70:U71" si="49">SUM(I70:T70)</f>
        <v>31068.023320000037</v>
      </c>
      <c r="V70" s="180">
        <v>732758.97381999996</v>
      </c>
      <c r="W70" s="185">
        <v>121451.30553</v>
      </c>
      <c r="X70" s="181">
        <v>81853.96067</v>
      </c>
      <c r="Y70" s="183">
        <v>67718.128020000004</v>
      </c>
      <c r="Z70" s="183">
        <v>42594.099199999997</v>
      </c>
      <c r="AA70" s="183">
        <v>44219.562750000005</v>
      </c>
      <c r="AB70" s="183">
        <v>59321.950859999997</v>
      </c>
      <c r="AC70" s="181">
        <v>62563.343839999994</v>
      </c>
      <c r="AD70" s="181">
        <v>109065.06453</v>
      </c>
      <c r="AE70" s="181">
        <v>149440.38412</v>
      </c>
      <c r="AF70" s="181">
        <v>35783.673520000004</v>
      </c>
      <c r="AG70" s="181">
        <v>77266.321590000007</v>
      </c>
      <c r="AH70" s="181">
        <v>-118518.82080999999</v>
      </c>
      <c r="AI70" s="182">
        <f t="shared" ref="AI70:AI74" si="50">SUM(W70:X70)</f>
        <v>203305.26620000001</v>
      </c>
      <c r="AJ70" s="184"/>
      <c r="AK70" s="185"/>
      <c r="AL70" s="185"/>
      <c r="AM70" s="185"/>
      <c r="AN70" s="186"/>
      <c r="AO70" s="137">
        <f t="shared" si="9"/>
        <v>529453.70762</v>
      </c>
      <c r="AP70" s="179">
        <v>0.17573999986052513</v>
      </c>
    </row>
    <row r="71" spans="1:42" ht="12.75" customHeight="1" x14ac:dyDescent="0.2">
      <c r="A71" s="148"/>
      <c r="B71" s="137"/>
      <c r="C71" s="137"/>
      <c r="D71" s="137"/>
      <c r="E71" s="137" t="s">
        <v>113</v>
      </c>
      <c r="F71" s="204"/>
      <c r="G71" s="195"/>
      <c r="H71" s="212">
        <v>101324.145</v>
      </c>
      <c r="I71" s="213">
        <v>3838.8639700000003</v>
      </c>
      <c r="J71" s="213">
        <v>199.3015</v>
      </c>
      <c r="K71" s="212">
        <v>0</v>
      </c>
      <c r="L71" s="212">
        <v>0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2">
        <v>0</v>
      </c>
      <c r="T71" s="212">
        <v>0</v>
      </c>
      <c r="U71" s="216">
        <f t="shared" si="49"/>
        <v>4038.1654700000004</v>
      </c>
      <c r="V71" s="213">
        <v>94681.045879999991</v>
      </c>
      <c r="W71" s="185">
        <v>4488.65578</v>
      </c>
      <c r="X71" s="212">
        <v>364.51134999999999</v>
      </c>
      <c r="Y71" s="212">
        <v>0.85802999999999996</v>
      </c>
      <c r="Z71" s="212">
        <v>3953.4466899999998</v>
      </c>
      <c r="AA71" s="212">
        <v>210.22315</v>
      </c>
      <c r="AB71" s="212">
        <v>27706.917600000001</v>
      </c>
      <c r="AC71" s="212">
        <v>13302.461160000001</v>
      </c>
      <c r="AD71" s="212">
        <v>332.35859999999997</v>
      </c>
      <c r="AE71" s="212">
        <v>222.85565</v>
      </c>
      <c r="AF71" s="212">
        <v>5182.3087400000004</v>
      </c>
      <c r="AG71" s="212">
        <v>82.349199999999996</v>
      </c>
      <c r="AH71" s="212">
        <v>38834.099929999997</v>
      </c>
      <c r="AI71" s="182">
        <f t="shared" si="50"/>
        <v>4853.1671299999998</v>
      </c>
      <c r="AJ71" s="184"/>
      <c r="AK71" s="185"/>
      <c r="AL71" s="185"/>
      <c r="AM71" s="185"/>
      <c r="AN71" s="186"/>
      <c r="AO71" s="137">
        <f t="shared" si="9"/>
        <v>89827.878749999989</v>
      </c>
      <c r="AP71" s="179">
        <v>0.29579000000376254</v>
      </c>
    </row>
    <row r="72" spans="1:42" s="179" customFormat="1" ht="12.75" customHeight="1" x14ac:dyDescent="0.2">
      <c r="A72" s="186"/>
      <c r="B72" s="149" t="s">
        <v>114</v>
      </c>
      <c r="C72" s="173"/>
      <c r="D72" s="173"/>
      <c r="E72" s="173"/>
      <c r="F72" s="173"/>
      <c r="G72" s="195"/>
      <c r="H72" s="196">
        <f>H73</f>
        <v>71.201999999999998</v>
      </c>
      <c r="I72" s="196">
        <f>I73</f>
        <v>0</v>
      </c>
      <c r="J72" s="196">
        <f t="shared" ref="J72:T72" si="51">J73</f>
        <v>5.6426999999999996</v>
      </c>
      <c r="K72" s="206">
        <f t="shared" si="51"/>
        <v>0</v>
      </c>
      <c r="L72" s="206">
        <f t="shared" si="51"/>
        <v>0</v>
      </c>
      <c r="M72" s="206">
        <f t="shared" si="51"/>
        <v>0</v>
      </c>
      <c r="N72" s="206">
        <f t="shared" si="51"/>
        <v>0</v>
      </c>
      <c r="O72" s="206">
        <f t="shared" si="51"/>
        <v>0</v>
      </c>
      <c r="P72" s="206">
        <f t="shared" si="51"/>
        <v>0</v>
      </c>
      <c r="Q72" s="206">
        <f t="shared" si="51"/>
        <v>0</v>
      </c>
      <c r="R72" s="206">
        <f t="shared" si="51"/>
        <v>0</v>
      </c>
      <c r="S72" s="206">
        <f t="shared" si="51"/>
        <v>0</v>
      </c>
      <c r="T72" s="206">
        <f t="shared" si="51"/>
        <v>0</v>
      </c>
      <c r="U72" s="199">
        <f>U73</f>
        <v>5.6426999999999996</v>
      </c>
      <c r="V72" s="200">
        <f t="shared" ref="V72:AH72" si="52">V73</f>
        <v>1426.1050800000003</v>
      </c>
      <c r="W72" s="158">
        <f t="shared" si="52"/>
        <v>0</v>
      </c>
      <c r="X72" s="206">
        <f t="shared" si="52"/>
        <v>0</v>
      </c>
      <c r="Y72" s="206">
        <f>Y73</f>
        <v>0</v>
      </c>
      <c r="Z72" s="206">
        <f t="shared" ref="Z72" si="53">Z73</f>
        <v>0</v>
      </c>
      <c r="AA72" s="206">
        <f t="shared" si="52"/>
        <v>0</v>
      </c>
      <c r="AB72" s="206">
        <f t="shared" si="52"/>
        <v>7.2370000000000001</v>
      </c>
      <c r="AC72" s="206">
        <f>AC73</f>
        <v>-7.2370000000000001</v>
      </c>
      <c r="AD72" s="206">
        <f t="shared" si="52"/>
        <v>1.4784000000000002</v>
      </c>
      <c r="AE72" s="206">
        <f t="shared" si="52"/>
        <v>0</v>
      </c>
      <c r="AF72" s="206">
        <f t="shared" si="52"/>
        <v>0</v>
      </c>
      <c r="AG72" s="206">
        <f t="shared" si="52"/>
        <v>75.879559999999998</v>
      </c>
      <c r="AH72" s="206">
        <f t="shared" si="52"/>
        <v>1348.7471200000002</v>
      </c>
      <c r="AI72" s="199">
        <f t="shared" si="50"/>
        <v>0</v>
      </c>
      <c r="AJ72" s="203"/>
      <c r="AK72" s="197"/>
      <c r="AL72" s="197"/>
      <c r="AM72" s="197"/>
      <c r="AN72" s="186"/>
      <c r="AO72" s="137">
        <f t="shared" si="9"/>
        <v>1426.1050800000003</v>
      </c>
      <c r="AP72" s="179">
        <v>0</v>
      </c>
    </row>
    <row r="73" spans="1:42" ht="12.75" customHeight="1" x14ac:dyDescent="0.2">
      <c r="A73" s="148"/>
      <c r="B73" s="137"/>
      <c r="C73" s="137" t="s">
        <v>115</v>
      </c>
      <c r="D73" s="137"/>
      <c r="E73" s="137"/>
      <c r="F73" s="137"/>
      <c r="G73" s="195"/>
      <c r="H73" s="181">
        <v>71.201999999999998</v>
      </c>
      <c r="I73" s="180">
        <v>0</v>
      </c>
      <c r="J73" s="180">
        <v>5.6426999999999996</v>
      </c>
      <c r="K73" s="181">
        <v>0</v>
      </c>
      <c r="L73" s="181">
        <v>0</v>
      </c>
      <c r="M73" s="181">
        <v>0</v>
      </c>
      <c r="N73" s="212">
        <v>0</v>
      </c>
      <c r="O73" s="181">
        <v>0</v>
      </c>
      <c r="P73" s="181">
        <v>0</v>
      </c>
      <c r="Q73" s="181">
        <v>0</v>
      </c>
      <c r="R73" s="181">
        <v>0</v>
      </c>
      <c r="S73" s="181">
        <v>0</v>
      </c>
      <c r="T73" s="181">
        <v>0</v>
      </c>
      <c r="U73" s="182">
        <f t="shared" ref="U73:U74" si="54">SUM(I73:T73)</f>
        <v>5.6426999999999996</v>
      </c>
      <c r="V73" s="180">
        <v>1426.1050800000003</v>
      </c>
      <c r="W73" s="185">
        <v>0</v>
      </c>
      <c r="X73" s="181">
        <v>0</v>
      </c>
      <c r="Y73" s="227">
        <v>0</v>
      </c>
      <c r="Z73" s="181">
        <v>0</v>
      </c>
      <c r="AA73" s="181">
        <v>0</v>
      </c>
      <c r="AB73" s="181">
        <v>7.2370000000000001</v>
      </c>
      <c r="AC73" s="181">
        <v>-7.2370000000000001</v>
      </c>
      <c r="AD73" s="181">
        <v>1.4784000000000002</v>
      </c>
      <c r="AE73" s="181">
        <v>0</v>
      </c>
      <c r="AF73" s="181">
        <v>0</v>
      </c>
      <c r="AG73" s="181">
        <v>75.879559999999998</v>
      </c>
      <c r="AH73" s="181">
        <v>1348.7471200000002</v>
      </c>
      <c r="AI73" s="182">
        <f t="shared" si="50"/>
        <v>0</v>
      </c>
      <c r="AJ73" s="228"/>
      <c r="AK73" s="185"/>
      <c r="AL73" s="185"/>
      <c r="AM73" s="185"/>
      <c r="AN73" s="186"/>
      <c r="AO73" s="137">
        <f t="shared" ref="AO73:AO137" si="55">+V73-AI73</f>
        <v>1426.1050800000003</v>
      </c>
      <c r="AP73" s="179">
        <v>0</v>
      </c>
    </row>
    <row r="74" spans="1:42" s="235" customFormat="1" ht="12.75" customHeight="1" x14ac:dyDescent="0.2">
      <c r="A74" s="229"/>
      <c r="B74" s="149" t="s">
        <v>116</v>
      </c>
      <c r="C74" s="149"/>
      <c r="D74" s="149"/>
      <c r="E74" s="149"/>
      <c r="F74" s="149"/>
      <c r="G74" s="195" t="s">
        <v>117</v>
      </c>
      <c r="H74" s="230">
        <v>0</v>
      </c>
      <c r="I74" s="231">
        <v>1589.6722299999999</v>
      </c>
      <c r="J74" s="231">
        <v>1710.54529</v>
      </c>
      <c r="K74" s="230">
        <v>0</v>
      </c>
      <c r="L74" s="230">
        <v>0</v>
      </c>
      <c r="M74" s="230">
        <v>0</v>
      </c>
      <c r="N74" s="230">
        <v>0</v>
      </c>
      <c r="O74" s="230">
        <v>0</v>
      </c>
      <c r="P74" s="230">
        <v>0</v>
      </c>
      <c r="Q74" s="230">
        <v>0</v>
      </c>
      <c r="R74" s="230">
        <v>0</v>
      </c>
      <c r="S74" s="230">
        <v>0</v>
      </c>
      <c r="T74" s="230">
        <v>0</v>
      </c>
      <c r="U74" s="232">
        <f t="shared" si="54"/>
        <v>3300.2175200000001</v>
      </c>
      <c r="V74" s="231">
        <v>8611.1522000000023</v>
      </c>
      <c r="W74" s="233">
        <v>52447.937920000004</v>
      </c>
      <c r="X74" s="230">
        <f>-55991.12932-52448+52448</f>
        <v>-55991.129320000007</v>
      </c>
      <c r="Y74" s="230">
        <f>8635.05654-3543+3543</f>
        <v>8635.0565399999996</v>
      </c>
      <c r="Z74" s="230">
        <f>-290663.89528-5092+5092</f>
        <v>-290663.89528</v>
      </c>
      <c r="AA74" s="230">
        <f>-2525.16884-285572+285572</f>
        <v>-2525.1688399999985</v>
      </c>
      <c r="AB74" s="230">
        <f>297599.58469-288097+288097</f>
        <v>297599.58468999999</v>
      </c>
      <c r="AC74" s="230">
        <v>-557.56914000000006</v>
      </c>
      <c r="AD74" s="230">
        <f>431.12406-8945+8945</f>
        <v>431.1240600000001</v>
      </c>
      <c r="AE74" s="230">
        <f>1090.1177-9376+9376</f>
        <v>1090.1177000000007</v>
      </c>
      <c r="AF74" s="230">
        <v>296.01643999999999</v>
      </c>
      <c r="AG74" s="230">
        <v>-608.60971999999992</v>
      </c>
      <c r="AH74" s="230">
        <v>-1542.31285</v>
      </c>
      <c r="AI74" s="232">
        <f t="shared" si="50"/>
        <v>-3543.1914000000033</v>
      </c>
      <c r="AJ74" s="234"/>
      <c r="AK74" s="197"/>
      <c r="AL74" s="197"/>
      <c r="AM74" s="197"/>
      <c r="AN74" s="186"/>
      <c r="AO74" s="137">
        <f t="shared" si="55"/>
        <v>12154.343600000006</v>
      </c>
      <c r="AP74" s="179">
        <v>0.31281999999919208</v>
      </c>
    </row>
    <row r="75" spans="1:42" ht="12.75" customHeight="1" x14ac:dyDescent="0.2">
      <c r="A75" s="236"/>
      <c r="B75" s="237" t="s">
        <v>118</v>
      </c>
      <c r="C75" s="238"/>
      <c r="D75" s="238"/>
      <c r="E75" s="238"/>
      <c r="F75" s="238"/>
      <c r="G75" s="239"/>
      <c r="H75" s="206">
        <f>H6+H21+H23+H30+H64+H72+H74</f>
        <v>1425417595.8169999</v>
      </c>
      <c r="I75" s="196">
        <f t="shared" ref="I75:AI75" si="56">I6+I21+I23+I30+I64+I72+I74</f>
        <v>77111257.806960002</v>
      </c>
      <c r="J75" s="196">
        <f t="shared" si="56"/>
        <v>64924271.966630012</v>
      </c>
      <c r="K75" s="206">
        <f t="shared" si="56"/>
        <v>0</v>
      </c>
      <c r="L75" s="206">
        <f t="shared" si="56"/>
        <v>0</v>
      </c>
      <c r="M75" s="206">
        <f t="shared" si="56"/>
        <v>0</v>
      </c>
      <c r="N75" s="206">
        <f t="shared" si="56"/>
        <v>0</v>
      </c>
      <c r="O75" s="206">
        <f t="shared" si="56"/>
        <v>0</v>
      </c>
      <c r="P75" s="206">
        <f t="shared" si="56"/>
        <v>0</v>
      </c>
      <c r="Q75" s="206">
        <f t="shared" si="56"/>
        <v>0</v>
      </c>
      <c r="R75" s="206">
        <f t="shared" si="56"/>
        <v>0</v>
      </c>
      <c r="S75" s="206">
        <f t="shared" si="56"/>
        <v>0</v>
      </c>
      <c r="T75" s="206">
        <f t="shared" si="56"/>
        <v>0</v>
      </c>
      <c r="U75" s="199">
        <f t="shared" si="56"/>
        <v>142035529.77359</v>
      </c>
      <c r="V75" s="197">
        <f>V6+V21+V23+V30+V64+V72+V74</f>
        <v>1355748954.6159399</v>
      </c>
      <c r="W75" s="240">
        <f>W6+W21+W23+W30+W64+W72+W74</f>
        <v>84807014.439560026</v>
      </c>
      <c r="X75" s="240">
        <f>X6+X21+X23+X30+X64+X72+X74</f>
        <v>90991578.400710016</v>
      </c>
      <c r="Y75" s="206">
        <f t="shared" si="56"/>
        <v>141340172.67634001</v>
      </c>
      <c r="Z75" s="206">
        <f t="shared" si="56"/>
        <v>85526330.539679989</v>
      </c>
      <c r="AA75" s="206">
        <f t="shared" si="56"/>
        <v>116443762.86853999</v>
      </c>
      <c r="AB75" s="206">
        <f t="shared" si="56"/>
        <v>116559787.40256001</v>
      </c>
      <c r="AC75" s="206">
        <f t="shared" si="56"/>
        <v>95682896.007359982</v>
      </c>
      <c r="AD75" s="206">
        <f>AD6+AD21+AD23+AD30+AD64+AD72+AD74</f>
        <v>94605024.641590014</v>
      </c>
      <c r="AE75" s="206">
        <f t="shared" si="56"/>
        <v>153493101.93650001</v>
      </c>
      <c r="AF75" s="206">
        <f>AF6+AF21+AF23+AF30+AF64+AF72+AF74</f>
        <v>103080766.49830002</v>
      </c>
      <c r="AG75" s="206">
        <f t="shared" si="56"/>
        <v>142867934.82762998</v>
      </c>
      <c r="AH75" s="206">
        <f t="shared" si="56"/>
        <v>130350585.37716998</v>
      </c>
      <c r="AI75" s="199">
        <f t="shared" si="56"/>
        <v>175798592.84027004</v>
      </c>
      <c r="AJ75" s="234"/>
      <c r="AK75" s="197"/>
      <c r="AL75" s="197"/>
      <c r="AM75" s="197"/>
      <c r="AN75" s="186"/>
      <c r="AO75" s="137">
        <f t="shared" si="55"/>
        <v>1179950361.7756698</v>
      </c>
      <c r="AP75" s="179">
        <v>19.140980005264282</v>
      </c>
    </row>
    <row r="76" spans="1:42" ht="12.75" customHeight="1" x14ac:dyDescent="0.2">
      <c r="A76" s="148"/>
      <c r="B76" s="149" t="s">
        <v>119</v>
      </c>
      <c r="C76" s="137"/>
      <c r="D76" s="137"/>
      <c r="E76" s="204"/>
      <c r="F76" s="204"/>
      <c r="G76" s="195" t="s">
        <v>120</v>
      </c>
      <c r="H76" s="241">
        <v>-63395241</v>
      </c>
      <c r="I76" s="161">
        <v>-15848810</v>
      </c>
      <c r="J76" s="16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  <c r="Q76" s="241">
        <v>0</v>
      </c>
      <c r="R76" s="241">
        <v>0</v>
      </c>
      <c r="S76" s="241">
        <v>0</v>
      </c>
      <c r="T76" s="241">
        <v>0</v>
      </c>
      <c r="U76" s="170">
        <f t="shared" ref="U76" si="57">SUM(I76:T76)</f>
        <v>-15848810</v>
      </c>
      <c r="V76" s="242">
        <v>-50280312</v>
      </c>
      <c r="W76" s="241">
        <v>-12570078</v>
      </c>
      <c r="X76" s="241">
        <v>0</v>
      </c>
      <c r="Y76" s="241">
        <v>0</v>
      </c>
      <c r="Z76" s="241">
        <v>-12570078</v>
      </c>
      <c r="AA76" s="241">
        <v>0</v>
      </c>
      <c r="AB76" s="241">
        <v>0</v>
      </c>
      <c r="AC76" s="241">
        <v>-12570078</v>
      </c>
      <c r="AD76" s="241">
        <v>0</v>
      </c>
      <c r="AE76" s="241">
        <v>0</v>
      </c>
      <c r="AF76" s="241">
        <v>-12570078</v>
      </c>
      <c r="AG76" s="241">
        <v>0</v>
      </c>
      <c r="AH76" s="241">
        <v>0</v>
      </c>
      <c r="AI76" s="170">
        <f t="shared" ref="AI76" si="58">SUM(W76:X76)</f>
        <v>-12570078</v>
      </c>
      <c r="AJ76" s="157"/>
      <c r="AK76" s="158"/>
      <c r="AL76" s="158"/>
      <c r="AM76" s="158"/>
      <c r="AN76" s="186"/>
      <c r="AO76" s="137">
        <f t="shared" si="55"/>
        <v>-37710234</v>
      </c>
      <c r="AP76" s="179">
        <v>0</v>
      </c>
    </row>
    <row r="77" spans="1:42" ht="12.75" customHeight="1" x14ac:dyDescent="0.2">
      <c r="A77" s="243"/>
      <c r="B77" s="244" t="s">
        <v>121</v>
      </c>
      <c r="C77" s="245"/>
      <c r="D77" s="245"/>
      <c r="E77" s="246"/>
      <c r="F77" s="246"/>
      <c r="G77" s="247"/>
      <c r="H77" s="248">
        <f>H75+H76</f>
        <v>1362022354.8169999</v>
      </c>
      <c r="I77" s="249">
        <f>I75+I76</f>
        <v>61262447.806960002</v>
      </c>
      <c r="J77" s="249">
        <f t="shared" ref="J77:T77" si="59">J75+J76</f>
        <v>64924271.966630012</v>
      </c>
      <c r="K77" s="248">
        <f t="shared" si="59"/>
        <v>0</v>
      </c>
      <c r="L77" s="248">
        <f t="shared" si="59"/>
        <v>0</v>
      </c>
      <c r="M77" s="248">
        <f t="shared" si="59"/>
        <v>0</v>
      </c>
      <c r="N77" s="248">
        <f t="shared" si="59"/>
        <v>0</v>
      </c>
      <c r="O77" s="248">
        <f t="shared" si="59"/>
        <v>0</v>
      </c>
      <c r="P77" s="248">
        <f t="shared" si="59"/>
        <v>0</v>
      </c>
      <c r="Q77" s="248">
        <f t="shared" si="59"/>
        <v>0</v>
      </c>
      <c r="R77" s="248">
        <f t="shared" si="59"/>
        <v>0</v>
      </c>
      <c r="S77" s="248">
        <f t="shared" si="59"/>
        <v>0</v>
      </c>
      <c r="T77" s="248">
        <f t="shared" si="59"/>
        <v>0</v>
      </c>
      <c r="U77" s="250">
        <f>U75+U76</f>
        <v>126186719.77359</v>
      </c>
      <c r="V77" s="251">
        <f>V75+V76</f>
        <v>1305468642.6159399</v>
      </c>
      <c r="W77" s="252">
        <f>W75+W76</f>
        <v>72236936.439560026</v>
      </c>
      <c r="X77" s="248">
        <f t="shared" ref="X77:AH77" si="60">X75+X76</f>
        <v>90991578.400710016</v>
      </c>
      <c r="Y77" s="248">
        <f t="shared" si="60"/>
        <v>141340172.67634001</v>
      </c>
      <c r="Z77" s="248">
        <f>+Z75+Z76</f>
        <v>72956252.539679989</v>
      </c>
      <c r="AA77" s="248">
        <f t="shared" si="60"/>
        <v>116443762.86853999</v>
      </c>
      <c r="AB77" s="248">
        <f t="shared" si="60"/>
        <v>116559787.40256001</v>
      </c>
      <c r="AC77" s="248">
        <f t="shared" si="60"/>
        <v>83112818.007359982</v>
      </c>
      <c r="AD77" s="248">
        <f t="shared" si="60"/>
        <v>94605024.641590014</v>
      </c>
      <c r="AE77" s="248">
        <f t="shared" si="60"/>
        <v>153493101.93650001</v>
      </c>
      <c r="AF77" s="248">
        <f t="shared" si="60"/>
        <v>90510688.498300016</v>
      </c>
      <c r="AG77" s="248">
        <f t="shared" si="60"/>
        <v>142867934.82762998</v>
      </c>
      <c r="AH77" s="248">
        <f t="shared" si="60"/>
        <v>130350585.37716998</v>
      </c>
      <c r="AI77" s="250">
        <f>AI75+AI76</f>
        <v>163228514.84027004</v>
      </c>
      <c r="AJ77" s="203"/>
      <c r="AK77" s="197"/>
      <c r="AL77" s="197"/>
      <c r="AM77" s="197"/>
      <c r="AN77" s="186"/>
      <c r="AO77" s="137">
        <f t="shared" si="55"/>
        <v>1142240127.7756698</v>
      </c>
      <c r="AP77" s="173">
        <v>19.140980005264282</v>
      </c>
    </row>
    <row r="78" spans="1:42" ht="12.75" hidden="1" customHeight="1" x14ac:dyDescent="0.2">
      <c r="A78" s="148"/>
      <c r="B78" s="149"/>
      <c r="C78" s="137"/>
      <c r="D78" s="137"/>
      <c r="E78" s="204"/>
      <c r="F78" s="204"/>
      <c r="G78" s="195"/>
      <c r="H78" s="206"/>
      <c r="I78" s="196"/>
      <c r="J78" s="19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199"/>
      <c r="V78" s="197"/>
      <c r="W78" s="198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199"/>
      <c r="AJ78" s="203"/>
      <c r="AK78" s="197"/>
      <c r="AL78" s="197"/>
      <c r="AM78" s="197"/>
      <c r="AN78" s="186"/>
      <c r="AO78" s="137">
        <f t="shared" si="55"/>
        <v>0</v>
      </c>
      <c r="AP78" s="173">
        <v>0</v>
      </c>
    </row>
    <row r="79" spans="1:42" s="137" customFormat="1" ht="12.75" hidden="1" customHeight="1" x14ac:dyDescent="0.2">
      <c r="A79" s="253"/>
      <c r="B79" s="139"/>
      <c r="C79" s="139"/>
      <c r="D79" s="139"/>
      <c r="E79" s="139"/>
      <c r="F79" s="139"/>
      <c r="G79" s="254"/>
      <c r="H79" s="213"/>
      <c r="I79" s="213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55"/>
      <c r="V79" s="256"/>
      <c r="W79" s="215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57"/>
      <c r="AJ79" s="258"/>
      <c r="AK79" s="214"/>
      <c r="AL79" s="214"/>
      <c r="AM79" s="214"/>
      <c r="AN79" s="186"/>
      <c r="AO79" s="137">
        <f t="shared" si="55"/>
        <v>0</v>
      </c>
      <c r="AP79" s="173">
        <v>0</v>
      </c>
    </row>
    <row r="80" spans="1:42" ht="12.75" customHeight="1" x14ac:dyDescent="0.2">
      <c r="A80" s="148"/>
      <c r="B80" s="149" t="s">
        <v>122</v>
      </c>
      <c r="C80" s="149"/>
      <c r="D80" s="137"/>
      <c r="E80" s="204"/>
      <c r="F80" s="204"/>
      <c r="G80" s="195"/>
      <c r="H80" s="156">
        <f>SUM(H81:H96)-H94</f>
        <v>35973205</v>
      </c>
      <c r="I80" s="152">
        <f>SUM(I81:I96)-I94</f>
        <v>1833292.57381</v>
      </c>
      <c r="J80" s="152">
        <f t="shared" ref="J80:T80" si="61">SUM(J81:J96)-J94</f>
        <v>3182174.0558000002</v>
      </c>
      <c r="K80" s="156">
        <f t="shared" si="61"/>
        <v>0</v>
      </c>
      <c r="L80" s="156">
        <f t="shared" si="61"/>
        <v>0</v>
      </c>
      <c r="M80" s="156">
        <f t="shared" si="61"/>
        <v>0</v>
      </c>
      <c r="N80" s="156">
        <f t="shared" si="61"/>
        <v>0</v>
      </c>
      <c r="O80" s="156">
        <f t="shared" si="61"/>
        <v>0</v>
      </c>
      <c r="P80" s="156">
        <f t="shared" si="61"/>
        <v>0</v>
      </c>
      <c r="Q80" s="156">
        <f t="shared" si="61"/>
        <v>0</v>
      </c>
      <c r="R80" s="156">
        <f t="shared" si="61"/>
        <v>0</v>
      </c>
      <c r="S80" s="156">
        <f t="shared" si="61"/>
        <v>0</v>
      </c>
      <c r="T80" s="156">
        <f t="shared" si="61"/>
        <v>0</v>
      </c>
      <c r="U80" s="153">
        <f t="shared" ref="U80" si="62">SUM(U81:U96)-U94</f>
        <v>5015466.6296099992</v>
      </c>
      <c r="V80" s="176">
        <f t="shared" ref="V80" si="63">SUM(V81:V96)-V94</f>
        <v>38090539.129409999</v>
      </c>
      <c r="W80" s="177">
        <f>SUM(W81:W96)-W94</f>
        <v>1587406.6461699998</v>
      </c>
      <c r="X80" s="156">
        <f t="shared" ref="X80:AE80" si="64">SUM(X81:X96)-X94</f>
        <v>5929314.6683099996</v>
      </c>
      <c r="Y80" s="152">
        <f t="shared" si="64"/>
        <v>5901305.32094</v>
      </c>
      <c r="Z80" s="259">
        <f>SUM(Z81:Z96)-Z94</f>
        <v>793556.98961999977</v>
      </c>
      <c r="AA80" s="259">
        <f t="shared" si="64"/>
        <v>1488702.7767099999</v>
      </c>
      <c r="AB80" s="259">
        <f t="shared" si="64"/>
        <v>1153941.87176</v>
      </c>
      <c r="AC80" s="259">
        <f t="shared" si="64"/>
        <v>674426.72756999999</v>
      </c>
      <c r="AD80" s="259">
        <f t="shared" si="64"/>
        <v>915686.39250999992</v>
      </c>
      <c r="AE80" s="260">
        <f t="shared" si="64"/>
        <v>6856521.4885600004</v>
      </c>
      <c r="AF80" s="156">
        <f>SUM(AF81:AF96)-AF94</f>
        <v>845840.16793999996</v>
      </c>
      <c r="AG80" s="156">
        <f>SUM(AG81:AG96)-AG94</f>
        <v>1611005.2640100003</v>
      </c>
      <c r="AH80" s="156">
        <f>SUM(AH81:AH96)-AH94</f>
        <v>10332830.81531</v>
      </c>
      <c r="AI80" s="261">
        <f>SUM(AI81:AI96)-AI94</f>
        <v>7516721.3144800002</v>
      </c>
      <c r="AJ80" s="157"/>
      <c r="AK80" s="158"/>
      <c r="AL80" s="158"/>
      <c r="AM80" s="158"/>
      <c r="AN80" s="186"/>
      <c r="AO80" s="137">
        <f t="shared" si="55"/>
        <v>30573817.814929999</v>
      </c>
      <c r="AP80" s="173">
        <v>3038734.6602100059</v>
      </c>
    </row>
    <row r="81" spans="1:48" ht="12.75" customHeight="1" x14ac:dyDescent="0.2">
      <c r="A81" s="148"/>
      <c r="B81" s="137"/>
      <c r="C81" s="262" t="s">
        <v>123</v>
      </c>
      <c r="D81" s="262"/>
      <c r="E81" s="262"/>
      <c r="F81" s="262"/>
      <c r="G81" s="195"/>
      <c r="H81" s="181"/>
      <c r="I81" s="180"/>
      <c r="J81" s="180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2"/>
      <c r="V81" s="185"/>
      <c r="W81" s="183"/>
      <c r="X81" s="263"/>
      <c r="Y81" s="263"/>
      <c r="Z81" s="181"/>
      <c r="AA81" s="263"/>
      <c r="AB81" s="263"/>
      <c r="AC81" s="263"/>
      <c r="AD81" s="263"/>
      <c r="AE81" s="263"/>
      <c r="AF81" s="263"/>
      <c r="AG81" s="263"/>
      <c r="AH81" s="263"/>
      <c r="AI81" s="182"/>
      <c r="AJ81" s="184"/>
      <c r="AK81" s="185"/>
      <c r="AL81" s="185"/>
      <c r="AM81" s="185"/>
      <c r="AN81" s="186"/>
      <c r="AO81" s="137">
        <f t="shared" si="55"/>
        <v>0</v>
      </c>
      <c r="AP81" s="179">
        <v>0</v>
      </c>
    </row>
    <row r="82" spans="1:48" ht="12.75" customHeight="1" x14ac:dyDescent="0.2">
      <c r="A82" s="148"/>
      <c r="B82" s="137"/>
      <c r="C82" s="137"/>
      <c r="D82" s="137"/>
      <c r="E82" s="137" t="s">
        <v>124</v>
      </c>
      <c r="F82" s="204"/>
      <c r="G82" s="195"/>
      <c r="H82" s="181">
        <v>65451.000000000015</v>
      </c>
      <c r="I82" s="209">
        <v>4157.72876</v>
      </c>
      <c r="J82" s="180">
        <f>4130.86299+21.1859999999997</f>
        <v>4152.0489899999993</v>
      </c>
      <c r="K82" s="180">
        <v>0</v>
      </c>
      <c r="L82" s="180">
        <v>0</v>
      </c>
      <c r="M82" s="180">
        <v>0</v>
      </c>
      <c r="N82" s="180">
        <v>0</v>
      </c>
      <c r="O82" s="180">
        <v>0</v>
      </c>
      <c r="P82" s="180">
        <v>0</v>
      </c>
      <c r="Q82" s="180">
        <v>0</v>
      </c>
      <c r="R82" s="180">
        <v>0</v>
      </c>
      <c r="S82" s="180">
        <v>0</v>
      </c>
      <c r="T82" s="180">
        <v>0</v>
      </c>
      <c r="U82" s="264">
        <f t="shared" ref="U82:U88" si="65">SUM(I82:T82)</f>
        <v>8309.7777499999993</v>
      </c>
      <c r="V82" s="180">
        <v>50034.979689999993</v>
      </c>
      <c r="W82" s="185">
        <v>4039.0598999999997</v>
      </c>
      <c r="X82" s="181">
        <v>4205.4507000000003</v>
      </c>
      <c r="Y82" s="265">
        <v>4098.4674199999999</v>
      </c>
      <c r="Z82" s="180">
        <v>4155.7942599999997</v>
      </c>
      <c r="AA82" s="181">
        <v>4133.72408</v>
      </c>
      <c r="AB82" s="181">
        <v>4136.5518499999998</v>
      </c>
      <c r="AC82" s="181">
        <v>4172.12284</v>
      </c>
      <c r="AD82" s="181">
        <v>4225.33914</v>
      </c>
      <c r="AE82" s="181">
        <v>4112.3842999999997</v>
      </c>
      <c r="AF82" s="181">
        <v>4184.84184</v>
      </c>
      <c r="AG82" s="181">
        <v>4219.8515199999993</v>
      </c>
      <c r="AH82" s="181">
        <v>4351.3918400000002</v>
      </c>
      <c r="AI82" s="182">
        <f t="shared" ref="AI82:AI88" si="66">SUM(W82:X82)</f>
        <v>8244.5105999999996</v>
      </c>
      <c r="AJ82" s="184"/>
      <c r="AK82" s="185"/>
      <c r="AL82" s="185"/>
      <c r="AM82" s="185"/>
      <c r="AN82" s="186"/>
      <c r="AO82" s="137">
        <f t="shared" si="55"/>
        <v>41790.469089999991</v>
      </c>
      <c r="AP82" s="179">
        <v>6495.505250000002</v>
      </c>
    </row>
    <row r="83" spans="1:48" ht="12.75" customHeight="1" x14ac:dyDescent="0.2">
      <c r="A83" s="148"/>
      <c r="B83" s="149"/>
      <c r="E83" s="266" t="s">
        <v>125</v>
      </c>
      <c r="F83" s="204"/>
      <c r="G83" s="195"/>
      <c r="H83" s="181">
        <v>5600</v>
      </c>
      <c r="I83" s="180">
        <v>0</v>
      </c>
      <c r="J83" s="180">
        <v>0</v>
      </c>
      <c r="K83" s="180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2">
        <f t="shared" si="65"/>
        <v>0</v>
      </c>
      <c r="V83" s="180">
        <v>5452.25</v>
      </c>
      <c r="W83" s="185">
        <v>84.5</v>
      </c>
      <c r="X83" s="181">
        <v>250.25</v>
      </c>
      <c r="Y83" s="267">
        <v>333.5</v>
      </c>
      <c r="Z83" s="181">
        <v>734</v>
      </c>
      <c r="AA83" s="181">
        <v>299</v>
      </c>
      <c r="AB83" s="181">
        <v>400.5</v>
      </c>
      <c r="AC83" s="181">
        <v>319.5</v>
      </c>
      <c r="AD83" s="181">
        <v>794.5</v>
      </c>
      <c r="AE83" s="181">
        <v>51</v>
      </c>
      <c r="AF83" s="181">
        <v>707</v>
      </c>
      <c r="AG83" s="181">
        <v>1065</v>
      </c>
      <c r="AH83" s="181">
        <v>413.5</v>
      </c>
      <c r="AI83" s="182">
        <f t="shared" si="66"/>
        <v>334.75</v>
      </c>
      <c r="AJ83" s="184"/>
      <c r="AK83" s="185"/>
      <c r="AL83" s="185"/>
      <c r="AM83" s="185"/>
      <c r="AN83" s="186"/>
      <c r="AO83" s="137">
        <f t="shared" si="55"/>
        <v>5117.5</v>
      </c>
      <c r="AP83" s="173">
        <v>-1.375</v>
      </c>
    </row>
    <row r="84" spans="1:48" ht="12.75" customHeight="1" x14ac:dyDescent="0.2">
      <c r="A84" s="148"/>
      <c r="B84" s="137"/>
      <c r="C84" s="137"/>
      <c r="D84" s="137"/>
      <c r="E84" s="137" t="s">
        <v>126</v>
      </c>
      <c r="F84" s="137"/>
      <c r="G84" s="150"/>
      <c r="H84" s="181">
        <v>1473116.9999999998</v>
      </c>
      <c r="I84" s="209">
        <v>5135.0639899999996</v>
      </c>
      <c r="J84" s="180">
        <v>16394.861830000002</v>
      </c>
      <c r="K84" s="180">
        <v>0</v>
      </c>
      <c r="L84" s="180">
        <v>0</v>
      </c>
      <c r="M84" s="180">
        <v>0</v>
      </c>
      <c r="N84" s="180">
        <v>0</v>
      </c>
      <c r="O84" s="180">
        <v>0</v>
      </c>
      <c r="P84" s="180">
        <v>0</v>
      </c>
      <c r="Q84" s="180">
        <v>0</v>
      </c>
      <c r="R84" s="180">
        <v>0</v>
      </c>
      <c r="S84" s="180">
        <v>0</v>
      </c>
      <c r="T84" s="180">
        <v>0</v>
      </c>
      <c r="U84" s="264">
        <f t="shared" si="65"/>
        <v>21529.92582</v>
      </c>
      <c r="V84" s="180">
        <v>244657.71167999998</v>
      </c>
      <c r="W84" s="185">
        <v>16199.328690000013</v>
      </c>
      <c r="X84" s="181">
        <v>22206.400459999986</v>
      </c>
      <c r="Y84" s="265">
        <v>17537.885790000008</v>
      </c>
      <c r="Z84" s="180">
        <v>24756.219070000006</v>
      </c>
      <c r="AA84" s="181">
        <v>20569.356969999983</v>
      </c>
      <c r="AB84" s="181">
        <v>23683.213469999999</v>
      </c>
      <c r="AC84" s="181">
        <v>20479.698150000022</v>
      </c>
      <c r="AD84" s="181">
        <v>21979.039249999976</v>
      </c>
      <c r="AE84" s="181">
        <v>18724.750139999993</v>
      </c>
      <c r="AF84" s="181">
        <v>19091.728890000002</v>
      </c>
      <c r="AG84" s="181">
        <v>19370.458120000003</v>
      </c>
      <c r="AH84" s="181">
        <v>20059.632680000006</v>
      </c>
      <c r="AI84" s="182">
        <f t="shared" si="66"/>
        <v>38405.729149999999</v>
      </c>
      <c r="AJ84" s="184"/>
      <c r="AK84" s="185"/>
      <c r="AL84" s="185"/>
      <c r="AM84" s="185"/>
      <c r="AN84" s="186"/>
      <c r="AO84" s="137">
        <f t="shared" si="55"/>
        <v>206251.98252999998</v>
      </c>
      <c r="AP84" s="179">
        <v>1105391.5692700001</v>
      </c>
    </row>
    <row r="85" spans="1:48" ht="12.75" customHeight="1" x14ac:dyDescent="0.2">
      <c r="A85" s="148"/>
      <c r="B85" s="149"/>
      <c r="C85" s="137"/>
      <c r="D85" s="137"/>
      <c r="E85" s="137" t="s">
        <v>127</v>
      </c>
      <c r="F85" s="137"/>
      <c r="G85" s="150"/>
      <c r="H85" s="181">
        <v>860206.99999999988</v>
      </c>
      <c r="I85" s="209">
        <v>53854.645389999998</v>
      </c>
      <c r="J85" s="180">
        <f>60911.93396+50.1281600000148</f>
        <v>60962.062120000017</v>
      </c>
      <c r="K85" s="180">
        <v>0</v>
      </c>
      <c r="L85" s="180">
        <v>0</v>
      </c>
      <c r="M85" s="180">
        <v>0</v>
      </c>
      <c r="N85" s="180">
        <v>0</v>
      </c>
      <c r="O85" s="180">
        <v>0</v>
      </c>
      <c r="P85" s="180">
        <v>0</v>
      </c>
      <c r="Q85" s="180">
        <v>0</v>
      </c>
      <c r="R85" s="180">
        <v>0</v>
      </c>
      <c r="S85" s="180">
        <v>0</v>
      </c>
      <c r="T85" s="180">
        <v>0</v>
      </c>
      <c r="U85" s="264">
        <f t="shared" si="65"/>
        <v>114816.70751000001</v>
      </c>
      <c r="V85" s="180">
        <v>1401158.3138600001</v>
      </c>
      <c r="W85" s="185">
        <v>63984.520299999996</v>
      </c>
      <c r="X85" s="181">
        <v>105068.4385</v>
      </c>
      <c r="Y85" s="265">
        <v>70767.325019999975</v>
      </c>
      <c r="Z85" s="180">
        <v>81030.3946</v>
      </c>
      <c r="AA85" s="181">
        <v>79107.466309999974</v>
      </c>
      <c r="AB85" s="181">
        <v>71105.663699999961</v>
      </c>
      <c r="AC85" s="181">
        <v>80850.049009999973</v>
      </c>
      <c r="AD85" s="181">
        <v>74981.931689999998</v>
      </c>
      <c r="AE85" s="181">
        <v>421312.51058000018</v>
      </c>
      <c r="AF85" s="181">
        <v>80657.74791999998</v>
      </c>
      <c r="AG85" s="181">
        <v>74893.401209999996</v>
      </c>
      <c r="AH85" s="181">
        <v>197398.86501999997</v>
      </c>
      <c r="AI85" s="182">
        <f t="shared" si="66"/>
        <v>169052.95879999999</v>
      </c>
      <c r="AJ85" s="184"/>
      <c r="AK85" s="185"/>
      <c r="AL85" s="185"/>
      <c r="AM85" s="185"/>
      <c r="AN85" s="186"/>
      <c r="AO85" s="137">
        <f t="shared" si="55"/>
        <v>1232105.3550600002</v>
      </c>
      <c r="AP85" s="179">
        <v>-38344.857600000105</v>
      </c>
    </row>
    <row r="86" spans="1:48" ht="12.75" customHeight="1" x14ac:dyDescent="0.2">
      <c r="A86" s="148"/>
      <c r="B86" s="137"/>
      <c r="C86" s="137"/>
      <c r="D86" s="137"/>
      <c r="E86" s="192" t="s">
        <v>128</v>
      </c>
      <c r="F86" s="192"/>
      <c r="G86" s="193"/>
      <c r="H86" s="181">
        <v>10746</v>
      </c>
      <c r="I86" s="209">
        <v>158.95270000000002</v>
      </c>
      <c r="J86" s="180">
        <v>317.98962000000006</v>
      </c>
      <c r="K86" s="180">
        <v>0</v>
      </c>
      <c r="L86" s="181">
        <v>0</v>
      </c>
      <c r="M86" s="180">
        <v>0</v>
      </c>
      <c r="N86" s="180">
        <v>0</v>
      </c>
      <c r="O86" s="180">
        <v>0</v>
      </c>
      <c r="P86" s="180">
        <v>0</v>
      </c>
      <c r="Q86" s="180">
        <v>0</v>
      </c>
      <c r="R86" s="180">
        <v>0</v>
      </c>
      <c r="S86" s="180">
        <v>0</v>
      </c>
      <c r="T86" s="180">
        <v>0</v>
      </c>
      <c r="U86" s="264">
        <f t="shared" si="65"/>
        <v>476.94232000000011</v>
      </c>
      <c r="V86" s="180">
        <v>8177.1262400000005</v>
      </c>
      <c r="W86" s="185">
        <v>670.41235999999992</v>
      </c>
      <c r="X86" s="181">
        <v>691.09739999999988</v>
      </c>
      <c r="Y86" s="265">
        <v>288.20190000000002</v>
      </c>
      <c r="Z86" s="180">
        <v>1034.31034</v>
      </c>
      <c r="AA86" s="181">
        <v>598.82432999999992</v>
      </c>
      <c r="AB86" s="181">
        <v>426.37001000000004</v>
      </c>
      <c r="AC86" s="181">
        <v>1306.4145100000001</v>
      </c>
      <c r="AD86" s="181">
        <v>823.61602000000016</v>
      </c>
      <c r="AE86" s="181">
        <v>527.51756</v>
      </c>
      <c r="AF86" s="181">
        <v>899.89923999999985</v>
      </c>
      <c r="AG86" s="181">
        <v>267.71794</v>
      </c>
      <c r="AH86" s="181">
        <v>642.74463000000003</v>
      </c>
      <c r="AI86" s="182">
        <f t="shared" si="66"/>
        <v>1361.5097599999999</v>
      </c>
      <c r="AJ86" s="184"/>
      <c r="AK86" s="185"/>
      <c r="AL86" s="185"/>
      <c r="AM86" s="185"/>
      <c r="AN86" s="186"/>
      <c r="AO86" s="137">
        <f t="shared" si="55"/>
        <v>6815.6164800000006</v>
      </c>
      <c r="AP86" s="179">
        <v>199.14303000000291</v>
      </c>
    </row>
    <row r="87" spans="1:48" s="235" customFormat="1" ht="12.75" customHeight="1" x14ac:dyDescent="0.2">
      <c r="A87" s="229"/>
      <c r="B87" s="149"/>
      <c r="C87" s="149" t="s">
        <v>129</v>
      </c>
      <c r="D87" s="149"/>
      <c r="E87" s="149"/>
      <c r="F87" s="208"/>
      <c r="G87" s="268"/>
      <c r="H87" s="206">
        <v>667716</v>
      </c>
      <c r="I87" s="269">
        <v>0</v>
      </c>
      <c r="J87" s="269">
        <v>43672.644369999995</v>
      </c>
      <c r="K87" s="269">
        <v>0</v>
      </c>
      <c r="L87" s="269">
        <v>0</v>
      </c>
      <c r="M87" s="269">
        <v>0</v>
      </c>
      <c r="N87" s="269">
        <v>0</v>
      </c>
      <c r="O87" s="269">
        <v>0</v>
      </c>
      <c r="P87" s="269">
        <v>0</v>
      </c>
      <c r="Q87" s="269">
        <v>0</v>
      </c>
      <c r="R87" s="269">
        <v>0</v>
      </c>
      <c r="S87" s="196">
        <v>0</v>
      </c>
      <c r="T87" s="196">
        <v>0</v>
      </c>
      <c r="U87" s="207">
        <f t="shared" si="65"/>
        <v>43672.644369999995</v>
      </c>
      <c r="V87" s="200">
        <v>394776.45666999999</v>
      </c>
      <c r="W87" s="158">
        <v>457.86014999999998</v>
      </c>
      <c r="X87" s="202">
        <v>23005.272100000002</v>
      </c>
      <c r="Y87" s="196">
        <v>54417.97105</v>
      </c>
      <c r="Z87" s="196">
        <v>5269.59357</v>
      </c>
      <c r="AA87" s="202">
        <v>154.74808000000002</v>
      </c>
      <c r="AB87" s="202">
        <v>62255.075259999998</v>
      </c>
      <c r="AC87" s="202">
        <v>36439.328559999994</v>
      </c>
      <c r="AD87" s="202">
        <v>88764.374510000009</v>
      </c>
      <c r="AE87" s="202">
        <v>376.91915999999998</v>
      </c>
      <c r="AF87" s="202">
        <v>121.49248000000001</v>
      </c>
      <c r="AG87" s="202">
        <v>36067.773549999998</v>
      </c>
      <c r="AH87" s="202">
        <v>87446.048200000005</v>
      </c>
      <c r="AI87" s="261">
        <f t="shared" si="66"/>
        <v>23463.132250000002</v>
      </c>
      <c r="AJ87" s="157"/>
      <c r="AK87" s="158"/>
      <c r="AL87" s="158"/>
      <c r="AM87" s="158"/>
      <c r="AN87" s="178"/>
      <c r="AO87" s="137">
        <f t="shared" si="55"/>
        <v>371313.32441999996</v>
      </c>
      <c r="AP87" s="270">
        <v>89534.033969999989</v>
      </c>
    </row>
    <row r="88" spans="1:48" s="235" customFormat="1" ht="12.75" customHeight="1" x14ac:dyDescent="0.2">
      <c r="A88" s="229"/>
      <c r="B88" s="149"/>
      <c r="C88" s="149" t="s">
        <v>130</v>
      </c>
      <c r="D88" s="149"/>
      <c r="E88" s="149"/>
      <c r="F88" s="149"/>
      <c r="G88" s="271"/>
      <c r="H88" s="202">
        <v>874175</v>
      </c>
      <c r="I88" s="200">
        <v>3631.05654</v>
      </c>
      <c r="J88" s="200">
        <v>15649.83107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7">
        <f t="shared" si="65"/>
        <v>19280.887610000002</v>
      </c>
      <c r="V88" s="200">
        <v>569492.98039000004</v>
      </c>
      <c r="W88" s="158">
        <v>11083.14739</v>
      </c>
      <c r="X88" s="202">
        <v>19369.1571</v>
      </c>
      <c r="Y88" s="272">
        <v>23716.632320000001</v>
      </c>
      <c r="Z88" s="200">
        <v>86933.891780000005</v>
      </c>
      <c r="AA88" s="202">
        <v>21805.403830000003</v>
      </c>
      <c r="AB88" s="202">
        <v>23042.901619999997</v>
      </c>
      <c r="AC88" s="202">
        <v>38105.752390000009</v>
      </c>
      <c r="AD88" s="202">
        <v>18607.126390000001</v>
      </c>
      <c r="AE88" s="202">
        <v>18700.432900000003</v>
      </c>
      <c r="AF88" s="202">
        <v>40570.429290000007</v>
      </c>
      <c r="AG88" s="202">
        <v>27400.775330000004</v>
      </c>
      <c r="AH88" s="202">
        <v>240157.33004999999</v>
      </c>
      <c r="AI88" s="261">
        <f t="shared" si="66"/>
        <v>30452.304490000002</v>
      </c>
      <c r="AJ88" s="157"/>
      <c r="AK88" s="158"/>
      <c r="AL88" s="158"/>
      <c r="AM88" s="158"/>
      <c r="AN88" s="178"/>
      <c r="AO88" s="137">
        <f t="shared" si="55"/>
        <v>539040.67590000003</v>
      </c>
      <c r="AP88" s="270">
        <v>513621.87241999991</v>
      </c>
    </row>
    <row r="89" spans="1:48" s="235" customFormat="1" ht="12.75" customHeight="1" x14ac:dyDescent="0.2">
      <c r="A89" s="229"/>
      <c r="B89" s="149"/>
      <c r="C89" s="149" t="s">
        <v>131</v>
      </c>
      <c r="D89" s="149"/>
      <c r="E89" s="208"/>
      <c r="F89" s="208"/>
      <c r="G89" s="268"/>
      <c r="H89" s="206"/>
      <c r="I89" s="269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264"/>
      <c r="V89" s="200"/>
      <c r="W89" s="185"/>
      <c r="X89" s="206"/>
      <c r="Y89" s="213"/>
      <c r="Z89" s="213"/>
      <c r="AA89" s="206"/>
      <c r="AB89" s="206"/>
      <c r="AC89" s="206"/>
      <c r="AD89" s="206"/>
      <c r="AE89" s="206"/>
      <c r="AF89" s="206"/>
      <c r="AG89" s="206"/>
      <c r="AH89" s="206"/>
      <c r="AI89" s="261"/>
      <c r="AJ89" s="157"/>
      <c r="AK89" s="158"/>
      <c r="AL89" s="158"/>
      <c r="AM89" s="158"/>
      <c r="AN89" s="178"/>
      <c r="AO89" s="137">
        <f t="shared" si="55"/>
        <v>0</v>
      </c>
      <c r="AP89" s="270">
        <v>0</v>
      </c>
    </row>
    <row r="90" spans="1:48" ht="12.75" customHeight="1" x14ac:dyDescent="0.2">
      <c r="A90" s="148"/>
      <c r="B90" s="137"/>
      <c r="C90" s="137"/>
      <c r="D90" s="137"/>
      <c r="E90" s="204" t="s">
        <v>132</v>
      </c>
      <c r="F90" s="204"/>
      <c r="G90" s="195"/>
      <c r="H90" s="212">
        <v>6065515.0000000009</v>
      </c>
      <c r="I90" s="209">
        <v>482155.24502999999</v>
      </c>
      <c r="J90" s="209">
        <f>202472.47722+12.445689999964</f>
        <v>202484.92290999996</v>
      </c>
      <c r="K90" s="209">
        <v>0</v>
      </c>
      <c r="L90" s="209">
        <v>0</v>
      </c>
      <c r="M90" s="209">
        <v>0</v>
      </c>
      <c r="N90" s="209">
        <v>0</v>
      </c>
      <c r="O90" s="209">
        <v>0</v>
      </c>
      <c r="P90" s="209">
        <v>0</v>
      </c>
      <c r="Q90" s="209">
        <v>0</v>
      </c>
      <c r="R90" s="209">
        <v>0</v>
      </c>
      <c r="S90" s="213">
        <v>0</v>
      </c>
      <c r="T90" s="213">
        <v>0</v>
      </c>
      <c r="U90" s="255">
        <f t="shared" ref="U90:U92" si="67">SUM(I90:T90)</f>
        <v>684640.16793999996</v>
      </c>
      <c r="V90" s="180">
        <v>7609723.8490999993</v>
      </c>
      <c r="W90" s="185">
        <v>255780.98400999996</v>
      </c>
      <c r="X90" s="181">
        <v>113001.25293000002</v>
      </c>
      <c r="Y90" s="213">
        <v>161237.88804000008</v>
      </c>
      <c r="Z90" s="213">
        <v>271416.64196999982</v>
      </c>
      <c r="AA90" s="181">
        <v>371299.54551000003</v>
      </c>
      <c r="AB90" s="181">
        <v>178286.11244000003</v>
      </c>
      <c r="AC90" s="181">
        <v>228969.74388999998</v>
      </c>
      <c r="AD90" s="181">
        <v>273606.31952999998</v>
      </c>
      <c r="AE90" s="181">
        <v>368984.86741999997</v>
      </c>
      <c r="AF90" s="181">
        <v>314904.80430999998</v>
      </c>
      <c r="AG90" s="181">
        <v>418372.13496000005</v>
      </c>
      <c r="AH90" s="181">
        <v>4653863.5540899988</v>
      </c>
      <c r="AI90" s="182">
        <f t="shared" ref="AI90:AI92" si="68">SUM(W90:X90)</f>
        <v>368782.23693999997</v>
      </c>
      <c r="AJ90" s="184"/>
      <c r="AK90" s="185"/>
      <c r="AL90" s="185"/>
      <c r="AM90" s="185"/>
      <c r="AN90" s="186"/>
      <c r="AO90" s="137">
        <f t="shared" si="55"/>
        <v>7240941.6121599991</v>
      </c>
      <c r="AP90" s="179">
        <v>1650.9752800008282</v>
      </c>
    </row>
    <row r="91" spans="1:48" ht="12.75" customHeight="1" x14ac:dyDescent="0.2">
      <c r="A91" s="148"/>
      <c r="B91" s="149"/>
      <c r="C91" s="137"/>
      <c r="D91" s="137"/>
      <c r="E91" s="204" t="s">
        <v>133</v>
      </c>
      <c r="F91" s="204"/>
      <c r="G91" s="195"/>
      <c r="H91" s="181">
        <v>993579.00000000012</v>
      </c>
      <c r="I91" s="209">
        <v>0</v>
      </c>
      <c r="J91" s="209">
        <v>0</v>
      </c>
      <c r="K91" s="209">
        <v>0</v>
      </c>
      <c r="L91" s="209">
        <v>0</v>
      </c>
      <c r="M91" s="209">
        <v>0</v>
      </c>
      <c r="N91" s="209">
        <v>0</v>
      </c>
      <c r="O91" s="209">
        <v>0</v>
      </c>
      <c r="P91" s="209">
        <v>0</v>
      </c>
      <c r="Q91" s="209">
        <v>0</v>
      </c>
      <c r="R91" s="209">
        <v>0</v>
      </c>
      <c r="S91" s="180">
        <v>0</v>
      </c>
      <c r="T91" s="180">
        <v>0</v>
      </c>
      <c r="U91" s="264">
        <f t="shared" si="67"/>
        <v>0</v>
      </c>
      <c r="V91" s="180">
        <v>706826.72265999997</v>
      </c>
      <c r="W91" s="185">
        <v>0</v>
      </c>
      <c r="X91" s="181">
        <v>0</v>
      </c>
      <c r="Y91" s="265">
        <v>516408.63178</v>
      </c>
      <c r="Z91" s="180">
        <v>0</v>
      </c>
      <c r="AA91" s="181">
        <v>0</v>
      </c>
      <c r="AB91" s="181">
        <v>0</v>
      </c>
      <c r="AC91" s="181">
        <v>0</v>
      </c>
      <c r="AD91" s="181">
        <v>0</v>
      </c>
      <c r="AE91" s="181">
        <v>190418.09088000003</v>
      </c>
      <c r="AF91" s="181">
        <v>0</v>
      </c>
      <c r="AG91" s="181">
        <v>0</v>
      </c>
      <c r="AH91" s="181">
        <v>0</v>
      </c>
      <c r="AI91" s="182">
        <f t="shared" si="68"/>
        <v>0</v>
      </c>
      <c r="AJ91" s="184"/>
      <c r="AK91" s="185"/>
      <c r="AL91" s="185"/>
      <c r="AM91" s="185"/>
      <c r="AN91" s="186"/>
      <c r="AO91" s="137">
        <f t="shared" si="55"/>
        <v>706826.72265999997</v>
      </c>
      <c r="AP91" s="179">
        <v>0.42619000002741814</v>
      </c>
    </row>
    <row r="92" spans="1:48" ht="12.6" customHeight="1" x14ac:dyDescent="0.2">
      <c r="A92" s="148"/>
      <c r="B92" s="137"/>
      <c r="C92" s="137"/>
      <c r="D92" s="137"/>
      <c r="E92" s="204" t="s">
        <v>134</v>
      </c>
      <c r="F92" s="204"/>
      <c r="G92" s="195"/>
      <c r="H92" s="181">
        <v>12825508.000000002</v>
      </c>
      <c r="I92" s="209">
        <v>1215.8561399999999</v>
      </c>
      <c r="J92" s="209">
        <v>6536.7468999999501</v>
      </c>
      <c r="K92" s="209">
        <v>0</v>
      </c>
      <c r="L92" s="209">
        <v>0</v>
      </c>
      <c r="M92" s="209">
        <v>0</v>
      </c>
      <c r="N92" s="209">
        <v>0</v>
      </c>
      <c r="O92" s="209">
        <v>0</v>
      </c>
      <c r="P92" s="209">
        <v>0</v>
      </c>
      <c r="Q92" s="209">
        <v>0</v>
      </c>
      <c r="R92" s="209">
        <v>0</v>
      </c>
      <c r="S92" s="180">
        <v>0</v>
      </c>
      <c r="T92" s="180">
        <v>0</v>
      </c>
      <c r="U92" s="264">
        <f t="shared" si="67"/>
        <v>7752.6030399999499</v>
      </c>
      <c r="V92" s="180">
        <v>11829142.002510002</v>
      </c>
      <c r="W92" s="185">
        <v>-5657.8327199999994</v>
      </c>
      <c r="X92" s="181">
        <v>41115.461739999999</v>
      </c>
      <c r="Y92" s="265">
        <v>4767655.2598700002</v>
      </c>
      <c r="Z92" s="180">
        <v>9506.9745599999987</v>
      </c>
      <c r="AA92" s="181">
        <v>380607.92888999998</v>
      </c>
      <c r="AB92" s="181">
        <v>232357.98866999999</v>
      </c>
      <c r="AC92" s="181">
        <v>26369.738539999998</v>
      </c>
      <c r="AD92" s="181">
        <v>-2628.7111500000001</v>
      </c>
      <c r="AE92" s="181">
        <v>5648692.5219100006</v>
      </c>
      <c r="AF92" s="181">
        <v>30086.185430000001</v>
      </c>
      <c r="AG92" s="181">
        <v>423557.45937</v>
      </c>
      <c r="AH92" s="181">
        <v>277479.02740000002</v>
      </c>
      <c r="AI92" s="182">
        <f t="shared" si="68"/>
        <v>35457.62902</v>
      </c>
      <c r="AJ92" s="184"/>
      <c r="AK92" s="185"/>
      <c r="AL92" s="185"/>
      <c r="AM92" s="185"/>
      <c r="AN92" s="186"/>
      <c r="AO92" s="137">
        <f t="shared" si="55"/>
        <v>11793684.373490002</v>
      </c>
      <c r="AP92" s="179">
        <v>1846.8231500033289</v>
      </c>
    </row>
    <row r="93" spans="1:48" s="179" customFormat="1" ht="12.75" customHeight="1" x14ac:dyDescent="0.2">
      <c r="A93" s="186"/>
      <c r="B93" s="173"/>
      <c r="C93" s="173"/>
      <c r="D93" s="173"/>
      <c r="E93" s="210" t="s">
        <v>135</v>
      </c>
      <c r="F93" s="210"/>
      <c r="G93" s="195"/>
      <c r="H93" s="218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150"/>
      <c r="T93" s="150"/>
      <c r="U93" s="273"/>
      <c r="V93" s="150"/>
      <c r="W93" s="185"/>
      <c r="X93" s="218"/>
      <c r="Y93" s="274"/>
      <c r="Z93" s="150"/>
      <c r="AA93" s="218"/>
      <c r="AB93" s="218"/>
      <c r="AC93" s="218"/>
      <c r="AD93" s="218"/>
      <c r="AE93" s="218"/>
      <c r="AF93" s="218"/>
      <c r="AG93" s="218"/>
      <c r="AH93" s="218"/>
      <c r="AI93" s="182"/>
      <c r="AJ93" s="184"/>
      <c r="AK93" s="185"/>
      <c r="AL93" s="185"/>
      <c r="AM93" s="185"/>
      <c r="AN93" s="186"/>
      <c r="AO93" s="137">
        <f t="shared" si="55"/>
        <v>0</v>
      </c>
      <c r="AP93" s="179">
        <v>0</v>
      </c>
      <c r="AR93" s="119" t="s">
        <v>136</v>
      </c>
      <c r="AS93" s="119" t="s">
        <v>137</v>
      </c>
      <c r="AV93" s="136"/>
    </row>
    <row r="94" spans="1:48" s="179" customFormat="1" ht="12.75" customHeight="1" x14ac:dyDescent="0.2">
      <c r="A94" s="186"/>
      <c r="B94" s="173"/>
      <c r="C94" s="173"/>
      <c r="D94" s="173"/>
      <c r="E94" s="275" t="s">
        <v>138</v>
      </c>
      <c r="F94" s="210"/>
      <c r="G94" s="195"/>
      <c r="H94" s="218">
        <v>12696862</v>
      </c>
      <c r="I94" s="195">
        <v>380.17591999999996</v>
      </c>
      <c r="J94" s="195">
        <v>6086.8554899999872</v>
      </c>
      <c r="K94" s="195">
        <v>0</v>
      </c>
      <c r="L94" s="195">
        <v>0</v>
      </c>
      <c r="M94" s="209">
        <v>0</v>
      </c>
      <c r="N94" s="209">
        <v>0</v>
      </c>
      <c r="O94" s="209">
        <v>0</v>
      </c>
      <c r="P94" s="209">
        <v>0</v>
      </c>
      <c r="Q94" s="209">
        <v>0</v>
      </c>
      <c r="R94" s="195">
        <v>0</v>
      </c>
      <c r="S94" s="150">
        <v>0</v>
      </c>
      <c r="T94" s="150">
        <v>0</v>
      </c>
      <c r="U94" s="273">
        <f t="shared" ref="U94:U95" si="69">SUM(I94:T94)</f>
        <v>6467.0314099999869</v>
      </c>
      <c r="V94" s="276">
        <v>11805053.03207</v>
      </c>
      <c r="W94" s="219">
        <v>-7334.9199100000005</v>
      </c>
      <c r="X94" s="277">
        <v>36755.333070000008</v>
      </c>
      <c r="Y94" s="274">
        <v>4765511.9956200002</v>
      </c>
      <c r="Z94" s="150">
        <v>6054.1492800000005</v>
      </c>
      <c r="AA94" s="277">
        <v>379623.93800000002</v>
      </c>
      <c r="AB94" s="277">
        <v>229496.76089999999</v>
      </c>
      <c r="AC94" s="277">
        <v>24177.015530000001</v>
      </c>
      <c r="AD94" s="277">
        <v>-4490</v>
      </c>
      <c r="AE94" s="277">
        <v>5647202.7313400004</v>
      </c>
      <c r="AF94" s="277">
        <v>29194.527320000001</v>
      </c>
      <c r="AG94" s="277">
        <v>422131.29044999997</v>
      </c>
      <c r="AH94" s="277">
        <v>276730.21047000005</v>
      </c>
      <c r="AI94" s="221">
        <f t="shared" ref="AI94:AI96" si="70">SUM(W94:X94)</f>
        <v>29420.413160000007</v>
      </c>
      <c r="AJ94" s="222"/>
      <c r="AK94" s="219"/>
      <c r="AL94" s="219"/>
      <c r="AM94" s="219"/>
      <c r="AN94" s="186"/>
      <c r="AO94" s="137">
        <f t="shared" si="55"/>
        <v>11775632.61891</v>
      </c>
      <c r="AP94" s="179">
        <v>-413476.23652999662</v>
      </c>
      <c r="AR94" s="179">
        <f>+V75</f>
        <v>1355748954.6159399</v>
      </c>
      <c r="AS94" s="179">
        <f>+'[13]2A'!$C$37</f>
        <v>1287690241</v>
      </c>
      <c r="AT94" s="179" t="str">
        <f>+B75</f>
        <v>Total tax revenue (gross)</v>
      </c>
      <c r="AV94" s="136"/>
    </row>
    <row r="95" spans="1:48" s="235" customFormat="1" ht="12.75" customHeight="1" x14ac:dyDescent="0.2">
      <c r="A95" s="229"/>
      <c r="B95" s="149"/>
      <c r="C95" s="149" t="s">
        <v>139</v>
      </c>
      <c r="D95" s="149"/>
      <c r="E95" s="208"/>
      <c r="F95" s="208"/>
      <c r="G95" s="268"/>
      <c r="H95" s="202">
        <v>129305.00000000003</v>
      </c>
      <c r="I95" s="269">
        <v>2077.8758600000001</v>
      </c>
      <c r="J95" s="269">
        <v>46.144419999999997</v>
      </c>
      <c r="K95" s="269">
        <v>0</v>
      </c>
      <c r="L95" s="269">
        <v>0</v>
      </c>
      <c r="M95" s="269">
        <v>0</v>
      </c>
      <c r="N95" s="269">
        <v>0</v>
      </c>
      <c r="O95" s="269">
        <v>0</v>
      </c>
      <c r="P95" s="269">
        <v>0</v>
      </c>
      <c r="Q95" s="269">
        <v>0</v>
      </c>
      <c r="R95" s="269">
        <v>0</v>
      </c>
      <c r="S95" s="269">
        <v>0</v>
      </c>
      <c r="T95" s="269">
        <v>0</v>
      </c>
      <c r="U95" s="278">
        <f t="shared" si="69"/>
        <v>2124.0202800000002</v>
      </c>
      <c r="V95" s="200">
        <v>110373.04635</v>
      </c>
      <c r="W95" s="158">
        <v>5438.2048099999993</v>
      </c>
      <c r="X95" s="202">
        <v>6565.1272600000011</v>
      </c>
      <c r="Y95" s="272">
        <v>656.6812000000001</v>
      </c>
      <c r="Z95" s="200">
        <v>12160.331600000001</v>
      </c>
      <c r="AA95" s="202">
        <v>7938.5100700000003</v>
      </c>
      <c r="AB95" s="202">
        <v>2807.8927999999996</v>
      </c>
      <c r="AC95" s="202">
        <v>23742.665419999998</v>
      </c>
      <c r="AD95" s="202">
        <v>12790.411450000001</v>
      </c>
      <c r="AE95" s="202">
        <v>6513.8173900000002</v>
      </c>
      <c r="AF95" s="202">
        <v>8706.8478699999996</v>
      </c>
      <c r="AG95" s="202">
        <v>5262.6681800000006</v>
      </c>
      <c r="AH95" s="202">
        <v>17789.888300000002</v>
      </c>
      <c r="AI95" s="261">
        <f t="shared" si="70"/>
        <v>12003.33207</v>
      </c>
      <c r="AJ95" s="157"/>
      <c r="AK95" s="158"/>
      <c r="AL95" s="158"/>
      <c r="AM95" s="158"/>
      <c r="AN95" s="178"/>
      <c r="AO95" s="137">
        <f>+V95-AI95</f>
        <v>98369.71428</v>
      </c>
      <c r="AP95" s="270">
        <v>8721.9927100000059</v>
      </c>
      <c r="AR95" s="235">
        <f>+V138</f>
        <v>42755354.662430003</v>
      </c>
      <c r="AS95" s="235">
        <f>+'[13]2A'!$C$40</f>
        <v>42426677</v>
      </c>
      <c r="AT95" s="235" t="str">
        <f>+A138</f>
        <v>Revenue collected on behalf of the RAF</v>
      </c>
    </row>
    <row r="96" spans="1:48" s="235" customFormat="1" ht="12" customHeight="1" x14ac:dyDescent="0.2">
      <c r="A96" s="229"/>
      <c r="B96" s="149"/>
      <c r="C96" s="149" t="s">
        <v>140</v>
      </c>
      <c r="D96" s="149"/>
      <c r="E96" s="149"/>
      <c r="F96" s="149"/>
      <c r="G96" s="268"/>
      <c r="H96" s="200">
        <f>5997286+H113</f>
        <v>12002286</v>
      </c>
      <c r="I96" s="200">
        <f t="shared" ref="I96" si="71">SUM(I97:I100)+I113</f>
        <v>1280906.1494</v>
      </c>
      <c r="J96" s="200">
        <f>SUM(J97:J100)+J113</f>
        <v>2831956.80357</v>
      </c>
      <c r="K96" s="202">
        <f t="shared" ref="K96:T96" si="72">SUM(K97:K100)+K113</f>
        <v>0</v>
      </c>
      <c r="L96" s="202">
        <f t="shared" si="72"/>
        <v>0</v>
      </c>
      <c r="M96" s="202">
        <f t="shared" si="72"/>
        <v>0</v>
      </c>
      <c r="N96" s="202">
        <f t="shared" si="72"/>
        <v>0</v>
      </c>
      <c r="O96" s="202">
        <f t="shared" si="72"/>
        <v>0</v>
      </c>
      <c r="P96" s="202">
        <f t="shared" si="72"/>
        <v>0</v>
      </c>
      <c r="Q96" s="202">
        <f t="shared" si="72"/>
        <v>0</v>
      </c>
      <c r="R96" s="202">
        <f t="shared" si="72"/>
        <v>0</v>
      </c>
      <c r="S96" s="202">
        <f t="shared" si="72"/>
        <v>0</v>
      </c>
      <c r="T96" s="202">
        <f t="shared" si="72"/>
        <v>0</v>
      </c>
      <c r="U96" s="261">
        <f>SUM(I96:T96)</f>
        <v>4112862.95297</v>
      </c>
      <c r="V96" s="200">
        <v>15160723.690260002</v>
      </c>
      <c r="W96" s="158">
        <f>SUM(W97:W100)+W113</f>
        <v>1235326.4612799999</v>
      </c>
      <c r="X96" s="202">
        <f t="shared" ref="X96:Z96" si="73">SUM(X97:X100)+X113</f>
        <v>5593836.7601199998</v>
      </c>
      <c r="Y96" s="279">
        <f t="shared" si="73"/>
        <v>284186.87654999999</v>
      </c>
      <c r="Z96" s="202">
        <f t="shared" si="73"/>
        <v>296558.83786999999</v>
      </c>
      <c r="AA96" s="202">
        <f>SUM(AA97:AA100)+AA113</f>
        <v>602188.26864000002</v>
      </c>
      <c r="AB96" s="202">
        <f>SUM(AB97:AB100)+AB113</f>
        <v>555439.60193999996</v>
      </c>
      <c r="AC96" s="202">
        <f t="shared" ref="AC96" si="74">SUM(AC97:AC100)+AC113</f>
        <v>213671.71426000001</v>
      </c>
      <c r="AD96" s="202">
        <f t="shared" ref="AD96" si="75">SUM(AD97:AD100)+AD113</f>
        <v>421742.44568</v>
      </c>
      <c r="AE96" s="202">
        <f>SUM(AE97:AE100)+AE113</f>
        <v>178106.67632</v>
      </c>
      <c r="AF96" s="202">
        <f>SUM(AF97:AF100)+AF113</f>
        <v>345909.19066999998</v>
      </c>
      <c r="AG96" s="202">
        <f>SUM(AG97:AG100)+AG113</f>
        <v>600528.02382999996</v>
      </c>
      <c r="AH96" s="202">
        <f>SUM(AH97:AH100)+AH113+1479589</f>
        <v>4833228.8331000004</v>
      </c>
      <c r="AI96" s="261">
        <f t="shared" si="70"/>
        <v>6829163.2214000002</v>
      </c>
      <c r="AJ96" s="157"/>
      <c r="AK96" s="158"/>
      <c r="AL96" s="158"/>
      <c r="AM96" s="158"/>
      <c r="AN96" s="178"/>
      <c r="AO96" s="137">
        <f>+V96-AI96</f>
        <v>8331560.4688600022</v>
      </c>
      <c r="AP96" s="137">
        <v>1349618.5515399985</v>
      </c>
      <c r="AR96" s="235">
        <f>+V139</f>
        <v>20100560.826980002</v>
      </c>
      <c r="AS96" s="235">
        <f>+'[13]2A'!$C$41</f>
        <v>19116523</v>
      </c>
      <c r="AT96" s="235" t="str">
        <f>+A139</f>
        <v>Revenue collected on behalf of the UIF</v>
      </c>
    </row>
    <row r="97" spans="1:42" ht="12" hidden="1" customHeight="1" x14ac:dyDescent="0.2">
      <c r="A97" s="148"/>
      <c r="B97" s="137"/>
      <c r="C97" s="137"/>
      <c r="D97" s="137"/>
      <c r="E97" s="137" t="s">
        <v>141</v>
      </c>
      <c r="F97" s="137"/>
      <c r="G97" s="280"/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181">
        <v>0</v>
      </c>
      <c r="R97" s="181">
        <v>0</v>
      </c>
      <c r="S97" s="181">
        <v>0</v>
      </c>
      <c r="T97" s="181">
        <v>0</v>
      </c>
      <c r="U97" s="182">
        <v>0</v>
      </c>
      <c r="V97" s="180">
        <v>0</v>
      </c>
      <c r="W97" s="185">
        <v>0</v>
      </c>
      <c r="X97" s="181">
        <v>0</v>
      </c>
      <c r="Y97" s="281">
        <v>0</v>
      </c>
      <c r="Z97" s="181">
        <v>0</v>
      </c>
      <c r="AA97" s="181">
        <v>0</v>
      </c>
      <c r="AB97" s="181">
        <v>0</v>
      </c>
      <c r="AC97" s="181">
        <v>0</v>
      </c>
      <c r="AD97" s="181">
        <v>0</v>
      </c>
      <c r="AE97" s="181">
        <v>0</v>
      </c>
      <c r="AF97" s="181">
        <v>0</v>
      </c>
      <c r="AG97" s="181">
        <v>0</v>
      </c>
      <c r="AH97" s="181">
        <v>0</v>
      </c>
      <c r="AI97" s="182">
        <f>SUM(W97:AH97)</f>
        <v>0</v>
      </c>
      <c r="AJ97" s="184"/>
      <c r="AK97" s="185"/>
      <c r="AL97" s="185"/>
      <c r="AM97" s="185"/>
      <c r="AN97" s="186"/>
      <c r="AO97" s="137">
        <f>+V97-AI97</f>
        <v>0</v>
      </c>
      <c r="AP97" s="179">
        <v>0</v>
      </c>
    </row>
    <row r="98" spans="1:42" ht="12.75" hidden="1" customHeight="1" x14ac:dyDescent="0.2">
      <c r="A98" s="148"/>
      <c r="B98" s="137"/>
      <c r="C98" s="137"/>
      <c r="D98" s="137"/>
      <c r="E98" s="282" t="s">
        <v>142</v>
      </c>
      <c r="F98" s="283"/>
      <c r="G98" s="204"/>
      <c r="H98" s="284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181">
        <v>0</v>
      </c>
      <c r="R98" s="181">
        <v>0</v>
      </c>
      <c r="S98" s="181">
        <v>0</v>
      </c>
      <c r="T98" s="181">
        <v>0</v>
      </c>
      <c r="U98" s="182">
        <v>0</v>
      </c>
      <c r="V98" s="180">
        <v>3098.4096300000001</v>
      </c>
      <c r="W98" s="185">
        <v>0</v>
      </c>
      <c r="X98" s="181">
        <v>0</v>
      </c>
      <c r="Y98" s="281">
        <v>0</v>
      </c>
      <c r="Z98" s="181">
        <v>1504.76965</v>
      </c>
      <c r="AA98" s="181">
        <v>0</v>
      </c>
      <c r="AB98" s="181">
        <v>0</v>
      </c>
      <c r="AC98" s="181">
        <v>0.5438099999999999</v>
      </c>
      <c r="AD98" s="181">
        <v>0</v>
      </c>
      <c r="AE98" s="181">
        <v>1593.09617</v>
      </c>
      <c r="AF98" s="181">
        <v>0</v>
      </c>
      <c r="AG98" s="181">
        <v>-0.45380999999999999</v>
      </c>
      <c r="AH98" s="181">
        <v>-0.25</v>
      </c>
      <c r="AI98" s="182">
        <f t="shared" ref="AI98:AI111" si="76">SUM(W98:AH98)</f>
        <v>3097.7058200000001</v>
      </c>
      <c r="AJ98" s="184"/>
      <c r="AK98" s="185"/>
      <c r="AL98" s="185"/>
      <c r="AM98" s="185"/>
      <c r="AN98" s="186"/>
      <c r="AO98" s="137">
        <f>+V98-AI98</f>
        <v>0.70380999999997584</v>
      </c>
      <c r="AP98" s="179">
        <v>0</v>
      </c>
    </row>
    <row r="99" spans="1:42" ht="12.75" hidden="1" customHeight="1" x14ac:dyDescent="0.2">
      <c r="A99" s="148"/>
      <c r="B99" s="137"/>
      <c r="C99" s="137"/>
      <c r="D99" s="137"/>
      <c r="E99" s="204" t="s">
        <v>143</v>
      </c>
      <c r="F99" s="283"/>
      <c r="G99" s="204"/>
      <c r="H99" s="284">
        <v>0</v>
      </c>
      <c r="I99" s="181">
        <v>18853.483210000002</v>
      </c>
      <c r="J99" s="181">
        <f>19033.77909+8.19596999999339</f>
        <v>19041.975059999993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2">
        <v>0</v>
      </c>
      <c r="V99" s="180">
        <v>272660.25050999998</v>
      </c>
      <c r="W99" s="185">
        <v>24408.137859999999</v>
      </c>
      <c r="X99" s="181">
        <v>40689.833230000011</v>
      </c>
      <c r="Y99" s="281">
        <v>18392.487480000003</v>
      </c>
      <c r="Z99" s="181">
        <v>35678.211889999991</v>
      </c>
      <c r="AA99" s="181">
        <v>26279.083500000001</v>
      </c>
      <c r="AB99" s="181">
        <v>33922.239409999995</v>
      </c>
      <c r="AC99" s="181">
        <v>25873.676879999995</v>
      </c>
      <c r="AD99" s="181">
        <v>27443.008200000007</v>
      </c>
      <c r="AE99" s="181">
        <v>17919.739340000004</v>
      </c>
      <c r="AF99" s="181">
        <v>22053.832720000002</v>
      </c>
      <c r="AG99" s="181">
        <v>31630.425299999995</v>
      </c>
      <c r="AH99" s="181">
        <v>39729.460880000006</v>
      </c>
      <c r="AI99" s="182">
        <f t="shared" si="76"/>
        <v>344020.13669000001</v>
      </c>
      <c r="AJ99" s="184"/>
      <c r="AK99" s="185"/>
      <c r="AL99" s="185"/>
      <c r="AM99" s="185"/>
      <c r="AN99" s="186"/>
      <c r="AO99" s="137">
        <f t="shared" ref="AO99:AO111" si="77">+V99-AI99</f>
        <v>-71359.88618000003</v>
      </c>
      <c r="AP99" s="179">
        <v>0</v>
      </c>
    </row>
    <row r="100" spans="1:42" ht="12.75" hidden="1" customHeight="1" x14ac:dyDescent="0.2">
      <c r="A100" s="148"/>
      <c r="B100" s="137"/>
      <c r="C100" s="137"/>
      <c r="D100" s="137"/>
      <c r="E100" s="204" t="s">
        <v>144</v>
      </c>
      <c r="F100" s="283"/>
      <c r="G100" s="204"/>
      <c r="H100" s="284">
        <v>0</v>
      </c>
      <c r="I100" s="181">
        <f>SUM(I101:I111)</f>
        <v>25563.66619</v>
      </c>
      <c r="J100" s="181">
        <f t="shared" ref="J100" si="78">SUM(J101:J111)</f>
        <v>5774.8285100000012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181">
        <v>0</v>
      </c>
      <c r="R100" s="181">
        <v>0</v>
      </c>
      <c r="S100" s="181">
        <v>0</v>
      </c>
      <c r="T100" s="181">
        <v>0</v>
      </c>
      <c r="U100" s="182">
        <v>0</v>
      </c>
      <c r="V100" s="180">
        <v>470236.17318999994</v>
      </c>
      <c r="W100" s="185">
        <f>SUM(W101:W111)</f>
        <v>19400.323420000001</v>
      </c>
      <c r="X100" s="181">
        <f t="shared" ref="X100:Z100" si="79">SUM(X101:X111)</f>
        <v>30768.926889999999</v>
      </c>
      <c r="Y100" s="281">
        <f t="shared" si="79"/>
        <v>72466.38906999999</v>
      </c>
      <c r="Z100" s="181">
        <f t="shared" si="79"/>
        <v>22547.856329999999</v>
      </c>
      <c r="AA100" s="181">
        <f>SUM(AA101:AA111)</f>
        <v>39028.185140000001</v>
      </c>
      <c r="AB100" s="181">
        <f>SUM(AB101:AB111)</f>
        <v>211872.36252999995</v>
      </c>
      <c r="AC100" s="181">
        <f t="shared" ref="AC100:AG100" si="80">SUM(AC101:AC111)</f>
        <v>38218.493570000006</v>
      </c>
      <c r="AD100" s="181">
        <f t="shared" si="80"/>
        <v>4322.4374799999996</v>
      </c>
      <c r="AE100" s="181">
        <f t="shared" si="80"/>
        <v>15308.84081</v>
      </c>
      <c r="AF100" s="181">
        <f t="shared" si="80"/>
        <v>16302.357950000001</v>
      </c>
      <c r="AG100" s="181">
        <f t="shared" si="80"/>
        <v>10483.05234</v>
      </c>
      <c r="AH100" s="181">
        <f>SUM(AH101:AH111)</f>
        <v>51964.622219999983</v>
      </c>
      <c r="AI100" s="182">
        <f t="shared" si="76"/>
        <v>532683.84774999996</v>
      </c>
      <c r="AJ100" s="184"/>
      <c r="AK100" s="185"/>
      <c r="AL100" s="185"/>
      <c r="AM100" s="185"/>
      <c r="AN100" s="186"/>
      <c r="AO100" s="137">
        <f t="shared" si="77"/>
        <v>-62447.674560000014</v>
      </c>
      <c r="AP100" s="179">
        <v>0</v>
      </c>
    </row>
    <row r="101" spans="1:42" ht="12.75" hidden="1" customHeight="1" x14ac:dyDescent="0.2">
      <c r="A101" s="148"/>
      <c r="B101" s="137"/>
      <c r="C101" s="137"/>
      <c r="D101" s="137"/>
      <c r="E101" s="283" t="s">
        <v>145</v>
      </c>
      <c r="F101" s="283"/>
      <c r="G101" s="204"/>
      <c r="H101" s="285"/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2">
        <v>0</v>
      </c>
      <c r="V101" s="180">
        <v>146.27474000000001</v>
      </c>
      <c r="W101" s="185">
        <v>0</v>
      </c>
      <c r="X101" s="181">
        <v>0</v>
      </c>
      <c r="Y101" s="281">
        <v>0</v>
      </c>
      <c r="Z101" s="181">
        <v>146.15614000000002</v>
      </c>
      <c r="AA101" s="181">
        <v>0.1186</v>
      </c>
      <c r="AB101" s="181">
        <v>0</v>
      </c>
      <c r="AC101" s="181">
        <v>0</v>
      </c>
      <c r="AD101" s="181">
        <v>0</v>
      </c>
      <c r="AE101" s="181">
        <v>0</v>
      </c>
      <c r="AF101" s="181">
        <v>0</v>
      </c>
      <c r="AG101" s="181">
        <v>9.8306100000000001</v>
      </c>
      <c r="AH101" s="181">
        <v>0</v>
      </c>
      <c r="AI101" s="182">
        <f t="shared" si="76"/>
        <v>156.10535000000002</v>
      </c>
      <c r="AJ101" s="184"/>
      <c r="AK101" s="185"/>
      <c r="AL101" s="185"/>
      <c r="AM101" s="185"/>
      <c r="AN101" s="186"/>
      <c r="AO101" s="137">
        <f t="shared" si="77"/>
        <v>-9.8306100000000072</v>
      </c>
      <c r="AP101" s="179">
        <v>0</v>
      </c>
    </row>
    <row r="102" spans="1:42" ht="12.75" hidden="1" customHeight="1" x14ac:dyDescent="0.2">
      <c r="A102" s="148"/>
      <c r="B102" s="137"/>
      <c r="C102" s="137"/>
      <c r="D102" s="137"/>
      <c r="E102" s="283" t="s">
        <v>146</v>
      </c>
      <c r="F102" s="283"/>
      <c r="G102" s="204"/>
      <c r="H102" s="285"/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181">
        <v>0</v>
      </c>
      <c r="R102" s="181">
        <v>0</v>
      </c>
      <c r="S102" s="181">
        <v>0</v>
      </c>
      <c r="T102" s="181">
        <v>0</v>
      </c>
      <c r="U102" s="182">
        <v>0</v>
      </c>
      <c r="V102" s="180">
        <v>312.76666</v>
      </c>
      <c r="W102" s="185">
        <v>0</v>
      </c>
      <c r="X102" s="181">
        <v>0</v>
      </c>
      <c r="Y102" s="281">
        <v>0</v>
      </c>
      <c r="Z102" s="181">
        <v>0</v>
      </c>
      <c r="AA102" s="181">
        <v>0</v>
      </c>
      <c r="AB102" s="181">
        <v>315.85041999999999</v>
      </c>
      <c r="AC102" s="181">
        <v>0</v>
      </c>
      <c r="AD102" s="181">
        <v>0</v>
      </c>
      <c r="AE102" s="181">
        <v>-3.0837600000000003</v>
      </c>
      <c r="AF102" s="181">
        <v>0</v>
      </c>
      <c r="AG102" s="181">
        <v>0</v>
      </c>
      <c r="AH102" s="181">
        <v>0</v>
      </c>
      <c r="AI102" s="182">
        <f t="shared" si="76"/>
        <v>312.76666</v>
      </c>
      <c r="AJ102" s="184"/>
      <c r="AK102" s="185"/>
      <c r="AL102" s="185"/>
      <c r="AM102" s="185"/>
      <c r="AN102" s="186"/>
      <c r="AO102" s="137">
        <f t="shared" si="77"/>
        <v>0</v>
      </c>
      <c r="AP102" s="179">
        <v>0</v>
      </c>
    </row>
    <row r="103" spans="1:42" ht="12.75" hidden="1" customHeight="1" x14ac:dyDescent="0.2">
      <c r="A103" s="148"/>
      <c r="B103" s="137"/>
      <c r="C103" s="137"/>
      <c r="D103" s="137"/>
      <c r="E103" s="283" t="s">
        <v>147</v>
      </c>
      <c r="F103" s="283"/>
      <c r="G103" s="204"/>
      <c r="H103" s="285"/>
      <c r="I103" s="181">
        <v>8.3993099999999998</v>
      </c>
      <c r="J103" s="181">
        <v>25.462820000000001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181">
        <v>0</v>
      </c>
      <c r="R103" s="181">
        <v>0</v>
      </c>
      <c r="S103" s="181">
        <v>0</v>
      </c>
      <c r="T103" s="181">
        <v>0</v>
      </c>
      <c r="U103" s="182">
        <v>0</v>
      </c>
      <c r="V103" s="180">
        <v>1995.3980900000004</v>
      </c>
      <c r="W103" s="185">
        <v>202.31643999999997</v>
      </c>
      <c r="X103" s="181">
        <v>230.16913</v>
      </c>
      <c r="Y103" s="281">
        <v>314.65265000000005</v>
      </c>
      <c r="Z103" s="181">
        <v>233.35162999999997</v>
      </c>
      <c r="AA103" s="181">
        <v>122.42274999999999</v>
      </c>
      <c r="AB103" s="181">
        <v>211.89459000000002</v>
      </c>
      <c r="AC103" s="181">
        <v>209.71519000000001</v>
      </c>
      <c r="AD103" s="181">
        <v>261.80095999999998</v>
      </c>
      <c r="AE103" s="181">
        <v>108.26355</v>
      </c>
      <c r="AF103" s="181">
        <v>100.8112</v>
      </c>
      <c r="AG103" s="181">
        <v>241.22172999999998</v>
      </c>
      <c r="AH103" s="181">
        <v>192.36198000000002</v>
      </c>
      <c r="AI103" s="182">
        <f t="shared" si="76"/>
        <v>2428.9818000000005</v>
      </c>
      <c r="AJ103" s="184"/>
      <c r="AK103" s="185"/>
      <c r="AL103" s="185"/>
      <c r="AM103" s="185"/>
      <c r="AN103" s="186"/>
      <c r="AO103" s="137">
        <f t="shared" si="77"/>
        <v>-433.58371000000011</v>
      </c>
      <c r="AP103" s="179">
        <v>0</v>
      </c>
    </row>
    <row r="104" spans="1:42" ht="12.75" hidden="1" customHeight="1" x14ac:dyDescent="0.2">
      <c r="A104" s="148"/>
      <c r="B104" s="137"/>
      <c r="C104" s="137"/>
      <c r="D104" s="137"/>
      <c r="E104" s="283" t="s">
        <v>148</v>
      </c>
      <c r="F104" s="283"/>
      <c r="G104" s="204"/>
      <c r="H104" s="285"/>
      <c r="I104" s="181">
        <v>0</v>
      </c>
      <c r="J104" s="181">
        <v>1.4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2">
        <v>0</v>
      </c>
      <c r="V104" s="180">
        <v>23.028639999999999</v>
      </c>
      <c r="W104" s="185">
        <v>5.7514599999999998</v>
      </c>
      <c r="X104" s="181">
        <v>9.6931799999999999</v>
      </c>
      <c r="Y104" s="281">
        <v>0.63600000000000001</v>
      </c>
      <c r="Z104" s="181">
        <v>1.59</v>
      </c>
      <c r="AA104" s="181">
        <v>0.47699999999999998</v>
      </c>
      <c r="AB104" s="181">
        <v>1.9079999999999999</v>
      </c>
      <c r="AC104" s="181">
        <v>0</v>
      </c>
      <c r="AD104" s="181">
        <v>0.69599999999999995</v>
      </c>
      <c r="AE104" s="181">
        <v>0.9</v>
      </c>
      <c r="AF104" s="181">
        <v>1.377</v>
      </c>
      <c r="AG104" s="181">
        <v>2.6335000000000002</v>
      </c>
      <c r="AH104" s="181">
        <v>18.036000000000001</v>
      </c>
      <c r="AI104" s="182">
        <f t="shared" si="76"/>
        <v>43.698140000000002</v>
      </c>
      <c r="AJ104" s="184"/>
      <c r="AK104" s="185"/>
      <c r="AL104" s="185"/>
      <c r="AM104" s="185"/>
      <c r="AN104" s="186"/>
      <c r="AO104" s="137">
        <f t="shared" si="77"/>
        <v>-20.669500000000003</v>
      </c>
      <c r="AP104" s="179">
        <v>0</v>
      </c>
    </row>
    <row r="105" spans="1:42" ht="12.75" hidden="1" customHeight="1" x14ac:dyDescent="0.2">
      <c r="A105" s="148"/>
      <c r="B105" s="137"/>
      <c r="C105" s="137"/>
      <c r="D105" s="137"/>
      <c r="E105" s="283" t="s">
        <v>149</v>
      </c>
      <c r="F105" s="283"/>
      <c r="G105" s="204"/>
      <c r="H105" s="285"/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181">
        <v>0</v>
      </c>
      <c r="R105" s="181">
        <v>0</v>
      </c>
      <c r="S105" s="181">
        <v>0</v>
      </c>
      <c r="T105" s="181">
        <v>0</v>
      </c>
      <c r="U105" s="182">
        <v>0</v>
      </c>
      <c r="V105" s="180">
        <v>0</v>
      </c>
      <c r="W105" s="185">
        <v>0</v>
      </c>
      <c r="X105" s="181">
        <v>0</v>
      </c>
      <c r="Y105" s="281">
        <v>0</v>
      </c>
      <c r="Z105" s="181">
        <v>0</v>
      </c>
      <c r="AA105" s="181">
        <v>0</v>
      </c>
      <c r="AB105" s="181">
        <v>0</v>
      </c>
      <c r="AC105" s="181">
        <v>0</v>
      </c>
      <c r="AD105" s="181">
        <v>0</v>
      </c>
      <c r="AE105" s="181">
        <v>0</v>
      </c>
      <c r="AF105" s="181">
        <v>0</v>
      </c>
      <c r="AG105" s="181">
        <v>0</v>
      </c>
      <c r="AH105" s="181">
        <v>0</v>
      </c>
      <c r="AI105" s="182">
        <f t="shared" si="76"/>
        <v>0</v>
      </c>
      <c r="AJ105" s="184"/>
      <c r="AK105" s="185"/>
      <c r="AL105" s="185"/>
      <c r="AM105" s="185"/>
      <c r="AN105" s="186"/>
      <c r="AO105" s="137">
        <f t="shared" si="77"/>
        <v>0</v>
      </c>
      <c r="AP105" s="179">
        <v>0</v>
      </c>
    </row>
    <row r="106" spans="1:42" ht="12.75" hidden="1" customHeight="1" x14ac:dyDescent="0.2">
      <c r="A106" s="148"/>
      <c r="B106" s="137"/>
      <c r="C106" s="137"/>
      <c r="D106" s="137"/>
      <c r="E106" s="283" t="s">
        <v>150</v>
      </c>
      <c r="F106" s="283"/>
      <c r="G106" s="204"/>
      <c r="H106" s="285"/>
      <c r="I106" s="181">
        <v>0</v>
      </c>
      <c r="J106" s="181">
        <v>4.8891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181">
        <v>0</v>
      </c>
      <c r="R106" s="181">
        <v>0</v>
      </c>
      <c r="S106" s="181">
        <v>0</v>
      </c>
      <c r="T106" s="181">
        <v>0</v>
      </c>
      <c r="U106" s="182">
        <v>0</v>
      </c>
      <c r="V106" s="180">
        <v>3034.8514799999994</v>
      </c>
      <c r="W106" s="185">
        <v>1.0000000000000001E-5</v>
      </c>
      <c r="X106" s="181">
        <v>216.50257999999999</v>
      </c>
      <c r="Y106" s="281">
        <v>999.02687000000003</v>
      </c>
      <c r="Z106" s="181">
        <v>0.58432000000000006</v>
      </c>
      <c r="AA106" s="181">
        <v>41.032969999999999</v>
      </c>
      <c r="AB106" s="181">
        <v>473.41998999999998</v>
      </c>
      <c r="AC106" s="181">
        <v>467.36171999999999</v>
      </c>
      <c r="AD106" s="181">
        <v>205.60878</v>
      </c>
      <c r="AE106" s="181">
        <v>328.97113000000002</v>
      </c>
      <c r="AF106" s="181">
        <v>302.34310999999997</v>
      </c>
      <c r="AG106" s="181">
        <v>0</v>
      </c>
      <c r="AH106" s="181">
        <v>298.34915999999998</v>
      </c>
      <c r="AI106" s="182">
        <f t="shared" si="76"/>
        <v>3333.2006399999991</v>
      </c>
      <c r="AJ106" s="184"/>
      <c r="AK106" s="185"/>
      <c r="AL106" s="185"/>
      <c r="AM106" s="185"/>
      <c r="AN106" s="186"/>
      <c r="AO106" s="137">
        <f t="shared" si="77"/>
        <v>-298.34915999999976</v>
      </c>
      <c r="AP106" s="179">
        <v>0</v>
      </c>
    </row>
    <row r="107" spans="1:42" ht="12.75" hidden="1" customHeight="1" x14ac:dyDescent="0.2">
      <c r="A107" s="148"/>
      <c r="B107" s="137"/>
      <c r="C107" s="137"/>
      <c r="D107" s="137"/>
      <c r="E107" s="283" t="s">
        <v>151</v>
      </c>
      <c r="F107" s="283"/>
      <c r="G107" s="204"/>
      <c r="H107" s="285"/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181">
        <v>0</v>
      </c>
      <c r="R107" s="181">
        <v>0</v>
      </c>
      <c r="S107" s="181">
        <v>0</v>
      </c>
      <c r="T107" s="181">
        <v>0</v>
      </c>
      <c r="U107" s="182">
        <v>0</v>
      </c>
      <c r="V107" s="180">
        <v>0</v>
      </c>
      <c r="W107" s="185">
        <v>0</v>
      </c>
      <c r="X107" s="181">
        <v>0</v>
      </c>
      <c r="Y107" s="281">
        <v>0</v>
      </c>
      <c r="Z107" s="181">
        <v>0</v>
      </c>
      <c r="AA107" s="181">
        <v>0</v>
      </c>
      <c r="AB107" s="181">
        <v>0</v>
      </c>
      <c r="AC107" s="181">
        <v>0</v>
      </c>
      <c r="AD107" s="181">
        <v>0</v>
      </c>
      <c r="AE107" s="181">
        <v>0</v>
      </c>
      <c r="AF107" s="181">
        <v>0</v>
      </c>
      <c r="AG107" s="181">
        <v>0</v>
      </c>
      <c r="AH107" s="181">
        <v>0</v>
      </c>
      <c r="AI107" s="182">
        <f t="shared" si="76"/>
        <v>0</v>
      </c>
      <c r="AJ107" s="184"/>
      <c r="AK107" s="185"/>
      <c r="AL107" s="185"/>
      <c r="AM107" s="185"/>
      <c r="AN107" s="186"/>
      <c r="AO107" s="137">
        <f t="shared" si="77"/>
        <v>0</v>
      </c>
      <c r="AP107" s="179">
        <v>0</v>
      </c>
    </row>
    <row r="108" spans="1:42" ht="12.75" hidden="1" customHeight="1" x14ac:dyDescent="0.2">
      <c r="A108" s="148"/>
      <c r="B108" s="137"/>
      <c r="C108" s="137"/>
      <c r="D108" s="137"/>
      <c r="E108" s="283" t="s">
        <v>152</v>
      </c>
      <c r="F108" s="283"/>
      <c r="G108" s="204"/>
      <c r="H108" s="285"/>
      <c r="I108" s="181">
        <v>21418.386079999997</v>
      </c>
      <c r="J108" s="181">
        <f>5294.84706+15.4534200000016</f>
        <v>5310.3004800000017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181">
        <v>0</v>
      </c>
      <c r="R108" s="181">
        <v>0</v>
      </c>
      <c r="S108" s="181">
        <v>0</v>
      </c>
      <c r="T108" s="181">
        <v>0</v>
      </c>
      <c r="U108" s="182">
        <v>0</v>
      </c>
      <c r="V108" s="180">
        <v>465348.57473999989</v>
      </c>
      <c r="W108" s="185">
        <v>18180.68504</v>
      </c>
      <c r="X108" s="181">
        <v>28010.628109999998</v>
      </c>
      <c r="Y108" s="281">
        <v>76723.05640999999</v>
      </c>
      <c r="Z108" s="181">
        <v>20540.28268</v>
      </c>
      <c r="AA108" s="181">
        <v>42419.814149999998</v>
      </c>
      <c r="AB108" s="181">
        <v>211143.51804999996</v>
      </c>
      <c r="AC108" s="181">
        <v>35114.543100000003</v>
      </c>
      <c r="AD108" s="181">
        <v>3708.2744199999997</v>
      </c>
      <c r="AE108" s="181">
        <v>13736.141820000001</v>
      </c>
      <c r="AF108" s="181">
        <v>15771.63096</v>
      </c>
      <c r="AG108" s="181">
        <v>5340.9367400000001</v>
      </c>
      <c r="AH108" s="181">
        <v>42803.338889999985</v>
      </c>
      <c r="AI108" s="182">
        <f t="shared" si="76"/>
        <v>513492.85036999988</v>
      </c>
      <c r="AJ108" s="184"/>
      <c r="AK108" s="185"/>
      <c r="AL108" s="185"/>
      <c r="AM108" s="185"/>
      <c r="AN108" s="186"/>
      <c r="AO108" s="137">
        <f t="shared" si="77"/>
        <v>-48144.275629999989</v>
      </c>
      <c r="AP108" s="179">
        <v>0</v>
      </c>
    </row>
    <row r="109" spans="1:42" ht="12.75" hidden="1" customHeight="1" x14ac:dyDescent="0.2">
      <c r="A109" s="148"/>
      <c r="B109" s="137"/>
      <c r="C109" s="137"/>
      <c r="D109" s="137"/>
      <c r="E109" s="283" t="s">
        <v>153</v>
      </c>
      <c r="F109" s="283"/>
      <c r="G109" s="204"/>
      <c r="H109" s="285"/>
      <c r="I109" s="181">
        <v>7.5509300000000001</v>
      </c>
      <c r="J109" s="181">
        <v>45.905910000000006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2">
        <v>0</v>
      </c>
      <c r="V109" s="180">
        <v>4552.8161600000003</v>
      </c>
      <c r="W109" s="185">
        <v>709.44918000000007</v>
      </c>
      <c r="X109" s="181">
        <v>1188.4887900000001</v>
      </c>
      <c r="Y109" s="213">
        <v>218.37371000000002</v>
      </c>
      <c r="Z109" s="181">
        <v>455.64657999999997</v>
      </c>
      <c r="AA109" s="181">
        <v>98.98720999999999</v>
      </c>
      <c r="AB109" s="181">
        <v>29.204239999999995</v>
      </c>
      <c r="AC109" s="181">
        <v>474.47503</v>
      </c>
      <c r="AD109" s="181">
        <v>1113.31531</v>
      </c>
      <c r="AE109" s="181">
        <v>373.56407000000002</v>
      </c>
      <c r="AF109" s="181">
        <v>-108.68795999999996</v>
      </c>
      <c r="AG109" s="181">
        <v>1361.7804799999999</v>
      </c>
      <c r="AH109" s="181">
        <v>2015.85131</v>
      </c>
      <c r="AI109" s="182">
        <f t="shared" si="76"/>
        <v>7930.4479499999998</v>
      </c>
      <c r="AJ109" s="184"/>
      <c r="AK109" s="185"/>
      <c r="AL109" s="185"/>
      <c r="AM109" s="185"/>
      <c r="AN109" s="186"/>
      <c r="AO109" s="137">
        <f t="shared" si="77"/>
        <v>-3377.6317899999995</v>
      </c>
      <c r="AP109" s="179">
        <v>0</v>
      </c>
    </row>
    <row r="110" spans="1:42" ht="12.75" hidden="1" customHeight="1" x14ac:dyDescent="0.2">
      <c r="A110" s="148"/>
      <c r="B110" s="137"/>
      <c r="C110" s="137"/>
      <c r="D110" s="137"/>
      <c r="E110" s="283" t="s">
        <v>154</v>
      </c>
      <c r="F110" s="283"/>
      <c r="G110" s="204"/>
      <c r="H110" s="285"/>
      <c r="I110" s="181">
        <v>4129.2898700000005</v>
      </c>
      <c r="J110" s="181">
        <f>340.8452+46</f>
        <v>386.84519999999998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181">
        <v>0</v>
      </c>
      <c r="R110" s="181">
        <v>0</v>
      </c>
      <c r="S110" s="181">
        <v>0</v>
      </c>
      <c r="T110" s="181">
        <v>0</v>
      </c>
      <c r="U110" s="182">
        <v>0</v>
      </c>
      <c r="V110" s="180">
        <v>-5179.9508200000009</v>
      </c>
      <c r="W110" s="185">
        <v>302.12129000000004</v>
      </c>
      <c r="X110" s="181">
        <v>1113.4221</v>
      </c>
      <c r="Y110" s="265">
        <v>-5789.4089699999995</v>
      </c>
      <c r="Z110" s="181">
        <v>1170.2449799999999</v>
      </c>
      <c r="AA110" s="181">
        <v>-3655.0775400000007</v>
      </c>
      <c r="AB110" s="181">
        <v>-303.55276000000003</v>
      </c>
      <c r="AC110" s="181">
        <v>1951.83493</v>
      </c>
      <c r="AD110" s="181">
        <v>-967.30799000000013</v>
      </c>
      <c r="AE110" s="181">
        <v>762.92499999999995</v>
      </c>
      <c r="AF110" s="181">
        <v>234.84814000000011</v>
      </c>
      <c r="AG110" s="181">
        <v>3526.6492800000001</v>
      </c>
      <c r="AH110" s="181">
        <v>6636.6501800000005</v>
      </c>
      <c r="AI110" s="182">
        <f t="shared" si="76"/>
        <v>4983.3486400000002</v>
      </c>
      <c r="AJ110" s="184"/>
      <c r="AK110" s="185"/>
      <c r="AL110" s="185"/>
      <c r="AM110" s="185"/>
      <c r="AN110" s="186"/>
      <c r="AO110" s="137">
        <f t="shared" si="77"/>
        <v>-10163.299460000002</v>
      </c>
      <c r="AP110" s="179">
        <v>0</v>
      </c>
    </row>
    <row r="111" spans="1:42" ht="12.75" hidden="1" customHeight="1" x14ac:dyDescent="0.2">
      <c r="A111" s="148"/>
      <c r="B111" s="137"/>
      <c r="C111" s="137"/>
      <c r="D111" s="137"/>
      <c r="E111" s="283" t="s">
        <v>155</v>
      </c>
      <c r="F111" s="283"/>
      <c r="G111" s="204"/>
      <c r="H111" s="285"/>
      <c r="I111" s="180">
        <v>0.04</v>
      </c>
      <c r="J111" s="180">
        <v>2.5000000000000001E-2</v>
      </c>
      <c r="K111" s="181">
        <v>0</v>
      </c>
      <c r="L111" s="286">
        <v>0</v>
      </c>
      <c r="M111" s="181">
        <v>0</v>
      </c>
      <c r="N111" s="181">
        <v>0</v>
      </c>
      <c r="O111" s="181">
        <v>0</v>
      </c>
      <c r="P111" s="181">
        <v>0</v>
      </c>
      <c r="Q111" s="181">
        <v>0</v>
      </c>
      <c r="R111" s="181">
        <v>0</v>
      </c>
      <c r="S111" s="181">
        <v>0</v>
      </c>
      <c r="T111" s="181">
        <v>0</v>
      </c>
      <c r="U111" s="182">
        <v>0</v>
      </c>
      <c r="V111" s="180">
        <v>2.4135</v>
      </c>
      <c r="W111" s="185">
        <v>0</v>
      </c>
      <c r="X111" s="181">
        <v>2.3E-2</v>
      </c>
      <c r="Y111" s="265">
        <v>5.2399999999999995E-2</v>
      </c>
      <c r="Z111" s="181">
        <v>0</v>
      </c>
      <c r="AA111" s="181">
        <v>0.41</v>
      </c>
      <c r="AB111" s="181">
        <v>0.12</v>
      </c>
      <c r="AC111" s="181">
        <v>0.56359999999999999</v>
      </c>
      <c r="AD111" s="181">
        <v>0.05</v>
      </c>
      <c r="AE111" s="181">
        <v>1.159</v>
      </c>
      <c r="AF111" s="181">
        <v>3.5499999999999997E-2</v>
      </c>
      <c r="AG111" s="181"/>
      <c r="AH111" s="181">
        <v>3.4700000000000002E-2</v>
      </c>
      <c r="AI111" s="182">
        <f t="shared" si="76"/>
        <v>2.4481999999999999</v>
      </c>
      <c r="AJ111" s="184"/>
      <c r="AK111" s="185"/>
      <c r="AL111" s="185"/>
      <c r="AM111" s="185"/>
      <c r="AN111" s="186"/>
      <c r="AO111" s="137">
        <f t="shared" si="77"/>
        <v>-3.4699999999999953E-2</v>
      </c>
      <c r="AP111" s="179">
        <v>-0.2581</v>
      </c>
    </row>
    <row r="112" spans="1:42" ht="12.75" customHeight="1" x14ac:dyDescent="0.2">
      <c r="A112" s="148"/>
      <c r="B112" s="137"/>
      <c r="D112" s="210"/>
      <c r="E112" s="217" t="s">
        <v>93</v>
      </c>
      <c r="F112" s="204"/>
      <c r="G112" s="204"/>
      <c r="H112" s="181"/>
      <c r="I112" s="180"/>
      <c r="J112" s="180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2"/>
      <c r="V112" s="180"/>
      <c r="W112" s="185"/>
      <c r="X112" s="181"/>
      <c r="Y112" s="274"/>
      <c r="Z112" s="150"/>
      <c r="AA112" s="181"/>
      <c r="AB112" s="181"/>
      <c r="AC112" s="181"/>
      <c r="AD112" s="181"/>
      <c r="AE112" s="181"/>
      <c r="AF112" s="181"/>
      <c r="AG112" s="181"/>
      <c r="AH112" s="181"/>
      <c r="AI112" s="182"/>
      <c r="AJ112" s="184"/>
      <c r="AK112" s="185"/>
      <c r="AL112" s="185"/>
      <c r="AM112" s="185"/>
      <c r="AN112" s="186"/>
      <c r="AO112" s="137"/>
      <c r="AP112" s="179">
        <v>0</v>
      </c>
    </row>
    <row r="113" spans="1:48" s="179" customFormat="1" ht="12.75" customHeight="1" x14ac:dyDescent="0.2">
      <c r="A113" s="186"/>
      <c r="B113" s="173"/>
      <c r="C113" s="287"/>
      <c r="D113" s="173"/>
      <c r="E113" s="275" t="s">
        <v>156</v>
      </c>
      <c r="F113" s="210"/>
      <c r="G113" s="280" t="s">
        <v>157</v>
      </c>
      <c r="H113" s="288">
        <f>+[14]original!$F$6</f>
        <v>6005000</v>
      </c>
      <c r="I113" s="289">
        <f>+[14]original!$G$6</f>
        <v>1236489</v>
      </c>
      <c r="J113" s="289">
        <f>+[15]original!$H$6</f>
        <v>2807140</v>
      </c>
      <c r="K113" s="289">
        <v>0</v>
      </c>
      <c r="L113" s="289">
        <v>0</v>
      </c>
      <c r="M113" s="289">
        <v>0</v>
      </c>
      <c r="N113" s="289">
        <v>0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90">
        <f t="shared" ref="U113" si="81">SUM(I113:T113)</f>
        <v>4043629</v>
      </c>
      <c r="V113" s="150">
        <v>12801333</v>
      </c>
      <c r="W113" s="219">
        <f>+[14]original!$U$6</f>
        <v>1191518</v>
      </c>
      <c r="X113" s="288">
        <f>+[16]original!$H$6</f>
        <v>5522378</v>
      </c>
      <c r="Y113" s="265">
        <f>+[17]original!$I$6</f>
        <v>193328</v>
      </c>
      <c r="Z113" s="288">
        <f>+[18]original!$J$6</f>
        <v>236828</v>
      </c>
      <c r="AA113" s="288">
        <f>+[19]original!$K$6</f>
        <v>536881</v>
      </c>
      <c r="AB113" s="288">
        <f>+[20]original!$L$6</f>
        <v>309645</v>
      </c>
      <c r="AC113" s="288">
        <f>+[21]original!$M$6</f>
        <v>149579</v>
      </c>
      <c r="AD113" s="288">
        <f>+[22]original!$N$6</f>
        <v>389977</v>
      </c>
      <c r="AE113" s="288">
        <f>+[23]original!$O$6</f>
        <v>143285</v>
      </c>
      <c r="AF113" s="288">
        <f>+[24]original!$P$6</f>
        <v>307553</v>
      </c>
      <c r="AG113" s="288">
        <f>+[25]original!$Q$6</f>
        <v>558415</v>
      </c>
      <c r="AH113" s="288">
        <f>+[26]original!$R$6</f>
        <v>3261946</v>
      </c>
      <c r="AI113" s="291">
        <f t="shared" ref="AI113" si="82">SUM(W113:X113)</f>
        <v>6713896</v>
      </c>
      <c r="AJ113" s="222"/>
      <c r="AK113" s="219"/>
      <c r="AL113" s="219"/>
      <c r="AM113" s="219"/>
      <c r="AN113" s="186"/>
      <c r="AO113" s="137">
        <f t="shared" ref="AO113:AO114" si="83">+AI113-V113</f>
        <v>-6087437</v>
      </c>
      <c r="AP113" s="179">
        <v>0</v>
      </c>
      <c r="AR113" s="179">
        <f>+V137</f>
        <v>57.300000000000004</v>
      </c>
      <c r="AS113" s="179">
        <f>+'[13]2A'!$C$44</f>
        <v>61</v>
      </c>
      <c r="AT113" s="136" t="str">
        <f>+A137</f>
        <v>Revenue collected on behalf of the Provincial Authorities</v>
      </c>
      <c r="AV113" s="136"/>
    </row>
    <row r="114" spans="1:48" ht="12.75" customHeight="1" x14ac:dyDescent="0.2">
      <c r="A114" s="292" t="s">
        <v>158</v>
      </c>
      <c r="B114" s="244"/>
      <c r="C114" s="244"/>
      <c r="D114" s="244"/>
      <c r="E114" s="244"/>
      <c r="F114" s="244"/>
      <c r="G114" s="247"/>
      <c r="H114" s="293">
        <f>H80+H77</f>
        <v>1397995559.8169999</v>
      </c>
      <c r="I114" s="293">
        <f>I80+I77</f>
        <v>63095740.380769998</v>
      </c>
      <c r="J114" s="293">
        <f t="shared" ref="J114:T114" si="84">J80+J77</f>
        <v>68106446.022430018</v>
      </c>
      <c r="K114" s="293">
        <f t="shared" si="84"/>
        <v>0</v>
      </c>
      <c r="L114" s="293">
        <f t="shared" si="84"/>
        <v>0</v>
      </c>
      <c r="M114" s="293">
        <f t="shared" si="84"/>
        <v>0</v>
      </c>
      <c r="N114" s="293">
        <f t="shared" si="84"/>
        <v>0</v>
      </c>
      <c r="O114" s="293">
        <f t="shared" si="84"/>
        <v>0</v>
      </c>
      <c r="P114" s="293">
        <f t="shared" si="84"/>
        <v>0</v>
      </c>
      <c r="Q114" s="293">
        <f t="shared" si="84"/>
        <v>0</v>
      </c>
      <c r="R114" s="293">
        <f t="shared" si="84"/>
        <v>0</v>
      </c>
      <c r="S114" s="293">
        <f t="shared" si="84"/>
        <v>0</v>
      </c>
      <c r="T114" s="293">
        <f t="shared" si="84"/>
        <v>0</v>
      </c>
      <c r="U114" s="294">
        <f>U80+U77</f>
        <v>131202186.4032</v>
      </c>
      <c r="V114" s="244">
        <f>V80+V77+1</f>
        <v>1343559182.7453499</v>
      </c>
      <c r="W114" s="295">
        <f>W80+W77</f>
        <v>73824343.085730031</v>
      </c>
      <c r="X114" s="295">
        <f>X80+X77</f>
        <v>96920893.069020018</v>
      </c>
      <c r="Y114" s="295">
        <f t="shared" ref="Y114:AF114" si="85">Y80+Y77</f>
        <v>147241477.99728</v>
      </c>
      <c r="Z114" s="295">
        <f t="shared" si="85"/>
        <v>73749809.529299989</v>
      </c>
      <c r="AA114" s="295">
        <f t="shared" si="85"/>
        <v>117932465.64524999</v>
      </c>
      <c r="AB114" s="295">
        <f t="shared" si="85"/>
        <v>117713729.27432001</v>
      </c>
      <c r="AC114" s="295">
        <f t="shared" si="85"/>
        <v>83787244.734929979</v>
      </c>
      <c r="AD114" s="295">
        <f>AD80+AD77</f>
        <v>95520711.034100011</v>
      </c>
      <c r="AE114" s="295">
        <f>AE80+AE77</f>
        <v>160349623.42506</v>
      </c>
      <c r="AF114" s="295">
        <f t="shared" si="85"/>
        <v>91356528.666240022</v>
      </c>
      <c r="AG114" s="295">
        <f>+AG77+AG80</f>
        <v>144478940.09164</v>
      </c>
      <c r="AH114" s="295">
        <f>+AH77+AH80</f>
        <v>140683416.19247997</v>
      </c>
      <c r="AI114" s="296">
        <f>AI80+AI77</f>
        <v>170745236.15475005</v>
      </c>
      <c r="AJ114" s="229"/>
      <c r="AK114" s="149"/>
      <c r="AL114" s="149"/>
      <c r="AM114" s="149"/>
      <c r="AN114" s="186"/>
      <c r="AO114" s="137">
        <f t="shared" si="83"/>
        <v>-1172813946.5905998</v>
      </c>
      <c r="AP114" s="179">
        <v>3038753.8011901379</v>
      </c>
      <c r="AR114" s="136">
        <f>+V94</f>
        <v>11805053.03207</v>
      </c>
      <c r="AS114" s="136">
        <f>+'[13]2A'!$C$42+'[13]2A'!$C$43</f>
        <v>9025258</v>
      </c>
      <c r="AT114" s="136" t="str">
        <f>+E94</f>
        <v xml:space="preserve"> Mineral and petroleum royalties</v>
      </c>
    </row>
    <row r="115" spans="1:48" ht="12.75" customHeight="1" x14ac:dyDescent="0.2">
      <c r="A115" s="297" t="s">
        <v>159</v>
      </c>
      <c r="B115" s="298"/>
      <c r="C115" s="298"/>
      <c r="D115" s="298"/>
      <c r="E115" s="298"/>
      <c r="F115" s="298"/>
      <c r="G115" s="298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4"/>
      <c r="V115" s="293"/>
      <c r="W115" s="244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6"/>
      <c r="AJ115" s="229"/>
      <c r="AK115" s="149"/>
      <c r="AL115" s="149"/>
      <c r="AM115" s="149"/>
      <c r="AN115" s="186"/>
      <c r="AO115" s="137">
        <f t="shared" si="55"/>
        <v>0</v>
      </c>
      <c r="AP115" s="179">
        <v>0</v>
      </c>
      <c r="AR115" s="270">
        <f>SUM(AR94:AR114)</f>
        <v>1430409980.4374199</v>
      </c>
      <c r="AS115" s="235">
        <f>SUM(AS94:AS114)</f>
        <v>1358258760</v>
      </c>
      <c r="AT115" s="136" t="s">
        <v>160</v>
      </c>
    </row>
    <row r="116" spans="1:48" ht="12" customHeight="1" x14ac:dyDescent="0.2">
      <c r="A116" s="299" t="s">
        <v>158</v>
      </c>
      <c r="B116" s="300"/>
      <c r="C116" s="301"/>
      <c r="D116" s="141"/>
      <c r="E116" s="141"/>
      <c r="F116" s="141"/>
      <c r="G116" s="141"/>
      <c r="H116" s="302">
        <f t="shared" ref="H116:T116" si="86">+H114</f>
        <v>1397995559.8169999</v>
      </c>
      <c r="I116" s="303">
        <f t="shared" si="86"/>
        <v>63095740.380769998</v>
      </c>
      <c r="J116" s="303">
        <f t="shared" si="86"/>
        <v>68106446.022430018</v>
      </c>
      <c r="K116" s="303">
        <f t="shared" si="86"/>
        <v>0</v>
      </c>
      <c r="L116" s="303">
        <f t="shared" si="86"/>
        <v>0</v>
      </c>
      <c r="M116" s="302">
        <f t="shared" si="86"/>
        <v>0</v>
      </c>
      <c r="N116" s="303">
        <f t="shared" si="86"/>
        <v>0</v>
      </c>
      <c r="O116" s="303">
        <f t="shared" si="86"/>
        <v>0</v>
      </c>
      <c r="P116" s="303">
        <f t="shared" si="86"/>
        <v>0</v>
      </c>
      <c r="Q116" s="303">
        <f t="shared" si="86"/>
        <v>0</v>
      </c>
      <c r="R116" s="303">
        <f t="shared" si="86"/>
        <v>0</v>
      </c>
      <c r="S116" s="303">
        <f t="shared" si="86"/>
        <v>0</v>
      </c>
      <c r="T116" s="303">
        <f t="shared" si="86"/>
        <v>0</v>
      </c>
      <c r="U116" s="304">
        <f>+U114</f>
        <v>131202186.4032</v>
      </c>
      <c r="V116" s="300">
        <f>+V114</f>
        <v>1343559182.7453499</v>
      </c>
      <c r="W116" s="305">
        <f>+W114</f>
        <v>73824343.085730031</v>
      </c>
      <c r="X116" s="302">
        <f t="shared" ref="X116:AH116" si="87">+X114</f>
        <v>96920893.069020018</v>
      </c>
      <c r="Y116" s="302">
        <f>+Y114</f>
        <v>147241477.99728</v>
      </c>
      <c r="Z116" s="302">
        <f t="shared" si="87"/>
        <v>73749809.529299989</v>
      </c>
      <c r="AA116" s="302">
        <f t="shared" si="87"/>
        <v>117932465.64524999</v>
      </c>
      <c r="AB116" s="302">
        <f t="shared" si="87"/>
        <v>117713729.27432001</v>
      </c>
      <c r="AC116" s="302">
        <f t="shared" si="87"/>
        <v>83787244.734929979</v>
      </c>
      <c r="AD116" s="302">
        <f t="shared" si="87"/>
        <v>95520711.034100011</v>
      </c>
      <c r="AE116" s="302">
        <f t="shared" si="87"/>
        <v>160349623.42506</v>
      </c>
      <c r="AF116" s="302">
        <f t="shared" si="87"/>
        <v>91356528.666240022</v>
      </c>
      <c r="AG116" s="302">
        <f t="shared" si="87"/>
        <v>144478940.09164</v>
      </c>
      <c r="AH116" s="302">
        <f t="shared" si="87"/>
        <v>140683416.19247997</v>
      </c>
      <c r="AI116" s="306">
        <f>+AI114</f>
        <v>170745236.15475005</v>
      </c>
      <c r="AJ116" s="307"/>
      <c r="AK116" s="308"/>
      <c r="AL116" s="308"/>
      <c r="AM116" s="308"/>
      <c r="AN116" s="186"/>
      <c r="AO116" s="137">
        <f>+V116-AI116</f>
        <v>1172813946.5905998</v>
      </c>
      <c r="AP116" s="179">
        <v>3038753.8011901379</v>
      </c>
      <c r="AS116" s="270">
        <v>1358205394</v>
      </c>
      <c r="AT116" s="136" t="s">
        <v>161</v>
      </c>
    </row>
    <row r="117" spans="1:48" s="235" customFormat="1" ht="12.75" customHeight="1" x14ac:dyDescent="0.2">
      <c r="A117" s="309" t="s">
        <v>162</v>
      </c>
      <c r="B117" s="310"/>
      <c r="C117" s="310"/>
      <c r="D117" s="310"/>
      <c r="E117" s="310"/>
      <c r="F117" s="310"/>
      <c r="G117" s="311"/>
      <c r="I117" s="312">
        <f t="shared" ref="I117:AG117" si="88">SUM(I118:I119)</f>
        <v>484218.60211000009</v>
      </c>
      <c r="J117" s="312">
        <f t="shared" si="88"/>
        <v>576902.79968999978</v>
      </c>
      <c r="K117" s="312">
        <f t="shared" si="88"/>
        <v>0</v>
      </c>
      <c r="L117" s="312">
        <f t="shared" si="88"/>
        <v>0</v>
      </c>
      <c r="M117" s="312">
        <f t="shared" si="88"/>
        <v>0</v>
      </c>
      <c r="N117" s="312">
        <f t="shared" si="88"/>
        <v>0</v>
      </c>
      <c r="O117" s="312">
        <f t="shared" si="88"/>
        <v>0</v>
      </c>
      <c r="P117" s="312">
        <f t="shared" si="88"/>
        <v>0</v>
      </c>
      <c r="Q117" s="312">
        <f t="shared" si="88"/>
        <v>0</v>
      </c>
      <c r="R117" s="312">
        <f t="shared" si="88"/>
        <v>0</v>
      </c>
      <c r="S117" s="312">
        <f t="shared" si="88"/>
        <v>0</v>
      </c>
      <c r="T117" s="312">
        <f t="shared" si="88"/>
        <v>0</v>
      </c>
      <c r="U117" s="313">
        <f t="shared" si="88"/>
        <v>1061121.401800001</v>
      </c>
      <c r="V117" s="202">
        <f t="shared" si="88"/>
        <v>-54159.097339998931</v>
      </c>
      <c r="W117" s="202">
        <f>SUM(W118:W119)</f>
        <v>47866.433920000214</v>
      </c>
      <c r="X117" s="314">
        <f t="shared" si="88"/>
        <v>69649.664760000072</v>
      </c>
      <c r="Y117" s="314">
        <f>SUM(Y118:Y119)</f>
        <v>-177559.32531999983</v>
      </c>
      <c r="Z117" s="314">
        <f t="shared" si="88"/>
        <v>611962.15966000024</v>
      </c>
      <c r="AA117" s="314">
        <f t="shared" si="88"/>
        <v>226537.16129000019</v>
      </c>
      <c r="AB117" s="314">
        <f t="shared" si="88"/>
        <v>207845.88913999998</v>
      </c>
      <c r="AC117" s="314">
        <f t="shared" si="88"/>
        <v>100883.28795999999</v>
      </c>
      <c r="AD117" s="314">
        <f t="shared" si="88"/>
        <v>247820.60749000008</v>
      </c>
      <c r="AE117" s="314">
        <f t="shared" si="88"/>
        <v>-119207.75722000003</v>
      </c>
      <c r="AF117" s="314">
        <f t="shared" si="88"/>
        <v>96584.359380000038</v>
      </c>
      <c r="AG117" s="314">
        <f t="shared" si="88"/>
        <v>215897.0264399997</v>
      </c>
      <c r="AH117" s="314">
        <f>SUM(AH118:AH119)</f>
        <v>-1582438.6048399992</v>
      </c>
      <c r="AI117" s="315">
        <f>SUM(AI118:AI119)</f>
        <v>117516.09868000029</v>
      </c>
      <c r="AJ117" s="307"/>
      <c r="AK117" s="308"/>
      <c r="AL117" s="308"/>
      <c r="AM117" s="308"/>
      <c r="AN117" s="178"/>
      <c r="AO117" s="137">
        <f>+V117-AI117</f>
        <v>-171675.19601999922</v>
      </c>
      <c r="AP117" s="270">
        <v>-4215849.896739997</v>
      </c>
      <c r="AS117" s="136">
        <f>+AS115-AS116</f>
        <v>53366</v>
      </c>
      <c r="AT117" s="136" t="s">
        <v>163</v>
      </c>
    </row>
    <row r="118" spans="1:48" ht="12.75" customHeight="1" x14ac:dyDescent="0.2">
      <c r="A118" s="316" t="s">
        <v>164</v>
      </c>
      <c r="B118" s="317"/>
      <c r="C118" s="317"/>
      <c r="D118" s="317"/>
      <c r="E118" s="317"/>
      <c r="F118" s="317"/>
      <c r="G118" s="318"/>
      <c r="H118" s="218"/>
      <c r="I118" s="180">
        <f>-I80+I94+I113</f>
        <v>-596423.39788999991</v>
      </c>
      <c r="J118" s="180">
        <f t="shared" ref="J118:T118" si="89">-J80+J94+J113</f>
        <v>-368947.20031000022</v>
      </c>
      <c r="K118" s="180">
        <f t="shared" si="89"/>
        <v>0</v>
      </c>
      <c r="L118" s="180">
        <f t="shared" si="89"/>
        <v>0</v>
      </c>
      <c r="M118" s="180">
        <f t="shared" si="89"/>
        <v>0</v>
      </c>
      <c r="N118" s="180">
        <f t="shared" si="89"/>
        <v>0</v>
      </c>
      <c r="O118" s="180">
        <f t="shared" si="89"/>
        <v>0</v>
      </c>
      <c r="P118" s="180">
        <f t="shared" si="89"/>
        <v>0</v>
      </c>
      <c r="Q118" s="180">
        <f t="shared" si="89"/>
        <v>0</v>
      </c>
      <c r="R118" s="180">
        <f t="shared" si="89"/>
        <v>0</v>
      </c>
      <c r="S118" s="180">
        <f t="shared" si="89"/>
        <v>0</v>
      </c>
      <c r="T118" s="180">
        <f t="shared" si="89"/>
        <v>0</v>
      </c>
      <c r="U118" s="264">
        <f>-U80+U94+U113</f>
        <v>-965370.59819999896</v>
      </c>
      <c r="V118" s="180">
        <v>-13484153.097339999</v>
      </c>
      <c r="W118" s="185">
        <f t="shared" ref="W118:AF118" si="90">-W80+W94+W113</f>
        <v>-403223.56607999979</v>
      </c>
      <c r="X118" s="181">
        <f>-X80+X94+X113</f>
        <v>-370181.33523999993</v>
      </c>
      <c r="Y118" s="181">
        <f t="shared" si="90"/>
        <v>-942465.32531999983</v>
      </c>
      <c r="Z118" s="181">
        <f t="shared" si="90"/>
        <v>-550674.84033999976</v>
      </c>
      <c r="AA118" s="181">
        <f t="shared" si="90"/>
        <v>-572197.83870999981</v>
      </c>
      <c r="AB118" s="181">
        <f t="shared" si="90"/>
        <v>-614800.11086000002</v>
      </c>
      <c r="AC118" s="181">
        <f>-AC80+AC94+AC113</f>
        <v>-500670.71204000001</v>
      </c>
      <c r="AD118" s="181">
        <f t="shared" si="90"/>
        <v>-530199.39250999992</v>
      </c>
      <c r="AE118" s="181">
        <f t="shared" si="90"/>
        <v>-1066033.75722</v>
      </c>
      <c r="AF118" s="181">
        <f t="shared" si="90"/>
        <v>-509092.64061999996</v>
      </c>
      <c r="AG118" s="181">
        <f>-AG80+AG94+AG113</f>
        <v>-630458.9735600003</v>
      </c>
      <c r="AH118" s="181">
        <f>-AH80+AH94+AH113</f>
        <v>-6794154.6048399992</v>
      </c>
      <c r="AI118" s="182">
        <f t="shared" ref="AI118:AI139" si="91">SUM(W118:X118)</f>
        <v>-773404.90131999971</v>
      </c>
      <c r="AJ118" s="184"/>
      <c r="AK118" s="185"/>
      <c r="AL118" s="185"/>
      <c r="AM118" s="185"/>
      <c r="AN118" s="186"/>
      <c r="AO118" s="137">
        <f t="shared" si="55"/>
        <v>-12710748.19602</v>
      </c>
      <c r="AP118" s="179">
        <v>-3452210.896739997</v>
      </c>
      <c r="AS118" s="235">
        <v>-1819</v>
      </c>
      <c r="AT118" s="136" t="s">
        <v>165</v>
      </c>
    </row>
    <row r="119" spans="1:48" ht="12.75" customHeight="1" x14ac:dyDescent="0.2">
      <c r="A119" s="319" t="s">
        <v>166</v>
      </c>
      <c r="B119" s="320"/>
      <c r="C119" s="320"/>
      <c r="D119" s="320"/>
      <c r="E119" s="320"/>
      <c r="F119" s="320"/>
      <c r="G119" s="320"/>
      <c r="H119" s="218"/>
      <c r="I119" s="180">
        <v>1080642</v>
      </c>
      <c r="J119" s="180">
        <f>946604-351-265-138</f>
        <v>945850</v>
      </c>
      <c r="K119" s="180">
        <v>0</v>
      </c>
      <c r="L119" s="180">
        <v>0</v>
      </c>
      <c r="M119" s="180">
        <v>0</v>
      </c>
      <c r="N119" s="180">
        <v>0</v>
      </c>
      <c r="O119" s="180">
        <v>0</v>
      </c>
      <c r="P119" s="180">
        <v>0</v>
      </c>
      <c r="Q119" s="180">
        <v>0</v>
      </c>
      <c r="R119" s="180">
        <v>0</v>
      </c>
      <c r="S119" s="321">
        <v>0</v>
      </c>
      <c r="T119" s="321">
        <v>0</v>
      </c>
      <c r="U119" s="322">
        <f t="shared" ref="U119:U130" si="92">SUM(I119:T119)</f>
        <v>2026492</v>
      </c>
      <c r="V119" s="321">
        <v>13429994</v>
      </c>
      <c r="W119" s="185">
        <v>451090</v>
      </c>
      <c r="X119" s="263">
        <v>439831</v>
      </c>
      <c r="Y119" s="323">
        <v>764906</v>
      </c>
      <c r="Z119" s="321">
        <v>1162637</v>
      </c>
      <c r="AA119" s="180">
        <v>798735</v>
      </c>
      <c r="AB119" s="263">
        <v>822646</v>
      </c>
      <c r="AC119" s="263">
        <v>601554</v>
      </c>
      <c r="AD119" s="263">
        <v>778020</v>
      </c>
      <c r="AE119" s="263">
        <v>946826</v>
      </c>
      <c r="AF119" s="263">
        <v>605677</v>
      </c>
      <c r="AG119" s="263">
        <v>846356</v>
      </c>
      <c r="AH119" s="263">
        <v>5211716</v>
      </c>
      <c r="AI119" s="182">
        <f t="shared" si="91"/>
        <v>890921</v>
      </c>
      <c r="AJ119" s="184"/>
      <c r="AK119" s="185"/>
      <c r="AL119" s="185"/>
      <c r="AM119" s="185"/>
      <c r="AN119" s="186"/>
      <c r="AO119" s="137">
        <f t="shared" si="55"/>
        <v>12539073</v>
      </c>
      <c r="AP119" s="179">
        <v>-763639</v>
      </c>
      <c r="AS119" s="136">
        <f>-AS117-AS118</f>
        <v>-51547</v>
      </c>
      <c r="AT119" s="136" t="s">
        <v>167</v>
      </c>
    </row>
    <row r="120" spans="1:48" s="235" customFormat="1" ht="12.75" customHeight="1" x14ac:dyDescent="0.2">
      <c r="A120" s="229" t="s">
        <v>168</v>
      </c>
      <c r="C120" s="310"/>
      <c r="D120" s="149"/>
      <c r="E120" s="149"/>
      <c r="F120" s="149"/>
      <c r="G120" s="280" t="s">
        <v>169</v>
      </c>
      <c r="H120" s="324"/>
      <c r="I120" s="200">
        <f>SUM(I121:I136)</f>
        <v>1280</v>
      </c>
      <c r="J120" s="200">
        <f t="shared" ref="J120:T120" si="93">SUM(J121:J136)</f>
        <v>326479</v>
      </c>
      <c r="K120" s="200">
        <f t="shared" si="93"/>
        <v>0</v>
      </c>
      <c r="L120" s="200">
        <f t="shared" si="93"/>
        <v>0</v>
      </c>
      <c r="M120" s="200">
        <f t="shared" si="93"/>
        <v>0</v>
      </c>
      <c r="N120" s="200">
        <f t="shared" si="93"/>
        <v>0</v>
      </c>
      <c r="O120" s="200">
        <f t="shared" si="93"/>
        <v>0</v>
      </c>
      <c r="P120" s="325">
        <f t="shared" si="93"/>
        <v>0</v>
      </c>
      <c r="Q120" s="325">
        <f t="shared" si="93"/>
        <v>0</v>
      </c>
      <c r="R120" s="325">
        <f t="shared" si="93"/>
        <v>0</v>
      </c>
      <c r="S120" s="325">
        <f t="shared" si="93"/>
        <v>0</v>
      </c>
      <c r="T120" s="325">
        <f t="shared" si="93"/>
        <v>0</v>
      </c>
      <c r="U120" s="326">
        <f>SUM(I120:T120)</f>
        <v>327759</v>
      </c>
      <c r="V120" s="200">
        <f>SUM(V121:V136)</f>
        <v>1558893</v>
      </c>
      <c r="W120" s="158">
        <f>SUM(W121:W136)</f>
        <v>41504</v>
      </c>
      <c r="X120" s="314">
        <f>SUM(X121:X134)</f>
        <v>663270</v>
      </c>
      <c r="Y120" s="314">
        <f>SUM(Y121:Y134)</f>
        <v>22943</v>
      </c>
      <c r="Z120" s="314">
        <f>SUM(Z121:Z134)</f>
        <v>12072</v>
      </c>
      <c r="AA120" s="314">
        <f>SUM(AA121:AA136)</f>
        <v>198344</v>
      </c>
      <c r="AB120" s="314">
        <f>SUM(AB121:AB134)</f>
        <v>22868</v>
      </c>
      <c r="AC120" s="314">
        <f>SUM(AC121:AC136)</f>
        <v>63341</v>
      </c>
      <c r="AD120" s="314">
        <f>SUM(AD121:AD134)</f>
        <v>440899</v>
      </c>
      <c r="AE120" s="314">
        <f>SUM(AE121:AE134)</f>
        <v>-274</v>
      </c>
      <c r="AF120" s="314">
        <f>SUM(AF121:AF134)</f>
        <v>37078</v>
      </c>
      <c r="AG120" s="314">
        <f>SUM(AG121:AG134)</f>
        <v>5309</v>
      </c>
      <c r="AH120" s="314">
        <f>SUM(AH121:AH136)</f>
        <v>51539</v>
      </c>
      <c r="AI120" s="261">
        <f t="shared" si="91"/>
        <v>704774</v>
      </c>
      <c r="AJ120" s="157"/>
      <c r="AK120" s="158"/>
      <c r="AL120" s="158"/>
      <c r="AM120" s="158"/>
      <c r="AN120" s="178"/>
      <c r="AO120" s="137">
        <f t="shared" si="55"/>
        <v>854119</v>
      </c>
      <c r="AP120" s="270">
        <v>532273</v>
      </c>
    </row>
    <row r="121" spans="1:48" ht="12.75" customHeight="1" x14ac:dyDescent="0.2">
      <c r="A121" s="148"/>
      <c r="E121" s="136" t="s">
        <v>170</v>
      </c>
      <c r="F121" s="137"/>
      <c r="G121" s="137"/>
      <c r="H121" s="218"/>
      <c r="I121" s="180">
        <v>0</v>
      </c>
      <c r="J121" s="180">
        <v>326092</v>
      </c>
      <c r="K121" s="180">
        <v>0</v>
      </c>
      <c r="L121" s="180">
        <v>0</v>
      </c>
      <c r="M121" s="180">
        <v>0</v>
      </c>
      <c r="N121" s="180">
        <v>0</v>
      </c>
      <c r="O121" s="180">
        <v>0</v>
      </c>
      <c r="P121" s="180">
        <v>0</v>
      </c>
      <c r="Q121" s="180">
        <v>0</v>
      </c>
      <c r="R121" s="180">
        <v>0</v>
      </c>
      <c r="S121" s="180">
        <v>0</v>
      </c>
      <c r="T121" s="180">
        <v>0</v>
      </c>
      <c r="U121" s="322">
        <f>SUM(I121:T121)</f>
        <v>326092</v>
      </c>
      <c r="V121" s="321">
        <v>1479589</v>
      </c>
      <c r="W121" s="185">
        <v>41304</v>
      </c>
      <c r="X121" s="263">
        <v>660295</v>
      </c>
      <c r="Y121" s="327">
        <v>19227</v>
      </c>
      <c r="Z121" s="321">
        <v>11482</v>
      </c>
      <c r="AA121" s="180">
        <v>198450</v>
      </c>
      <c r="AB121" s="263">
        <v>23008</v>
      </c>
      <c r="AC121" s="263">
        <v>40718</v>
      </c>
      <c r="AD121" s="263">
        <v>442858</v>
      </c>
      <c r="AE121" s="263">
        <v>0</v>
      </c>
      <c r="AF121" s="263">
        <v>36715</v>
      </c>
      <c r="AG121" s="263">
        <v>5532</v>
      </c>
      <c r="AH121" s="263">
        <v>0</v>
      </c>
      <c r="AI121" s="182">
        <f t="shared" si="91"/>
        <v>701599</v>
      </c>
      <c r="AJ121" s="184"/>
      <c r="AK121" s="185"/>
      <c r="AL121" s="185"/>
      <c r="AM121" s="185"/>
      <c r="AN121" s="186"/>
      <c r="AO121" s="137">
        <f t="shared" si="55"/>
        <v>777990</v>
      </c>
      <c r="AP121" s="179">
        <v>1</v>
      </c>
      <c r="AS121" s="235" t="s">
        <v>171</v>
      </c>
    </row>
    <row r="122" spans="1:48" ht="12.75" customHeight="1" x14ac:dyDescent="0.2">
      <c r="A122" s="148"/>
      <c r="E122" s="136" t="s">
        <v>172</v>
      </c>
      <c r="F122" s="137"/>
      <c r="G122" s="137"/>
      <c r="H122" s="218"/>
      <c r="I122" s="180">
        <v>1484</v>
      </c>
      <c r="J122" s="180">
        <v>387</v>
      </c>
      <c r="K122" s="180">
        <v>0</v>
      </c>
      <c r="L122" s="180">
        <v>0</v>
      </c>
      <c r="M122" s="180">
        <v>0</v>
      </c>
      <c r="N122" s="180">
        <v>0</v>
      </c>
      <c r="O122" s="180">
        <v>0</v>
      </c>
      <c r="P122" s="180">
        <v>0</v>
      </c>
      <c r="Q122" s="180">
        <v>0</v>
      </c>
      <c r="R122" s="180">
        <v>0</v>
      </c>
      <c r="S122" s="180">
        <v>0</v>
      </c>
      <c r="T122" s="180">
        <v>0</v>
      </c>
      <c r="U122" s="322">
        <f t="shared" si="92"/>
        <v>1871</v>
      </c>
      <c r="V122" s="321">
        <v>78984</v>
      </c>
      <c r="W122" s="185">
        <v>200</v>
      </c>
      <c r="X122" s="263">
        <v>0</v>
      </c>
      <c r="Y122" s="328">
        <v>550</v>
      </c>
      <c r="Z122" s="321">
        <v>590</v>
      </c>
      <c r="AA122" s="263">
        <v>10</v>
      </c>
      <c r="AB122" s="263">
        <v>541</v>
      </c>
      <c r="AC122" s="263">
        <v>23731</v>
      </c>
      <c r="AD122" s="263">
        <v>41</v>
      </c>
      <c r="AE122" s="263">
        <v>81</v>
      </c>
      <c r="AF122" s="263">
        <v>363</v>
      </c>
      <c r="AG122" s="263">
        <v>837</v>
      </c>
      <c r="AH122" s="263">
        <v>51830</v>
      </c>
      <c r="AI122" s="182">
        <f t="shared" si="91"/>
        <v>200</v>
      </c>
      <c r="AJ122" s="184"/>
      <c r="AK122" s="185"/>
      <c r="AL122" s="185"/>
      <c r="AM122" s="185"/>
      <c r="AN122" s="186"/>
      <c r="AO122" s="137">
        <f t="shared" si="55"/>
        <v>78784</v>
      </c>
      <c r="AP122" s="179">
        <v>0</v>
      </c>
      <c r="AS122" s="136">
        <f>+[13]CF!$E$12</f>
        <v>1248949211.9916499</v>
      </c>
      <c r="AT122" s="179" t="str">
        <f>+'[27]Current year TB'!$L$17</f>
        <v>Inland revenue</v>
      </c>
    </row>
    <row r="123" spans="1:48" ht="12.75" customHeight="1" x14ac:dyDescent="0.2">
      <c r="A123" s="148"/>
      <c r="E123" s="136" t="s">
        <v>173</v>
      </c>
      <c r="F123" s="137"/>
      <c r="G123" s="137"/>
      <c r="H123" s="218"/>
      <c r="I123" s="180">
        <v>0</v>
      </c>
      <c r="J123" s="180">
        <v>0</v>
      </c>
      <c r="K123" s="180">
        <v>0</v>
      </c>
      <c r="L123" s="180">
        <v>0</v>
      </c>
      <c r="M123" s="180">
        <v>0</v>
      </c>
      <c r="N123" s="180">
        <v>0</v>
      </c>
      <c r="O123" s="180">
        <v>0</v>
      </c>
      <c r="P123" s="180">
        <v>0</v>
      </c>
      <c r="Q123" s="180">
        <v>0</v>
      </c>
      <c r="R123" s="180">
        <v>0</v>
      </c>
      <c r="S123" s="180">
        <v>0</v>
      </c>
      <c r="T123" s="180">
        <v>0</v>
      </c>
      <c r="U123" s="322">
        <f t="shared" si="92"/>
        <v>0</v>
      </c>
      <c r="V123" s="321">
        <v>1000</v>
      </c>
      <c r="W123" s="181">
        <v>0</v>
      </c>
      <c r="X123" s="328">
        <v>210</v>
      </c>
      <c r="Y123" s="328"/>
      <c r="Z123" s="321"/>
      <c r="AA123" s="263"/>
      <c r="AB123" s="263"/>
      <c r="AC123" s="263"/>
      <c r="AD123" s="263"/>
      <c r="AE123" s="263"/>
      <c r="AF123" s="263"/>
      <c r="AG123" s="180">
        <v>0</v>
      </c>
      <c r="AH123" s="263">
        <v>1000</v>
      </c>
      <c r="AI123" s="182">
        <f t="shared" si="91"/>
        <v>210</v>
      </c>
      <c r="AJ123" s="184"/>
      <c r="AK123" s="185"/>
      <c r="AL123" s="185"/>
      <c r="AM123" s="185"/>
      <c r="AN123" s="186"/>
      <c r="AO123" s="137"/>
      <c r="AP123" s="179"/>
      <c r="AT123" s="179"/>
    </row>
    <row r="124" spans="1:48" ht="13.9" customHeight="1" x14ac:dyDescent="0.2">
      <c r="A124" s="148"/>
      <c r="B124" s="137"/>
      <c r="E124" s="136" t="s">
        <v>174</v>
      </c>
      <c r="F124" s="137"/>
      <c r="G124" s="137"/>
      <c r="H124" s="218"/>
      <c r="I124" s="180">
        <v>0</v>
      </c>
      <c r="J124" s="180">
        <v>0</v>
      </c>
      <c r="K124" s="180">
        <v>0</v>
      </c>
      <c r="L124" s="180">
        <v>0</v>
      </c>
      <c r="M124" s="180">
        <v>0</v>
      </c>
      <c r="N124" s="180">
        <v>0</v>
      </c>
      <c r="O124" s="180">
        <v>0</v>
      </c>
      <c r="P124" s="180">
        <v>0</v>
      </c>
      <c r="Q124" s="180">
        <v>0</v>
      </c>
      <c r="R124" s="180">
        <v>0</v>
      </c>
      <c r="S124" s="180">
        <v>0</v>
      </c>
      <c r="T124" s="180">
        <v>0</v>
      </c>
      <c r="U124" s="322">
        <f>SUM(I124:T124)</f>
        <v>0</v>
      </c>
      <c r="V124" s="321">
        <v>3166</v>
      </c>
      <c r="W124" s="181">
        <v>0</v>
      </c>
      <c r="X124" s="328">
        <v>0</v>
      </c>
      <c r="Y124" s="263">
        <v>3166</v>
      </c>
      <c r="Z124" s="263">
        <v>0</v>
      </c>
      <c r="AA124" s="263">
        <v>0</v>
      </c>
      <c r="AB124" s="263">
        <v>0</v>
      </c>
      <c r="AC124" s="263">
        <v>0</v>
      </c>
      <c r="AD124" s="263">
        <v>0</v>
      </c>
      <c r="AE124" s="263">
        <v>0</v>
      </c>
      <c r="AF124" s="263">
        <v>0</v>
      </c>
      <c r="AG124" s="263">
        <v>0</v>
      </c>
      <c r="AH124" s="263">
        <v>0</v>
      </c>
      <c r="AI124" s="182">
        <f t="shared" si="91"/>
        <v>0</v>
      </c>
      <c r="AJ124" s="184"/>
      <c r="AK124" s="185"/>
      <c r="AL124" s="185"/>
      <c r="AM124" s="185"/>
      <c r="AN124" s="186"/>
      <c r="AO124" s="137">
        <f t="shared" si="55"/>
        <v>3166</v>
      </c>
      <c r="AP124" s="179">
        <v>-2069</v>
      </c>
      <c r="AS124" s="136">
        <f>+'[13]3C'!$D$53</f>
        <v>2816474</v>
      </c>
      <c r="AT124" s="136" t="s">
        <v>175</v>
      </c>
    </row>
    <row r="125" spans="1:48" ht="12.75" customHeight="1" x14ac:dyDescent="0.2">
      <c r="A125" s="148"/>
      <c r="B125" s="329"/>
      <c r="E125" s="136" t="s">
        <v>176</v>
      </c>
      <c r="F125" s="137"/>
      <c r="G125" s="137"/>
      <c r="H125" s="218"/>
      <c r="I125" s="180">
        <v>0</v>
      </c>
      <c r="J125" s="180">
        <v>0</v>
      </c>
      <c r="K125" s="180">
        <v>0</v>
      </c>
      <c r="L125" s="180">
        <v>0</v>
      </c>
      <c r="M125" s="180">
        <v>0</v>
      </c>
      <c r="N125" s="180">
        <v>0</v>
      </c>
      <c r="O125" s="180">
        <v>0</v>
      </c>
      <c r="P125" s="180">
        <v>0</v>
      </c>
      <c r="Q125" s="180">
        <v>0</v>
      </c>
      <c r="R125" s="180">
        <v>0</v>
      </c>
      <c r="S125" s="180">
        <v>0</v>
      </c>
      <c r="T125" s="180">
        <v>0</v>
      </c>
      <c r="U125" s="322">
        <f>SUM(I125:T125)</f>
        <v>0</v>
      </c>
      <c r="V125" s="321">
        <v>2331</v>
      </c>
      <c r="W125" s="181">
        <v>0</v>
      </c>
      <c r="X125" s="321">
        <v>765</v>
      </c>
      <c r="Y125" s="263">
        <v>0</v>
      </c>
      <c r="Z125" s="263">
        <v>0</v>
      </c>
      <c r="AA125" s="263">
        <v>0</v>
      </c>
      <c r="AB125" s="263">
        <v>0</v>
      </c>
      <c r="AC125" s="263">
        <v>1566</v>
      </c>
      <c r="AD125" s="263">
        <v>0</v>
      </c>
      <c r="AE125" s="263">
        <v>0</v>
      </c>
      <c r="AF125" s="263">
        <v>0</v>
      </c>
      <c r="AG125" s="263">
        <v>0</v>
      </c>
      <c r="AH125" s="137">
        <v>0</v>
      </c>
      <c r="AI125" s="182">
        <f t="shared" si="91"/>
        <v>765</v>
      </c>
      <c r="AJ125" s="184"/>
      <c r="AK125" s="185"/>
      <c r="AL125" s="185"/>
      <c r="AM125" s="185"/>
      <c r="AN125" s="186"/>
      <c r="AO125" s="137">
        <f t="shared" si="55"/>
        <v>1566</v>
      </c>
      <c r="AP125" s="179">
        <v>0</v>
      </c>
      <c r="AS125" s="235">
        <f>SUM(AS122:AS124)</f>
        <v>1251765685.9916499</v>
      </c>
    </row>
    <row r="126" spans="1:48" ht="12.75" hidden="1" customHeight="1" x14ac:dyDescent="0.2">
      <c r="A126" s="148"/>
      <c r="B126" s="329"/>
      <c r="E126" s="136" t="s">
        <v>177</v>
      </c>
      <c r="F126" s="137"/>
      <c r="G126" s="137"/>
      <c r="H126" s="218"/>
      <c r="I126" s="180">
        <v>0</v>
      </c>
      <c r="J126" s="180">
        <v>0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180">
        <v>0</v>
      </c>
      <c r="R126" s="180">
        <v>0</v>
      </c>
      <c r="S126" s="180">
        <v>0</v>
      </c>
      <c r="T126" s="180">
        <v>0</v>
      </c>
      <c r="U126" s="322">
        <f>SUM(I126:T126)</f>
        <v>0</v>
      </c>
      <c r="V126" s="321">
        <v>0</v>
      </c>
      <c r="W126" s="181"/>
      <c r="X126" s="321">
        <v>2000</v>
      </c>
      <c r="Y126" s="263">
        <v>0</v>
      </c>
      <c r="Z126" s="263">
        <v>0</v>
      </c>
      <c r="AA126" s="263">
        <v>0</v>
      </c>
      <c r="AB126" s="263">
        <v>0</v>
      </c>
      <c r="AC126" s="263">
        <v>0</v>
      </c>
      <c r="AD126" s="180">
        <v>-2000</v>
      </c>
      <c r="AE126" s="263">
        <v>0</v>
      </c>
      <c r="AF126" s="263">
        <v>0</v>
      </c>
      <c r="AG126" s="263">
        <v>0</v>
      </c>
      <c r="AH126" s="263"/>
      <c r="AI126" s="182">
        <f t="shared" si="91"/>
        <v>2000</v>
      </c>
      <c r="AJ126" s="184"/>
      <c r="AK126" s="185"/>
      <c r="AL126" s="185"/>
      <c r="AM126" s="185"/>
      <c r="AN126" s="186"/>
      <c r="AO126" s="137">
        <f t="shared" si="55"/>
        <v>-2000</v>
      </c>
      <c r="AP126" s="179">
        <v>0</v>
      </c>
      <c r="AS126" s="136">
        <f>+'[13]2B'!$J$80</f>
        <v>11449096</v>
      </c>
      <c r="AT126" s="136" t="s">
        <v>178</v>
      </c>
    </row>
    <row r="127" spans="1:48" ht="12.75" customHeight="1" x14ac:dyDescent="0.2">
      <c r="A127" s="148"/>
      <c r="B127" s="329"/>
      <c r="E127" s="136" t="s">
        <v>179</v>
      </c>
      <c r="F127" s="137"/>
      <c r="G127" s="137"/>
      <c r="H127" s="218"/>
      <c r="I127" s="180">
        <v>-204</v>
      </c>
      <c r="J127" s="180">
        <v>0</v>
      </c>
      <c r="K127" s="180">
        <v>0</v>
      </c>
      <c r="L127" s="180">
        <v>0</v>
      </c>
      <c r="M127" s="180">
        <v>0</v>
      </c>
      <c r="N127" s="180">
        <v>0</v>
      </c>
      <c r="O127" s="180">
        <v>0</v>
      </c>
      <c r="P127" s="180">
        <v>0</v>
      </c>
      <c r="Q127" s="180">
        <v>0</v>
      </c>
      <c r="R127" s="180">
        <v>0</v>
      </c>
      <c r="S127" s="180">
        <v>0</v>
      </c>
      <c r="T127" s="180">
        <v>0</v>
      </c>
      <c r="U127" s="322">
        <f>SUM(I127:T127)</f>
        <v>-204</v>
      </c>
      <c r="V127" s="321">
        <v>-6118</v>
      </c>
      <c r="W127" s="181">
        <v>0</v>
      </c>
      <c r="X127" s="321">
        <v>0</v>
      </c>
      <c r="Y127" s="321">
        <v>0</v>
      </c>
      <c r="Z127" s="321">
        <v>0</v>
      </c>
      <c r="AA127" s="321">
        <v>-57</v>
      </c>
      <c r="AB127" s="263">
        <v>-681</v>
      </c>
      <c r="AC127" s="180">
        <f>-424-2250</f>
        <v>-2674</v>
      </c>
      <c r="AD127" s="263">
        <v>0</v>
      </c>
      <c r="AE127" s="263">
        <v>-355</v>
      </c>
      <c r="AF127" s="263">
        <v>0</v>
      </c>
      <c r="AG127" s="180">
        <v>-1060</v>
      </c>
      <c r="AH127" s="263">
        <v>-1291</v>
      </c>
      <c r="AI127" s="182">
        <f t="shared" si="91"/>
        <v>0</v>
      </c>
      <c r="AJ127" s="184"/>
      <c r="AK127" s="185"/>
      <c r="AL127" s="185"/>
      <c r="AM127" s="185"/>
      <c r="AN127" s="186"/>
      <c r="AO127" s="137">
        <f t="shared" si="55"/>
        <v>-6118</v>
      </c>
      <c r="AP127" s="179">
        <v>0</v>
      </c>
      <c r="AS127" s="136">
        <f>+'[13]2C'!$C$38</f>
        <v>11999373</v>
      </c>
      <c r="AT127" s="136" t="s">
        <v>180</v>
      </c>
    </row>
    <row r="128" spans="1:48" ht="12.75" customHeight="1" x14ac:dyDescent="0.2">
      <c r="A128" s="148"/>
      <c r="B128" s="329"/>
      <c r="E128" s="136" t="s">
        <v>181</v>
      </c>
      <c r="F128" s="137"/>
      <c r="G128" s="137"/>
      <c r="H128" s="218"/>
      <c r="I128" s="180">
        <v>0</v>
      </c>
      <c r="J128" s="180">
        <v>0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180">
        <v>0</v>
      </c>
      <c r="R128" s="180">
        <v>0</v>
      </c>
      <c r="S128" s="180">
        <v>0</v>
      </c>
      <c r="T128" s="180">
        <v>0</v>
      </c>
      <c r="U128" s="322">
        <f>SUM(I128:T128)</f>
        <v>0</v>
      </c>
      <c r="V128" s="321">
        <v>-59</v>
      </c>
      <c r="W128" s="181">
        <v>0</v>
      </c>
      <c r="X128" s="321">
        <v>0</v>
      </c>
      <c r="Y128" s="321">
        <v>0</v>
      </c>
      <c r="Z128" s="321">
        <v>0</v>
      </c>
      <c r="AA128" s="321">
        <v>-59</v>
      </c>
      <c r="AB128" s="263">
        <v>0</v>
      </c>
      <c r="AC128" s="263">
        <v>0</v>
      </c>
      <c r="AD128" s="263">
        <v>0</v>
      </c>
      <c r="AE128" s="263">
        <v>0</v>
      </c>
      <c r="AF128" s="263">
        <v>0</v>
      </c>
      <c r="AG128" s="263">
        <v>0</v>
      </c>
      <c r="AH128" s="263">
        <v>0</v>
      </c>
      <c r="AI128" s="182">
        <f t="shared" si="91"/>
        <v>0</v>
      </c>
      <c r="AJ128" s="184"/>
      <c r="AK128" s="185"/>
      <c r="AL128" s="185"/>
      <c r="AM128" s="185"/>
      <c r="AN128" s="186"/>
      <c r="AO128" s="137">
        <f t="shared" si="55"/>
        <v>-59</v>
      </c>
      <c r="AP128" s="179">
        <v>0</v>
      </c>
      <c r="AS128" s="136">
        <f>-'[13]Current YR TB'!$H$63/1000</f>
        <v>-136862.48671999999</v>
      </c>
      <c r="AT128" s="136" t="s">
        <v>182</v>
      </c>
    </row>
    <row r="129" spans="1:46" ht="12.75" hidden="1" customHeight="1" x14ac:dyDescent="0.2">
      <c r="A129" s="148"/>
      <c r="B129" s="137"/>
      <c r="C129" s="266"/>
      <c r="E129" s="137" t="s">
        <v>183</v>
      </c>
      <c r="F129" s="137"/>
      <c r="G129" s="137"/>
      <c r="H129" s="218"/>
      <c r="I129" s="180">
        <v>0</v>
      </c>
      <c r="J129" s="180">
        <v>0</v>
      </c>
      <c r="K129" s="180">
        <v>0</v>
      </c>
      <c r="L129" s="180">
        <v>0</v>
      </c>
      <c r="M129" s="180">
        <v>0</v>
      </c>
      <c r="N129" s="180">
        <v>0</v>
      </c>
      <c r="O129" s="180">
        <v>0</v>
      </c>
      <c r="P129" s="180">
        <v>0</v>
      </c>
      <c r="Q129" s="180">
        <v>0</v>
      </c>
      <c r="R129" s="180">
        <v>0</v>
      </c>
      <c r="S129" s="180">
        <v>0</v>
      </c>
      <c r="T129" s="180">
        <v>0</v>
      </c>
      <c r="U129" s="322">
        <f t="shared" si="92"/>
        <v>0</v>
      </c>
      <c r="V129" s="321">
        <v>0</v>
      </c>
      <c r="W129" s="181">
        <v>0</v>
      </c>
      <c r="X129" s="321">
        <v>0</v>
      </c>
      <c r="Y129" s="263">
        <v>0</v>
      </c>
      <c r="Z129" s="321">
        <v>0</v>
      </c>
      <c r="AA129" s="263">
        <v>0</v>
      </c>
      <c r="AB129" s="263">
        <v>0</v>
      </c>
      <c r="AC129" s="263">
        <v>0</v>
      </c>
      <c r="AD129" s="263">
        <v>0</v>
      </c>
      <c r="AE129" s="263">
        <v>0</v>
      </c>
      <c r="AF129" s="263">
        <v>0</v>
      </c>
      <c r="AG129" s="263">
        <v>0</v>
      </c>
      <c r="AH129" s="263">
        <v>0</v>
      </c>
      <c r="AI129" s="182">
        <f t="shared" si="91"/>
        <v>0</v>
      </c>
      <c r="AJ129" s="184"/>
      <c r="AK129" s="185"/>
      <c r="AL129" s="185"/>
      <c r="AM129" s="185"/>
      <c r="AN129" s="186"/>
      <c r="AO129" s="137">
        <f t="shared" si="55"/>
        <v>0</v>
      </c>
      <c r="AP129" s="179">
        <v>2069</v>
      </c>
      <c r="AS129" s="136">
        <f>+'[13]Current YR TB'!$J$63/1000</f>
        <v>167970.51280999999</v>
      </c>
      <c r="AT129" s="136" t="s">
        <v>184</v>
      </c>
    </row>
    <row r="130" spans="1:46" ht="12.75" hidden="1" customHeight="1" x14ac:dyDescent="0.2">
      <c r="A130" s="148"/>
      <c r="B130" s="137"/>
      <c r="E130" s="136" t="s">
        <v>185</v>
      </c>
      <c r="F130" s="137"/>
      <c r="G130" s="137"/>
      <c r="H130" s="218"/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180">
        <v>0</v>
      </c>
      <c r="R130" s="180">
        <v>0</v>
      </c>
      <c r="S130" s="180">
        <v>0</v>
      </c>
      <c r="T130" s="180">
        <v>0</v>
      </c>
      <c r="U130" s="322">
        <f t="shared" si="92"/>
        <v>0</v>
      </c>
      <c r="V130" s="321">
        <v>0</v>
      </c>
      <c r="W130" s="181">
        <v>0</v>
      </c>
      <c r="X130" s="321">
        <v>0</v>
      </c>
      <c r="Y130" s="263">
        <v>0</v>
      </c>
      <c r="Z130" s="263">
        <v>0</v>
      </c>
      <c r="AA130" s="263">
        <v>0</v>
      </c>
      <c r="AB130" s="263">
        <v>0</v>
      </c>
      <c r="AC130" s="263">
        <v>0</v>
      </c>
      <c r="AD130" s="263">
        <v>0</v>
      </c>
      <c r="AE130" s="263">
        <v>0</v>
      </c>
      <c r="AF130" s="263">
        <v>0</v>
      </c>
      <c r="AG130" s="263">
        <v>0</v>
      </c>
      <c r="AH130" s="263">
        <v>0</v>
      </c>
      <c r="AI130" s="182">
        <f t="shared" si="91"/>
        <v>0</v>
      </c>
      <c r="AJ130" s="184"/>
      <c r="AK130" s="185"/>
      <c r="AL130" s="185"/>
      <c r="AM130" s="185"/>
      <c r="AN130" s="186"/>
      <c r="AO130" s="137">
        <f t="shared" si="55"/>
        <v>0</v>
      </c>
      <c r="AP130" s="179">
        <v>-132</v>
      </c>
      <c r="AS130" s="235">
        <f>SUM(AS125:AS129)</f>
        <v>1275245263.0177398</v>
      </c>
      <c r="AT130" s="136" t="s">
        <v>186</v>
      </c>
    </row>
    <row r="131" spans="1:46" ht="12.75" hidden="1" customHeight="1" x14ac:dyDescent="0.2">
      <c r="A131" s="148"/>
      <c r="B131" s="137"/>
      <c r="E131" s="136" t="s">
        <v>187</v>
      </c>
      <c r="F131" s="137"/>
      <c r="G131" s="137"/>
      <c r="H131" s="218"/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180">
        <v>0</v>
      </c>
      <c r="R131" s="180">
        <v>0</v>
      </c>
      <c r="S131" s="180">
        <v>0</v>
      </c>
      <c r="T131" s="180">
        <v>0</v>
      </c>
      <c r="U131" s="322">
        <f t="shared" ref="U131:U137" si="94">SUM(I131:T131)</f>
        <v>0</v>
      </c>
      <c r="V131" s="321">
        <v>0</v>
      </c>
      <c r="W131" s="181">
        <v>0</v>
      </c>
      <c r="X131" s="321">
        <f t="shared" ref="X131:AG131" si="95">93644-93644</f>
        <v>0</v>
      </c>
      <c r="Y131" s="263">
        <f t="shared" si="95"/>
        <v>0</v>
      </c>
      <c r="Z131" s="263">
        <f t="shared" si="95"/>
        <v>0</v>
      </c>
      <c r="AA131" s="263">
        <f t="shared" si="95"/>
        <v>0</v>
      </c>
      <c r="AB131" s="263">
        <f t="shared" si="95"/>
        <v>0</v>
      </c>
      <c r="AC131" s="263">
        <f t="shared" si="95"/>
        <v>0</v>
      </c>
      <c r="AD131" s="263">
        <f t="shared" si="95"/>
        <v>0</v>
      </c>
      <c r="AE131" s="263">
        <f t="shared" si="95"/>
        <v>0</v>
      </c>
      <c r="AF131" s="263">
        <f t="shared" si="95"/>
        <v>0</v>
      </c>
      <c r="AG131" s="263">
        <f t="shared" si="95"/>
        <v>0</v>
      </c>
      <c r="AH131" s="263">
        <v>0</v>
      </c>
      <c r="AI131" s="182">
        <f t="shared" si="91"/>
        <v>0</v>
      </c>
      <c r="AJ131" s="184"/>
      <c r="AK131" s="185"/>
      <c r="AL131" s="185"/>
      <c r="AM131" s="185"/>
      <c r="AN131" s="186"/>
      <c r="AO131" s="137">
        <f t="shared" si="55"/>
        <v>0</v>
      </c>
      <c r="AP131" s="179">
        <v>0</v>
      </c>
    </row>
    <row r="132" spans="1:46" ht="12.75" hidden="1" customHeight="1" x14ac:dyDescent="0.2">
      <c r="A132" s="148"/>
      <c r="B132" s="137"/>
      <c r="E132" s="136" t="s">
        <v>188</v>
      </c>
      <c r="F132" s="137"/>
      <c r="G132" s="137"/>
      <c r="H132" s="218"/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180">
        <v>0</v>
      </c>
      <c r="R132" s="180">
        <v>0</v>
      </c>
      <c r="S132" s="180">
        <v>0</v>
      </c>
      <c r="T132" s="180">
        <v>0</v>
      </c>
      <c r="U132" s="322">
        <f>SUM(I132:T132)</f>
        <v>0</v>
      </c>
      <c r="V132" s="321">
        <v>0</v>
      </c>
      <c r="W132" s="181">
        <v>0</v>
      </c>
      <c r="X132" s="321">
        <v>0</v>
      </c>
      <c r="Y132" s="263">
        <v>0</v>
      </c>
      <c r="Z132" s="321">
        <v>0</v>
      </c>
      <c r="AA132" s="263">
        <v>0</v>
      </c>
      <c r="AB132" s="263">
        <v>0</v>
      </c>
      <c r="AC132" s="263">
        <v>0</v>
      </c>
      <c r="AD132" s="263">
        <v>0</v>
      </c>
      <c r="AE132" s="263">
        <v>0</v>
      </c>
      <c r="AF132" s="263">
        <v>0</v>
      </c>
      <c r="AG132" s="263">
        <v>0</v>
      </c>
      <c r="AH132" s="263">
        <v>0</v>
      </c>
      <c r="AI132" s="182">
        <f t="shared" si="91"/>
        <v>0</v>
      </c>
      <c r="AJ132" s="184"/>
      <c r="AK132" s="185"/>
      <c r="AL132" s="185"/>
      <c r="AM132" s="185"/>
      <c r="AN132" s="186"/>
      <c r="AO132" s="137">
        <f t="shared" si="55"/>
        <v>0</v>
      </c>
      <c r="AP132" s="179">
        <v>0</v>
      </c>
      <c r="AS132" s="136">
        <f>-V146</f>
        <v>-1345429606.9374199</v>
      </c>
    </row>
    <row r="133" spans="1:46" ht="12.75" hidden="1" customHeight="1" x14ac:dyDescent="0.2">
      <c r="A133" s="148"/>
      <c r="E133" s="329" t="s">
        <v>189</v>
      </c>
      <c r="F133" s="137"/>
      <c r="G133" s="137"/>
      <c r="H133" s="218"/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180">
        <v>0</v>
      </c>
      <c r="R133" s="180">
        <v>0</v>
      </c>
      <c r="S133" s="180">
        <v>0</v>
      </c>
      <c r="T133" s="180">
        <v>0</v>
      </c>
      <c r="U133" s="322">
        <f>SUM(I133:T133)</f>
        <v>0</v>
      </c>
      <c r="V133" s="321">
        <v>0</v>
      </c>
      <c r="W133" s="181">
        <v>0</v>
      </c>
      <c r="X133" s="321">
        <v>0</v>
      </c>
      <c r="Y133" s="263">
        <v>0</v>
      </c>
      <c r="Z133" s="263">
        <v>0</v>
      </c>
      <c r="AA133" s="263">
        <v>0</v>
      </c>
      <c r="AB133" s="263">
        <v>0</v>
      </c>
      <c r="AC133" s="263">
        <v>0</v>
      </c>
      <c r="AD133" s="263">
        <v>0</v>
      </c>
      <c r="AE133" s="263">
        <v>0</v>
      </c>
      <c r="AF133" s="263">
        <v>0</v>
      </c>
      <c r="AG133" s="263">
        <v>0</v>
      </c>
      <c r="AH133" s="263">
        <v>0</v>
      </c>
      <c r="AI133" s="182">
        <f t="shared" si="91"/>
        <v>0</v>
      </c>
      <c r="AJ133" s="184"/>
      <c r="AK133" s="185"/>
      <c r="AL133" s="185"/>
      <c r="AM133" s="185"/>
      <c r="AN133" s="186"/>
      <c r="AO133" s="137">
        <f t="shared" si="55"/>
        <v>0</v>
      </c>
      <c r="AP133" s="179">
        <v>532404</v>
      </c>
      <c r="AS133" s="330">
        <f>SUM(AS130:AS132)</f>
        <v>-70184343.919680119</v>
      </c>
    </row>
    <row r="134" spans="1:46" ht="12.75" hidden="1" customHeight="1" x14ac:dyDescent="0.2">
      <c r="A134" s="148"/>
      <c r="B134" s="329"/>
      <c r="E134" s="136" t="s">
        <v>190</v>
      </c>
      <c r="F134" s="137"/>
      <c r="G134" s="137"/>
      <c r="H134" s="218"/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180">
        <v>0</v>
      </c>
      <c r="R134" s="180">
        <v>0</v>
      </c>
      <c r="S134" s="180">
        <v>0</v>
      </c>
      <c r="T134" s="180">
        <v>0</v>
      </c>
      <c r="U134" s="322">
        <f t="shared" si="94"/>
        <v>0</v>
      </c>
      <c r="V134" s="321">
        <v>0</v>
      </c>
      <c r="W134" s="181">
        <v>0</v>
      </c>
      <c r="X134" s="321">
        <v>0</v>
      </c>
      <c r="Y134" s="263">
        <v>0</v>
      </c>
      <c r="Z134" s="263">
        <v>0</v>
      </c>
      <c r="AA134" s="263">
        <v>0</v>
      </c>
      <c r="AB134" s="263">
        <v>0</v>
      </c>
      <c r="AC134" s="263">
        <v>0</v>
      </c>
      <c r="AD134" s="263">
        <v>0</v>
      </c>
      <c r="AE134" s="263">
        <v>0</v>
      </c>
      <c r="AF134" s="263">
        <v>0</v>
      </c>
      <c r="AG134" s="263">
        <v>0</v>
      </c>
      <c r="AH134" s="263">
        <v>0</v>
      </c>
      <c r="AI134" s="182">
        <f t="shared" si="91"/>
        <v>0</v>
      </c>
      <c r="AJ134" s="184"/>
      <c r="AK134" s="185"/>
      <c r="AL134" s="185"/>
      <c r="AM134" s="185"/>
      <c r="AN134" s="186"/>
      <c r="AO134" s="137">
        <f t="shared" si="55"/>
        <v>0</v>
      </c>
      <c r="AP134" s="179">
        <v>0</v>
      </c>
    </row>
    <row r="135" spans="1:46" ht="12.75" hidden="1" customHeight="1" x14ac:dyDescent="0.2">
      <c r="A135" s="148"/>
      <c r="B135" s="329"/>
      <c r="E135" s="136" t="s">
        <v>191</v>
      </c>
      <c r="F135" s="137"/>
      <c r="G135" s="137"/>
      <c r="H135" s="218"/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180">
        <v>0</v>
      </c>
      <c r="R135" s="180">
        <v>0</v>
      </c>
      <c r="S135" s="180">
        <v>0</v>
      </c>
      <c r="T135" s="180">
        <v>0</v>
      </c>
      <c r="U135" s="322">
        <f t="shared" ref="U135" si="96">SUM(I135:T135)</f>
        <v>0</v>
      </c>
      <c r="V135" s="321">
        <v>0</v>
      </c>
      <c r="W135" s="181">
        <v>0</v>
      </c>
      <c r="X135" s="321"/>
      <c r="Y135" s="263">
        <v>0</v>
      </c>
      <c r="Z135" s="263">
        <v>0</v>
      </c>
      <c r="AA135" s="263">
        <v>0</v>
      </c>
      <c r="AB135" s="263">
        <v>0</v>
      </c>
      <c r="AC135" s="263">
        <v>0</v>
      </c>
      <c r="AD135" s="263">
        <v>0</v>
      </c>
      <c r="AE135" s="263">
        <v>0</v>
      </c>
      <c r="AF135" s="263">
        <v>0</v>
      </c>
      <c r="AG135" s="263">
        <v>0</v>
      </c>
      <c r="AH135" s="263">
        <v>0</v>
      </c>
      <c r="AI135" s="182">
        <f t="shared" si="91"/>
        <v>0</v>
      </c>
      <c r="AJ135" s="184"/>
      <c r="AK135" s="185"/>
      <c r="AL135" s="185"/>
      <c r="AM135" s="185"/>
      <c r="AN135" s="186"/>
      <c r="AO135" s="137">
        <f t="shared" si="55"/>
        <v>0</v>
      </c>
      <c r="AP135" s="179">
        <v>0</v>
      </c>
      <c r="AS135" s="136">
        <f>+V146</f>
        <v>1345429606.9374199</v>
      </c>
    </row>
    <row r="136" spans="1:46" ht="12.75" hidden="1" customHeight="1" x14ac:dyDescent="0.2">
      <c r="A136" s="148"/>
      <c r="B136" s="329"/>
      <c r="E136" s="136" t="s">
        <v>192</v>
      </c>
      <c r="F136" s="137"/>
      <c r="G136" s="137"/>
      <c r="H136" s="218"/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180">
        <v>0</v>
      </c>
      <c r="R136" s="180">
        <v>0</v>
      </c>
      <c r="S136" s="180">
        <v>0</v>
      </c>
      <c r="T136" s="180">
        <v>0</v>
      </c>
      <c r="U136" s="322">
        <f>SUM(I136:T136)</f>
        <v>0</v>
      </c>
      <c r="V136" s="321">
        <v>0</v>
      </c>
      <c r="W136" s="181">
        <v>0</v>
      </c>
      <c r="X136" s="321"/>
      <c r="Y136" s="263">
        <v>0</v>
      </c>
      <c r="Z136" s="263">
        <v>0</v>
      </c>
      <c r="AA136" s="263">
        <v>0</v>
      </c>
      <c r="AB136" s="263">
        <v>0</v>
      </c>
      <c r="AC136" s="263">
        <v>0</v>
      </c>
      <c r="AD136" s="263">
        <v>0</v>
      </c>
      <c r="AE136" s="263">
        <v>0</v>
      </c>
      <c r="AF136" s="263">
        <v>0</v>
      </c>
      <c r="AG136" s="263">
        <v>0</v>
      </c>
      <c r="AH136" s="263">
        <v>0</v>
      </c>
      <c r="AI136" s="182">
        <f t="shared" si="91"/>
        <v>0</v>
      </c>
      <c r="AJ136" s="184"/>
      <c r="AK136" s="185"/>
      <c r="AL136" s="185"/>
      <c r="AM136" s="185"/>
      <c r="AN136" s="186"/>
      <c r="AO136" s="137">
        <f t="shared" si="55"/>
        <v>0</v>
      </c>
      <c r="AP136" s="179">
        <v>0</v>
      </c>
    </row>
    <row r="137" spans="1:46" x14ac:dyDescent="0.2">
      <c r="A137" s="331" t="s">
        <v>193</v>
      </c>
      <c r="B137" s="187"/>
      <c r="C137" s="187"/>
      <c r="D137" s="187"/>
      <c r="E137" s="187"/>
      <c r="F137" s="187"/>
      <c r="G137" s="188"/>
      <c r="H137" s="218"/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0</v>
      </c>
      <c r="Q137" s="180">
        <v>0</v>
      </c>
      <c r="R137" s="180">
        <v>0</v>
      </c>
      <c r="S137" s="180">
        <v>0</v>
      </c>
      <c r="T137" s="180">
        <v>0</v>
      </c>
      <c r="U137" s="322">
        <f t="shared" si="94"/>
        <v>0</v>
      </c>
      <c r="V137" s="321">
        <v>57.300000000000004</v>
      </c>
      <c r="W137" s="181">
        <v>0</v>
      </c>
      <c r="X137" s="321">
        <v>0.66666999999999998</v>
      </c>
      <c r="Y137" s="321">
        <v>0.2</v>
      </c>
      <c r="Z137" s="321">
        <v>0</v>
      </c>
      <c r="AA137" s="321">
        <v>0.05</v>
      </c>
      <c r="AB137" s="263">
        <v>0</v>
      </c>
      <c r="AC137" s="263">
        <v>0</v>
      </c>
      <c r="AD137" s="263">
        <v>54.883330000000001</v>
      </c>
      <c r="AE137" s="263">
        <v>0</v>
      </c>
      <c r="AF137" s="263">
        <v>1.5</v>
      </c>
      <c r="AG137" s="263">
        <v>0</v>
      </c>
      <c r="AH137" s="263">
        <v>0</v>
      </c>
      <c r="AI137" s="182">
        <f t="shared" si="91"/>
        <v>0.66666999999999998</v>
      </c>
      <c r="AJ137" s="184"/>
      <c r="AK137" s="185"/>
      <c r="AL137" s="185"/>
      <c r="AM137" s="185"/>
      <c r="AN137" s="186"/>
      <c r="AO137" s="137">
        <f t="shared" si="55"/>
        <v>56.633330000000001</v>
      </c>
      <c r="AP137" s="179">
        <v>-0.20000000000000284</v>
      </c>
    </row>
    <row r="138" spans="1:46" ht="12.75" customHeight="1" x14ac:dyDescent="0.2">
      <c r="A138" s="148" t="s">
        <v>194</v>
      </c>
      <c r="B138" s="137"/>
      <c r="C138" s="137"/>
      <c r="D138" s="137"/>
      <c r="E138" s="137"/>
      <c r="F138" s="137"/>
      <c r="G138" s="219"/>
      <c r="H138" s="181">
        <v>46972561.811999999</v>
      </c>
      <c r="I138" s="180">
        <v>2558272.5997100002</v>
      </c>
      <c r="J138" s="180">
        <v>1599970.9169700001</v>
      </c>
      <c r="K138" s="180">
        <v>0</v>
      </c>
      <c r="L138" s="180">
        <v>0</v>
      </c>
      <c r="M138" s="180">
        <v>0</v>
      </c>
      <c r="N138" s="180">
        <v>0</v>
      </c>
      <c r="O138" s="180">
        <v>0</v>
      </c>
      <c r="P138" s="180">
        <v>0</v>
      </c>
      <c r="Q138" s="180">
        <v>0</v>
      </c>
      <c r="R138" s="180">
        <v>0</v>
      </c>
      <c r="S138" s="321">
        <v>0</v>
      </c>
      <c r="T138" s="321">
        <v>0</v>
      </c>
      <c r="U138" s="322">
        <f>SUM(I138:T138)</f>
        <v>4158243.5166800003</v>
      </c>
      <c r="V138" s="321">
        <v>42755354.662430003</v>
      </c>
      <c r="W138" s="181">
        <v>3727892.12622</v>
      </c>
      <c r="X138" s="321">
        <v>3461514.7302600001</v>
      </c>
      <c r="Y138" s="321">
        <v>3530607.19343</v>
      </c>
      <c r="Z138" s="321">
        <v>3410770.7181799999</v>
      </c>
      <c r="AA138" s="263">
        <v>3201069.94331</v>
      </c>
      <c r="AB138" s="263">
        <v>3566543.301</v>
      </c>
      <c r="AC138" s="263">
        <v>3796988.06317</v>
      </c>
      <c r="AD138" s="263">
        <v>3458010.4393600002</v>
      </c>
      <c r="AE138" s="263">
        <v>3807332.1439099996</v>
      </c>
      <c r="AF138" s="263">
        <v>3528323.70701</v>
      </c>
      <c r="AG138" s="263">
        <v>3495556.9734800002</v>
      </c>
      <c r="AH138" s="263">
        <v>3770745.3230999997</v>
      </c>
      <c r="AI138" s="182">
        <f t="shared" si="91"/>
        <v>7189406.8564800005</v>
      </c>
      <c r="AJ138" s="184"/>
      <c r="AK138" s="185"/>
      <c r="AL138" s="185"/>
      <c r="AM138" s="185"/>
      <c r="AN138" s="186"/>
      <c r="AO138" s="137">
        <f t="shared" ref="AO138:AO146" si="97">+V138-AI138</f>
        <v>35565947.805950001</v>
      </c>
      <c r="AP138" s="179">
        <v>-2.6400089263916016E-3</v>
      </c>
      <c r="AR138" s="235"/>
    </row>
    <row r="139" spans="1:46" ht="12.75" customHeight="1" x14ac:dyDescent="0.2">
      <c r="A139" s="332" t="s">
        <v>195</v>
      </c>
      <c r="B139" s="333"/>
      <c r="C139" s="333"/>
      <c r="D139" s="333"/>
      <c r="E139" s="333"/>
      <c r="F139" s="333"/>
      <c r="G139" s="333"/>
      <c r="H139" s="334">
        <v>19471166.75</v>
      </c>
      <c r="I139" s="335">
        <v>1443405.03764</v>
      </c>
      <c r="J139" s="335">
        <v>1326166.2971099999</v>
      </c>
      <c r="K139" s="335">
        <v>0</v>
      </c>
      <c r="L139" s="335">
        <v>0</v>
      </c>
      <c r="M139" s="335">
        <v>0</v>
      </c>
      <c r="N139" s="335">
        <v>0</v>
      </c>
      <c r="O139" s="335">
        <v>0</v>
      </c>
      <c r="P139" s="335">
        <v>0</v>
      </c>
      <c r="Q139" s="335">
        <v>0</v>
      </c>
      <c r="R139" s="335">
        <v>0</v>
      </c>
      <c r="S139" s="334">
        <v>0</v>
      </c>
      <c r="T139" s="334">
        <v>0</v>
      </c>
      <c r="U139" s="336">
        <f>SUM(I139:T139)</f>
        <v>2769571.3347499999</v>
      </c>
      <c r="V139" s="335">
        <v>20100560.826980002</v>
      </c>
      <c r="W139" s="334">
        <v>1510983.9494400001</v>
      </c>
      <c r="X139" s="321">
        <v>1595692.48232</v>
      </c>
      <c r="Y139" s="334">
        <v>1622086.74618</v>
      </c>
      <c r="Z139" s="334">
        <v>1624245.86387</v>
      </c>
      <c r="AA139" s="334">
        <v>1658067.0172999999</v>
      </c>
      <c r="AB139" s="334">
        <v>1642823.66334</v>
      </c>
      <c r="AC139" s="334">
        <v>1663487.2553599998</v>
      </c>
      <c r="AD139" s="334">
        <v>1664709.8666300001</v>
      </c>
      <c r="AE139" s="334">
        <v>1788519.15705</v>
      </c>
      <c r="AF139" s="334">
        <v>1670315.0718399999</v>
      </c>
      <c r="AG139" s="334">
        <v>1763840.9556199999</v>
      </c>
      <c r="AH139" s="334">
        <v>1895788.7980299999</v>
      </c>
      <c r="AI139" s="182">
        <f t="shared" si="91"/>
        <v>3106676.4317600001</v>
      </c>
      <c r="AJ139" s="184"/>
      <c r="AK139" s="185"/>
      <c r="AL139" s="185"/>
      <c r="AM139" s="185"/>
      <c r="AN139" s="186"/>
      <c r="AO139" s="137">
        <f t="shared" si="97"/>
        <v>16993884.395220004</v>
      </c>
      <c r="AP139" s="179">
        <v>-0.37992999702692032</v>
      </c>
    </row>
    <row r="140" spans="1:46" ht="12.75" customHeight="1" x14ac:dyDescent="0.2">
      <c r="A140" s="229" t="s">
        <v>196</v>
      </c>
      <c r="B140" s="137"/>
      <c r="C140" s="137"/>
      <c r="D140" s="137"/>
      <c r="E140" s="137"/>
      <c r="F140" s="137"/>
      <c r="G140" s="137"/>
      <c r="H140" s="202"/>
      <c r="I140" s="200">
        <f>+I116+I117+I120+I137+I138+I139</f>
        <v>67582916.620230004</v>
      </c>
      <c r="J140" s="200">
        <f t="shared" ref="J140:V140" si="98">+J116+J117+J120+J137+J138+J139</f>
        <v>71935965.036200017</v>
      </c>
      <c r="K140" s="200">
        <f t="shared" si="98"/>
        <v>0</v>
      </c>
      <c r="L140" s="200">
        <f t="shared" si="98"/>
        <v>0</v>
      </c>
      <c r="M140" s="200">
        <f t="shared" si="98"/>
        <v>0</v>
      </c>
      <c r="N140" s="200">
        <f t="shared" si="98"/>
        <v>0</v>
      </c>
      <c r="O140" s="200">
        <f t="shared" si="98"/>
        <v>0</v>
      </c>
      <c r="P140" s="200">
        <f t="shared" si="98"/>
        <v>0</v>
      </c>
      <c r="Q140" s="200">
        <f t="shared" si="98"/>
        <v>0</v>
      </c>
      <c r="R140" s="200">
        <f t="shared" si="98"/>
        <v>0</v>
      </c>
      <c r="S140" s="200">
        <f t="shared" si="98"/>
        <v>0</v>
      </c>
      <c r="T140" s="200">
        <f t="shared" si="98"/>
        <v>0</v>
      </c>
      <c r="U140" s="278">
        <f t="shared" si="98"/>
        <v>139518881.65643001</v>
      </c>
      <c r="V140" s="158">
        <f t="shared" si="98"/>
        <v>1407919889.4374199</v>
      </c>
      <c r="W140" s="337">
        <f>+W116+W117+W120+W137+W138+W139</f>
        <v>79152589.595310032</v>
      </c>
      <c r="X140" s="338">
        <f t="shared" ref="X140:AH140" si="99">+X116+X117+X120+X137+X138+X139</f>
        <v>102711020.61303</v>
      </c>
      <c r="Y140" s="338">
        <f t="shared" si="99"/>
        <v>152239555.81156999</v>
      </c>
      <c r="Z140" s="200">
        <f t="shared" si="99"/>
        <v>79408860.271009982</v>
      </c>
      <c r="AA140" s="338">
        <f t="shared" si="99"/>
        <v>123216483.81714998</v>
      </c>
      <c r="AB140" s="338">
        <f t="shared" si="99"/>
        <v>123153810.1278</v>
      </c>
      <c r="AC140" s="338">
        <f t="shared" si="99"/>
        <v>89411944.341419965</v>
      </c>
      <c r="AD140" s="338">
        <f t="shared" si="99"/>
        <v>101332205.83091001</v>
      </c>
      <c r="AE140" s="338">
        <f t="shared" si="99"/>
        <v>165825992.96880001</v>
      </c>
      <c r="AF140" s="338">
        <f t="shared" si="99"/>
        <v>96688831.304470032</v>
      </c>
      <c r="AG140" s="338">
        <f t="shared" si="99"/>
        <v>149959544.04717997</v>
      </c>
      <c r="AH140" s="338">
        <f t="shared" si="99"/>
        <v>144819050.70876995</v>
      </c>
      <c r="AI140" s="339">
        <f>+AI116+AI117+AI120+AI137+AI138+AI139</f>
        <v>181863610.20834005</v>
      </c>
      <c r="AJ140" s="307"/>
      <c r="AK140" s="308"/>
      <c r="AL140" s="308"/>
      <c r="AM140" s="308"/>
      <c r="AN140" s="186"/>
      <c r="AO140" s="137">
        <f t="shared" si="97"/>
        <v>1226056279.2290797</v>
      </c>
      <c r="AP140" s="179">
        <v>-644823.67811989784</v>
      </c>
    </row>
    <row r="141" spans="1:46" ht="12.75" customHeight="1" x14ac:dyDescent="0.2">
      <c r="A141" s="148" t="s">
        <v>197</v>
      </c>
      <c r="B141" s="137"/>
      <c r="C141" s="137"/>
      <c r="D141" s="137"/>
      <c r="E141" s="137"/>
      <c r="F141" s="137"/>
      <c r="G141" s="280"/>
      <c r="H141" s="218"/>
      <c r="I141" s="180">
        <v>16415</v>
      </c>
      <c r="J141" s="180">
        <v>3123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180">
        <v>0</v>
      </c>
      <c r="R141" s="180">
        <v>0</v>
      </c>
      <c r="S141" s="321">
        <v>0</v>
      </c>
      <c r="T141" s="321">
        <v>0</v>
      </c>
      <c r="U141" s="322">
        <f>SUM(I141:T141)</f>
        <v>19538</v>
      </c>
      <c r="V141" s="321">
        <v>31925</v>
      </c>
      <c r="W141" s="185">
        <v>-244488</v>
      </c>
      <c r="X141" s="263">
        <v>7619</v>
      </c>
      <c r="Y141" s="340">
        <v>-10474</v>
      </c>
      <c r="Z141" s="321">
        <v>234915</v>
      </c>
      <c r="AA141" s="321">
        <v>98725</v>
      </c>
      <c r="AB141" s="263">
        <v>19911</v>
      </c>
      <c r="AC141" s="263">
        <v>-55150</v>
      </c>
      <c r="AD141" s="263">
        <v>54061</v>
      </c>
      <c r="AE141" s="263">
        <v>388</v>
      </c>
      <c r="AF141" s="263">
        <v>-58683</v>
      </c>
      <c r="AG141" s="263">
        <v>12145</v>
      </c>
      <c r="AH141" s="263">
        <v>-27044</v>
      </c>
      <c r="AI141" s="182">
        <f t="shared" ref="AI141:AI145" si="100">SUM(W141:X141)</f>
        <v>-236869</v>
      </c>
      <c r="AJ141" s="184"/>
      <c r="AK141" s="185"/>
      <c r="AL141" s="185"/>
      <c r="AM141" s="185"/>
      <c r="AN141" s="186"/>
      <c r="AO141" s="137">
        <f t="shared" si="97"/>
        <v>268794</v>
      </c>
      <c r="AP141" s="179">
        <v>-21</v>
      </c>
      <c r="AS141" s="235"/>
    </row>
    <row r="142" spans="1:46" ht="12.75" customHeight="1" x14ac:dyDescent="0.2">
      <c r="A142" s="331" t="s">
        <v>198</v>
      </c>
      <c r="B142" s="187"/>
      <c r="C142" s="187"/>
      <c r="D142" s="187"/>
      <c r="E142" s="187"/>
      <c r="F142" s="187"/>
      <c r="G142" s="188"/>
      <c r="H142" s="218"/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180">
        <v>0</v>
      </c>
      <c r="R142" s="180">
        <v>0</v>
      </c>
      <c r="S142" s="321">
        <v>0</v>
      </c>
      <c r="T142" s="321">
        <v>0</v>
      </c>
      <c r="U142" s="322">
        <f>SUM(I142:T142)</f>
        <v>0</v>
      </c>
      <c r="V142" s="321">
        <v>-57.5</v>
      </c>
      <c r="W142" s="185">
        <v>0</v>
      </c>
      <c r="X142" s="263">
        <v>0</v>
      </c>
      <c r="Y142" s="340">
        <v>-1</v>
      </c>
      <c r="Z142" s="321">
        <v>0</v>
      </c>
      <c r="AA142" s="321">
        <v>0</v>
      </c>
      <c r="AB142" s="263">
        <v>0</v>
      </c>
      <c r="AC142" s="263">
        <v>0</v>
      </c>
      <c r="AD142" s="263">
        <v>0</v>
      </c>
      <c r="AE142" s="263">
        <v>-55</v>
      </c>
      <c r="AF142" s="263">
        <v>0</v>
      </c>
      <c r="AG142" s="263">
        <v>-1.5</v>
      </c>
      <c r="AH142" s="263">
        <v>0</v>
      </c>
      <c r="AI142" s="182">
        <f t="shared" si="100"/>
        <v>0</v>
      </c>
      <c r="AJ142" s="184"/>
      <c r="AK142" s="185"/>
      <c r="AL142" s="185"/>
      <c r="AM142" s="185"/>
      <c r="AN142" s="186"/>
      <c r="AO142" s="137">
        <f t="shared" si="97"/>
        <v>-57.5</v>
      </c>
      <c r="AP142" s="179">
        <v>0</v>
      </c>
    </row>
    <row r="143" spans="1:46" ht="12.75" customHeight="1" x14ac:dyDescent="0.2">
      <c r="A143" s="148" t="s">
        <v>199</v>
      </c>
      <c r="B143" s="137"/>
      <c r="C143" s="137"/>
      <c r="D143" s="137"/>
      <c r="E143" s="137"/>
      <c r="F143" s="137"/>
      <c r="G143" s="137"/>
      <c r="H143" s="218"/>
      <c r="I143" s="180">
        <v>-3770745</v>
      </c>
      <c r="J143" s="180">
        <v>-2558273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180">
        <v>0</v>
      </c>
      <c r="R143" s="180">
        <v>0</v>
      </c>
      <c r="S143" s="321">
        <v>0</v>
      </c>
      <c r="T143" s="321">
        <v>0</v>
      </c>
      <c r="U143" s="322">
        <f t="shared" ref="U143:U145" si="101">SUM(I143:T143)</f>
        <v>-6329018</v>
      </c>
      <c r="V143" s="321">
        <v>-42632836</v>
      </c>
      <c r="W143" s="185">
        <v>-3648226</v>
      </c>
      <c r="X143" s="263">
        <v>-3727892</v>
      </c>
      <c r="Y143" s="340">
        <v>-3461515</v>
      </c>
      <c r="Z143" s="321">
        <v>-3530607</v>
      </c>
      <c r="AA143" s="321">
        <v>-3410771</v>
      </c>
      <c r="AB143" s="263">
        <v>-3201070</v>
      </c>
      <c r="AC143" s="263">
        <v>-3566544</v>
      </c>
      <c r="AD143" s="263">
        <v>-3796988</v>
      </c>
      <c r="AE143" s="263">
        <v>-3458010</v>
      </c>
      <c r="AF143" s="263">
        <v>-3807332</v>
      </c>
      <c r="AG143" s="263">
        <v>-3528324</v>
      </c>
      <c r="AH143" s="263">
        <v>-3495557</v>
      </c>
      <c r="AI143" s="182">
        <f t="shared" si="100"/>
        <v>-7376118</v>
      </c>
      <c r="AJ143" s="184"/>
      <c r="AK143" s="185"/>
      <c r="AL143" s="185"/>
      <c r="AM143" s="185"/>
      <c r="AN143" s="186"/>
      <c r="AO143" s="137">
        <f t="shared" si="97"/>
        <v>-35256718</v>
      </c>
      <c r="AP143" s="179">
        <v>0</v>
      </c>
      <c r="AS143" s="235"/>
    </row>
    <row r="144" spans="1:46" ht="12.75" customHeight="1" x14ac:dyDescent="0.2">
      <c r="A144" s="148" t="s">
        <v>200</v>
      </c>
      <c r="B144" s="137"/>
      <c r="C144" s="137"/>
      <c r="D144" s="137"/>
      <c r="E144" s="137"/>
      <c r="F144" s="137"/>
      <c r="G144" s="137"/>
      <c r="H144" s="218"/>
      <c r="I144" s="180">
        <v>-1895789</v>
      </c>
      <c r="J144" s="180">
        <v>-1443405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180">
        <v>0</v>
      </c>
      <c r="R144" s="180">
        <v>0</v>
      </c>
      <c r="S144" s="321">
        <v>0</v>
      </c>
      <c r="T144" s="321">
        <v>0</v>
      </c>
      <c r="U144" s="322">
        <f t="shared" si="101"/>
        <v>-3339194</v>
      </c>
      <c r="V144" s="321">
        <v>-19901483</v>
      </c>
      <c r="W144" s="185">
        <v>-1696711</v>
      </c>
      <c r="X144" s="263">
        <v>-1510984</v>
      </c>
      <c r="Y144" s="340">
        <v>-1595692</v>
      </c>
      <c r="Z144" s="321">
        <v>-1622087</v>
      </c>
      <c r="AA144" s="321">
        <v>-1624246</v>
      </c>
      <c r="AB144" s="263">
        <v>-1658067</v>
      </c>
      <c r="AC144" s="263">
        <v>-1642824</v>
      </c>
      <c r="AD144" s="263">
        <v>-1663487</v>
      </c>
      <c r="AE144" s="263">
        <v>-1664710</v>
      </c>
      <c r="AF144" s="263">
        <v>-1788519</v>
      </c>
      <c r="AG144" s="263">
        <v>-1670315</v>
      </c>
      <c r="AH144" s="263">
        <v>-1763841</v>
      </c>
      <c r="AI144" s="182">
        <f t="shared" si="100"/>
        <v>-3207695</v>
      </c>
      <c r="AJ144" s="184"/>
      <c r="AK144" s="185"/>
      <c r="AL144" s="185"/>
      <c r="AM144" s="185"/>
      <c r="AN144" s="186"/>
      <c r="AO144" s="137">
        <f t="shared" si="97"/>
        <v>-16693788</v>
      </c>
      <c r="AP144" s="179">
        <v>0</v>
      </c>
    </row>
    <row r="145" spans="1:46" ht="12.75" customHeight="1" x14ac:dyDescent="0.2">
      <c r="A145" s="341" t="s">
        <v>201</v>
      </c>
      <c r="B145" s="342"/>
      <c r="C145" s="342"/>
      <c r="D145" s="342"/>
      <c r="E145" s="342"/>
      <c r="F145" s="342"/>
      <c r="G145" s="343"/>
      <c r="H145" s="334"/>
      <c r="I145" s="180">
        <f>350-50000</f>
        <v>-49650</v>
      </c>
      <c r="J145" s="180">
        <v>32382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180">
        <v>0</v>
      </c>
      <c r="R145" s="180">
        <v>0</v>
      </c>
      <c r="S145" s="321">
        <v>0</v>
      </c>
      <c r="T145" s="321">
        <v>0</v>
      </c>
      <c r="U145" s="322">
        <f t="shared" si="101"/>
        <v>-17268</v>
      </c>
      <c r="V145" s="344">
        <v>12169</v>
      </c>
      <c r="W145" s="185">
        <v>-1870</v>
      </c>
      <c r="X145" s="345">
        <v>3506</v>
      </c>
      <c r="Y145" s="340">
        <v>4746</v>
      </c>
      <c r="Z145" s="321">
        <f>106384-2000</f>
        <v>104384</v>
      </c>
      <c r="AA145" s="321">
        <v>3409</v>
      </c>
      <c r="AB145" s="345">
        <f>2093-10600</f>
        <v>-8507</v>
      </c>
      <c r="AC145" s="345">
        <f>2713-3400-2000-50-50-30000</f>
        <v>-32787</v>
      </c>
      <c r="AD145" s="345">
        <v>1715</v>
      </c>
      <c r="AE145" s="345">
        <v>26449</v>
      </c>
      <c r="AF145" s="345">
        <f>743-27250</f>
        <v>-26507</v>
      </c>
      <c r="AG145" s="345">
        <v>4991</v>
      </c>
      <c r="AH145" s="345">
        <f>712-67993-79</f>
        <v>-67360</v>
      </c>
      <c r="AI145" s="182">
        <f t="shared" si="100"/>
        <v>1636</v>
      </c>
      <c r="AJ145" s="184"/>
      <c r="AK145" s="185"/>
      <c r="AL145" s="185"/>
      <c r="AM145" s="185"/>
      <c r="AN145" s="186"/>
      <c r="AO145" s="137">
        <f t="shared" si="97"/>
        <v>10533</v>
      </c>
      <c r="AP145" s="179">
        <v>0</v>
      </c>
    </row>
    <row r="146" spans="1:46" ht="12.75" customHeight="1" x14ac:dyDescent="0.2">
      <c r="A146" s="292" t="s">
        <v>202</v>
      </c>
      <c r="B146" s="245"/>
      <c r="C146" s="245"/>
      <c r="D146" s="245"/>
      <c r="E146" s="245"/>
      <c r="F146" s="245"/>
      <c r="G146" s="247"/>
      <c r="H146" s="293"/>
      <c r="I146" s="293">
        <f t="shared" ref="I146" si="102">SUM(I140:I145)</f>
        <v>61883147.620230004</v>
      </c>
      <c r="J146" s="293">
        <f t="shared" ref="J146:T146" si="103">SUM(J140:J145)</f>
        <v>67969792.036200017</v>
      </c>
      <c r="K146" s="293">
        <f t="shared" si="103"/>
        <v>0</v>
      </c>
      <c r="L146" s="293">
        <f t="shared" si="103"/>
        <v>0</v>
      </c>
      <c r="M146" s="293">
        <f t="shared" si="103"/>
        <v>0</v>
      </c>
      <c r="N146" s="293">
        <f t="shared" si="103"/>
        <v>0</v>
      </c>
      <c r="O146" s="293">
        <f t="shared" si="103"/>
        <v>0</v>
      </c>
      <c r="P146" s="293">
        <f t="shared" si="103"/>
        <v>0</v>
      </c>
      <c r="Q146" s="293">
        <f t="shared" si="103"/>
        <v>0</v>
      </c>
      <c r="R146" s="293">
        <f t="shared" si="103"/>
        <v>0</v>
      </c>
      <c r="S146" s="293">
        <f t="shared" si="103"/>
        <v>0</v>
      </c>
      <c r="T146" s="293">
        <f t="shared" si="103"/>
        <v>0</v>
      </c>
      <c r="U146" s="294">
        <f>SUM(U140:U145)</f>
        <v>129852939.65643001</v>
      </c>
      <c r="V146" s="244">
        <f>SUM(V140:V145)</f>
        <v>1345429606.9374199</v>
      </c>
      <c r="W146" s="346">
        <f>SUM(W140:W145)</f>
        <v>73561294.595310032</v>
      </c>
      <c r="X146" s="346">
        <f>SUM(X140:X145)</f>
        <v>97483269.613030002</v>
      </c>
      <c r="Y146" s="346">
        <f>SUM(Y140:Y145)</f>
        <v>147176619.81156999</v>
      </c>
      <c r="Z146" s="346">
        <f t="shared" ref="Z146:AE146" si="104">SUM(Z140:Z145)</f>
        <v>74595465.271009982</v>
      </c>
      <c r="AA146" s="346">
        <f t="shared" si="104"/>
        <v>118283600.81714998</v>
      </c>
      <c r="AB146" s="346">
        <f t="shared" si="104"/>
        <v>118306077.1278</v>
      </c>
      <c r="AC146" s="346">
        <f t="shared" si="104"/>
        <v>84114639.341419965</v>
      </c>
      <c r="AD146" s="346">
        <f t="shared" si="104"/>
        <v>95927506.830910012</v>
      </c>
      <c r="AE146" s="346">
        <f t="shared" si="104"/>
        <v>160730054.96880001</v>
      </c>
      <c r="AF146" s="346">
        <f>SUM(AF140:AF145)</f>
        <v>91007790.304470032</v>
      </c>
      <c r="AG146" s="346">
        <f>SUM(AG140:AG145)</f>
        <v>144778039.54717997</v>
      </c>
      <c r="AH146" s="346">
        <f>SUM(AH140:AH145)</f>
        <v>139465248.70876995</v>
      </c>
      <c r="AI146" s="296">
        <f>SUM(AI140:AI145)</f>
        <v>171044564.20834005</v>
      </c>
      <c r="AJ146" s="229"/>
      <c r="AK146" s="149"/>
      <c r="AL146" s="149"/>
      <c r="AM146" s="149"/>
      <c r="AN146" s="186"/>
      <c r="AO146" s="137">
        <f t="shared" si="97"/>
        <v>1174385042.7290797</v>
      </c>
      <c r="AP146" s="179">
        <v>-644843.67811989784</v>
      </c>
    </row>
    <row r="147" spans="1:46" s="350" customFormat="1" ht="12.75" customHeight="1" x14ac:dyDescent="0.2">
      <c r="A147" s="347" t="s">
        <v>203</v>
      </c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>
        <v>3510</v>
      </c>
      <c r="X147" s="348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9"/>
      <c r="AK147" s="349"/>
      <c r="AL147" s="349"/>
      <c r="AM147" s="349"/>
      <c r="AR147" s="136"/>
      <c r="AS147" s="136"/>
      <c r="AT147" s="136"/>
    </row>
    <row r="148" spans="1:46" ht="12.75" customHeight="1" x14ac:dyDescent="0.2">
      <c r="A148" s="351" t="s">
        <v>204</v>
      </c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>
        <f>SUM(W142:W147)</f>
        <v>68217997.595310032</v>
      </c>
      <c r="X148" s="351"/>
      <c r="Y148" s="351"/>
      <c r="Z148" s="351"/>
      <c r="AA148" s="351"/>
      <c r="AB148" s="351"/>
      <c r="AC148" s="351"/>
      <c r="AD148" s="351"/>
      <c r="AE148" s="351"/>
      <c r="AF148" s="351"/>
      <c r="AG148" s="351"/>
      <c r="AH148" s="351"/>
      <c r="AI148" s="351"/>
      <c r="AJ148" s="350"/>
      <c r="AK148" s="350"/>
      <c r="AL148" s="350"/>
      <c r="AM148" s="350"/>
      <c r="AN148" s="350"/>
      <c r="AO148" s="137"/>
      <c r="AP148" s="137"/>
      <c r="AS148" s="350"/>
      <c r="AT148" s="179"/>
    </row>
    <row r="149" spans="1:46" ht="12.75" customHeight="1" x14ac:dyDescent="0.2">
      <c r="A149" s="351" t="s">
        <v>205</v>
      </c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351"/>
      <c r="AD149" s="351"/>
      <c r="AE149" s="351"/>
      <c r="AF149" s="351"/>
      <c r="AG149" s="351"/>
      <c r="AH149" s="351"/>
      <c r="AI149" s="351"/>
      <c r="AJ149" s="350"/>
      <c r="AK149" s="350"/>
      <c r="AL149" s="350"/>
      <c r="AM149" s="350"/>
      <c r="AN149" s="173"/>
      <c r="AO149" s="173"/>
      <c r="AP149" s="173"/>
      <c r="AQ149" s="173"/>
      <c r="AS149" s="350"/>
    </row>
    <row r="150" spans="1:46" ht="12.75" customHeight="1" x14ac:dyDescent="0.2">
      <c r="A150" s="351" t="s">
        <v>206</v>
      </c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351"/>
      <c r="AD150" s="351"/>
      <c r="AE150" s="351"/>
      <c r="AF150" s="351"/>
      <c r="AG150" s="351"/>
      <c r="AH150" s="351"/>
      <c r="AI150" s="351"/>
      <c r="AJ150" s="350"/>
      <c r="AK150" s="350"/>
      <c r="AL150" s="350"/>
      <c r="AM150" s="350"/>
      <c r="AN150" s="172"/>
      <c r="AO150" s="172"/>
      <c r="AP150" s="172"/>
      <c r="AQ150" s="172"/>
    </row>
    <row r="151" spans="1:46" ht="12.75" customHeight="1" x14ac:dyDescent="0.2">
      <c r="A151" s="351" t="s">
        <v>207</v>
      </c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351"/>
      <c r="AD151" s="351"/>
      <c r="AE151" s="351"/>
      <c r="AF151" s="351"/>
      <c r="AG151" s="351"/>
      <c r="AH151" s="351"/>
      <c r="AI151" s="351"/>
      <c r="AJ151" s="350"/>
      <c r="AK151" s="350"/>
      <c r="AL151" s="350"/>
      <c r="AM151" s="350"/>
    </row>
    <row r="152" spans="1:46" ht="12.75" customHeight="1" x14ac:dyDescent="0.2">
      <c r="A152" s="350" t="s">
        <v>208</v>
      </c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</row>
    <row r="153" spans="1:46" ht="12.75" customHeight="1" x14ac:dyDescent="0.2">
      <c r="A153" s="351" t="s">
        <v>209</v>
      </c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351"/>
      <c r="AD153" s="351"/>
      <c r="AE153" s="351"/>
      <c r="AF153" s="351"/>
      <c r="AG153" s="351"/>
      <c r="AH153" s="351"/>
      <c r="AI153" s="351"/>
      <c r="AJ153" s="350"/>
      <c r="AK153" s="350"/>
      <c r="AL153" s="350"/>
      <c r="AM153" s="350"/>
    </row>
    <row r="154" spans="1:46" ht="12.75" customHeight="1" x14ac:dyDescent="0.2">
      <c r="A154" s="350"/>
      <c r="B154" s="350"/>
      <c r="C154" s="350"/>
      <c r="D154" s="350"/>
      <c r="E154" s="352"/>
      <c r="F154" s="350"/>
      <c r="G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V154" s="34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3"/>
      <c r="AJ154" s="173"/>
      <c r="AK154" s="173"/>
      <c r="AL154" s="173"/>
      <c r="AM154" s="173"/>
    </row>
    <row r="155" spans="1:46" ht="12.75" hidden="1" customHeight="1" x14ac:dyDescent="0.2">
      <c r="A155" s="179"/>
      <c r="B155" s="179"/>
      <c r="C155" s="179"/>
      <c r="E155" s="179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73"/>
      <c r="AO155" s="137"/>
      <c r="AP155" s="137"/>
    </row>
    <row r="156" spans="1:46" s="350" customFormat="1" ht="12.6" hidden="1" customHeight="1" x14ac:dyDescent="0.2">
      <c r="V156" s="349"/>
    </row>
    <row r="157" spans="1:46" ht="12.75" hidden="1" customHeight="1" x14ac:dyDescent="0.2"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R157" s="350"/>
      <c r="AS157" s="350"/>
    </row>
    <row r="158" spans="1:46" ht="12.75" hidden="1" customHeight="1" x14ac:dyDescent="0.2">
      <c r="H158" s="149">
        <f>+H114</f>
        <v>1397995559.8169999</v>
      </c>
      <c r="I158" s="149">
        <f t="shared" ref="I158:AI158" si="105">+I146</f>
        <v>61883147.620230004</v>
      </c>
      <c r="J158" s="235">
        <f t="shared" si="105"/>
        <v>67969792.036200017</v>
      </c>
      <c r="K158" s="235">
        <f t="shared" si="105"/>
        <v>0</v>
      </c>
      <c r="L158" s="235">
        <f t="shared" si="105"/>
        <v>0</v>
      </c>
      <c r="M158" s="235">
        <f t="shared" si="105"/>
        <v>0</v>
      </c>
      <c r="N158" s="235">
        <f t="shared" si="105"/>
        <v>0</v>
      </c>
      <c r="O158" s="235">
        <f t="shared" si="105"/>
        <v>0</v>
      </c>
      <c r="P158" s="235">
        <f t="shared" si="105"/>
        <v>0</v>
      </c>
      <c r="Q158" s="235">
        <f t="shared" si="105"/>
        <v>0</v>
      </c>
      <c r="R158" s="235">
        <f t="shared" si="105"/>
        <v>0</v>
      </c>
      <c r="S158" s="235">
        <f t="shared" si="105"/>
        <v>0</v>
      </c>
      <c r="T158" s="235">
        <f t="shared" si="105"/>
        <v>0</v>
      </c>
      <c r="U158" s="149">
        <f t="shared" si="105"/>
        <v>129852939.65643001</v>
      </c>
      <c r="V158" s="149">
        <f t="shared" si="105"/>
        <v>1345429606.9374199</v>
      </c>
      <c r="W158" s="149">
        <f t="shared" si="105"/>
        <v>73561294.595310032</v>
      </c>
      <c r="X158" s="149">
        <f t="shared" si="105"/>
        <v>97483269.613030002</v>
      </c>
      <c r="Y158" s="149">
        <f t="shared" si="105"/>
        <v>147176619.81156999</v>
      </c>
      <c r="Z158" s="149">
        <f t="shared" si="105"/>
        <v>74595465.271009982</v>
      </c>
      <c r="AA158" s="149">
        <f t="shared" si="105"/>
        <v>118283600.81714998</v>
      </c>
      <c r="AB158" s="149">
        <f t="shared" si="105"/>
        <v>118306077.1278</v>
      </c>
      <c r="AC158" s="149">
        <f t="shared" si="105"/>
        <v>84114639.341419965</v>
      </c>
      <c r="AD158" s="149">
        <f t="shared" si="105"/>
        <v>95927506.830910012</v>
      </c>
      <c r="AE158" s="149">
        <f t="shared" si="105"/>
        <v>160730054.96880001</v>
      </c>
      <c r="AF158" s="149">
        <f t="shared" si="105"/>
        <v>91007790.304470032</v>
      </c>
      <c r="AG158" s="149">
        <f t="shared" si="105"/>
        <v>144778039.54717997</v>
      </c>
      <c r="AH158" s="149">
        <f t="shared" si="105"/>
        <v>139465248.70876995</v>
      </c>
      <c r="AI158" s="149">
        <f t="shared" si="105"/>
        <v>171044564.20834005</v>
      </c>
      <c r="AJ158" s="149"/>
      <c r="AK158" s="149"/>
      <c r="AL158" s="149"/>
      <c r="AM158" s="149"/>
      <c r="AN158" s="137"/>
      <c r="AR158" s="350"/>
      <c r="AS158" s="350"/>
    </row>
    <row r="159" spans="1:46" ht="12.75" hidden="1" customHeight="1" x14ac:dyDescent="0.2">
      <c r="H159" s="164">
        <f>+[28]original!$G$10</f>
        <v>1397995559.8169999</v>
      </c>
      <c r="I159" s="164">
        <f>+[28]original!$H$10</f>
        <v>61883148</v>
      </c>
      <c r="J159" s="164">
        <f>+[29]original!$I$10</f>
        <v>67969792</v>
      </c>
      <c r="K159" s="164"/>
      <c r="L159" s="164"/>
      <c r="M159" s="164"/>
      <c r="N159" s="164"/>
      <c r="O159" s="235"/>
      <c r="P159" s="162"/>
      <c r="Q159" s="162"/>
      <c r="R159" s="162"/>
      <c r="S159" s="162"/>
      <c r="T159" s="165"/>
      <c r="U159" s="164">
        <f>+[29]original!$T$10</f>
        <v>129852940</v>
      </c>
      <c r="V159" s="164">
        <f>+[28]original!$U$10</f>
        <v>1345429607</v>
      </c>
      <c r="W159" s="164">
        <f>+[28]original!$V$10</f>
        <v>73561295</v>
      </c>
      <c r="X159" s="164">
        <f>+[29]original!$W$10</f>
        <v>97483269</v>
      </c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>
        <f>+[29]original!$AH$10</f>
        <v>171044564</v>
      </c>
      <c r="AJ159" s="164"/>
      <c r="AK159" s="164"/>
      <c r="AL159" s="164"/>
      <c r="AM159" s="164"/>
      <c r="AN159" s="137"/>
    </row>
    <row r="160" spans="1:46" ht="12.75" hidden="1" customHeight="1" x14ac:dyDescent="0.2">
      <c r="D160" s="136" t="s">
        <v>210</v>
      </c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37"/>
    </row>
    <row r="161" spans="3:40" ht="12.75" hidden="1" customHeight="1" x14ac:dyDescent="0.2">
      <c r="C161" s="136" t="s">
        <v>211</v>
      </c>
      <c r="H161" s="330">
        <f>+H158-H159</f>
        <v>0</v>
      </c>
      <c r="I161" s="330">
        <f t="shared" ref="I161:W161" si="106">+I158-I159</f>
        <v>-0.37976999580860138</v>
      </c>
      <c r="J161" s="330">
        <f t="shared" si="106"/>
        <v>3.6200016736984253E-2</v>
      </c>
      <c r="K161" s="330">
        <f t="shared" si="106"/>
        <v>0</v>
      </c>
      <c r="L161" s="330">
        <f t="shared" si="106"/>
        <v>0</v>
      </c>
      <c r="M161" s="330">
        <f t="shared" si="106"/>
        <v>0</v>
      </c>
      <c r="N161" s="330">
        <f t="shared" si="106"/>
        <v>0</v>
      </c>
      <c r="O161" s="330">
        <f t="shared" si="106"/>
        <v>0</v>
      </c>
      <c r="P161" s="330">
        <f t="shared" si="106"/>
        <v>0</v>
      </c>
      <c r="Q161" s="330">
        <f t="shared" si="106"/>
        <v>0</v>
      </c>
      <c r="R161" s="330">
        <f t="shared" si="106"/>
        <v>0</v>
      </c>
      <c r="S161" s="330">
        <f t="shared" si="106"/>
        <v>0</v>
      </c>
      <c r="T161" s="330">
        <f t="shared" si="106"/>
        <v>0</v>
      </c>
      <c r="U161" s="330">
        <f t="shared" si="106"/>
        <v>-0.34356999397277832</v>
      </c>
      <c r="V161" s="330">
        <f t="shared" si="106"/>
        <v>-6.2580108642578125E-2</v>
      </c>
      <c r="W161" s="330">
        <f t="shared" si="106"/>
        <v>-0.4046899676322937</v>
      </c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149"/>
      <c r="AK161" s="149"/>
      <c r="AL161" s="149"/>
      <c r="AM161" s="149"/>
      <c r="AN161" s="137"/>
    </row>
    <row r="162" spans="3:40" ht="12.75" hidden="1" customHeight="1" x14ac:dyDescent="0.2">
      <c r="V162" s="137"/>
      <c r="X162" s="137"/>
      <c r="AN162" s="137"/>
    </row>
    <row r="163" spans="3:40" ht="12.75" hidden="1" customHeight="1" x14ac:dyDescent="0.2">
      <c r="V163" s="137"/>
      <c r="X163" s="137"/>
      <c r="AN163" s="137"/>
    </row>
    <row r="164" spans="3:40" ht="12.75" hidden="1" customHeight="1" x14ac:dyDescent="0.2">
      <c r="V164" s="137"/>
      <c r="X164" s="137"/>
      <c r="AN164" s="137"/>
    </row>
    <row r="165" spans="3:40" ht="12.75" hidden="1" customHeight="1" x14ac:dyDescent="0.2">
      <c r="V165" s="137"/>
      <c r="X165" s="137"/>
      <c r="AN165" s="137"/>
    </row>
    <row r="166" spans="3:40" ht="12.75" hidden="1" customHeight="1" x14ac:dyDescent="0.2">
      <c r="V166" s="137"/>
      <c r="X166" s="137"/>
      <c r="AN166" s="137"/>
    </row>
    <row r="167" spans="3:40" ht="12.75" hidden="1" customHeight="1" x14ac:dyDescent="0.2">
      <c r="V167" s="137"/>
      <c r="X167" s="137"/>
      <c r="AN167" s="137"/>
    </row>
    <row r="168" spans="3:40" ht="12.75" hidden="1" customHeight="1" x14ac:dyDescent="0.2"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N168" s="137"/>
    </row>
    <row r="169" spans="3:40" ht="12.75" hidden="1" customHeight="1" x14ac:dyDescent="0.2"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N169" s="137"/>
    </row>
    <row r="170" spans="3:40" ht="12.75" hidden="1" customHeight="1" x14ac:dyDescent="0.2"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N170" s="137"/>
    </row>
    <row r="171" spans="3:40" ht="12.75" hidden="1" customHeight="1" x14ac:dyDescent="0.2"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N171" s="137"/>
    </row>
    <row r="172" spans="3:40" ht="12.75" hidden="1" customHeight="1" x14ac:dyDescent="0.2"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</row>
    <row r="173" spans="3:40" ht="12.75" hidden="1" customHeight="1" x14ac:dyDescent="0.2"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</row>
    <row r="174" spans="3:40" ht="12.75" hidden="1" customHeight="1" x14ac:dyDescent="0.2"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</row>
    <row r="175" spans="3:40" ht="12.75" hidden="1" customHeight="1" x14ac:dyDescent="0.2"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</row>
    <row r="176" spans="3:40" ht="12.75" hidden="1" customHeight="1" x14ac:dyDescent="0.2"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</row>
    <row r="177" spans="22:31" ht="12.75" hidden="1" customHeight="1" x14ac:dyDescent="0.2"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</row>
    <row r="178" spans="22:31" ht="12.75" hidden="1" customHeight="1" x14ac:dyDescent="0.2"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</row>
    <row r="179" spans="22:31" ht="12.75" hidden="1" customHeight="1" x14ac:dyDescent="0.2"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</row>
    <row r="180" spans="22:31" ht="12.75" hidden="1" customHeight="1" x14ac:dyDescent="0.2"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</row>
    <row r="181" spans="22:31" ht="12.75" customHeight="1" x14ac:dyDescent="0.2"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</row>
    <row r="182" spans="22:31" ht="12.75" customHeight="1" x14ac:dyDescent="0.2"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</row>
    <row r="183" spans="22:31" ht="12.75" customHeight="1" x14ac:dyDescent="0.2"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</row>
    <row r="184" spans="22:31" ht="12.75" customHeight="1" x14ac:dyDescent="0.2"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</row>
    <row r="185" spans="22:31" ht="12.75" customHeight="1" x14ac:dyDescent="0.2"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</row>
    <row r="186" spans="22:31" ht="12.75" customHeight="1" x14ac:dyDescent="0.2"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</row>
    <row r="187" spans="22:31" ht="12.75" customHeight="1" x14ac:dyDescent="0.2"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</row>
    <row r="188" spans="22:31" ht="12.75" customHeight="1" x14ac:dyDescent="0.2"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</row>
    <row r="189" spans="22:31" ht="12.75" customHeight="1" x14ac:dyDescent="0.2"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</row>
    <row r="190" spans="22:31" ht="12.75" customHeight="1" x14ac:dyDescent="0.2"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</row>
    <row r="191" spans="22:31" ht="12.75" customHeight="1" x14ac:dyDescent="0.2"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</row>
    <row r="192" spans="22:31" ht="12.75" customHeight="1" x14ac:dyDescent="0.2"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</row>
    <row r="193" spans="22:31" ht="12.75" customHeight="1" x14ac:dyDescent="0.2"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</row>
    <row r="194" spans="22:31" ht="12.75" customHeight="1" x14ac:dyDescent="0.2"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</row>
    <row r="195" spans="22:31" ht="12.75" customHeight="1" x14ac:dyDescent="0.2"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</row>
    <row r="196" spans="22:31" ht="12.75" customHeight="1" x14ac:dyDescent="0.2"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</row>
    <row r="197" spans="22:31" ht="12.75" customHeight="1" x14ac:dyDescent="0.2"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</row>
    <row r="198" spans="22:31" ht="12.75" customHeight="1" x14ac:dyDescent="0.2"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</row>
    <row r="199" spans="22:31" ht="12.75" customHeight="1" x14ac:dyDescent="0.2"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</row>
    <row r="200" spans="22:31" ht="12.75" customHeight="1" x14ac:dyDescent="0.2"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</row>
    <row r="201" spans="22:31" ht="12.75" customHeight="1" x14ac:dyDescent="0.2"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</row>
    <row r="202" spans="22:31" ht="12.75" customHeight="1" x14ac:dyDescent="0.2"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</row>
    <row r="203" spans="22:31" ht="12.75" customHeight="1" x14ac:dyDescent="0.2"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</row>
    <row r="204" spans="22:31" ht="12.75" customHeight="1" x14ac:dyDescent="0.2"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</row>
    <row r="205" spans="22:31" ht="12.75" customHeight="1" x14ac:dyDescent="0.2"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</row>
    <row r="206" spans="22:31" ht="12.75" customHeight="1" x14ac:dyDescent="0.2"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</row>
    <row r="207" spans="22:31" ht="12.75" customHeight="1" x14ac:dyDescent="0.2"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</row>
    <row r="208" spans="22:31" ht="12.75" customHeight="1" x14ac:dyDescent="0.2"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</row>
    <row r="209" spans="22:31" ht="12.75" customHeight="1" x14ac:dyDescent="0.2"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</row>
    <row r="210" spans="22:31" ht="12.75" customHeight="1" x14ac:dyDescent="0.2"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</row>
    <row r="211" spans="22:31" ht="12.75" customHeight="1" x14ac:dyDescent="0.2"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</row>
    <row r="212" spans="22:31" ht="12.75" customHeight="1" x14ac:dyDescent="0.2"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</row>
    <row r="213" spans="22:31" ht="12.75" customHeight="1" x14ac:dyDescent="0.2"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</row>
    <row r="214" spans="22:31" ht="12.75" customHeight="1" x14ac:dyDescent="0.2"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</row>
    <row r="215" spans="22:31" ht="12.75" customHeight="1" x14ac:dyDescent="0.2"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</row>
    <row r="216" spans="22:31" ht="12.75" customHeight="1" x14ac:dyDescent="0.2"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</row>
    <row r="217" spans="22:31" ht="12.75" customHeight="1" x14ac:dyDescent="0.2"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</row>
    <row r="218" spans="22:31" ht="12.75" customHeight="1" x14ac:dyDescent="0.2"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</row>
    <row r="219" spans="22:31" ht="12.75" customHeight="1" x14ac:dyDescent="0.2"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</row>
    <row r="220" spans="22:31" ht="12.75" customHeight="1" x14ac:dyDescent="0.2"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</row>
    <row r="221" spans="22:31" ht="12.75" customHeight="1" x14ac:dyDescent="0.2"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</row>
    <row r="222" spans="22:31" ht="12.75" customHeight="1" x14ac:dyDescent="0.2"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</row>
    <row r="223" spans="22:31" ht="12.75" customHeight="1" x14ac:dyDescent="0.2"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</row>
    <row r="224" spans="22:31" ht="12.75" customHeight="1" x14ac:dyDescent="0.2"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</row>
    <row r="225" spans="22:31" ht="12.75" customHeight="1" x14ac:dyDescent="0.2"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</row>
    <row r="226" spans="22:31" ht="12.75" customHeight="1" x14ac:dyDescent="0.2"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</row>
    <row r="227" spans="22:31" ht="12.75" customHeight="1" x14ac:dyDescent="0.2"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</row>
    <row r="228" spans="22:31" ht="12.75" customHeight="1" x14ac:dyDescent="0.2"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</row>
    <row r="229" spans="22:31" ht="12.75" customHeight="1" x14ac:dyDescent="0.2"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</row>
    <row r="230" spans="22:31" ht="12.75" customHeight="1" x14ac:dyDescent="0.2"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</row>
    <row r="231" spans="22:31" ht="12.75" customHeight="1" x14ac:dyDescent="0.2"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</row>
    <row r="232" spans="22:31" ht="12.75" customHeight="1" x14ac:dyDescent="0.2"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</row>
    <row r="233" spans="22:31" ht="12.75" customHeight="1" x14ac:dyDescent="0.2"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</row>
    <row r="234" spans="22:31" ht="12.75" customHeight="1" x14ac:dyDescent="0.2"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</row>
    <row r="235" spans="22:31" ht="12.75" customHeight="1" x14ac:dyDescent="0.2"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</row>
    <row r="236" spans="22:31" ht="12.75" customHeight="1" x14ac:dyDescent="0.2"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</row>
    <row r="237" spans="22:31" ht="12.75" customHeight="1" x14ac:dyDescent="0.2"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</row>
    <row r="238" spans="22:31" ht="12.75" customHeight="1" x14ac:dyDescent="0.2"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</row>
    <row r="239" spans="22:31" ht="12.75" customHeight="1" x14ac:dyDescent="0.2"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</row>
    <row r="240" spans="22:31" ht="12.75" customHeight="1" x14ac:dyDescent="0.2"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</row>
    <row r="241" spans="22:31" ht="12.75" customHeight="1" x14ac:dyDescent="0.2"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</row>
    <row r="242" spans="22:31" ht="12.75" customHeight="1" x14ac:dyDescent="0.2"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</row>
    <row r="243" spans="22:31" ht="12.75" customHeight="1" x14ac:dyDescent="0.2"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</row>
    <row r="244" spans="22:31" ht="12.75" customHeight="1" x14ac:dyDescent="0.2"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</row>
    <row r="245" spans="22:31" ht="12.75" customHeight="1" x14ac:dyDescent="0.2"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</row>
    <row r="246" spans="22:31" ht="12.75" customHeight="1" x14ac:dyDescent="0.2"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</row>
    <row r="247" spans="22:31" ht="12.75" customHeight="1" x14ac:dyDescent="0.2"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</row>
    <row r="248" spans="22:31" ht="12.75" customHeight="1" x14ac:dyDescent="0.2"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</row>
    <row r="249" spans="22:31" ht="12.75" customHeight="1" x14ac:dyDescent="0.2"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</row>
    <row r="250" spans="22:31" ht="12.75" customHeight="1" x14ac:dyDescent="0.2"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</row>
    <row r="251" spans="22:31" ht="12.75" customHeight="1" x14ac:dyDescent="0.2"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</row>
    <row r="252" spans="22:31" ht="12.75" customHeight="1" x14ac:dyDescent="0.2"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</row>
    <row r="253" spans="22:31" ht="12.75" customHeight="1" x14ac:dyDescent="0.2"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</row>
    <row r="254" spans="22:31" ht="12.75" customHeight="1" x14ac:dyDescent="0.2"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</row>
    <row r="255" spans="22:31" ht="12.75" customHeight="1" x14ac:dyDescent="0.2"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</row>
    <row r="256" spans="22:31" ht="12.75" customHeight="1" x14ac:dyDescent="0.2"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</row>
    <row r="257" spans="22:31" ht="12.75" customHeight="1" x14ac:dyDescent="0.2"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</row>
    <row r="258" spans="22:31" ht="12.75" customHeight="1" x14ac:dyDescent="0.2"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</row>
    <row r="259" spans="22:31" ht="12.75" customHeight="1" x14ac:dyDescent="0.2"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</row>
    <row r="260" spans="22:31" ht="12.75" customHeight="1" x14ac:dyDescent="0.2"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</row>
    <row r="261" spans="22:31" ht="12.75" customHeight="1" x14ac:dyDescent="0.2"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</row>
    <row r="262" spans="22:31" ht="12.75" customHeight="1" x14ac:dyDescent="0.2"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</row>
    <row r="263" spans="22:31" ht="12.75" customHeight="1" x14ac:dyDescent="0.2"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</row>
    <row r="264" spans="22:31" ht="12.75" customHeight="1" x14ac:dyDescent="0.2"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</row>
    <row r="265" spans="22:31" ht="12.75" customHeight="1" x14ac:dyDescent="0.2"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</row>
    <row r="266" spans="22:31" ht="12.75" customHeight="1" x14ac:dyDescent="0.2"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</row>
    <row r="267" spans="22:31" ht="12.75" customHeight="1" x14ac:dyDescent="0.2"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</row>
    <row r="268" spans="22:31" ht="12.75" customHeight="1" x14ac:dyDescent="0.2"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</row>
    <row r="269" spans="22:31" ht="12.75" customHeight="1" x14ac:dyDescent="0.2"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</row>
    <row r="270" spans="22:31" ht="12.75" customHeight="1" x14ac:dyDescent="0.2"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</row>
    <row r="271" spans="22:31" ht="12.75" customHeight="1" x14ac:dyDescent="0.2"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</row>
    <row r="272" spans="22:31" ht="12.75" customHeight="1" x14ac:dyDescent="0.2"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</row>
    <row r="273" spans="22:31" ht="12.75" customHeight="1" x14ac:dyDescent="0.2"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</row>
    <row r="274" spans="22:31" ht="12.75" customHeight="1" x14ac:dyDescent="0.2"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</row>
    <row r="275" spans="22:31" ht="12.75" customHeight="1" x14ac:dyDescent="0.2"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</row>
    <row r="276" spans="22:31" ht="12.75" customHeight="1" x14ac:dyDescent="0.2"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</row>
    <row r="277" spans="22:31" ht="12.75" customHeight="1" x14ac:dyDescent="0.2"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</row>
    <row r="278" spans="22:31" ht="12.75" customHeight="1" x14ac:dyDescent="0.2"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</row>
    <row r="279" spans="22:31" ht="12.75" customHeight="1" x14ac:dyDescent="0.2"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</row>
    <row r="280" spans="22:31" ht="12.75" customHeight="1" x14ac:dyDescent="0.2"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</row>
    <row r="281" spans="22:31" ht="12.75" customHeight="1" x14ac:dyDescent="0.2"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</row>
    <row r="282" spans="22:31" ht="12.75" customHeight="1" x14ac:dyDescent="0.2"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</row>
    <row r="283" spans="22:31" ht="12.75" customHeight="1" x14ac:dyDescent="0.2"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</row>
    <row r="284" spans="22:31" ht="12.75" customHeight="1" x14ac:dyDescent="0.2"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</row>
    <row r="285" spans="22:31" ht="12.75" customHeight="1" x14ac:dyDescent="0.2"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</row>
    <row r="286" spans="22:31" ht="12.75" customHeight="1" x14ac:dyDescent="0.2"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</row>
    <row r="287" spans="22:31" ht="12.75" customHeight="1" x14ac:dyDescent="0.2"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</row>
    <row r="288" spans="22:31" ht="12.75" customHeight="1" x14ac:dyDescent="0.2"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</row>
    <row r="289" spans="22:31" ht="12.75" customHeight="1" x14ac:dyDescent="0.2"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</row>
    <row r="290" spans="22:31" ht="12.75" customHeight="1" x14ac:dyDescent="0.2"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</row>
    <row r="291" spans="22:31" ht="12.75" customHeight="1" x14ac:dyDescent="0.2"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</row>
    <row r="292" spans="22:31" ht="12.75" customHeight="1" x14ac:dyDescent="0.2"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</row>
    <row r="293" spans="22:31" ht="12.75" customHeight="1" x14ac:dyDescent="0.2"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</row>
    <row r="294" spans="22:31" ht="12.75" customHeight="1" x14ac:dyDescent="0.2"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</row>
    <row r="295" spans="22:31" ht="12.75" customHeight="1" x14ac:dyDescent="0.2"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</row>
    <row r="296" spans="22:31" ht="12.75" customHeight="1" x14ac:dyDescent="0.2"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</row>
    <row r="297" spans="22:31" ht="12.75" customHeight="1" x14ac:dyDescent="0.2"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</row>
    <row r="298" spans="22:31" ht="12.75" customHeight="1" x14ac:dyDescent="0.2"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</row>
    <row r="299" spans="22:31" ht="12.75" customHeight="1" x14ac:dyDescent="0.2"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</row>
    <row r="300" spans="22:31" ht="12.75" customHeight="1" x14ac:dyDescent="0.2"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</row>
    <row r="301" spans="22:31" ht="12.75" customHeight="1" x14ac:dyDescent="0.2"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</row>
    <row r="302" spans="22:31" ht="12.75" customHeight="1" x14ac:dyDescent="0.2"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</row>
    <row r="303" spans="22:31" ht="12.75" customHeight="1" x14ac:dyDescent="0.2"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</row>
    <row r="304" spans="22:31" ht="12.75" customHeight="1" x14ac:dyDescent="0.2"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</row>
    <row r="305" spans="22:31" ht="12.75" customHeight="1" x14ac:dyDescent="0.2"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</row>
    <row r="306" spans="22:31" ht="12.75" customHeight="1" x14ac:dyDescent="0.2"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</row>
    <row r="307" spans="22:31" ht="12.75" customHeight="1" x14ac:dyDescent="0.2"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</row>
    <row r="308" spans="22:31" ht="12.75" customHeight="1" x14ac:dyDescent="0.2"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</row>
    <row r="309" spans="22:31" ht="12.75" customHeight="1" x14ac:dyDescent="0.2"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</row>
    <row r="310" spans="22:31" ht="12.75" customHeight="1" x14ac:dyDescent="0.2"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</row>
    <row r="311" spans="22:31" ht="12.75" customHeight="1" x14ac:dyDescent="0.2"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</row>
    <row r="312" spans="22:31" ht="12.75" customHeight="1" x14ac:dyDescent="0.2"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</row>
    <row r="313" spans="22:31" ht="12.75" customHeight="1" x14ac:dyDescent="0.2"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</row>
    <row r="314" spans="22:31" ht="12.75" customHeight="1" x14ac:dyDescent="0.2"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</row>
    <row r="315" spans="22:31" ht="12.75" customHeight="1" x14ac:dyDescent="0.2"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</row>
    <row r="316" spans="22:31" ht="12.75" customHeight="1" x14ac:dyDescent="0.2"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</row>
    <row r="317" spans="22:31" ht="12.75" customHeight="1" x14ac:dyDescent="0.2"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</row>
    <row r="318" spans="22:31" ht="12.75" customHeight="1" x14ac:dyDescent="0.2"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</row>
    <row r="319" spans="22:31" ht="12.75" customHeight="1" x14ac:dyDescent="0.2"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</row>
    <row r="320" spans="22:31" ht="12.75" customHeight="1" x14ac:dyDescent="0.2"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</row>
    <row r="321" spans="22:31" ht="12.75" customHeight="1" x14ac:dyDescent="0.2"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</row>
    <row r="322" spans="22:31" ht="12.75" customHeight="1" x14ac:dyDescent="0.2"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</row>
    <row r="323" spans="22:31" ht="12.75" customHeight="1" x14ac:dyDescent="0.2"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</row>
    <row r="324" spans="22:31" ht="12.75" customHeight="1" x14ac:dyDescent="0.2"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</row>
    <row r="325" spans="22:31" ht="12.75" customHeight="1" x14ac:dyDescent="0.2"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</row>
    <row r="326" spans="22:31" ht="12.75" customHeight="1" x14ac:dyDescent="0.2"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</row>
    <row r="327" spans="22:31" ht="12.75" customHeight="1" x14ac:dyDescent="0.2"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</row>
    <row r="328" spans="22:31" ht="12.75" customHeight="1" x14ac:dyDescent="0.2"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</row>
    <row r="329" spans="22:31" ht="12.75" customHeight="1" x14ac:dyDescent="0.2"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</row>
    <row r="330" spans="22:31" ht="12.75" customHeight="1" x14ac:dyDescent="0.2"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</row>
    <row r="331" spans="22:31" ht="12.75" customHeight="1" x14ac:dyDescent="0.2"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</row>
    <row r="332" spans="22:31" ht="12.75" customHeight="1" x14ac:dyDescent="0.2"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</row>
    <row r="333" spans="22:31" ht="12.75" customHeight="1" x14ac:dyDescent="0.2"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</row>
    <row r="334" spans="22:31" ht="12.75" customHeight="1" x14ac:dyDescent="0.2"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</row>
    <row r="335" spans="22:31" ht="12.75" customHeight="1" x14ac:dyDescent="0.2"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</row>
    <row r="336" spans="22:31" ht="12.75" customHeight="1" x14ac:dyDescent="0.2"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</row>
    <row r="337" spans="22:31" ht="12.75" customHeight="1" x14ac:dyDescent="0.2"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</row>
    <row r="338" spans="22:31" ht="12.75" customHeight="1" x14ac:dyDescent="0.2"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</row>
    <row r="339" spans="22:31" ht="12.75" customHeight="1" x14ac:dyDescent="0.2"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</row>
    <row r="340" spans="22:31" ht="12.75" customHeight="1" x14ac:dyDescent="0.2"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</row>
    <row r="341" spans="22:31" ht="12.75" customHeight="1" x14ac:dyDescent="0.2"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</row>
    <row r="342" spans="22:31" ht="12.75" customHeight="1" x14ac:dyDescent="0.2"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</row>
    <row r="343" spans="22:31" ht="12.75" customHeight="1" x14ac:dyDescent="0.2"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</row>
    <row r="344" spans="22:31" ht="12.75" customHeight="1" x14ac:dyDescent="0.2"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</row>
    <row r="345" spans="22:31" ht="12.75" customHeight="1" x14ac:dyDescent="0.2"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</row>
    <row r="346" spans="22:31" ht="12.75" customHeight="1" x14ac:dyDescent="0.2"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</row>
    <row r="347" spans="22:31" ht="12.75" customHeight="1" x14ac:dyDescent="0.2"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</row>
    <row r="348" spans="22:31" ht="12.75" customHeight="1" x14ac:dyDescent="0.2"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</row>
    <row r="349" spans="22:31" ht="12.75" customHeight="1" x14ac:dyDescent="0.2"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</row>
    <row r="350" spans="22:31" ht="12.75" customHeight="1" x14ac:dyDescent="0.2"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</row>
    <row r="351" spans="22:31" ht="12.75" customHeight="1" x14ac:dyDescent="0.2"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</row>
    <row r="352" spans="22:31" ht="12.75" customHeight="1" x14ac:dyDescent="0.2"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</row>
    <row r="353" spans="22:31" ht="12.75" customHeight="1" x14ac:dyDescent="0.2"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</row>
    <row r="354" spans="22:31" ht="12.75" customHeight="1" x14ac:dyDescent="0.2"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</row>
    <row r="355" spans="22:31" ht="12.75" customHeight="1" x14ac:dyDescent="0.2"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</row>
    <row r="356" spans="22:31" ht="12.75" customHeight="1" x14ac:dyDescent="0.2"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</row>
    <row r="357" spans="22:31" ht="12.75" customHeight="1" x14ac:dyDescent="0.2"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</row>
    <row r="358" spans="22:31" ht="12.75" customHeight="1" x14ac:dyDescent="0.2"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</row>
    <row r="359" spans="22:31" ht="12.75" customHeight="1" x14ac:dyDescent="0.2"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</row>
    <row r="360" spans="22:31" ht="12.75" customHeight="1" x14ac:dyDescent="0.2"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</row>
    <row r="361" spans="22:31" ht="12.75" customHeight="1" x14ac:dyDescent="0.2"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</row>
    <row r="362" spans="22:31" ht="12.75" customHeight="1" x14ac:dyDescent="0.2"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</row>
    <row r="363" spans="22:31" ht="12.75" customHeight="1" x14ac:dyDescent="0.2"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</row>
    <row r="364" spans="22:31" ht="12.75" customHeight="1" x14ac:dyDescent="0.2"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</row>
    <row r="365" spans="22:31" ht="12.75" customHeight="1" x14ac:dyDescent="0.2"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</row>
    <row r="366" spans="22:31" ht="12.75" customHeight="1" x14ac:dyDescent="0.2"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</row>
    <row r="367" spans="22:31" ht="12.75" customHeight="1" x14ac:dyDescent="0.2"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</row>
    <row r="368" spans="22:31" ht="12.75" customHeight="1" x14ac:dyDescent="0.2"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</row>
    <row r="369" spans="22:31" ht="12.75" customHeight="1" x14ac:dyDescent="0.2"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</row>
    <row r="370" spans="22:31" ht="12.75" customHeight="1" x14ac:dyDescent="0.2"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</row>
    <row r="371" spans="22:31" ht="12.75" customHeight="1" x14ac:dyDescent="0.2"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</row>
    <row r="372" spans="22:31" ht="12.75" customHeight="1" x14ac:dyDescent="0.2"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</row>
    <row r="373" spans="22:31" ht="12.75" customHeight="1" x14ac:dyDescent="0.2"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</row>
    <row r="374" spans="22:31" ht="12.75" customHeight="1" x14ac:dyDescent="0.2"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</row>
    <row r="375" spans="22:31" ht="12.75" customHeight="1" x14ac:dyDescent="0.2"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</row>
    <row r="376" spans="22:31" ht="12.75" customHeight="1" x14ac:dyDescent="0.2"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</row>
    <row r="377" spans="22:31" ht="12.75" customHeight="1" x14ac:dyDescent="0.2"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</row>
    <row r="378" spans="22:31" ht="12.75" customHeight="1" x14ac:dyDescent="0.2"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</row>
    <row r="379" spans="22:31" ht="12.75" customHeight="1" x14ac:dyDescent="0.2"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</row>
    <row r="380" spans="22:31" ht="12.75" customHeight="1" x14ac:dyDescent="0.2"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</row>
    <row r="381" spans="22:31" ht="12.75" customHeight="1" x14ac:dyDescent="0.2"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</row>
    <row r="382" spans="22:31" ht="12.75" customHeight="1" x14ac:dyDescent="0.2"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</row>
    <row r="383" spans="22:31" ht="12.75" customHeight="1" x14ac:dyDescent="0.2"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</row>
    <row r="384" spans="22:31" ht="12.75" customHeight="1" x14ac:dyDescent="0.2"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</row>
    <row r="385" spans="22:31" ht="12.75" customHeight="1" x14ac:dyDescent="0.2"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</row>
    <row r="386" spans="22:31" ht="12.75" customHeight="1" x14ac:dyDescent="0.2"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</row>
    <row r="387" spans="22:31" ht="12.75" customHeight="1" x14ac:dyDescent="0.2"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</row>
    <row r="388" spans="22:31" ht="12.75" customHeight="1" x14ac:dyDescent="0.2"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</row>
    <row r="389" spans="22:31" ht="12.75" customHeight="1" x14ac:dyDescent="0.2"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</row>
    <row r="390" spans="22:31" ht="12.75" customHeight="1" x14ac:dyDescent="0.2"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</row>
    <row r="391" spans="22:31" ht="12.75" customHeight="1" x14ac:dyDescent="0.2"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</row>
    <row r="392" spans="22:31" ht="12.75" customHeight="1" x14ac:dyDescent="0.2"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</row>
    <row r="393" spans="22:31" ht="12.75" customHeight="1" x14ac:dyDescent="0.2"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</row>
    <row r="394" spans="22:31" ht="12.75" customHeight="1" x14ac:dyDescent="0.2"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</row>
    <row r="395" spans="22:31" ht="12.75" customHeight="1" x14ac:dyDescent="0.2"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</row>
    <row r="396" spans="22:31" ht="12.75" customHeight="1" x14ac:dyDescent="0.2"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</row>
    <row r="397" spans="22:31" ht="12.75" customHeight="1" x14ac:dyDescent="0.2"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</row>
    <row r="398" spans="22:31" ht="12.75" customHeight="1" x14ac:dyDescent="0.2"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</row>
    <row r="399" spans="22:31" ht="12.75" customHeight="1" x14ac:dyDescent="0.2"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</row>
    <row r="400" spans="22:31" ht="12.75" customHeight="1" x14ac:dyDescent="0.2"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</row>
    <row r="401" spans="22:31" ht="12.75" customHeight="1" x14ac:dyDescent="0.2"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</row>
    <row r="402" spans="22:31" ht="12.75" customHeight="1" x14ac:dyDescent="0.2"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</row>
    <row r="403" spans="22:31" ht="12.75" customHeight="1" x14ac:dyDescent="0.2"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</row>
    <row r="404" spans="22:31" ht="12.75" customHeight="1" x14ac:dyDescent="0.2"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</row>
    <row r="405" spans="22:31" ht="12.75" customHeight="1" x14ac:dyDescent="0.2"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</row>
    <row r="406" spans="22:31" ht="12.75" customHeight="1" x14ac:dyDescent="0.2"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</row>
    <row r="407" spans="22:31" ht="12.75" customHeight="1" x14ac:dyDescent="0.2"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</row>
    <row r="408" spans="22:31" ht="12.75" customHeight="1" x14ac:dyDescent="0.2"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</row>
    <row r="409" spans="22:31" ht="12.75" customHeight="1" x14ac:dyDescent="0.2"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</row>
    <row r="410" spans="22:31" ht="12.75" customHeight="1" x14ac:dyDescent="0.2"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</row>
    <row r="411" spans="22:31" ht="12.75" customHeight="1" x14ac:dyDescent="0.2"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</row>
    <row r="412" spans="22:31" ht="12.75" customHeight="1" x14ac:dyDescent="0.2"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</row>
    <row r="413" spans="22:31" ht="12.75" customHeight="1" x14ac:dyDescent="0.2"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</row>
    <row r="414" spans="22:31" ht="12.75" customHeight="1" x14ac:dyDescent="0.2"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</row>
    <row r="415" spans="22:31" ht="12.75" customHeight="1" x14ac:dyDescent="0.2"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</row>
    <row r="416" spans="22:31" ht="12.75" customHeight="1" x14ac:dyDescent="0.2"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</row>
    <row r="417" spans="22:31" ht="12.75" customHeight="1" x14ac:dyDescent="0.2"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</row>
    <row r="418" spans="22:31" ht="12.75" customHeight="1" x14ac:dyDescent="0.2"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</row>
    <row r="419" spans="22:31" ht="12.75" customHeight="1" x14ac:dyDescent="0.2"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</row>
    <row r="420" spans="22:31" ht="12.75" customHeight="1" x14ac:dyDescent="0.2"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</row>
    <row r="421" spans="22:31" ht="12.75" customHeight="1" x14ac:dyDescent="0.2"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</row>
    <row r="422" spans="22:31" ht="12.75" customHeight="1" x14ac:dyDescent="0.2"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</row>
    <row r="423" spans="22:31" ht="12.75" customHeight="1" x14ac:dyDescent="0.2"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</row>
    <row r="424" spans="22:31" ht="12.75" customHeight="1" x14ac:dyDescent="0.2"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</row>
    <row r="425" spans="22:31" ht="12.75" customHeight="1" x14ac:dyDescent="0.2"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</row>
    <row r="426" spans="22:31" ht="12.75" customHeight="1" x14ac:dyDescent="0.2"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</row>
    <row r="427" spans="22:31" ht="12.75" customHeight="1" x14ac:dyDescent="0.2"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</row>
    <row r="428" spans="22:31" ht="12.75" customHeight="1" x14ac:dyDescent="0.2"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</row>
    <row r="429" spans="22:31" ht="12.75" customHeight="1" x14ac:dyDescent="0.2"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</row>
    <row r="430" spans="22:31" ht="12.75" customHeight="1" x14ac:dyDescent="0.2"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</row>
    <row r="431" spans="22:31" ht="12.75" customHeight="1" x14ac:dyDescent="0.2"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</row>
    <row r="432" spans="22:31" ht="12.75" customHeight="1" x14ac:dyDescent="0.2"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</row>
    <row r="433" spans="22:31" ht="12.75" customHeight="1" x14ac:dyDescent="0.2"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</row>
    <row r="434" spans="22:31" ht="12.75" customHeight="1" x14ac:dyDescent="0.2"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</row>
    <row r="435" spans="22:31" ht="12.75" customHeight="1" x14ac:dyDescent="0.2"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</row>
    <row r="436" spans="22:31" ht="12.75" customHeight="1" x14ac:dyDescent="0.2"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</row>
    <row r="437" spans="22:31" ht="12.75" customHeight="1" x14ac:dyDescent="0.2"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</row>
    <row r="438" spans="22:31" ht="12.75" customHeight="1" x14ac:dyDescent="0.2"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</row>
    <row r="439" spans="22:31" ht="12.75" customHeight="1" x14ac:dyDescent="0.2"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</row>
    <row r="440" spans="22:31" ht="12.75" customHeight="1" x14ac:dyDescent="0.2"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</row>
    <row r="441" spans="22:31" ht="12.75" customHeight="1" x14ac:dyDescent="0.2"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</row>
    <row r="442" spans="22:31" ht="12.75" customHeight="1" x14ac:dyDescent="0.2"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</row>
    <row r="443" spans="22:31" ht="12.75" customHeight="1" x14ac:dyDescent="0.2"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</row>
    <row r="444" spans="22:31" ht="12.75" customHeight="1" x14ac:dyDescent="0.2"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</row>
    <row r="445" spans="22:31" ht="12.75" customHeight="1" x14ac:dyDescent="0.2"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</row>
    <row r="446" spans="22:31" ht="12.75" customHeight="1" x14ac:dyDescent="0.2"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</row>
    <row r="447" spans="22:31" ht="12.75" customHeight="1" x14ac:dyDescent="0.2"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</row>
    <row r="448" spans="22:31" ht="12.75" customHeight="1" x14ac:dyDescent="0.2"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</row>
    <row r="449" spans="22:31" ht="12.75" customHeight="1" x14ac:dyDescent="0.2"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</row>
    <row r="450" spans="22:31" ht="12.75" customHeight="1" x14ac:dyDescent="0.2"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</row>
    <row r="451" spans="22:31" ht="12.75" customHeight="1" x14ac:dyDescent="0.2"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</row>
    <row r="452" spans="22:31" ht="12.75" customHeight="1" x14ac:dyDescent="0.2"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</row>
    <row r="453" spans="22:31" ht="12.75" customHeight="1" x14ac:dyDescent="0.2"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</row>
    <row r="454" spans="22:31" ht="12.75" customHeight="1" x14ac:dyDescent="0.2"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</row>
    <row r="455" spans="22:31" ht="12.75" customHeight="1" x14ac:dyDescent="0.2"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</row>
    <row r="456" spans="22:31" ht="12.75" customHeight="1" x14ac:dyDescent="0.2"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</row>
    <row r="457" spans="22:31" ht="12.75" customHeight="1" x14ac:dyDescent="0.2"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</row>
    <row r="458" spans="22:31" ht="12.75" customHeight="1" x14ac:dyDescent="0.2"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</row>
    <row r="459" spans="22:31" ht="12.75" customHeight="1" x14ac:dyDescent="0.2"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</row>
    <row r="460" spans="22:31" ht="12.75" customHeight="1" x14ac:dyDescent="0.2"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</row>
    <row r="461" spans="22:31" ht="12.75" customHeight="1" x14ac:dyDescent="0.2"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</row>
    <row r="462" spans="22:31" ht="12.75" customHeight="1" x14ac:dyDescent="0.2"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</row>
    <row r="463" spans="22:31" ht="12.75" customHeight="1" x14ac:dyDescent="0.2"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</row>
    <row r="464" spans="22:31" ht="12.75" customHeight="1" x14ac:dyDescent="0.2"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</row>
    <row r="465" spans="22:31" ht="12.75" customHeight="1" x14ac:dyDescent="0.2"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</row>
    <row r="466" spans="22:31" ht="12.75" customHeight="1" x14ac:dyDescent="0.2"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</row>
    <row r="467" spans="22:31" ht="12.75" customHeight="1" x14ac:dyDescent="0.2"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</row>
    <row r="468" spans="22:31" ht="12.75" customHeight="1" x14ac:dyDescent="0.2"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</row>
    <row r="469" spans="22:31" ht="12.75" customHeight="1" x14ac:dyDescent="0.2"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</row>
    <row r="470" spans="22:31" ht="12.75" customHeight="1" x14ac:dyDescent="0.2"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</row>
    <row r="471" spans="22:31" ht="12.75" customHeight="1" x14ac:dyDescent="0.2"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</row>
    <row r="472" spans="22:31" ht="12.75" customHeight="1" x14ac:dyDescent="0.2"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</row>
    <row r="473" spans="22:31" ht="12.75" customHeight="1" x14ac:dyDescent="0.2"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</row>
    <row r="474" spans="22:31" ht="12.75" customHeight="1" x14ac:dyDescent="0.2"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</row>
    <row r="475" spans="22:31" ht="12.75" customHeight="1" x14ac:dyDescent="0.2"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</row>
    <row r="476" spans="22:31" ht="12.75" customHeight="1" x14ac:dyDescent="0.2"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</row>
    <row r="477" spans="22:31" ht="12.75" customHeight="1" x14ac:dyDescent="0.2"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</row>
    <row r="478" spans="22:31" ht="12.75" customHeight="1" x14ac:dyDescent="0.2"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</row>
    <row r="479" spans="22:31" ht="12.75" customHeight="1" x14ac:dyDescent="0.2"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</row>
    <row r="480" spans="22:31" ht="12.75" customHeight="1" x14ac:dyDescent="0.2"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</row>
    <row r="481" spans="22:31" ht="12.75" customHeight="1" x14ac:dyDescent="0.2"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</row>
    <row r="482" spans="22:31" ht="12.75" customHeight="1" x14ac:dyDescent="0.2"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</row>
    <row r="483" spans="22:31" ht="12.75" customHeight="1" x14ac:dyDescent="0.2"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</row>
    <row r="484" spans="22:31" ht="12.75" customHeight="1" x14ac:dyDescent="0.2"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</row>
    <row r="485" spans="22:31" ht="12.75" customHeight="1" x14ac:dyDescent="0.2"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</row>
    <row r="486" spans="22:31" ht="12.75" customHeight="1" x14ac:dyDescent="0.2"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</row>
    <row r="487" spans="22:31" ht="12.75" customHeight="1" x14ac:dyDescent="0.2"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</row>
    <row r="488" spans="22:31" ht="12.75" customHeight="1" x14ac:dyDescent="0.2"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</row>
    <row r="489" spans="22:31" ht="12.75" customHeight="1" x14ac:dyDescent="0.2"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</row>
    <row r="490" spans="22:31" ht="12.75" customHeight="1" x14ac:dyDescent="0.2"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</row>
    <row r="491" spans="22:31" ht="12.75" customHeight="1" x14ac:dyDescent="0.2"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</row>
    <row r="492" spans="22:31" ht="12.75" customHeight="1" x14ac:dyDescent="0.2"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</row>
    <row r="493" spans="22:31" ht="12.75" customHeight="1" x14ac:dyDescent="0.2"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</row>
    <row r="494" spans="22:31" ht="12.75" customHeight="1" x14ac:dyDescent="0.2"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</row>
    <row r="495" spans="22:31" ht="12.75" customHeight="1" x14ac:dyDescent="0.2"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</row>
    <row r="496" spans="22:31" ht="12.75" customHeight="1" x14ac:dyDescent="0.2"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</row>
    <row r="497" spans="22:31" ht="12.75" customHeight="1" x14ac:dyDescent="0.2"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</row>
    <row r="498" spans="22:31" ht="12.75" customHeight="1" x14ac:dyDescent="0.2"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</row>
    <row r="499" spans="22:31" ht="12.75" customHeight="1" x14ac:dyDescent="0.2"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</row>
    <row r="500" spans="22:31" ht="12.75" customHeight="1" x14ac:dyDescent="0.2"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</row>
    <row r="501" spans="22:31" ht="12.75" customHeight="1" x14ac:dyDescent="0.2"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</row>
    <row r="502" spans="22:31" ht="12.75" customHeight="1" x14ac:dyDescent="0.2"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</row>
    <row r="503" spans="22:31" ht="12.75" customHeight="1" x14ac:dyDescent="0.2"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</row>
    <row r="504" spans="22:31" ht="12.75" customHeight="1" x14ac:dyDescent="0.2"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</row>
    <row r="505" spans="22:31" ht="12.75" customHeight="1" x14ac:dyDescent="0.2"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</row>
    <row r="506" spans="22:31" ht="12.75" customHeight="1" x14ac:dyDescent="0.2"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</row>
    <row r="507" spans="22:31" ht="12.75" customHeight="1" x14ac:dyDescent="0.2"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</row>
    <row r="508" spans="22:31" ht="12.75" customHeight="1" x14ac:dyDescent="0.2"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</row>
    <row r="509" spans="22:31" ht="12.75" customHeight="1" x14ac:dyDescent="0.2"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</row>
    <row r="510" spans="22:31" ht="12.75" customHeight="1" x14ac:dyDescent="0.2"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</row>
    <row r="511" spans="22:31" ht="12.75" customHeight="1" x14ac:dyDescent="0.2"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</row>
    <row r="512" spans="22:31" ht="12.75" customHeight="1" x14ac:dyDescent="0.2"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</row>
    <row r="513" spans="22:31" ht="12.75" customHeight="1" x14ac:dyDescent="0.2"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</row>
    <row r="514" spans="22:31" ht="12.75" customHeight="1" x14ac:dyDescent="0.2"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</row>
    <row r="515" spans="22:31" ht="12.75" customHeight="1" x14ac:dyDescent="0.2"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</row>
    <row r="516" spans="22:31" ht="12.75" customHeight="1" x14ac:dyDescent="0.2"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</row>
    <row r="517" spans="22:31" ht="12.75" customHeight="1" x14ac:dyDescent="0.2"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</row>
    <row r="518" spans="22:31" ht="12.75" customHeight="1" x14ac:dyDescent="0.2"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</row>
    <row r="519" spans="22:31" ht="12.75" customHeight="1" x14ac:dyDescent="0.2"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</row>
    <row r="520" spans="22:31" ht="12.75" customHeight="1" x14ac:dyDescent="0.2"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</row>
    <row r="521" spans="22:31" ht="12.75" customHeight="1" x14ac:dyDescent="0.2"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</row>
    <row r="522" spans="22:31" ht="12.75" customHeight="1" x14ac:dyDescent="0.2"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</row>
    <row r="523" spans="22:31" ht="12.75" customHeight="1" x14ac:dyDescent="0.2"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</row>
    <row r="524" spans="22:31" ht="12.75" customHeight="1" x14ac:dyDescent="0.2"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</row>
    <row r="525" spans="22:31" ht="12.75" customHeight="1" x14ac:dyDescent="0.2"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</row>
    <row r="526" spans="22:31" ht="12.75" customHeight="1" x14ac:dyDescent="0.2"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</row>
    <row r="527" spans="22:31" ht="12.75" customHeight="1" x14ac:dyDescent="0.2"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</row>
    <row r="528" spans="22:31" ht="12.75" customHeight="1" x14ac:dyDescent="0.2"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</row>
    <row r="529" spans="22:31" ht="12.75" customHeight="1" x14ac:dyDescent="0.2"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</row>
    <row r="530" spans="22:31" ht="12.75" customHeight="1" x14ac:dyDescent="0.2"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</row>
    <row r="531" spans="22:31" ht="12.75" customHeight="1" x14ac:dyDescent="0.2"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</row>
    <row r="532" spans="22:31" ht="12.75" customHeight="1" x14ac:dyDescent="0.2"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</row>
    <row r="533" spans="22:31" ht="12.75" customHeight="1" x14ac:dyDescent="0.2"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</row>
    <row r="534" spans="22:31" ht="12.75" customHeight="1" x14ac:dyDescent="0.2"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</row>
    <row r="535" spans="22:31" ht="12.75" customHeight="1" x14ac:dyDescent="0.2"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</row>
    <row r="536" spans="22:31" ht="12.75" customHeight="1" x14ac:dyDescent="0.2"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</row>
    <row r="537" spans="22:31" ht="12.75" customHeight="1" x14ac:dyDescent="0.2"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</row>
    <row r="538" spans="22:31" ht="12.75" customHeight="1" x14ac:dyDescent="0.2"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</row>
    <row r="539" spans="22:31" ht="12.75" customHeight="1" x14ac:dyDescent="0.2"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</row>
    <row r="540" spans="22:31" ht="12.75" customHeight="1" x14ac:dyDescent="0.2"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</row>
    <row r="541" spans="22:31" ht="12.75" customHeight="1" x14ac:dyDescent="0.2"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</row>
    <row r="542" spans="22:31" ht="12.75" customHeight="1" x14ac:dyDescent="0.2"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</row>
    <row r="543" spans="22:31" ht="12.75" customHeight="1" x14ac:dyDescent="0.2"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</row>
    <row r="544" spans="22:31" ht="12.75" customHeight="1" x14ac:dyDescent="0.2"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</row>
    <row r="545" spans="22:31" ht="12.75" customHeight="1" x14ac:dyDescent="0.2"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</row>
    <row r="546" spans="22:31" ht="12.75" customHeight="1" x14ac:dyDescent="0.2"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</row>
    <row r="547" spans="22:31" ht="12.75" customHeight="1" x14ac:dyDescent="0.2"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</row>
    <row r="548" spans="22:31" ht="12.75" customHeight="1" x14ac:dyDescent="0.2"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</row>
    <row r="549" spans="22:31" ht="12.75" customHeight="1" x14ac:dyDescent="0.2"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</row>
    <row r="550" spans="22:31" ht="12.75" customHeight="1" x14ac:dyDescent="0.2"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</row>
    <row r="551" spans="22:31" ht="12.75" customHeight="1" x14ac:dyDescent="0.2"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</row>
    <row r="552" spans="22:31" ht="12.75" customHeight="1" x14ac:dyDescent="0.2"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</row>
    <row r="553" spans="22:31" ht="12.75" customHeight="1" x14ac:dyDescent="0.2"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</row>
    <row r="554" spans="22:31" ht="12.75" customHeight="1" x14ac:dyDescent="0.2"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</row>
    <row r="555" spans="22:31" ht="12.75" customHeight="1" x14ac:dyDescent="0.2"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</row>
    <row r="556" spans="22:31" ht="12.75" customHeight="1" x14ac:dyDescent="0.2"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</row>
    <row r="557" spans="22:31" ht="12.75" customHeight="1" x14ac:dyDescent="0.2"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</row>
    <row r="558" spans="22:31" ht="12.75" customHeight="1" x14ac:dyDescent="0.2"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</row>
    <row r="559" spans="22:31" ht="12.75" customHeight="1" x14ac:dyDescent="0.2"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</row>
    <row r="560" spans="22:31" ht="12.75" customHeight="1" x14ac:dyDescent="0.2"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</row>
    <row r="561" spans="22:31" ht="12.75" customHeight="1" x14ac:dyDescent="0.2"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</row>
    <row r="562" spans="22:31" ht="12.75" customHeight="1" x14ac:dyDescent="0.2"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</row>
    <row r="563" spans="22:31" ht="12.75" customHeight="1" x14ac:dyDescent="0.2"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</row>
    <row r="564" spans="22:31" ht="12.75" customHeight="1" x14ac:dyDescent="0.2"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</row>
    <row r="565" spans="22:31" ht="12.75" customHeight="1" x14ac:dyDescent="0.2"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</row>
    <row r="566" spans="22:31" ht="12.75" customHeight="1" x14ac:dyDescent="0.2"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</row>
    <row r="567" spans="22:31" ht="12.75" customHeight="1" x14ac:dyDescent="0.2"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</row>
    <row r="568" spans="22:31" ht="12.75" customHeight="1" x14ac:dyDescent="0.2"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</row>
    <row r="569" spans="22:31" ht="12.75" customHeight="1" x14ac:dyDescent="0.2"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</row>
    <row r="570" spans="22:31" ht="12.75" customHeight="1" x14ac:dyDescent="0.2"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</row>
    <row r="571" spans="22:31" ht="12.75" customHeight="1" x14ac:dyDescent="0.2"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</row>
    <row r="572" spans="22:31" ht="12.75" customHeight="1" x14ac:dyDescent="0.2"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</row>
    <row r="573" spans="22:31" ht="12.75" customHeight="1" x14ac:dyDescent="0.2"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</row>
    <row r="574" spans="22:31" ht="12.75" customHeight="1" x14ac:dyDescent="0.2"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</row>
    <row r="575" spans="22:31" ht="12.75" customHeight="1" x14ac:dyDescent="0.2"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</row>
    <row r="576" spans="22:31" ht="12.75" customHeight="1" x14ac:dyDescent="0.2"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</row>
    <row r="577" spans="22:31" ht="12.75" customHeight="1" x14ac:dyDescent="0.2"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</row>
    <row r="578" spans="22:31" ht="12.75" customHeight="1" x14ac:dyDescent="0.2"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</row>
    <row r="579" spans="22:31" ht="12.75" customHeight="1" x14ac:dyDescent="0.2"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</row>
    <row r="580" spans="22:31" ht="12.75" customHeight="1" x14ac:dyDescent="0.2"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</row>
    <row r="581" spans="22:31" ht="12.75" customHeight="1" x14ac:dyDescent="0.2"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</row>
    <row r="582" spans="22:31" ht="12.75" customHeight="1" x14ac:dyDescent="0.2"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</row>
    <row r="583" spans="22:31" ht="12.75" customHeight="1" x14ac:dyDescent="0.2"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</row>
    <row r="584" spans="22:31" ht="12.75" customHeight="1" x14ac:dyDescent="0.2"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</row>
    <row r="585" spans="22:31" ht="12.75" customHeight="1" x14ac:dyDescent="0.2"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</row>
    <row r="586" spans="22:31" ht="12.75" customHeight="1" x14ac:dyDescent="0.2"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</row>
    <row r="587" spans="22:31" ht="12.75" customHeight="1" x14ac:dyDescent="0.2"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</row>
    <row r="588" spans="22:31" ht="12.75" customHeight="1" x14ac:dyDescent="0.2"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</row>
    <row r="589" spans="22:31" ht="12.75" customHeight="1" x14ac:dyDescent="0.2"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</row>
    <row r="590" spans="22:31" ht="12.75" customHeight="1" x14ac:dyDescent="0.2"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</row>
    <row r="591" spans="22:31" ht="12.75" customHeight="1" x14ac:dyDescent="0.2"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</row>
    <row r="592" spans="22:31" ht="12.75" customHeight="1" x14ac:dyDescent="0.2"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</row>
    <row r="593" spans="22:31" ht="12.75" customHeight="1" x14ac:dyDescent="0.2"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</row>
    <row r="594" spans="22:31" ht="12.75" customHeight="1" x14ac:dyDescent="0.2"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</row>
    <row r="595" spans="22:31" ht="12.75" customHeight="1" x14ac:dyDescent="0.2"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</row>
    <row r="596" spans="22:31" ht="12.75" customHeight="1" x14ac:dyDescent="0.2"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</row>
    <row r="597" spans="22:31" ht="12.75" customHeight="1" x14ac:dyDescent="0.2"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</row>
    <row r="598" spans="22:31" ht="12.75" customHeight="1" x14ac:dyDescent="0.2"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</row>
    <row r="599" spans="22:31" ht="12.75" customHeight="1" x14ac:dyDescent="0.2"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</row>
    <row r="600" spans="22:31" ht="12.75" customHeight="1" x14ac:dyDescent="0.2"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</row>
    <row r="601" spans="22:31" ht="12.75" customHeight="1" x14ac:dyDescent="0.2"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</row>
    <row r="602" spans="22:31" ht="12.75" customHeight="1" x14ac:dyDescent="0.2"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</row>
    <row r="603" spans="22:31" ht="12.75" customHeight="1" x14ac:dyDescent="0.2"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</row>
    <row r="604" spans="22:31" ht="12.75" customHeight="1" x14ac:dyDescent="0.2"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</row>
    <row r="605" spans="22:31" ht="12.75" customHeight="1" x14ac:dyDescent="0.2"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</row>
    <row r="606" spans="22:31" ht="12.75" customHeight="1" x14ac:dyDescent="0.2"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</row>
    <row r="607" spans="22:31" ht="12.75" customHeight="1" x14ac:dyDescent="0.2"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</row>
    <row r="608" spans="22:31" ht="12.75" customHeight="1" x14ac:dyDescent="0.2"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</row>
    <row r="609" spans="22:31" ht="12.75" customHeight="1" x14ac:dyDescent="0.2"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</row>
    <row r="610" spans="22:31" ht="12.75" customHeight="1" x14ac:dyDescent="0.2"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</row>
    <row r="611" spans="22:31" ht="12.75" customHeight="1" x14ac:dyDescent="0.2"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</row>
    <row r="612" spans="22:31" ht="12.75" customHeight="1" x14ac:dyDescent="0.2"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</row>
    <row r="613" spans="22:31" ht="12.75" customHeight="1" x14ac:dyDescent="0.2"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</row>
    <row r="614" spans="22:31" ht="12.75" customHeight="1" x14ac:dyDescent="0.2"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</row>
    <row r="615" spans="22:31" ht="12.75" customHeight="1" x14ac:dyDescent="0.2"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</row>
    <row r="616" spans="22:31" ht="12.75" customHeight="1" x14ac:dyDescent="0.2"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</row>
    <row r="617" spans="22:31" ht="12.75" customHeight="1" x14ac:dyDescent="0.2"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</row>
    <row r="618" spans="22:31" ht="12.75" customHeight="1" x14ac:dyDescent="0.2"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</row>
    <row r="619" spans="22:31" ht="12.75" customHeight="1" x14ac:dyDescent="0.2"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</row>
    <row r="620" spans="22:31" ht="12.75" customHeight="1" x14ac:dyDescent="0.2"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</row>
    <row r="621" spans="22:31" ht="12.75" customHeight="1" x14ac:dyDescent="0.2"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</row>
    <row r="622" spans="22:31" ht="12.75" customHeight="1" x14ac:dyDescent="0.2"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</row>
    <row r="623" spans="22:31" ht="12.75" customHeight="1" x14ac:dyDescent="0.2"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</row>
    <row r="624" spans="22:31" ht="12.75" customHeight="1" x14ac:dyDescent="0.2"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</row>
    <row r="625" spans="22:31" ht="12.75" customHeight="1" x14ac:dyDescent="0.2"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</row>
    <row r="626" spans="22:31" ht="12.75" customHeight="1" x14ac:dyDescent="0.2"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</row>
    <row r="627" spans="22:31" ht="12.75" customHeight="1" x14ac:dyDescent="0.2"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</row>
    <row r="628" spans="22:31" ht="12.75" customHeight="1" x14ac:dyDescent="0.2"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</row>
    <row r="629" spans="22:31" ht="12.75" customHeight="1" x14ac:dyDescent="0.2"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</row>
    <row r="630" spans="22:31" ht="12.75" customHeight="1" x14ac:dyDescent="0.2"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</row>
    <row r="631" spans="22:31" ht="12.75" customHeight="1" x14ac:dyDescent="0.2"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</row>
    <row r="632" spans="22:31" ht="12.75" customHeight="1" x14ac:dyDescent="0.2"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</row>
    <row r="633" spans="22:31" ht="12.75" customHeight="1" x14ac:dyDescent="0.2"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</row>
    <row r="634" spans="22:31" ht="12.75" customHeight="1" x14ac:dyDescent="0.2"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</row>
    <row r="635" spans="22:31" ht="12.75" customHeight="1" x14ac:dyDescent="0.2"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</row>
    <row r="636" spans="22:31" ht="12.75" customHeight="1" x14ac:dyDescent="0.2"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</row>
    <row r="637" spans="22:31" ht="12.75" customHeight="1" x14ac:dyDescent="0.2"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</row>
    <row r="638" spans="22:31" ht="12.75" customHeight="1" x14ac:dyDescent="0.2"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</row>
    <row r="639" spans="22:31" ht="12.75" customHeight="1" x14ac:dyDescent="0.2"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</row>
    <row r="640" spans="22:31" ht="12.75" customHeight="1" x14ac:dyDescent="0.2"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</row>
    <row r="641" spans="22:31" ht="12.75" customHeight="1" x14ac:dyDescent="0.2"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</row>
    <row r="642" spans="22:31" ht="12.75" customHeight="1" x14ac:dyDescent="0.2"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</row>
    <row r="643" spans="22:31" ht="12.75" customHeight="1" x14ac:dyDescent="0.2"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</row>
    <row r="644" spans="22:31" ht="12.75" customHeight="1" x14ac:dyDescent="0.2"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</row>
    <row r="645" spans="22:31" ht="12.75" customHeight="1" x14ac:dyDescent="0.2"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</row>
    <row r="646" spans="22:31" ht="12.75" customHeight="1" x14ac:dyDescent="0.2"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</row>
    <row r="647" spans="22:31" ht="12.75" customHeight="1" x14ac:dyDescent="0.2"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</row>
    <row r="648" spans="22:31" ht="12.75" customHeight="1" x14ac:dyDescent="0.2"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</row>
    <row r="649" spans="22:31" ht="12.75" customHeight="1" x14ac:dyDescent="0.2"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</row>
    <row r="650" spans="22:31" ht="12.75" customHeight="1" x14ac:dyDescent="0.2"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</row>
    <row r="651" spans="22:31" ht="12.75" customHeight="1" x14ac:dyDescent="0.2"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</row>
    <row r="652" spans="22:31" ht="12.75" customHeight="1" x14ac:dyDescent="0.2"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</row>
    <row r="653" spans="22:31" ht="12.75" customHeight="1" x14ac:dyDescent="0.2"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</row>
    <row r="654" spans="22:31" ht="12.75" customHeight="1" x14ac:dyDescent="0.2"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</row>
    <row r="655" spans="22:31" ht="12.75" customHeight="1" x14ac:dyDescent="0.2"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</row>
    <row r="656" spans="22:31" ht="12.75" customHeight="1" x14ac:dyDescent="0.2"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</row>
    <row r="657" spans="22:31" ht="12.75" customHeight="1" x14ac:dyDescent="0.2"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</row>
    <row r="658" spans="22:31" ht="12.75" customHeight="1" x14ac:dyDescent="0.2"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</row>
    <row r="659" spans="22:31" ht="12.75" customHeight="1" x14ac:dyDescent="0.2"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</row>
    <row r="660" spans="22:31" ht="12.75" customHeight="1" x14ac:dyDescent="0.2"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</row>
    <row r="661" spans="22:31" ht="12.75" customHeight="1" x14ac:dyDescent="0.2"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</row>
    <row r="662" spans="22:31" ht="12.75" customHeight="1" x14ac:dyDescent="0.2"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</row>
    <row r="663" spans="22:31" ht="12.75" customHeight="1" x14ac:dyDescent="0.2"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</row>
    <row r="664" spans="22:31" ht="12.75" customHeight="1" x14ac:dyDescent="0.2"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</row>
    <row r="665" spans="22:31" ht="12.75" customHeight="1" x14ac:dyDescent="0.2"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</row>
    <row r="666" spans="22:31" ht="12.75" customHeight="1" x14ac:dyDescent="0.2"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</row>
    <row r="667" spans="22:31" ht="12.75" customHeight="1" x14ac:dyDescent="0.2"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</row>
    <row r="668" spans="22:31" ht="12.75" customHeight="1" x14ac:dyDescent="0.2"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</row>
    <row r="669" spans="22:31" ht="12.75" customHeight="1" x14ac:dyDescent="0.2"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</row>
    <row r="670" spans="22:31" ht="12.75" customHeight="1" x14ac:dyDescent="0.2"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</row>
    <row r="671" spans="22:31" ht="12.75" customHeight="1" x14ac:dyDescent="0.2"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</row>
    <row r="672" spans="22:31" ht="12.75" customHeight="1" x14ac:dyDescent="0.2"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</row>
    <row r="673" spans="22:31" ht="12.75" customHeight="1" x14ac:dyDescent="0.2"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</row>
    <row r="674" spans="22:31" ht="12.75" customHeight="1" x14ac:dyDescent="0.2"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</row>
    <row r="675" spans="22:31" ht="12.75" customHeight="1" x14ac:dyDescent="0.2"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</row>
    <row r="676" spans="22:31" ht="12.75" customHeight="1" x14ac:dyDescent="0.2"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</row>
    <row r="677" spans="22:31" ht="12.75" customHeight="1" x14ac:dyDescent="0.2"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</row>
    <row r="678" spans="22:31" ht="12.75" customHeight="1" x14ac:dyDescent="0.2"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</row>
    <row r="679" spans="22:31" ht="12.75" customHeight="1" x14ac:dyDescent="0.2"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</row>
    <row r="680" spans="22:31" ht="12.75" customHeight="1" x14ac:dyDescent="0.2"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</row>
    <row r="681" spans="22:31" ht="12.75" customHeight="1" x14ac:dyDescent="0.2"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</row>
    <row r="682" spans="22:31" ht="12.75" customHeight="1" x14ac:dyDescent="0.2"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</row>
    <row r="683" spans="22:31" ht="12.75" customHeight="1" x14ac:dyDescent="0.2"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</row>
    <row r="684" spans="22:31" ht="12.75" customHeight="1" x14ac:dyDescent="0.2"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</row>
    <row r="685" spans="22:31" ht="12.75" customHeight="1" x14ac:dyDescent="0.2"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</row>
    <row r="686" spans="22:31" ht="12.75" customHeight="1" x14ac:dyDescent="0.2"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</row>
    <row r="687" spans="22:31" ht="12.75" customHeight="1" x14ac:dyDescent="0.2"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</row>
    <row r="688" spans="22:31" ht="12.75" customHeight="1" x14ac:dyDescent="0.2"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</row>
    <row r="689" spans="22:31" ht="12.75" customHeight="1" x14ac:dyDescent="0.2"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</row>
    <row r="690" spans="22:31" ht="12.75" customHeight="1" x14ac:dyDescent="0.2"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</row>
    <row r="691" spans="22:31" ht="12.75" customHeight="1" x14ac:dyDescent="0.2"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</row>
    <row r="692" spans="22:31" ht="12.75" customHeight="1" x14ac:dyDescent="0.2"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</row>
    <row r="693" spans="22:31" ht="12.75" customHeight="1" x14ac:dyDescent="0.2"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</row>
    <row r="694" spans="22:31" ht="12.75" customHeight="1" x14ac:dyDescent="0.2"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</row>
    <row r="695" spans="22:31" ht="12.75" customHeight="1" x14ac:dyDescent="0.2"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</row>
    <row r="696" spans="22:31" ht="12.75" customHeight="1" x14ac:dyDescent="0.2"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</row>
    <row r="697" spans="22:31" ht="12.75" customHeight="1" x14ac:dyDescent="0.2"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</row>
    <row r="698" spans="22:31" ht="12.75" customHeight="1" x14ac:dyDescent="0.2"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</row>
    <row r="699" spans="22:31" ht="12.75" customHeight="1" x14ac:dyDescent="0.2"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</row>
    <row r="700" spans="22:31" ht="12.75" customHeight="1" x14ac:dyDescent="0.2"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</row>
    <row r="701" spans="22:31" ht="12.75" customHeight="1" x14ac:dyDescent="0.2"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</row>
    <row r="702" spans="22:31" ht="12.75" customHeight="1" x14ac:dyDescent="0.2"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</row>
    <row r="703" spans="22:31" ht="12.75" customHeight="1" x14ac:dyDescent="0.2"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</row>
    <row r="704" spans="22:31" ht="12.75" customHeight="1" x14ac:dyDescent="0.2"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</row>
    <row r="705" spans="22:31" ht="12.75" customHeight="1" x14ac:dyDescent="0.2"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</row>
    <row r="706" spans="22:31" ht="12.75" customHeight="1" x14ac:dyDescent="0.2"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</row>
    <row r="707" spans="22:31" ht="12.75" customHeight="1" x14ac:dyDescent="0.2"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</row>
    <row r="708" spans="22:31" ht="12.75" customHeight="1" x14ac:dyDescent="0.2"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</row>
    <row r="709" spans="22:31" ht="12.75" customHeight="1" x14ac:dyDescent="0.2"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</row>
    <row r="710" spans="22:31" ht="12.75" customHeight="1" x14ac:dyDescent="0.2"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</row>
    <row r="711" spans="22:31" ht="12.75" customHeight="1" x14ac:dyDescent="0.2"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</row>
    <row r="712" spans="22:31" ht="12.75" customHeight="1" x14ac:dyDescent="0.2"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</row>
    <row r="713" spans="22:31" ht="12.75" customHeight="1" x14ac:dyDescent="0.2"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</row>
    <row r="714" spans="22:31" ht="12.75" customHeight="1" x14ac:dyDescent="0.2"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</row>
    <row r="715" spans="22:31" ht="12.75" customHeight="1" x14ac:dyDescent="0.2"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</row>
    <row r="716" spans="22:31" ht="12.75" customHeight="1" x14ac:dyDescent="0.2"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</row>
    <row r="717" spans="22:31" ht="12.75" customHeight="1" x14ac:dyDescent="0.2"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</row>
    <row r="718" spans="22:31" ht="12.75" customHeight="1" x14ac:dyDescent="0.2"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</row>
    <row r="719" spans="22:31" ht="12.75" customHeight="1" x14ac:dyDescent="0.2"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</row>
    <row r="720" spans="22:31" ht="12.75" customHeight="1" x14ac:dyDescent="0.2"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</row>
    <row r="721" spans="22:31" ht="12.75" customHeight="1" x14ac:dyDescent="0.2"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</row>
    <row r="722" spans="22:31" ht="12.75" customHeight="1" x14ac:dyDescent="0.2"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</row>
    <row r="723" spans="22:31" ht="12.75" customHeight="1" x14ac:dyDescent="0.2"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</row>
    <row r="724" spans="22:31" ht="12.75" customHeight="1" x14ac:dyDescent="0.2"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</row>
    <row r="725" spans="22:31" ht="12.75" customHeight="1" x14ac:dyDescent="0.2"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</row>
    <row r="726" spans="22:31" ht="12.75" customHeight="1" x14ac:dyDescent="0.2"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</row>
    <row r="727" spans="22:31" ht="12.75" customHeight="1" x14ac:dyDescent="0.2"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</row>
    <row r="728" spans="22:31" ht="12.75" customHeight="1" x14ac:dyDescent="0.2"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</row>
    <row r="729" spans="22:31" ht="12.75" customHeight="1" x14ac:dyDescent="0.2"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</row>
    <row r="730" spans="22:31" ht="12.75" customHeight="1" x14ac:dyDescent="0.2"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</row>
    <row r="731" spans="22:31" ht="12.75" customHeight="1" x14ac:dyDescent="0.2"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</row>
    <row r="732" spans="22:31" ht="12.75" customHeight="1" x14ac:dyDescent="0.2"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</row>
    <row r="733" spans="22:31" ht="12.75" customHeight="1" x14ac:dyDescent="0.2"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</row>
    <row r="734" spans="22:31" ht="12.75" customHeight="1" x14ac:dyDescent="0.2"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</row>
    <row r="735" spans="22:31" ht="12.75" customHeight="1" x14ac:dyDescent="0.2"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</row>
    <row r="736" spans="22:31" ht="12.75" customHeight="1" x14ac:dyDescent="0.2"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</row>
    <row r="737" spans="22:31" ht="12.75" customHeight="1" x14ac:dyDescent="0.2"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</row>
    <row r="738" spans="22:31" ht="12.75" customHeight="1" x14ac:dyDescent="0.2"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</row>
    <row r="739" spans="22:31" ht="12.75" customHeight="1" x14ac:dyDescent="0.2"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</row>
    <row r="740" spans="22:31" ht="12.75" customHeight="1" x14ac:dyDescent="0.2"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</row>
    <row r="741" spans="22:31" ht="12.75" customHeight="1" x14ac:dyDescent="0.2"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</row>
    <row r="742" spans="22:31" ht="12.75" customHeight="1" x14ac:dyDescent="0.2"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</row>
    <row r="743" spans="22:31" ht="12.75" customHeight="1" x14ac:dyDescent="0.2"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</row>
    <row r="744" spans="22:31" ht="12.75" customHeight="1" x14ac:dyDescent="0.2"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</row>
    <row r="745" spans="22:31" ht="12.75" customHeight="1" x14ac:dyDescent="0.2"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</row>
    <row r="746" spans="22:31" ht="12.75" customHeight="1" x14ac:dyDescent="0.2"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</row>
    <row r="747" spans="22:31" ht="12.75" customHeight="1" x14ac:dyDescent="0.2"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</row>
    <row r="748" spans="22:31" ht="12.75" customHeight="1" x14ac:dyDescent="0.2"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</row>
    <row r="749" spans="22:31" ht="12.75" customHeight="1" x14ac:dyDescent="0.2"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</row>
    <row r="750" spans="22:31" ht="12.75" customHeight="1" x14ac:dyDescent="0.2"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</row>
    <row r="751" spans="22:31" ht="12.75" customHeight="1" x14ac:dyDescent="0.2"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</row>
    <row r="752" spans="22:31" ht="12.75" customHeight="1" x14ac:dyDescent="0.2"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</row>
    <row r="753" spans="22:31" ht="12.75" customHeight="1" x14ac:dyDescent="0.2"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</row>
    <row r="754" spans="22:31" ht="12.75" customHeight="1" x14ac:dyDescent="0.2"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</row>
    <row r="755" spans="22:31" ht="12.75" customHeight="1" x14ac:dyDescent="0.2"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</row>
    <row r="756" spans="22:31" ht="12.75" customHeight="1" x14ac:dyDescent="0.2"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</row>
    <row r="757" spans="22:31" ht="12.75" customHeight="1" x14ac:dyDescent="0.2"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</row>
    <row r="758" spans="22:31" ht="12.75" customHeight="1" x14ac:dyDescent="0.2"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</row>
    <row r="759" spans="22:31" ht="12.75" customHeight="1" x14ac:dyDescent="0.2"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</row>
    <row r="760" spans="22:31" ht="12.75" customHeight="1" x14ac:dyDescent="0.2"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</row>
    <row r="761" spans="22:31" ht="12.75" customHeight="1" x14ac:dyDescent="0.2"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</row>
    <row r="762" spans="22:31" ht="12.75" customHeight="1" x14ac:dyDescent="0.2"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</row>
    <row r="763" spans="22:31" ht="12.75" customHeight="1" x14ac:dyDescent="0.2"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</row>
    <row r="764" spans="22:31" ht="12.75" customHeight="1" x14ac:dyDescent="0.2"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</row>
    <row r="765" spans="22:31" ht="12.75" customHeight="1" x14ac:dyDescent="0.2"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</row>
    <row r="766" spans="22:31" ht="12.75" customHeight="1" x14ac:dyDescent="0.2"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</row>
    <row r="767" spans="22:31" ht="12.75" customHeight="1" x14ac:dyDescent="0.2"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</row>
    <row r="768" spans="22:31" ht="12.75" customHeight="1" x14ac:dyDescent="0.2"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</row>
    <row r="769" spans="22:31" ht="12.75" customHeight="1" x14ac:dyDescent="0.2"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</row>
    <row r="770" spans="22:31" ht="12.75" customHeight="1" x14ac:dyDescent="0.2"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</row>
    <row r="771" spans="22:31" ht="12.75" customHeight="1" x14ac:dyDescent="0.2"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</row>
    <row r="772" spans="22:31" ht="12.75" customHeight="1" x14ac:dyDescent="0.2"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</row>
    <row r="773" spans="22:31" ht="12.75" customHeight="1" x14ac:dyDescent="0.2"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</row>
    <row r="774" spans="22:31" ht="12.75" customHeight="1" x14ac:dyDescent="0.2"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</row>
    <row r="775" spans="22:31" ht="12.75" customHeight="1" x14ac:dyDescent="0.2"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</row>
    <row r="776" spans="22:31" ht="12.75" customHeight="1" x14ac:dyDescent="0.2"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</row>
    <row r="777" spans="22:31" ht="12.75" customHeight="1" x14ac:dyDescent="0.2"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</row>
    <row r="778" spans="22:31" ht="12.75" customHeight="1" x14ac:dyDescent="0.2"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</row>
    <row r="779" spans="22:31" ht="12.75" customHeight="1" x14ac:dyDescent="0.2"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</row>
    <row r="780" spans="22:31" ht="12.75" customHeight="1" x14ac:dyDescent="0.2"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</row>
    <row r="781" spans="22:31" ht="12.75" customHeight="1" x14ac:dyDescent="0.2"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</row>
    <row r="782" spans="22:31" ht="12.75" customHeight="1" x14ac:dyDescent="0.2"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</row>
    <row r="783" spans="22:31" ht="12.75" customHeight="1" x14ac:dyDescent="0.2"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</row>
    <row r="784" spans="22:31" ht="12.75" customHeight="1" x14ac:dyDescent="0.2"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</row>
    <row r="785" spans="22:31" ht="12.75" customHeight="1" x14ac:dyDescent="0.2"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</row>
    <row r="786" spans="22:31" ht="12.75" customHeight="1" x14ac:dyDescent="0.2"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</row>
    <row r="787" spans="22:31" ht="12.75" customHeight="1" x14ac:dyDescent="0.2"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</row>
    <row r="788" spans="22:31" ht="12.75" customHeight="1" x14ac:dyDescent="0.2"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</row>
    <row r="789" spans="22:31" ht="12.75" customHeight="1" x14ac:dyDescent="0.2"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</row>
    <row r="790" spans="22:31" ht="12.75" customHeight="1" x14ac:dyDescent="0.2"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</row>
    <row r="791" spans="22:31" ht="12.75" customHeight="1" x14ac:dyDescent="0.2"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</row>
    <row r="792" spans="22:31" ht="12.75" customHeight="1" x14ac:dyDescent="0.2"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</row>
    <row r="793" spans="22:31" ht="12.75" customHeight="1" x14ac:dyDescent="0.2"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</row>
    <row r="794" spans="22:31" ht="12.75" customHeight="1" x14ac:dyDescent="0.2"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</row>
    <row r="795" spans="22:31" ht="12.75" customHeight="1" x14ac:dyDescent="0.2"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</row>
    <row r="796" spans="22:31" ht="12.75" customHeight="1" x14ac:dyDescent="0.2"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</row>
    <row r="797" spans="22:31" ht="12.75" customHeight="1" x14ac:dyDescent="0.2"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</row>
    <row r="798" spans="22:31" ht="12.75" customHeight="1" x14ac:dyDescent="0.2"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</row>
    <row r="799" spans="22:31" ht="12.75" customHeight="1" x14ac:dyDescent="0.2"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</row>
    <row r="800" spans="22:31" ht="12.75" customHeight="1" x14ac:dyDescent="0.2"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</row>
    <row r="801" spans="22:31" ht="12.75" customHeight="1" x14ac:dyDescent="0.2"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</row>
    <row r="802" spans="22:31" ht="12.75" customHeight="1" x14ac:dyDescent="0.2"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</row>
    <row r="803" spans="22:31" ht="12.75" customHeight="1" x14ac:dyDescent="0.2"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</row>
    <row r="804" spans="22:31" ht="12.75" customHeight="1" x14ac:dyDescent="0.2"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</row>
    <row r="805" spans="22:31" ht="12.75" customHeight="1" x14ac:dyDescent="0.2"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</row>
    <row r="806" spans="22:31" ht="12.75" customHeight="1" x14ac:dyDescent="0.2"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</row>
    <row r="807" spans="22:31" ht="12.75" customHeight="1" x14ac:dyDescent="0.2"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</row>
    <row r="808" spans="22:31" ht="12.75" customHeight="1" x14ac:dyDescent="0.2"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</row>
    <row r="809" spans="22:31" ht="12.75" customHeight="1" x14ac:dyDescent="0.2"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</row>
    <row r="810" spans="22:31" ht="12.75" customHeight="1" x14ac:dyDescent="0.2"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</row>
    <row r="811" spans="22:31" ht="12.75" customHeight="1" x14ac:dyDescent="0.2"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</row>
    <row r="812" spans="22:31" ht="12.75" customHeight="1" x14ac:dyDescent="0.2"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</row>
    <row r="813" spans="22:31" ht="12.75" customHeight="1" x14ac:dyDescent="0.2"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</row>
    <row r="814" spans="22:31" ht="12.75" customHeight="1" x14ac:dyDescent="0.2"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</row>
    <row r="815" spans="22:31" ht="12.75" customHeight="1" x14ac:dyDescent="0.2"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</row>
    <row r="816" spans="22:31" ht="12.75" customHeight="1" x14ac:dyDescent="0.2"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</row>
    <row r="817" spans="22:31" ht="12.75" customHeight="1" x14ac:dyDescent="0.2"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</row>
    <row r="818" spans="22:31" ht="12.75" customHeight="1" x14ac:dyDescent="0.2"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</row>
    <row r="819" spans="22:31" ht="12.75" customHeight="1" x14ac:dyDescent="0.2"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</row>
    <row r="820" spans="22:31" ht="12.75" customHeight="1" x14ac:dyDescent="0.2"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</row>
    <row r="821" spans="22:31" ht="12.75" customHeight="1" x14ac:dyDescent="0.2"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</row>
    <row r="822" spans="22:31" ht="12.75" customHeight="1" x14ac:dyDescent="0.2"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</row>
    <row r="823" spans="22:31" ht="12.75" customHeight="1" x14ac:dyDescent="0.2"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</row>
    <row r="824" spans="22:31" ht="12.75" customHeight="1" x14ac:dyDescent="0.2"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</row>
    <row r="825" spans="22:31" ht="12.75" customHeight="1" x14ac:dyDescent="0.2"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</row>
    <row r="826" spans="22:31" ht="12.75" customHeight="1" x14ac:dyDescent="0.2"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</row>
    <row r="827" spans="22:31" ht="12.75" customHeight="1" x14ac:dyDescent="0.2"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</row>
    <row r="828" spans="22:31" ht="12.75" customHeight="1" x14ac:dyDescent="0.2"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</row>
    <row r="829" spans="22:31" ht="12.75" customHeight="1" x14ac:dyDescent="0.2"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</row>
    <row r="830" spans="22:31" ht="12.75" customHeight="1" x14ac:dyDescent="0.2"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</row>
    <row r="831" spans="22:31" ht="12.75" customHeight="1" x14ac:dyDescent="0.2"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</row>
    <row r="832" spans="22:31" ht="12.75" customHeight="1" x14ac:dyDescent="0.2"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</row>
    <row r="833" spans="22:31" ht="12.75" customHeight="1" x14ac:dyDescent="0.2"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</row>
    <row r="834" spans="22:31" ht="12.75" customHeight="1" x14ac:dyDescent="0.2"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</row>
    <row r="835" spans="22:31" ht="12.75" customHeight="1" x14ac:dyDescent="0.2"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</row>
    <row r="836" spans="22:31" ht="12.75" customHeight="1" x14ac:dyDescent="0.2"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</row>
    <row r="837" spans="22:31" ht="12.75" customHeight="1" x14ac:dyDescent="0.2"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</row>
    <row r="838" spans="22:31" ht="12.75" customHeight="1" x14ac:dyDescent="0.2"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</row>
    <row r="839" spans="22:31" ht="12.75" customHeight="1" x14ac:dyDescent="0.2"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</row>
    <row r="840" spans="22:31" ht="12.75" customHeight="1" x14ac:dyDescent="0.2"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</row>
    <row r="841" spans="22:31" ht="12.75" customHeight="1" x14ac:dyDescent="0.2"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</row>
    <row r="842" spans="22:31" ht="12.75" customHeight="1" x14ac:dyDescent="0.2"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</row>
    <row r="843" spans="22:31" ht="12.75" customHeight="1" x14ac:dyDescent="0.2"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</row>
    <row r="844" spans="22:31" ht="12.75" customHeight="1" x14ac:dyDescent="0.2"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</row>
    <row r="845" spans="22:31" ht="12.75" customHeight="1" x14ac:dyDescent="0.2"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</row>
    <row r="846" spans="22:31" ht="12.75" customHeight="1" x14ac:dyDescent="0.2"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</row>
    <row r="847" spans="22:31" ht="12.75" customHeight="1" x14ac:dyDescent="0.2"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</row>
    <row r="848" spans="22:31" ht="12.75" customHeight="1" x14ac:dyDescent="0.2"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</row>
    <row r="849" spans="22:31" ht="12.75" customHeight="1" x14ac:dyDescent="0.2"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</row>
    <row r="850" spans="22:31" ht="12.75" customHeight="1" x14ac:dyDescent="0.2"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</row>
    <row r="851" spans="22:31" ht="12.75" customHeight="1" x14ac:dyDescent="0.2"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</row>
    <row r="852" spans="22:31" ht="12.75" customHeight="1" x14ac:dyDescent="0.2"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</row>
    <row r="853" spans="22:31" ht="12.75" customHeight="1" x14ac:dyDescent="0.2"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</row>
    <row r="854" spans="22:31" ht="12.75" customHeight="1" x14ac:dyDescent="0.2"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</row>
    <row r="855" spans="22:31" ht="12.75" customHeight="1" x14ac:dyDescent="0.2"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</row>
    <row r="856" spans="22:31" ht="12.75" customHeight="1" x14ac:dyDescent="0.2"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</row>
    <row r="857" spans="22:31" ht="12.75" customHeight="1" x14ac:dyDescent="0.2"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</row>
    <row r="858" spans="22:31" ht="12.75" customHeight="1" x14ac:dyDescent="0.2"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</row>
    <row r="859" spans="22:31" ht="12.75" customHeight="1" x14ac:dyDescent="0.2"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</row>
    <row r="860" spans="22:31" ht="12.75" customHeight="1" x14ac:dyDescent="0.2"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</row>
    <row r="861" spans="22:31" ht="12.75" customHeight="1" x14ac:dyDescent="0.2"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</row>
    <row r="862" spans="22:31" ht="12.75" customHeight="1" x14ac:dyDescent="0.2"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</row>
    <row r="863" spans="22:31" ht="12.75" customHeight="1" x14ac:dyDescent="0.2"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</row>
    <row r="864" spans="22:31" ht="12.75" customHeight="1" x14ac:dyDescent="0.2"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</row>
    <row r="865" spans="22:31" ht="12.75" customHeight="1" x14ac:dyDescent="0.2"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</row>
    <row r="866" spans="22:31" ht="12.75" customHeight="1" x14ac:dyDescent="0.2"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</row>
    <row r="867" spans="22:31" ht="12.75" customHeight="1" x14ac:dyDescent="0.2"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</row>
    <row r="868" spans="22:31" ht="12.75" customHeight="1" x14ac:dyDescent="0.2"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</row>
    <row r="869" spans="22:31" ht="12.75" customHeight="1" x14ac:dyDescent="0.2"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</row>
    <row r="870" spans="22:31" ht="12.75" customHeight="1" x14ac:dyDescent="0.2"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</row>
    <row r="871" spans="22:31" ht="12.75" customHeight="1" x14ac:dyDescent="0.2"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</row>
    <row r="872" spans="22:31" ht="12.75" customHeight="1" x14ac:dyDescent="0.2"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</row>
    <row r="873" spans="22:31" ht="12.75" customHeight="1" x14ac:dyDescent="0.2"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</row>
    <row r="874" spans="22:31" ht="12.75" customHeight="1" x14ac:dyDescent="0.2"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</row>
    <row r="875" spans="22:31" ht="12.75" customHeight="1" x14ac:dyDescent="0.2"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</row>
    <row r="876" spans="22:31" ht="12.75" customHeight="1" x14ac:dyDescent="0.2"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</row>
    <row r="877" spans="22:31" ht="12.75" customHeight="1" x14ac:dyDescent="0.2"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</row>
    <row r="878" spans="22:31" ht="12.75" customHeight="1" x14ac:dyDescent="0.2"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</row>
    <row r="879" spans="22:31" ht="12.75" customHeight="1" x14ac:dyDescent="0.2"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</row>
    <row r="880" spans="22:31" ht="12.75" customHeight="1" x14ac:dyDescent="0.2"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</row>
    <row r="881" spans="22:31" ht="12.75" customHeight="1" x14ac:dyDescent="0.2"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</row>
    <row r="882" spans="22:31" ht="12.75" customHeight="1" x14ac:dyDescent="0.2"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</row>
    <row r="883" spans="22:31" ht="12.75" customHeight="1" x14ac:dyDescent="0.2"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</row>
    <row r="884" spans="22:31" ht="12.75" customHeight="1" x14ac:dyDescent="0.2"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</row>
    <row r="885" spans="22:31" ht="12.75" customHeight="1" x14ac:dyDescent="0.2"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</row>
    <row r="886" spans="22:31" ht="12.75" customHeight="1" x14ac:dyDescent="0.2"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</row>
    <row r="887" spans="22:31" ht="12.75" customHeight="1" x14ac:dyDescent="0.2"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</row>
    <row r="888" spans="22:31" ht="12.75" customHeight="1" x14ac:dyDescent="0.2"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</row>
    <row r="889" spans="22:31" ht="12.75" customHeight="1" x14ac:dyDescent="0.2"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</row>
    <row r="890" spans="22:31" ht="12.75" customHeight="1" x14ac:dyDescent="0.2"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</row>
    <row r="891" spans="22:31" ht="12.75" customHeight="1" x14ac:dyDescent="0.2"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</row>
    <row r="892" spans="22:31" ht="12.75" customHeight="1" x14ac:dyDescent="0.2"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</row>
    <row r="893" spans="22:31" ht="12.75" customHeight="1" x14ac:dyDescent="0.2"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</row>
    <row r="894" spans="22:31" ht="12.75" customHeight="1" x14ac:dyDescent="0.2"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</row>
    <row r="895" spans="22:31" ht="12.75" customHeight="1" x14ac:dyDescent="0.2"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</row>
    <row r="896" spans="22:31" ht="12.75" customHeight="1" x14ac:dyDescent="0.2"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</row>
    <row r="897" spans="22:31" ht="12.75" customHeight="1" x14ac:dyDescent="0.2"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</row>
    <row r="898" spans="22:31" ht="12.75" customHeight="1" x14ac:dyDescent="0.2"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</row>
    <row r="899" spans="22:31" ht="12.75" customHeight="1" x14ac:dyDescent="0.2"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</row>
    <row r="900" spans="22:31" ht="12.75" customHeight="1" x14ac:dyDescent="0.2"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</row>
    <row r="901" spans="22:31" ht="12.75" customHeight="1" x14ac:dyDescent="0.2"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</row>
    <row r="902" spans="22:31" ht="12.75" customHeight="1" x14ac:dyDescent="0.2"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</row>
    <row r="903" spans="22:31" ht="12.75" customHeight="1" x14ac:dyDescent="0.2"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</row>
    <row r="904" spans="22:31" ht="12.75" customHeight="1" x14ac:dyDescent="0.2"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</row>
    <row r="905" spans="22:31" ht="12.75" customHeight="1" x14ac:dyDescent="0.2"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</row>
    <row r="906" spans="22:31" ht="12.75" customHeight="1" x14ac:dyDescent="0.2"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</row>
    <row r="907" spans="22:31" ht="12.75" customHeight="1" x14ac:dyDescent="0.2"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</row>
    <row r="908" spans="22:31" ht="12.75" customHeight="1" x14ac:dyDescent="0.2"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</row>
    <row r="909" spans="22:31" ht="12.75" customHeight="1" x14ac:dyDescent="0.2"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</row>
    <row r="910" spans="22:31" ht="12.75" customHeight="1" x14ac:dyDescent="0.2"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</row>
    <row r="911" spans="22:31" ht="12.75" customHeight="1" x14ac:dyDescent="0.2"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</row>
    <row r="912" spans="22:31" ht="12.75" customHeight="1" x14ac:dyDescent="0.2"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</row>
    <row r="913" spans="22:31" ht="12.75" customHeight="1" x14ac:dyDescent="0.2"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</row>
    <row r="914" spans="22:31" ht="12.75" customHeight="1" x14ac:dyDescent="0.2"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</row>
    <row r="915" spans="22:31" ht="12.75" customHeight="1" x14ac:dyDescent="0.2"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</row>
    <row r="916" spans="22:31" ht="12.75" customHeight="1" x14ac:dyDescent="0.2"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</row>
    <row r="917" spans="22:31" ht="12.75" customHeight="1" x14ac:dyDescent="0.2"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</row>
    <row r="918" spans="22:31" ht="12.75" customHeight="1" x14ac:dyDescent="0.2"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</row>
    <row r="919" spans="22:31" ht="12.75" customHeight="1" x14ac:dyDescent="0.2"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</row>
    <row r="920" spans="22:31" ht="12.75" customHeight="1" x14ac:dyDescent="0.2"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</row>
    <row r="921" spans="22:31" ht="12.75" customHeight="1" x14ac:dyDescent="0.2"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</row>
    <row r="922" spans="22:31" ht="12.75" customHeight="1" x14ac:dyDescent="0.2"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</row>
    <row r="923" spans="22:31" ht="12.75" customHeight="1" x14ac:dyDescent="0.2"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</row>
    <row r="924" spans="22:31" ht="12.75" customHeight="1" x14ac:dyDescent="0.2"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</row>
    <row r="925" spans="22:31" ht="12.75" customHeight="1" x14ac:dyDescent="0.2"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</row>
    <row r="926" spans="22:31" ht="12.75" customHeight="1" x14ac:dyDescent="0.2"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</row>
    <row r="927" spans="22:31" ht="12.75" customHeight="1" x14ac:dyDescent="0.2"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</row>
    <row r="928" spans="22:31" ht="12.75" customHeight="1" x14ac:dyDescent="0.2"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</row>
    <row r="929" spans="22:31" ht="12.75" customHeight="1" x14ac:dyDescent="0.2"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</row>
    <row r="930" spans="22:31" ht="12.75" customHeight="1" x14ac:dyDescent="0.2"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</row>
    <row r="931" spans="22:31" ht="12.75" customHeight="1" x14ac:dyDescent="0.2"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</row>
    <row r="932" spans="22:31" ht="12.75" customHeight="1" x14ac:dyDescent="0.2"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</row>
    <row r="933" spans="22:31" ht="12.75" customHeight="1" x14ac:dyDescent="0.2"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</row>
    <row r="934" spans="22:31" ht="12.75" customHeight="1" x14ac:dyDescent="0.2"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</row>
    <row r="935" spans="22:31" ht="12.75" customHeight="1" x14ac:dyDescent="0.2"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</row>
    <row r="936" spans="22:31" ht="12.75" customHeight="1" x14ac:dyDescent="0.2"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</row>
    <row r="937" spans="22:31" ht="12.75" customHeight="1" x14ac:dyDescent="0.2"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</row>
    <row r="938" spans="22:31" ht="12.75" customHeight="1" x14ac:dyDescent="0.2"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</row>
    <row r="939" spans="22:31" ht="12.75" customHeight="1" x14ac:dyDescent="0.2"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</row>
    <row r="940" spans="22:31" ht="12.75" customHeight="1" x14ac:dyDescent="0.2"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</row>
    <row r="941" spans="22:31" ht="12.75" customHeight="1" x14ac:dyDescent="0.2"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</row>
    <row r="942" spans="22:31" ht="12.75" customHeight="1" x14ac:dyDescent="0.2"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</row>
    <row r="943" spans="22:31" ht="12.75" customHeight="1" x14ac:dyDescent="0.2"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</row>
    <row r="944" spans="22:31" ht="12.75" customHeight="1" x14ac:dyDescent="0.2"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</row>
    <row r="945" spans="22:31" ht="12.75" customHeight="1" x14ac:dyDescent="0.2"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</row>
    <row r="946" spans="22:31" ht="12.75" customHeight="1" x14ac:dyDescent="0.2"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</row>
    <row r="947" spans="22:31" ht="12.75" customHeight="1" x14ac:dyDescent="0.2"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</row>
    <row r="948" spans="22:31" ht="12.75" customHeight="1" x14ac:dyDescent="0.2"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</row>
    <row r="949" spans="22:31" ht="12.75" customHeight="1" x14ac:dyDescent="0.2"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</row>
    <row r="950" spans="22:31" ht="12.75" customHeight="1" x14ac:dyDescent="0.2"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</row>
    <row r="951" spans="22:31" ht="12.75" customHeight="1" x14ac:dyDescent="0.2"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</row>
    <row r="952" spans="22:31" ht="12.75" customHeight="1" x14ac:dyDescent="0.2"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</row>
    <row r="953" spans="22:31" ht="12.75" customHeight="1" x14ac:dyDescent="0.2"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</row>
    <row r="954" spans="22:31" ht="12.75" customHeight="1" x14ac:dyDescent="0.2"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</row>
    <row r="955" spans="22:31" ht="12.75" customHeight="1" x14ac:dyDescent="0.2"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</row>
    <row r="956" spans="22:31" ht="12.75" customHeight="1" x14ac:dyDescent="0.2"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</row>
    <row r="957" spans="22:31" ht="12.75" customHeight="1" x14ac:dyDescent="0.2"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</row>
    <row r="958" spans="22:31" ht="12.75" customHeight="1" x14ac:dyDescent="0.2"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</row>
    <row r="959" spans="22:31" ht="12.75" customHeight="1" x14ac:dyDescent="0.2"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</row>
    <row r="960" spans="22:31" ht="12.75" customHeight="1" x14ac:dyDescent="0.2"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</row>
    <row r="961" spans="22:31" ht="12.75" customHeight="1" x14ac:dyDescent="0.2"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</row>
    <row r="962" spans="22:31" ht="12.75" customHeight="1" x14ac:dyDescent="0.2"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</row>
    <row r="963" spans="22:31" ht="12.75" customHeight="1" x14ac:dyDescent="0.2"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</row>
    <row r="964" spans="22:31" ht="12.75" customHeight="1" x14ac:dyDescent="0.2"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</row>
    <row r="965" spans="22:31" ht="12.75" customHeight="1" x14ac:dyDescent="0.2"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</row>
    <row r="966" spans="22:31" ht="12.75" customHeight="1" x14ac:dyDescent="0.2"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</row>
    <row r="967" spans="22:31" ht="12.75" customHeight="1" x14ac:dyDescent="0.2"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</row>
    <row r="968" spans="22:31" ht="12.75" customHeight="1" x14ac:dyDescent="0.2"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</row>
    <row r="969" spans="22:31" ht="12.75" customHeight="1" x14ac:dyDescent="0.2"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</row>
    <row r="970" spans="22:31" ht="12.75" customHeight="1" x14ac:dyDescent="0.2"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</row>
    <row r="971" spans="22:31" ht="12.75" customHeight="1" x14ac:dyDescent="0.2"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</row>
    <row r="972" spans="22:31" ht="12.75" customHeight="1" x14ac:dyDescent="0.2"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</row>
    <row r="973" spans="22:31" ht="12.75" customHeight="1" x14ac:dyDescent="0.2"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</row>
    <row r="974" spans="22:31" ht="12.75" customHeight="1" x14ac:dyDescent="0.2"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</row>
    <row r="975" spans="22:31" ht="12.75" customHeight="1" x14ac:dyDescent="0.2"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</row>
    <row r="976" spans="22:31" ht="12.75" customHeight="1" x14ac:dyDescent="0.2"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</row>
    <row r="977" spans="22:31" ht="12.75" customHeight="1" x14ac:dyDescent="0.2"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</row>
    <row r="978" spans="22:31" ht="12.75" customHeight="1" x14ac:dyDescent="0.2"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</row>
    <row r="979" spans="22:31" ht="12.75" customHeight="1" x14ac:dyDescent="0.2"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</row>
    <row r="980" spans="22:31" ht="12.75" customHeight="1" x14ac:dyDescent="0.2"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</row>
    <row r="981" spans="22:31" ht="12.75" customHeight="1" x14ac:dyDescent="0.2"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</row>
    <row r="982" spans="22:31" ht="12.75" customHeight="1" x14ac:dyDescent="0.2"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</row>
    <row r="983" spans="22:31" ht="12.75" customHeight="1" x14ac:dyDescent="0.2"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</row>
    <row r="984" spans="22:31" ht="12.75" customHeight="1" x14ac:dyDescent="0.2"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</row>
    <row r="985" spans="22:31" ht="12.75" customHeight="1" x14ac:dyDescent="0.2"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</row>
    <row r="986" spans="22:31" ht="12.75" customHeight="1" x14ac:dyDescent="0.2"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</row>
    <row r="987" spans="22:31" ht="12.75" customHeight="1" x14ac:dyDescent="0.2"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</row>
    <row r="988" spans="22:31" ht="12.75" customHeight="1" x14ac:dyDescent="0.2"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</row>
    <row r="989" spans="22:31" ht="12.75" customHeight="1" x14ac:dyDescent="0.2"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</row>
    <row r="990" spans="22:31" ht="12.75" customHeight="1" x14ac:dyDescent="0.2"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</row>
    <row r="991" spans="22:31" ht="12.75" customHeight="1" x14ac:dyDescent="0.2"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</row>
    <row r="992" spans="22:31" ht="12.75" customHeight="1" x14ac:dyDescent="0.2"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</row>
    <row r="993" spans="22:31" ht="12.75" customHeight="1" x14ac:dyDescent="0.2"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</row>
    <row r="994" spans="22:31" ht="12.75" customHeight="1" x14ac:dyDescent="0.2"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</row>
    <row r="995" spans="22:31" ht="12.75" customHeight="1" x14ac:dyDescent="0.2"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</row>
    <row r="996" spans="22:31" ht="12.75" customHeight="1" x14ac:dyDescent="0.2"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</row>
    <row r="997" spans="22:31" ht="12.75" customHeight="1" x14ac:dyDescent="0.2"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</row>
    <row r="998" spans="22:31" ht="12.75" customHeight="1" x14ac:dyDescent="0.2"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</row>
    <row r="999" spans="22:31" ht="12.75" customHeight="1" x14ac:dyDescent="0.2"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</row>
    <row r="1000" spans="22:31" ht="12.75" customHeight="1" x14ac:dyDescent="0.2"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</row>
    <row r="1001" spans="22:31" ht="12.75" customHeight="1" x14ac:dyDescent="0.2"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</row>
    <row r="1002" spans="22:31" ht="12.75" customHeight="1" x14ac:dyDescent="0.2"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</row>
    <row r="1003" spans="22:31" ht="12.75" customHeight="1" x14ac:dyDescent="0.2"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</row>
    <row r="1004" spans="22:31" ht="12.75" customHeight="1" x14ac:dyDescent="0.2"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</row>
    <row r="1005" spans="22:31" ht="12.75" customHeight="1" x14ac:dyDescent="0.2"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</row>
    <row r="1006" spans="22:31" ht="12.75" customHeight="1" x14ac:dyDescent="0.2"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</row>
    <row r="1007" spans="22:31" ht="12.75" customHeight="1" x14ac:dyDescent="0.2"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</row>
    <row r="1008" spans="22:31" ht="12.75" customHeight="1" x14ac:dyDescent="0.2"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</row>
    <row r="1009" spans="22:31" ht="12.75" customHeight="1" x14ac:dyDescent="0.2"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</row>
    <row r="1010" spans="22:31" ht="12.75" customHeight="1" x14ac:dyDescent="0.2"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</row>
    <row r="1011" spans="22:31" ht="12.75" customHeight="1" x14ac:dyDescent="0.2"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</row>
    <row r="1012" spans="22:31" ht="12.75" customHeight="1" x14ac:dyDescent="0.2"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</row>
    <row r="1013" spans="22:31" ht="12.75" customHeight="1" x14ac:dyDescent="0.2"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</row>
    <row r="1014" spans="22:31" ht="12.75" customHeight="1" x14ac:dyDescent="0.2"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</row>
    <row r="1015" spans="22:31" ht="12.75" customHeight="1" x14ac:dyDescent="0.2"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</row>
    <row r="1016" spans="22:31" ht="12.75" customHeight="1" x14ac:dyDescent="0.2"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</row>
    <row r="1017" spans="22:31" ht="12.75" customHeight="1" x14ac:dyDescent="0.2"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</row>
    <row r="1018" spans="22:31" ht="12.75" customHeight="1" x14ac:dyDescent="0.2"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</row>
    <row r="1019" spans="22:31" ht="12.75" customHeight="1" x14ac:dyDescent="0.2"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</row>
    <row r="1020" spans="22:31" ht="12.75" customHeight="1" x14ac:dyDescent="0.2"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</row>
    <row r="1021" spans="22:31" ht="12.75" customHeight="1" x14ac:dyDescent="0.2"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</row>
    <row r="1022" spans="22:31" ht="12.75" customHeight="1" x14ac:dyDescent="0.2"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</row>
    <row r="1023" spans="22:31" ht="12.75" customHeight="1" x14ac:dyDescent="0.2"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</row>
    <row r="1024" spans="22:31" ht="12.75" customHeight="1" x14ac:dyDescent="0.2"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</row>
    <row r="1025" spans="22:31" ht="12.75" customHeight="1" x14ac:dyDescent="0.2"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</row>
    <row r="1026" spans="22:31" ht="12.75" customHeight="1" x14ac:dyDescent="0.2"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</row>
    <row r="1027" spans="22:31" ht="12.75" customHeight="1" x14ac:dyDescent="0.2"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</row>
    <row r="1028" spans="22:31" ht="12.75" customHeight="1" x14ac:dyDescent="0.2">
      <c r="V1028" s="137"/>
      <c r="W1028" s="137"/>
      <c r="X1028" s="137"/>
      <c r="Y1028" s="137"/>
      <c r="Z1028" s="137"/>
      <c r="AA1028" s="137"/>
      <c r="AB1028" s="137"/>
      <c r="AC1028" s="137"/>
      <c r="AD1028" s="137"/>
      <c r="AE1028" s="137"/>
    </row>
    <row r="1029" spans="22:31" ht="12.75" customHeight="1" x14ac:dyDescent="0.2">
      <c r="V1029" s="137"/>
      <c r="W1029" s="137"/>
      <c r="X1029" s="137"/>
      <c r="Y1029" s="137"/>
      <c r="Z1029" s="137"/>
      <c r="AA1029" s="137"/>
      <c r="AB1029" s="137"/>
      <c r="AC1029" s="137"/>
      <c r="AD1029" s="137"/>
      <c r="AE1029" s="137"/>
    </row>
    <row r="1030" spans="22:31" ht="12.75" customHeight="1" x14ac:dyDescent="0.2">
      <c r="V1030" s="137"/>
      <c r="W1030" s="137"/>
      <c r="X1030" s="137"/>
      <c r="Y1030" s="137"/>
      <c r="Z1030" s="137"/>
      <c r="AA1030" s="137"/>
      <c r="AB1030" s="137"/>
      <c r="AC1030" s="137"/>
      <c r="AD1030" s="137"/>
      <c r="AE1030" s="137"/>
    </row>
    <row r="1031" spans="22:31" ht="12.75" customHeight="1" x14ac:dyDescent="0.2">
      <c r="V1031" s="137"/>
      <c r="W1031" s="137"/>
      <c r="X1031" s="137"/>
      <c r="Y1031" s="137"/>
      <c r="Z1031" s="137"/>
      <c r="AA1031" s="137"/>
      <c r="AB1031" s="137"/>
      <c r="AC1031" s="137"/>
      <c r="AD1031" s="137"/>
      <c r="AE1031" s="137"/>
    </row>
    <row r="1032" spans="22:31" ht="12.75" customHeight="1" x14ac:dyDescent="0.2"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</row>
    <row r="1033" spans="22:31" ht="12.75" customHeight="1" x14ac:dyDescent="0.2">
      <c r="V1033" s="137"/>
      <c r="W1033" s="137"/>
      <c r="X1033" s="137"/>
      <c r="Y1033" s="137"/>
      <c r="Z1033" s="137"/>
      <c r="AA1033" s="137"/>
      <c r="AB1033" s="137"/>
      <c r="AC1033" s="137"/>
      <c r="AD1033" s="137"/>
      <c r="AE1033" s="137"/>
    </row>
    <row r="1034" spans="22:31" ht="12.75" customHeight="1" x14ac:dyDescent="0.2">
      <c r="V1034" s="137"/>
      <c r="W1034" s="137"/>
      <c r="X1034" s="137"/>
      <c r="Y1034" s="137"/>
      <c r="Z1034" s="137"/>
      <c r="AA1034" s="137"/>
      <c r="AB1034" s="137"/>
      <c r="AC1034" s="137"/>
      <c r="AD1034" s="137"/>
      <c r="AE1034" s="137"/>
    </row>
    <row r="1035" spans="22:31" ht="12.75" customHeight="1" x14ac:dyDescent="0.2">
      <c r="V1035" s="137"/>
      <c r="W1035" s="137"/>
      <c r="X1035" s="137"/>
      <c r="Y1035" s="137"/>
      <c r="Z1035" s="137"/>
      <c r="AA1035" s="137"/>
      <c r="AB1035" s="137"/>
      <c r="AC1035" s="137"/>
      <c r="AD1035" s="137"/>
      <c r="AE1035" s="137"/>
    </row>
    <row r="1036" spans="22:31" ht="12.75" customHeight="1" x14ac:dyDescent="0.2">
      <c r="V1036" s="137"/>
      <c r="W1036" s="137"/>
      <c r="X1036" s="137"/>
      <c r="Y1036" s="137"/>
      <c r="Z1036" s="137"/>
      <c r="AA1036" s="137"/>
      <c r="AB1036" s="137"/>
      <c r="AC1036" s="137"/>
      <c r="AD1036" s="137"/>
      <c r="AE1036" s="137"/>
    </row>
    <row r="1037" spans="22:31" ht="12.75" customHeight="1" x14ac:dyDescent="0.2">
      <c r="V1037" s="137"/>
      <c r="W1037" s="137"/>
      <c r="X1037" s="137"/>
      <c r="Y1037" s="137"/>
      <c r="Z1037" s="137"/>
      <c r="AA1037" s="137"/>
      <c r="AB1037" s="137"/>
      <c r="AC1037" s="137"/>
      <c r="AD1037" s="137"/>
      <c r="AE1037" s="137"/>
    </row>
    <row r="1038" spans="22:31" ht="12.75" customHeight="1" x14ac:dyDescent="0.2">
      <c r="V1038" s="137"/>
      <c r="W1038" s="137"/>
      <c r="X1038" s="137"/>
      <c r="Y1038" s="137"/>
      <c r="Z1038" s="137"/>
      <c r="AA1038" s="137"/>
      <c r="AB1038" s="137"/>
      <c r="AC1038" s="137"/>
      <c r="AD1038" s="137"/>
      <c r="AE1038" s="137"/>
    </row>
    <row r="1039" spans="22:31" ht="12.75" customHeight="1" x14ac:dyDescent="0.2">
      <c r="V1039" s="137"/>
      <c r="W1039" s="137"/>
      <c r="X1039" s="137"/>
      <c r="Y1039" s="137"/>
      <c r="Z1039" s="137"/>
      <c r="AA1039" s="137"/>
      <c r="AB1039" s="137"/>
      <c r="AC1039" s="137"/>
      <c r="AD1039" s="137"/>
      <c r="AE1039" s="137"/>
    </row>
    <row r="1040" spans="22:31" ht="12.75" customHeight="1" x14ac:dyDescent="0.2"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</row>
    <row r="1041" spans="22:31" ht="12.75" customHeight="1" x14ac:dyDescent="0.2">
      <c r="V1041" s="137"/>
      <c r="W1041" s="137"/>
      <c r="X1041" s="137"/>
      <c r="Y1041" s="137"/>
      <c r="Z1041" s="137"/>
      <c r="AA1041" s="137"/>
      <c r="AB1041" s="137"/>
      <c r="AC1041" s="137"/>
      <c r="AD1041" s="137"/>
      <c r="AE1041" s="137"/>
    </row>
    <row r="1042" spans="22:31" ht="12.75" customHeight="1" x14ac:dyDescent="0.2">
      <c r="V1042" s="137"/>
      <c r="W1042" s="137"/>
      <c r="X1042" s="137"/>
      <c r="Y1042" s="137"/>
      <c r="Z1042" s="137"/>
      <c r="AA1042" s="137"/>
      <c r="AB1042" s="137"/>
      <c r="AC1042" s="137"/>
      <c r="AD1042" s="137"/>
      <c r="AE1042" s="137"/>
    </row>
    <row r="1043" spans="22:31" ht="12.75" customHeight="1" x14ac:dyDescent="0.2">
      <c r="V1043" s="137"/>
      <c r="W1043" s="137"/>
      <c r="X1043" s="137"/>
      <c r="Y1043" s="137"/>
      <c r="Z1043" s="137"/>
      <c r="AA1043" s="137"/>
      <c r="AB1043" s="137"/>
      <c r="AC1043" s="137"/>
      <c r="AD1043" s="137"/>
      <c r="AE1043" s="137"/>
    </row>
    <row r="1044" spans="22:31" ht="12.75" customHeight="1" x14ac:dyDescent="0.2">
      <c r="V1044" s="137"/>
      <c r="W1044" s="137"/>
      <c r="X1044" s="137"/>
      <c r="Y1044" s="137"/>
      <c r="Z1044" s="137"/>
      <c r="AA1044" s="137"/>
      <c r="AB1044" s="137"/>
      <c r="AC1044" s="137"/>
      <c r="AD1044" s="137"/>
      <c r="AE1044" s="137"/>
    </row>
    <row r="1045" spans="22:31" ht="12.75" customHeight="1" x14ac:dyDescent="0.2">
      <c r="V1045" s="137"/>
      <c r="W1045" s="137"/>
      <c r="X1045" s="137"/>
      <c r="Y1045" s="137"/>
      <c r="Z1045" s="137"/>
      <c r="AA1045" s="137"/>
      <c r="AB1045" s="137"/>
      <c r="AC1045" s="137"/>
      <c r="AD1045" s="137"/>
      <c r="AE1045" s="137"/>
    </row>
    <row r="1046" spans="22:31" ht="12.75" customHeight="1" x14ac:dyDescent="0.2">
      <c r="V1046" s="137"/>
      <c r="W1046" s="137"/>
      <c r="X1046" s="137"/>
      <c r="Y1046" s="137"/>
      <c r="Z1046" s="137"/>
      <c r="AA1046" s="137"/>
      <c r="AB1046" s="137"/>
      <c r="AC1046" s="137"/>
      <c r="AD1046" s="137"/>
      <c r="AE1046" s="137"/>
    </row>
    <row r="1047" spans="22:31" ht="12.75" customHeight="1" x14ac:dyDescent="0.2">
      <c r="V1047" s="137"/>
      <c r="W1047" s="137"/>
      <c r="X1047" s="137"/>
      <c r="Y1047" s="137"/>
      <c r="Z1047" s="137"/>
      <c r="AA1047" s="137"/>
      <c r="AB1047" s="137"/>
      <c r="AC1047" s="137"/>
      <c r="AD1047" s="137"/>
      <c r="AE1047" s="137"/>
    </row>
    <row r="1048" spans="22:31" ht="12.75" customHeight="1" x14ac:dyDescent="0.2">
      <c r="V1048" s="137"/>
      <c r="W1048" s="137"/>
      <c r="X1048" s="137"/>
      <c r="Y1048" s="137"/>
      <c r="Z1048" s="137"/>
      <c r="AA1048" s="137"/>
      <c r="AB1048" s="137"/>
      <c r="AC1048" s="137"/>
      <c r="AD1048" s="137"/>
      <c r="AE1048" s="137"/>
    </row>
    <row r="1049" spans="22:31" ht="12.75" customHeight="1" x14ac:dyDescent="0.2">
      <c r="V1049" s="137"/>
      <c r="W1049" s="137"/>
      <c r="X1049" s="137"/>
      <c r="Y1049" s="137"/>
      <c r="Z1049" s="137"/>
      <c r="AA1049" s="137"/>
      <c r="AB1049" s="137"/>
      <c r="AC1049" s="137"/>
      <c r="AD1049" s="137"/>
      <c r="AE1049" s="137"/>
    </row>
    <row r="1050" spans="22:31" ht="12.75" customHeight="1" x14ac:dyDescent="0.2">
      <c r="V1050" s="137"/>
      <c r="W1050" s="137"/>
      <c r="X1050" s="137"/>
      <c r="Y1050" s="137"/>
      <c r="Z1050" s="137"/>
      <c r="AA1050" s="137"/>
      <c r="AB1050" s="137"/>
      <c r="AC1050" s="137"/>
      <c r="AD1050" s="137"/>
      <c r="AE1050" s="137"/>
    </row>
    <row r="1051" spans="22:31" ht="12.75" customHeight="1" x14ac:dyDescent="0.2">
      <c r="V1051" s="137"/>
      <c r="W1051" s="137"/>
      <c r="X1051" s="137"/>
      <c r="Y1051" s="137"/>
      <c r="Z1051" s="137"/>
      <c r="AA1051" s="137"/>
      <c r="AB1051" s="137"/>
      <c r="AC1051" s="137"/>
      <c r="AD1051" s="137"/>
      <c r="AE1051" s="137"/>
    </row>
    <row r="1052" spans="22:31" ht="12.75" customHeight="1" x14ac:dyDescent="0.2">
      <c r="V1052" s="137"/>
      <c r="W1052" s="137"/>
      <c r="X1052" s="137"/>
      <c r="Y1052" s="137"/>
      <c r="Z1052" s="137"/>
      <c r="AA1052" s="137"/>
      <c r="AB1052" s="137"/>
      <c r="AC1052" s="137"/>
      <c r="AD1052" s="137"/>
      <c r="AE1052" s="137"/>
    </row>
    <row r="1053" spans="22:31" ht="12.75" customHeight="1" x14ac:dyDescent="0.2">
      <c r="V1053" s="137"/>
      <c r="W1053" s="137"/>
      <c r="X1053" s="137"/>
      <c r="Y1053" s="137"/>
      <c r="Z1053" s="137"/>
      <c r="AA1053" s="137"/>
      <c r="AB1053" s="137"/>
      <c r="AC1053" s="137"/>
      <c r="AD1053" s="137"/>
      <c r="AE1053" s="137"/>
    </row>
    <row r="1054" spans="22:31" ht="12.75" customHeight="1" x14ac:dyDescent="0.2"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</row>
    <row r="1055" spans="22:31" ht="12.75" customHeight="1" x14ac:dyDescent="0.2">
      <c r="V1055" s="137"/>
      <c r="W1055" s="137"/>
      <c r="X1055" s="137"/>
      <c r="Y1055" s="137"/>
      <c r="Z1055" s="137"/>
      <c r="AA1055" s="137"/>
      <c r="AB1055" s="137"/>
      <c r="AC1055" s="137"/>
      <c r="AD1055" s="137"/>
      <c r="AE1055" s="137"/>
    </row>
    <row r="1056" spans="22:31" ht="12.75" customHeight="1" x14ac:dyDescent="0.2">
      <c r="V1056" s="137"/>
      <c r="W1056" s="137"/>
      <c r="X1056" s="137"/>
      <c r="Y1056" s="137"/>
      <c r="Z1056" s="137"/>
      <c r="AA1056" s="137"/>
      <c r="AB1056" s="137"/>
      <c r="AC1056" s="137"/>
      <c r="AD1056" s="137"/>
      <c r="AE1056" s="137"/>
    </row>
    <row r="1057" spans="22:31" ht="12.75" customHeight="1" x14ac:dyDescent="0.2">
      <c r="V1057" s="137"/>
      <c r="W1057" s="137"/>
      <c r="X1057" s="137"/>
      <c r="Y1057" s="137"/>
      <c r="Z1057" s="137"/>
      <c r="AA1057" s="137"/>
      <c r="AB1057" s="137"/>
      <c r="AC1057" s="137"/>
      <c r="AD1057" s="137"/>
      <c r="AE1057" s="137"/>
    </row>
    <row r="1058" spans="22:31" ht="12.75" customHeight="1" x14ac:dyDescent="0.2">
      <c r="V1058" s="137"/>
      <c r="W1058" s="137"/>
      <c r="X1058" s="137"/>
      <c r="Y1058" s="137"/>
      <c r="Z1058" s="137"/>
      <c r="AA1058" s="137"/>
      <c r="AB1058" s="137"/>
      <c r="AC1058" s="137"/>
      <c r="AD1058" s="137"/>
      <c r="AE1058" s="137"/>
    </row>
    <row r="1059" spans="22:31" ht="12.75" customHeight="1" x14ac:dyDescent="0.2">
      <c r="V1059" s="137"/>
      <c r="W1059" s="137"/>
      <c r="X1059" s="137"/>
      <c r="Y1059" s="137"/>
      <c r="Z1059" s="137"/>
      <c r="AA1059" s="137"/>
      <c r="AB1059" s="137"/>
      <c r="AC1059" s="137"/>
      <c r="AD1059" s="137"/>
      <c r="AE1059" s="137"/>
    </row>
    <row r="1060" spans="22:31" ht="12.75" customHeight="1" x14ac:dyDescent="0.2">
      <c r="V1060" s="137"/>
      <c r="W1060" s="137"/>
      <c r="X1060" s="137"/>
      <c r="Y1060" s="137"/>
      <c r="Z1060" s="137"/>
      <c r="AA1060" s="137"/>
      <c r="AB1060" s="137"/>
      <c r="AC1060" s="137"/>
      <c r="AD1060" s="137"/>
      <c r="AE1060" s="137"/>
    </row>
    <row r="1061" spans="22:31" ht="12.75" customHeight="1" x14ac:dyDescent="0.2">
      <c r="V1061" s="137"/>
      <c r="W1061" s="137"/>
      <c r="X1061" s="137"/>
      <c r="Y1061" s="137"/>
      <c r="Z1061" s="137"/>
      <c r="AA1061" s="137"/>
      <c r="AB1061" s="137"/>
      <c r="AC1061" s="137"/>
      <c r="AD1061" s="137"/>
      <c r="AE1061" s="137"/>
    </row>
    <row r="1062" spans="22:31" ht="12.75" customHeight="1" x14ac:dyDescent="0.2">
      <c r="V1062" s="137"/>
      <c r="W1062" s="137"/>
      <c r="X1062" s="137"/>
      <c r="Y1062" s="137"/>
      <c r="Z1062" s="137"/>
      <c r="AA1062" s="137"/>
      <c r="AB1062" s="137"/>
      <c r="AC1062" s="137"/>
      <c r="AD1062" s="137"/>
      <c r="AE1062" s="137"/>
    </row>
    <row r="1063" spans="22:31" ht="12.75" customHeight="1" x14ac:dyDescent="0.2"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</row>
    <row r="1064" spans="22:31" ht="12.75" customHeight="1" x14ac:dyDescent="0.2">
      <c r="V1064" s="137"/>
      <c r="W1064" s="137"/>
      <c r="X1064" s="137"/>
      <c r="Y1064" s="137"/>
      <c r="Z1064" s="137"/>
      <c r="AA1064" s="137"/>
      <c r="AB1064" s="137"/>
      <c r="AC1064" s="137"/>
      <c r="AD1064" s="137"/>
      <c r="AE1064" s="137"/>
    </row>
    <row r="1065" spans="22:31" ht="12.75" customHeight="1" x14ac:dyDescent="0.2">
      <c r="V1065" s="137"/>
      <c r="W1065" s="137"/>
      <c r="X1065" s="137"/>
      <c r="Y1065" s="137"/>
      <c r="Z1065" s="137"/>
      <c r="AA1065" s="137"/>
      <c r="AB1065" s="137"/>
      <c r="AC1065" s="137"/>
      <c r="AD1065" s="137"/>
      <c r="AE1065" s="137"/>
    </row>
    <row r="1066" spans="22:31" ht="12.75" customHeight="1" x14ac:dyDescent="0.2">
      <c r="V1066" s="137"/>
      <c r="W1066" s="137"/>
      <c r="X1066" s="137"/>
      <c r="Y1066" s="137"/>
      <c r="Z1066" s="137"/>
      <c r="AA1066" s="137"/>
      <c r="AB1066" s="137"/>
      <c r="AC1066" s="137"/>
      <c r="AD1066" s="137"/>
      <c r="AE1066" s="137"/>
    </row>
    <row r="1067" spans="22:31" ht="12.75" customHeight="1" x14ac:dyDescent="0.2">
      <c r="V1067" s="137"/>
      <c r="W1067" s="137"/>
      <c r="X1067" s="137"/>
      <c r="Y1067" s="137"/>
      <c r="Z1067" s="137"/>
      <c r="AA1067" s="137"/>
      <c r="AB1067" s="137"/>
      <c r="AC1067" s="137"/>
      <c r="AD1067" s="137"/>
      <c r="AE1067" s="137"/>
    </row>
    <row r="1068" spans="22:31" ht="12.75" customHeight="1" x14ac:dyDescent="0.2">
      <c r="V1068" s="137"/>
      <c r="W1068" s="137"/>
      <c r="X1068" s="137"/>
      <c r="Y1068" s="137"/>
      <c r="Z1068" s="137"/>
      <c r="AA1068" s="137"/>
      <c r="AB1068" s="137"/>
      <c r="AC1068" s="137"/>
      <c r="AD1068" s="137"/>
      <c r="AE1068" s="137"/>
    </row>
    <row r="1069" spans="22:31" ht="12.75" customHeight="1" x14ac:dyDescent="0.2">
      <c r="V1069" s="137"/>
      <c r="W1069" s="137"/>
      <c r="X1069" s="137"/>
      <c r="Y1069" s="137"/>
      <c r="Z1069" s="137"/>
      <c r="AA1069" s="137"/>
      <c r="AB1069" s="137"/>
      <c r="AC1069" s="137"/>
      <c r="AD1069" s="137"/>
      <c r="AE1069" s="137"/>
    </row>
    <row r="1070" spans="22:31" ht="12.75" customHeight="1" x14ac:dyDescent="0.2">
      <c r="V1070" s="137"/>
      <c r="W1070" s="137"/>
      <c r="X1070" s="137"/>
      <c r="Y1070" s="137"/>
      <c r="Z1070" s="137"/>
      <c r="AA1070" s="137"/>
      <c r="AB1070" s="137"/>
      <c r="AC1070" s="137"/>
      <c r="AD1070" s="137"/>
      <c r="AE1070" s="137"/>
    </row>
    <row r="1071" spans="22:31" ht="12.75" customHeight="1" x14ac:dyDescent="0.2">
      <c r="V1071" s="137"/>
      <c r="W1071" s="137"/>
      <c r="X1071" s="137"/>
      <c r="Y1071" s="137"/>
      <c r="Z1071" s="137"/>
      <c r="AA1071" s="137"/>
      <c r="AB1071" s="137"/>
      <c r="AC1071" s="137"/>
      <c r="AD1071" s="137"/>
      <c r="AE1071" s="137"/>
    </row>
    <row r="1072" spans="22:31" ht="12.75" customHeight="1" x14ac:dyDescent="0.2"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</row>
    <row r="1073" spans="22:31" ht="12.75" customHeight="1" x14ac:dyDescent="0.2">
      <c r="V1073" s="137"/>
      <c r="W1073" s="137"/>
      <c r="X1073" s="137"/>
      <c r="Y1073" s="137"/>
      <c r="Z1073" s="137"/>
      <c r="AA1073" s="137"/>
      <c r="AB1073" s="137"/>
      <c r="AC1073" s="137"/>
      <c r="AD1073" s="137"/>
      <c r="AE1073" s="137"/>
    </row>
    <row r="1074" spans="22:31" ht="12.75" customHeight="1" x14ac:dyDescent="0.2">
      <c r="V1074" s="137"/>
      <c r="W1074" s="137"/>
      <c r="X1074" s="137"/>
      <c r="Y1074" s="137"/>
      <c r="Z1074" s="137"/>
      <c r="AA1074" s="137"/>
      <c r="AB1074" s="137"/>
      <c r="AC1074" s="137"/>
      <c r="AD1074" s="137"/>
      <c r="AE1074" s="137"/>
    </row>
    <row r="1075" spans="22:31" ht="12.75" customHeight="1" x14ac:dyDescent="0.2">
      <c r="V1075" s="137"/>
      <c r="W1075" s="137"/>
      <c r="X1075" s="137"/>
      <c r="Y1075" s="137"/>
      <c r="Z1075" s="137"/>
      <c r="AA1075" s="137"/>
      <c r="AB1075" s="137"/>
      <c r="AC1075" s="137"/>
      <c r="AD1075" s="137"/>
      <c r="AE1075" s="137"/>
    </row>
    <row r="1076" spans="22:31" ht="12.75" customHeight="1" x14ac:dyDescent="0.2">
      <c r="V1076" s="137"/>
      <c r="W1076" s="137"/>
      <c r="X1076" s="137"/>
      <c r="Y1076" s="137"/>
      <c r="Z1076" s="137"/>
      <c r="AA1076" s="137"/>
      <c r="AB1076" s="137"/>
      <c r="AC1076" s="137"/>
      <c r="AD1076" s="137"/>
      <c r="AE1076" s="137"/>
    </row>
    <row r="1077" spans="22:31" ht="12.75" customHeight="1" x14ac:dyDescent="0.2">
      <c r="V1077" s="137"/>
      <c r="W1077" s="137"/>
      <c r="X1077" s="137"/>
      <c r="Y1077" s="137"/>
      <c r="Z1077" s="137"/>
      <c r="AA1077" s="137"/>
      <c r="AB1077" s="137"/>
      <c r="AC1077" s="137"/>
      <c r="AD1077" s="137"/>
      <c r="AE1077" s="137"/>
    </row>
    <row r="1078" spans="22:31" ht="12.75" customHeight="1" x14ac:dyDescent="0.2">
      <c r="V1078" s="137"/>
      <c r="W1078" s="137"/>
      <c r="X1078" s="137"/>
      <c r="Y1078" s="137"/>
      <c r="Z1078" s="137"/>
      <c r="AA1078" s="137"/>
      <c r="AB1078" s="137"/>
      <c r="AC1078" s="137"/>
      <c r="AD1078" s="137"/>
      <c r="AE1078" s="137"/>
    </row>
    <row r="1079" spans="22:31" ht="12.75" customHeight="1" x14ac:dyDescent="0.2">
      <c r="V1079" s="137"/>
      <c r="W1079" s="137"/>
      <c r="X1079" s="137"/>
      <c r="Y1079" s="137"/>
      <c r="Z1079" s="137"/>
      <c r="AA1079" s="137"/>
      <c r="AB1079" s="137"/>
      <c r="AC1079" s="137"/>
      <c r="AD1079" s="137"/>
      <c r="AE1079" s="137"/>
    </row>
    <row r="1080" spans="22:31" ht="12.75" customHeight="1" x14ac:dyDescent="0.2"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</row>
    <row r="1081" spans="22:31" ht="12.75" customHeight="1" x14ac:dyDescent="0.2">
      <c r="V1081" s="137"/>
      <c r="W1081" s="137"/>
      <c r="X1081" s="137"/>
      <c r="Y1081" s="137"/>
      <c r="Z1081" s="137"/>
      <c r="AA1081" s="137"/>
      <c r="AB1081" s="137"/>
      <c r="AC1081" s="137"/>
      <c r="AD1081" s="137"/>
      <c r="AE1081" s="137"/>
    </row>
    <row r="1082" spans="22:31" ht="12.75" customHeight="1" x14ac:dyDescent="0.2"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</row>
    <row r="1083" spans="22:31" ht="12.75" customHeight="1" x14ac:dyDescent="0.2">
      <c r="V1083" s="137"/>
      <c r="W1083" s="137"/>
      <c r="X1083" s="137"/>
      <c r="Y1083" s="137"/>
      <c r="Z1083" s="137"/>
      <c r="AA1083" s="137"/>
      <c r="AB1083" s="137"/>
      <c r="AC1083" s="137"/>
      <c r="AD1083" s="137"/>
      <c r="AE1083" s="137"/>
    </row>
    <row r="1084" spans="22:31" ht="12.75" customHeight="1" x14ac:dyDescent="0.2">
      <c r="V1084" s="137"/>
      <c r="W1084" s="137"/>
      <c r="X1084" s="137"/>
      <c r="Y1084" s="137"/>
      <c r="Z1084" s="137"/>
      <c r="AA1084" s="137"/>
      <c r="AB1084" s="137"/>
      <c r="AC1084" s="137"/>
      <c r="AD1084" s="137"/>
      <c r="AE1084" s="137"/>
    </row>
    <row r="1085" spans="22:31" ht="12.75" customHeight="1" x14ac:dyDescent="0.2">
      <c r="V1085" s="137"/>
      <c r="W1085" s="137"/>
      <c r="X1085" s="137"/>
      <c r="Y1085" s="137"/>
      <c r="Z1085" s="137"/>
      <c r="AA1085" s="137"/>
      <c r="AB1085" s="137"/>
      <c r="AC1085" s="137"/>
      <c r="AD1085" s="137"/>
      <c r="AE1085" s="137"/>
    </row>
    <row r="1086" spans="22:31" ht="12.75" customHeight="1" x14ac:dyDescent="0.2">
      <c r="V1086" s="137"/>
      <c r="W1086" s="137"/>
      <c r="X1086" s="137"/>
      <c r="Y1086" s="137"/>
      <c r="Z1086" s="137"/>
      <c r="AA1086" s="137"/>
      <c r="AB1086" s="137"/>
      <c r="AC1086" s="137"/>
      <c r="AD1086" s="137"/>
      <c r="AE1086" s="137"/>
    </row>
    <row r="1087" spans="22:31" ht="12.75" customHeight="1" x14ac:dyDescent="0.2">
      <c r="V1087" s="137"/>
      <c r="W1087" s="137"/>
      <c r="X1087" s="137"/>
      <c r="Y1087" s="137"/>
      <c r="Z1087" s="137"/>
      <c r="AA1087" s="137"/>
      <c r="AB1087" s="137"/>
      <c r="AC1087" s="137"/>
      <c r="AD1087" s="137"/>
      <c r="AE1087" s="137"/>
    </row>
    <row r="1088" spans="22:31" ht="12.75" customHeight="1" x14ac:dyDescent="0.2">
      <c r="V1088" s="137"/>
      <c r="W1088" s="137"/>
      <c r="X1088" s="137"/>
      <c r="Y1088" s="137"/>
      <c r="Z1088" s="137"/>
      <c r="AA1088" s="137"/>
      <c r="AB1088" s="137"/>
      <c r="AC1088" s="137"/>
      <c r="AD1088" s="137"/>
      <c r="AE1088" s="137"/>
    </row>
    <row r="1089" spans="22:31" ht="12.75" customHeight="1" x14ac:dyDescent="0.2">
      <c r="V1089" s="137"/>
      <c r="W1089" s="137"/>
      <c r="X1089" s="137"/>
      <c r="Y1089" s="137"/>
      <c r="Z1089" s="137"/>
      <c r="AA1089" s="137"/>
      <c r="AB1089" s="137"/>
      <c r="AC1089" s="137"/>
      <c r="AD1089" s="137"/>
      <c r="AE1089" s="137"/>
    </row>
    <row r="1090" spans="22:31" ht="12.75" customHeight="1" x14ac:dyDescent="0.2">
      <c r="V1090" s="137"/>
      <c r="W1090" s="137"/>
      <c r="X1090" s="137"/>
      <c r="Y1090" s="137"/>
      <c r="Z1090" s="137"/>
      <c r="AA1090" s="137"/>
      <c r="AB1090" s="137"/>
      <c r="AC1090" s="137"/>
      <c r="AD1090" s="137"/>
      <c r="AE1090" s="137"/>
    </row>
    <row r="1091" spans="22:31" ht="12.75" customHeight="1" x14ac:dyDescent="0.2">
      <c r="V1091" s="137"/>
      <c r="W1091" s="137"/>
      <c r="X1091" s="137"/>
      <c r="Y1091" s="137"/>
      <c r="Z1091" s="137"/>
      <c r="AA1091" s="137"/>
      <c r="AB1091" s="137"/>
      <c r="AC1091" s="137"/>
      <c r="AD1091" s="137"/>
      <c r="AE1091" s="137"/>
    </row>
    <row r="1092" spans="22:31" ht="12.75" customHeight="1" x14ac:dyDescent="0.2">
      <c r="V1092" s="137"/>
      <c r="W1092" s="137"/>
      <c r="X1092" s="137"/>
      <c r="Y1092" s="137"/>
      <c r="Z1092" s="137"/>
      <c r="AA1092" s="137"/>
      <c r="AB1092" s="137"/>
      <c r="AC1092" s="137"/>
      <c r="AD1092" s="137"/>
      <c r="AE1092" s="137"/>
    </row>
    <row r="1093" spans="22:31" ht="12.75" customHeight="1" x14ac:dyDescent="0.2">
      <c r="V1093" s="137"/>
      <c r="W1093" s="137"/>
      <c r="X1093" s="137"/>
      <c r="Y1093" s="137"/>
      <c r="Z1093" s="137"/>
      <c r="AA1093" s="137"/>
      <c r="AB1093" s="137"/>
      <c r="AC1093" s="137"/>
      <c r="AD1093" s="137"/>
      <c r="AE1093" s="137"/>
    </row>
    <row r="1094" spans="22:31" ht="12.75" customHeight="1" x14ac:dyDescent="0.2">
      <c r="V1094" s="137"/>
      <c r="W1094" s="137"/>
      <c r="X1094" s="137"/>
      <c r="Y1094" s="137"/>
      <c r="Z1094" s="137"/>
      <c r="AA1094" s="137"/>
      <c r="AB1094" s="137"/>
      <c r="AC1094" s="137"/>
      <c r="AD1094" s="137"/>
      <c r="AE1094" s="137"/>
    </row>
    <row r="1095" spans="22:31" ht="12.75" customHeight="1" x14ac:dyDescent="0.2">
      <c r="V1095" s="137"/>
      <c r="W1095" s="137"/>
      <c r="X1095" s="137"/>
      <c r="Y1095" s="137"/>
      <c r="Z1095" s="137"/>
      <c r="AA1095" s="137"/>
      <c r="AB1095" s="137"/>
      <c r="AC1095" s="137"/>
      <c r="AD1095" s="137"/>
      <c r="AE1095" s="137"/>
    </row>
    <row r="1096" spans="22:31" ht="12.75" customHeight="1" x14ac:dyDescent="0.2">
      <c r="V1096" s="137"/>
      <c r="W1096" s="137"/>
      <c r="X1096" s="137"/>
      <c r="Y1096" s="137"/>
      <c r="Z1096" s="137"/>
      <c r="AA1096" s="137"/>
      <c r="AB1096" s="137"/>
      <c r="AC1096" s="137"/>
      <c r="AD1096" s="137"/>
      <c r="AE1096" s="137"/>
    </row>
    <row r="1097" spans="22:31" ht="12.75" customHeight="1" x14ac:dyDescent="0.2">
      <c r="V1097" s="137"/>
      <c r="W1097" s="137"/>
      <c r="X1097" s="137"/>
      <c r="Y1097" s="137"/>
      <c r="Z1097" s="137"/>
      <c r="AA1097" s="137"/>
      <c r="AB1097" s="137"/>
      <c r="AC1097" s="137"/>
      <c r="AD1097" s="137"/>
      <c r="AE1097" s="137"/>
    </row>
    <row r="1098" spans="22:31" ht="12.75" customHeight="1" x14ac:dyDescent="0.2">
      <c r="V1098" s="137"/>
      <c r="W1098" s="137"/>
      <c r="X1098" s="137"/>
      <c r="Y1098" s="137"/>
      <c r="Z1098" s="137"/>
      <c r="AA1098" s="137"/>
      <c r="AB1098" s="137"/>
      <c r="AC1098" s="137"/>
      <c r="AD1098" s="137"/>
      <c r="AE1098" s="137"/>
    </row>
    <row r="1099" spans="22:31" ht="12.75" customHeight="1" x14ac:dyDescent="0.2">
      <c r="V1099" s="137"/>
      <c r="W1099" s="137"/>
      <c r="X1099" s="137"/>
      <c r="Y1099" s="137"/>
      <c r="Z1099" s="137"/>
      <c r="AA1099" s="137"/>
      <c r="AB1099" s="137"/>
      <c r="AC1099" s="137"/>
      <c r="AD1099" s="137"/>
      <c r="AE1099" s="137"/>
    </row>
    <row r="1100" spans="22:31" ht="12.75" customHeight="1" x14ac:dyDescent="0.2">
      <c r="V1100" s="137"/>
      <c r="W1100" s="137"/>
      <c r="X1100" s="137"/>
      <c r="Y1100" s="137"/>
      <c r="Z1100" s="137"/>
      <c r="AA1100" s="137"/>
      <c r="AB1100" s="137"/>
      <c r="AC1100" s="137"/>
      <c r="AD1100" s="137"/>
      <c r="AE1100" s="137"/>
    </row>
    <row r="1101" spans="22:31" ht="12.75" customHeight="1" x14ac:dyDescent="0.2">
      <c r="V1101" s="137"/>
      <c r="W1101" s="137"/>
      <c r="X1101" s="137"/>
      <c r="Y1101" s="137"/>
      <c r="Z1101" s="137"/>
      <c r="AA1101" s="137"/>
      <c r="AB1101" s="137"/>
      <c r="AC1101" s="137"/>
      <c r="AD1101" s="137"/>
      <c r="AE1101" s="137"/>
    </row>
    <row r="1102" spans="22:31" ht="12.75" customHeight="1" x14ac:dyDescent="0.2">
      <c r="V1102" s="137"/>
      <c r="W1102" s="137"/>
      <c r="X1102" s="137"/>
      <c r="Y1102" s="137"/>
      <c r="Z1102" s="137"/>
      <c r="AA1102" s="137"/>
      <c r="AB1102" s="137"/>
      <c r="AC1102" s="137"/>
      <c r="AD1102" s="137"/>
      <c r="AE1102" s="137"/>
    </row>
    <row r="1103" spans="22:31" ht="12.75" customHeight="1" x14ac:dyDescent="0.2">
      <c r="V1103" s="137"/>
      <c r="W1103" s="137"/>
      <c r="X1103" s="137"/>
      <c r="Y1103" s="137"/>
      <c r="Z1103" s="137"/>
      <c r="AA1103" s="137"/>
      <c r="AB1103" s="137"/>
      <c r="AC1103" s="137"/>
      <c r="AD1103" s="137"/>
      <c r="AE1103" s="137"/>
    </row>
    <row r="1104" spans="22:31" ht="12.75" customHeight="1" x14ac:dyDescent="0.2">
      <c r="V1104" s="137"/>
      <c r="W1104" s="137"/>
      <c r="X1104" s="137"/>
      <c r="Y1104" s="137"/>
      <c r="Z1104" s="137"/>
      <c r="AA1104" s="137"/>
      <c r="AB1104" s="137"/>
      <c r="AC1104" s="137"/>
      <c r="AD1104" s="137"/>
      <c r="AE1104" s="137"/>
    </row>
    <row r="1105" spans="22:31" ht="12.75" customHeight="1" x14ac:dyDescent="0.2">
      <c r="V1105" s="137"/>
      <c r="W1105" s="137"/>
      <c r="X1105" s="137"/>
      <c r="Y1105" s="137"/>
      <c r="Z1105" s="137"/>
      <c r="AA1105" s="137"/>
      <c r="AB1105" s="137"/>
      <c r="AC1105" s="137"/>
      <c r="AD1105" s="137"/>
      <c r="AE1105" s="137"/>
    </row>
    <row r="1106" spans="22:31" ht="12.75" customHeight="1" x14ac:dyDescent="0.2">
      <c r="V1106" s="137"/>
      <c r="W1106" s="137"/>
      <c r="X1106" s="137"/>
      <c r="Y1106" s="137"/>
      <c r="Z1106" s="137"/>
      <c r="AA1106" s="137"/>
      <c r="AB1106" s="137"/>
      <c r="AC1106" s="137"/>
      <c r="AD1106" s="137"/>
      <c r="AE1106" s="137"/>
    </row>
    <row r="1107" spans="22:31" ht="12.75" customHeight="1" x14ac:dyDescent="0.2">
      <c r="V1107" s="137"/>
      <c r="W1107" s="137"/>
      <c r="X1107" s="137"/>
      <c r="Y1107" s="137"/>
      <c r="Z1107" s="137"/>
      <c r="AA1107" s="137"/>
      <c r="AB1107" s="137"/>
      <c r="AC1107" s="137"/>
      <c r="AD1107" s="137"/>
      <c r="AE1107" s="137"/>
    </row>
    <row r="1108" spans="22:31" ht="12.75" customHeight="1" x14ac:dyDescent="0.2">
      <c r="V1108" s="137"/>
      <c r="W1108" s="137"/>
      <c r="X1108" s="137"/>
      <c r="Y1108" s="137"/>
      <c r="Z1108" s="137"/>
      <c r="AA1108" s="137"/>
      <c r="AB1108" s="137"/>
      <c r="AC1108" s="137"/>
      <c r="AD1108" s="137"/>
      <c r="AE1108" s="137"/>
    </row>
    <row r="1109" spans="22:31" ht="12.75" customHeight="1" x14ac:dyDescent="0.2">
      <c r="V1109" s="137"/>
      <c r="W1109" s="137"/>
      <c r="X1109" s="137"/>
      <c r="Y1109" s="137"/>
      <c r="Z1109" s="137"/>
      <c r="AA1109" s="137"/>
      <c r="AB1109" s="137"/>
      <c r="AC1109" s="137"/>
      <c r="AD1109" s="137"/>
      <c r="AE1109" s="137"/>
    </row>
    <row r="1110" spans="22:31" ht="12.75" customHeight="1" x14ac:dyDescent="0.2">
      <c r="V1110" s="137"/>
      <c r="W1110" s="137"/>
      <c r="X1110" s="137"/>
      <c r="Y1110" s="137"/>
      <c r="Z1110" s="137"/>
      <c r="AA1110" s="137"/>
      <c r="AB1110" s="137"/>
      <c r="AC1110" s="137"/>
      <c r="AD1110" s="137"/>
      <c r="AE1110" s="137"/>
    </row>
    <row r="1111" spans="22:31" ht="12.75" customHeight="1" x14ac:dyDescent="0.2">
      <c r="V1111" s="137"/>
      <c r="W1111" s="137"/>
      <c r="X1111" s="137"/>
      <c r="Y1111" s="137"/>
      <c r="Z1111" s="137"/>
      <c r="AA1111" s="137"/>
      <c r="AB1111" s="137"/>
      <c r="AC1111" s="137"/>
      <c r="AD1111" s="137"/>
      <c r="AE1111" s="137"/>
    </row>
    <row r="1112" spans="22:31" ht="12.75" customHeight="1" x14ac:dyDescent="0.2">
      <c r="V1112" s="137"/>
      <c r="W1112" s="137"/>
      <c r="X1112" s="137"/>
      <c r="Y1112" s="137"/>
      <c r="Z1112" s="137"/>
      <c r="AA1112" s="137"/>
      <c r="AB1112" s="137"/>
      <c r="AC1112" s="137"/>
      <c r="AD1112" s="137"/>
      <c r="AE1112" s="137"/>
    </row>
    <row r="1113" spans="22:31" ht="12.75" customHeight="1" x14ac:dyDescent="0.2">
      <c r="V1113" s="137"/>
      <c r="W1113" s="137"/>
      <c r="X1113" s="137"/>
      <c r="Y1113" s="137"/>
      <c r="Z1113" s="137"/>
      <c r="AA1113" s="137"/>
      <c r="AB1113" s="137"/>
      <c r="AC1113" s="137"/>
      <c r="AD1113" s="137"/>
      <c r="AE1113" s="137"/>
    </row>
    <row r="1114" spans="22:31" ht="12.75" customHeight="1" x14ac:dyDescent="0.2">
      <c r="V1114" s="137"/>
      <c r="W1114" s="137"/>
      <c r="X1114" s="137"/>
      <c r="Y1114" s="137"/>
      <c r="Z1114" s="137"/>
      <c r="AA1114" s="137"/>
      <c r="AB1114" s="137"/>
      <c r="AC1114" s="137"/>
      <c r="AD1114" s="137"/>
      <c r="AE1114" s="137"/>
    </row>
    <row r="1115" spans="22:31" ht="12.75" customHeight="1" x14ac:dyDescent="0.2">
      <c r="V1115" s="137"/>
      <c r="W1115" s="137"/>
      <c r="X1115" s="137"/>
      <c r="Y1115" s="137"/>
      <c r="Z1115" s="137"/>
      <c r="AA1115" s="137"/>
      <c r="AB1115" s="137"/>
      <c r="AC1115" s="137"/>
      <c r="AD1115" s="137"/>
      <c r="AE1115" s="137"/>
    </row>
    <row r="1116" spans="22:31" ht="12.75" customHeight="1" x14ac:dyDescent="0.2">
      <c r="V1116" s="137"/>
      <c r="W1116" s="137"/>
      <c r="X1116" s="137"/>
      <c r="Y1116" s="137"/>
      <c r="Z1116" s="137"/>
      <c r="AA1116" s="137"/>
      <c r="AB1116" s="137"/>
      <c r="AC1116" s="137"/>
      <c r="AD1116" s="137"/>
      <c r="AE1116" s="137"/>
    </row>
    <row r="1117" spans="22:31" ht="12.75" customHeight="1" x14ac:dyDescent="0.2">
      <c r="V1117" s="137"/>
      <c r="W1117" s="137"/>
      <c r="X1117" s="137"/>
      <c r="Y1117" s="137"/>
      <c r="Z1117" s="137"/>
      <c r="AA1117" s="137"/>
      <c r="AB1117" s="137"/>
      <c r="AC1117" s="137"/>
      <c r="AD1117" s="137"/>
      <c r="AE1117" s="137"/>
    </row>
    <row r="1118" spans="22:31" ht="12.75" customHeight="1" x14ac:dyDescent="0.2">
      <c r="V1118" s="137"/>
      <c r="W1118" s="137"/>
      <c r="X1118" s="137"/>
      <c r="Y1118" s="137"/>
      <c r="Z1118" s="137"/>
      <c r="AA1118" s="137"/>
      <c r="AB1118" s="137"/>
      <c r="AC1118" s="137"/>
      <c r="AD1118" s="137"/>
      <c r="AE1118" s="137"/>
    </row>
    <row r="1119" spans="22:31" ht="12.75" customHeight="1" x14ac:dyDescent="0.2">
      <c r="V1119" s="137"/>
      <c r="W1119" s="137"/>
      <c r="X1119" s="137"/>
      <c r="Y1119" s="137"/>
      <c r="Z1119" s="137"/>
      <c r="AA1119" s="137"/>
      <c r="AB1119" s="137"/>
      <c r="AC1119" s="137"/>
      <c r="AD1119" s="137"/>
      <c r="AE1119" s="137"/>
    </row>
    <row r="1120" spans="22:31" ht="12.75" customHeight="1" x14ac:dyDescent="0.2">
      <c r="V1120" s="137"/>
      <c r="W1120" s="137"/>
      <c r="X1120" s="137"/>
      <c r="Y1120" s="137"/>
      <c r="Z1120" s="137"/>
      <c r="AA1120" s="137"/>
      <c r="AB1120" s="137"/>
      <c r="AC1120" s="137"/>
      <c r="AD1120" s="137"/>
      <c r="AE1120" s="137"/>
    </row>
    <row r="1121" spans="22:31" ht="12.75" customHeight="1" x14ac:dyDescent="0.2">
      <c r="V1121" s="137"/>
      <c r="W1121" s="137"/>
      <c r="X1121" s="137"/>
      <c r="Y1121" s="137"/>
      <c r="Z1121" s="137"/>
      <c r="AA1121" s="137"/>
      <c r="AB1121" s="137"/>
      <c r="AC1121" s="137"/>
      <c r="AD1121" s="137"/>
      <c r="AE1121" s="137"/>
    </row>
    <row r="1122" spans="22:31" ht="12.75" customHeight="1" x14ac:dyDescent="0.2">
      <c r="V1122" s="137"/>
      <c r="W1122" s="137"/>
      <c r="X1122" s="137"/>
      <c r="Y1122" s="137"/>
      <c r="Z1122" s="137"/>
      <c r="AA1122" s="137"/>
      <c r="AB1122" s="137"/>
      <c r="AC1122" s="137"/>
      <c r="AD1122" s="137"/>
      <c r="AE1122" s="137"/>
    </row>
    <row r="1123" spans="22:31" ht="12.75" customHeight="1" x14ac:dyDescent="0.2">
      <c r="V1123" s="137"/>
      <c r="W1123" s="137"/>
      <c r="X1123" s="137"/>
      <c r="Y1123" s="137"/>
      <c r="Z1123" s="137"/>
      <c r="AA1123" s="137"/>
      <c r="AB1123" s="137"/>
      <c r="AC1123" s="137"/>
      <c r="AD1123" s="137"/>
      <c r="AE1123" s="137"/>
    </row>
    <row r="1124" spans="22:31" ht="12.75" customHeight="1" x14ac:dyDescent="0.2">
      <c r="V1124" s="137"/>
      <c r="W1124" s="137"/>
      <c r="X1124" s="137"/>
      <c r="Y1124" s="137"/>
      <c r="Z1124" s="137"/>
      <c r="AA1124" s="137"/>
      <c r="AB1124" s="137"/>
      <c r="AC1124" s="137"/>
      <c r="AD1124" s="137"/>
      <c r="AE1124" s="137"/>
    </row>
    <row r="1125" spans="22:31" ht="12.75" customHeight="1" x14ac:dyDescent="0.2">
      <c r="V1125" s="137"/>
      <c r="W1125" s="137"/>
      <c r="X1125" s="137"/>
      <c r="Y1125" s="137"/>
      <c r="Z1125" s="137"/>
      <c r="AA1125" s="137"/>
      <c r="AB1125" s="137"/>
      <c r="AC1125" s="137"/>
      <c r="AD1125" s="137"/>
      <c r="AE1125" s="137"/>
    </row>
    <row r="1126" spans="22:31" ht="12.75" customHeight="1" x14ac:dyDescent="0.2">
      <c r="V1126" s="137"/>
      <c r="W1126" s="137"/>
      <c r="X1126" s="137"/>
      <c r="Y1126" s="137"/>
      <c r="Z1126" s="137"/>
      <c r="AA1126" s="137"/>
      <c r="AB1126" s="137"/>
      <c r="AC1126" s="137"/>
      <c r="AD1126" s="137"/>
      <c r="AE1126" s="137"/>
    </row>
    <row r="1127" spans="22:31" ht="12.75" customHeight="1" x14ac:dyDescent="0.2">
      <c r="V1127" s="137"/>
      <c r="W1127" s="137"/>
      <c r="X1127" s="137"/>
      <c r="Y1127" s="137"/>
      <c r="Z1127" s="137"/>
      <c r="AA1127" s="137"/>
      <c r="AB1127" s="137"/>
      <c r="AC1127" s="137"/>
      <c r="AD1127" s="137"/>
      <c r="AE1127" s="137"/>
    </row>
    <row r="1128" spans="22:31" ht="12.75" customHeight="1" x14ac:dyDescent="0.2">
      <c r="V1128" s="137"/>
      <c r="W1128" s="137"/>
      <c r="X1128" s="137"/>
      <c r="Y1128" s="137"/>
      <c r="Z1128" s="137"/>
      <c r="AA1128" s="137"/>
      <c r="AB1128" s="137"/>
      <c r="AC1128" s="137"/>
      <c r="AD1128" s="137"/>
      <c r="AE1128" s="137"/>
    </row>
    <row r="1129" spans="22:31" ht="12.75" customHeight="1" x14ac:dyDescent="0.2">
      <c r="V1129" s="137"/>
      <c r="W1129" s="137"/>
      <c r="X1129" s="137"/>
      <c r="Y1129" s="137"/>
      <c r="Z1129" s="137"/>
      <c r="AA1129" s="137"/>
      <c r="AB1129" s="137"/>
      <c r="AC1129" s="137"/>
      <c r="AD1129" s="137"/>
      <c r="AE1129" s="137"/>
    </row>
    <row r="1130" spans="22:31" ht="12.75" customHeight="1" x14ac:dyDescent="0.2">
      <c r="V1130" s="137"/>
      <c r="W1130" s="137"/>
      <c r="X1130" s="137"/>
      <c r="Y1130" s="137"/>
      <c r="Z1130" s="137"/>
      <c r="AA1130" s="137"/>
      <c r="AB1130" s="137"/>
      <c r="AC1130" s="137"/>
      <c r="AD1130" s="137"/>
      <c r="AE1130" s="137"/>
    </row>
    <row r="1131" spans="22:31" ht="12.75" customHeight="1" x14ac:dyDescent="0.2">
      <c r="V1131" s="137"/>
      <c r="W1131" s="137"/>
      <c r="X1131" s="137"/>
      <c r="Y1131" s="137"/>
      <c r="Z1131" s="137"/>
      <c r="AA1131" s="137"/>
      <c r="AB1131" s="137"/>
      <c r="AC1131" s="137"/>
      <c r="AD1131" s="137"/>
      <c r="AE1131" s="137"/>
    </row>
    <row r="1132" spans="22:31" ht="12.75" customHeight="1" x14ac:dyDescent="0.2">
      <c r="V1132" s="137"/>
      <c r="W1132" s="137"/>
      <c r="X1132" s="137"/>
      <c r="Y1132" s="137"/>
      <c r="Z1132" s="137"/>
      <c r="AA1132" s="137"/>
      <c r="AB1132" s="137"/>
      <c r="AC1132" s="137"/>
      <c r="AD1132" s="137"/>
      <c r="AE1132" s="137"/>
    </row>
    <row r="1133" spans="22:31" ht="12.75" customHeight="1" x14ac:dyDescent="0.2">
      <c r="V1133" s="137"/>
      <c r="W1133" s="137"/>
      <c r="X1133" s="137"/>
      <c r="Y1133" s="137"/>
      <c r="Z1133" s="137"/>
      <c r="AA1133" s="137"/>
      <c r="AB1133" s="137"/>
      <c r="AC1133" s="137"/>
      <c r="AD1133" s="137"/>
      <c r="AE1133" s="137"/>
    </row>
    <row r="1134" spans="22:31" ht="12.75" customHeight="1" x14ac:dyDescent="0.2">
      <c r="V1134" s="137"/>
      <c r="W1134" s="137"/>
      <c r="X1134" s="137"/>
      <c r="Y1134" s="137"/>
      <c r="Z1134" s="137"/>
      <c r="AA1134" s="137"/>
      <c r="AB1134" s="137"/>
      <c r="AC1134" s="137"/>
      <c r="AD1134" s="137"/>
      <c r="AE1134" s="137"/>
    </row>
    <row r="1135" spans="22:31" ht="12.75" customHeight="1" x14ac:dyDescent="0.2">
      <c r="V1135" s="137"/>
      <c r="W1135" s="137"/>
      <c r="X1135" s="137"/>
      <c r="Y1135" s="137"/>
      <c r="Z1135" s="137"/>
      <c r="AA1135" s="137"/>
      <c r="AB1135" s="137"/>
      <c r="AC1135" s="137"/>
      <c r="AD1135" s="137"/>
      <c r="AE1135" s="137"/>
    </row>
    <row r="1136" spans="22:31" ht="12.75" customHeight="1" x14ac:dyDescent="0.2">
      <c r="V1136" s="137"/>
      <c r="W1136" s="137"/>
      <c r="X1136" s="137"/>
      <c r="Y1136" s="137"/>
      <c r="Z1136" s="137"/>
      <c r="AA1136" s="137"/>
      <c r="AB1136" s="137"/>
      <c r="AC1136" s="137"/>
      <c r="AD1136" s="137"/>
      <c r="AE1136" s="137"/>
    </row>
    <row r="1137" spans="22:31" ht="12.75" customHeight="1" x14ac:dyDescent="0.2">
      <c r="V1137" s="137"/>
      <c r="W1137" s="137"/>
      <c r="X1137" s="137"/>
      <c r="Y1137" s="137"/>
      <c r="Z1137" s="137"/>
      <c r="AA1137" s="137"/>
      <c r="AB1137" s="137"/>
      <c r="AC1137" s="137"/>
      <c r="AD1137" s="137"/>
      <c r="AE1137" s="137"/>
    </row>
    <row r="1138" spans="22:31" ht="12.75" customHeight="1" x14ac:dyDescent="0.2">
      <c r="V1138" s="137"/>
      <c r="W1138" s="137"/>
      <c r="X1138" s="137"/>
      <c r="Y1138" s="137"/>
      <c r="Z1138" s="137"/>
      <c r="AA1138" s="137"/>
      <c r="AB1138" s="137"/>
      <c r="AC1138" s="137"/>
      <c r="AD1138" s="137"/>
      <c r="AE1138" s="137"/>
    </row>
    <row r="1139" spans="22:31" ht="12.75" customHeight="1" x14ac:dyDescent="0.2">
      <c r="V1139" s="137"/>
      <c r="W1139" s="137"/>
      <c r="X1139" s="137"/>
      <c r="Y1139" s="137"/>
      <c r="Z1139" s="137"/>
      <c r="AA1139" s="137"/>
      <c r="AB1139" s="137"/>
      <c r="AC1139" s="137"/>
      <c r="AD1139" s="137"/>
      <c r="AE1139" s="137"/>
    </row>
    <row r="1140" spans="22:31" ht="12.75" customHeight="1" x14ac:dyDescent="0.2">
      <c r="V1140" s="137"/>
      <c r="W1140" s="137"/>
      <c r="X1140" s="137"/>
      <c r="Y1140" s="137"/>
      <c r="Z1140" s="137"/>
      <c r="AA1140" s="137"/>
      <c r="AB1140" s="137"/>
      <c r="AC1140" s="137"/>
      <c r="AD1140" s="137"/>
      <c r="AE1140" s="137"/>
    </row>
    <row r="1141" spans="22:31" ht="12.75" customHeight="1" x14ac:dyDescent="0.2">
      <c r="V1141" s="137"/>
      <c r="W1141" s="137"/>
      <c r="X1141" s="137"/>
      <c r="Y1141" s="137"/>
      <c r="Z1141" s="137"/>
      <c r="AA1141" s="137"/>
      <c r="AB1141" s="137"/>
      <c r="AC1141" s="137"/>
      <c r="AD1141" s="137"/>
      <c r="AE1141" s="137"/>
    </row>
    <row r="1142" spans="22:31" ht="12.75" customHeight="1" x14ac:dyDescent="0.2">
      <c r="V1142" s="137"/>
      <c r="W1142" s="137"/>
      <c r="X1142" s="137"/>
      <c r="Y1142" s="137"/>
      <c r="Z1142" s="137"/>
      <c r="AA1142" s="137"/>
      <c r="AB1142" s="137"/>
      <c r="AC1142" s="137"/>
      <c r="AD1142" s="137"/>
      <c r="AE1142" s="137"/>
    </row>
    <row r="1143" spans="22:31" ht="12.75" customHeight="1" x14ac:dyDescent="0.2">
      <c r="V1143" s="137"/>
      <c r="W1143" s="137"/>
      <c r="X1143" s="137"/>
      <c r="Y1143" s="137"/>
      <c r="Z1143" s="137"/>
      <c r="AA1143" s="137"/>
      <c r="AB1143" s="137"/>
      <c r="AC1143" s="137"/>
      <c r="AD1143" s="137"/>
      <c r="AE1143" s="137"/>
    </row>
    <row r="1144" spans="22:31" ht="12.75" customHeight="1" x14ac:dyDescent="0.2">
      <c r="V1144" s="137"/>
      <c r="W1144" s="137"/>
      <c r="X1144" s="137"/>
      <c r="Y1144" s="137"/>
      <c r="Z1144" s="137"/>
      <c r="AA1144" s="137"/>
      <c r="AB1144" s="137"/>
      <c r="AC1144" s="137"/>
      <c r="AD1144" s="137"/>
      <c r="AE1144" s="137"/>
    </row>
    <row r="1145" spans="22:31" ht="12.75" customHeight="1" x14ac:dyDescent="0.2">
      <c r="V1145" s="137"/>
      <c r="W1145" s="137"/>
      <c r="X1145" s="137"/>
      <c r="Y1145" s="137"/>
      <c r="Z1145" s="137"/>
      <c r="AA1145" s="137"/>
      <c r="AB1145" s="137"/>
      <c r="AC1145" s="137"/>
      <c r="AD1145" s="137"/>
      <c r="AE1145" s="137"/>
    </row>
    <row r="1146" spans="22:31" ht="12.75" customHeight="1" x14ac:dyDescent="0.2">
      <c r="V1146" s="137"/>
      <c r="W1146" s="137"/>
      <c r="X1146" s="137"/>
      <c r="Y1146" s="137"/>
      <c r="Z1146" s="137"/>
      <c r="AA1146" s="137"/>
      <c r="AB1146" s="137"/>
      <c r="AC1146" s="137"/>
      <c r="AD1146" s="137"/>
      <c r="AE1146" s="137"/>
    </row>
    <row r="1147" spans="22:31" ht="12.75" customHeight="1" x14ac:dyDescent="0.2">
      <c r="V1147" s="137"/>
      <c r="W1147" s="137"/>
      <c r="X1147" s="137"/>
      <c r="Y1147" s="137"/>
      <c r="Z1147" s="137"/>
      <c r="AA1147" s="137"/>
      <c r="AB1147" s="137"/>
      <c r="AC1147" s="137"/>
      <c r="AD1147" s="137"/>
      <c r="AE1147" s="137"/>
    </row>
    <row r="1148" spans="22:31" ht="12.75" customHeight="1" x14ac:dyDescent="0.2">
      <c r="V1148" s="137"/>
      <c r="W1148" s="137"/>
      <c r="X1148" s="137"/>
      <c r="Y1148" s="137"/>
      <c r="Z1148" s="137"/>
      <c r="AA1148" s="137"/>
      <c r="AB1148" s="137"/>
      <c r="AC1148" s="137"/>
      <c r="AD1148" s="137"/>
      <c r="AE1148" s="137"/>
    </row>
    <row r="1149" spans="22:31" ht="12.75" customHeight="1" x14ac:dyDescent="0.2"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</row>
    <row r="1150" spans="22:31" ht="12.75" customHeight="1" x14ac:dyDescent="0.2">
      <c r="V1150" s="137"/>
      <c r="W1150" s="137"/>
      <c r="X1150" s="137"/>
      <c r="Y1150" s="137"/>
      <c r="Z1150" s="137"/>
      <c r="AA1150" s="137"/>
      <c r="AB1150" s="137"/>
      <c r="AC1150" s="137"/>
      <c r="AD1150" s="137"/>
      <c r="AE1150" s="137"/>
    </row>
    <row r="1151" spans="22:31" ht="12.75" customHeight="1" x14ac:dyDescent="0.2">
      <c r="V1151" s="137"/>
      <c r="W1151" s="137"/>
      <c r="X1151" s="137"/>
      <c r="Y1151" s="137"/>
      <c r="Z1151" s="137"/>
      <c r="AA1151" s="137"/>
      <c r="AB1151" s="137"/>
      <c r="AC1151" s="137"/>
      <c r="AD1151" s="137"/>
      <c r="AE1151" s="137"/>
    </row>
    <row r="1152" spans="22:31" ht="12.75" customHeight="1" x14ac:dyDescent="0.2">
      <c r="V1152" s="137"/>
      <c r="W1152" s="137"/>
      <c r="X1152" s="137"/>
      <c r="Y1152" s="137"/>
      <c r="Z1152" s="137"/>
      <c r="AA1152" s="137"/>
      <c r="AB1152" s="137"/>
      <c r="AC1152" s="137"/>
      <c r="AD1152" s="137"/>
      <c r="AE1152" s="137"/>
    </row>
    <row r="1153" spans="22:31" ht="12.75" customHeight="1" x14ac:dyDescent="0.2">
      <c r="V1153" s="137"/>
      <c r="W1153" s="137"/>
      <c r="X1153" s="137"/>
      <c r="Y1153" s="137"/>
      <c r="Z1153" s="137"/>
      <c r="AA1153" s="137"/>
      <c r="AB1153" s="137"/>
      <c r="AC1153" s="137"/>
      <c r="AD1153" s="137"/>
      <c r="AE1153" s="137"/>
    </row>
    <row r="1154" spans="22:31" ht="12.75" customHeight="1" x14ac:dyDescent="0.2">
      <c r="V1154" s="137"/>
      <c r="W1154" s="137"/>
      <c r="X1154" s="137"/>
      <c r="Y1154" s="137"/>
      <c r="Z1154" s="137"/>
      <c r="AA1154" s="137"/>
      <c r="AB1154" s="137"/>
      <c r="AC1154" s="137"/>
      <c r="AD1154" s="137"/>
      <c r="AE1154" s="137"/>
    </row>
    <row r="1155" spans="22:31" ht="12.75" customHeight="1" x14ac:dyDescent="0.2">
      <c r="V1155" s="137"/>
      <c r="W1155" s="137"/>
      <c r="X1155" s="137"/>
      <c r="Y1155" s="137"/>
      <c r="Z1155" s="137"/>
      <c r="AA1155" s="137"/>
      <c r="AB1155" s="137"/>
      <c r="AC1155" s="137"/>
      <c r="AD1155" s="137"/>
      <c r="AE1155" s="137"/>
    </row>
    <row r="1156" spans="22:31" ht="12.75" customHeight="1" x14ac:dyDescent="0.2">
      <c r="V1156" s="137"/>
      <c r="W1156" s="137"/>
      <c r="X1156" s="137"/>
      <c r="Y1156" s="137"/>
      <c r="Z1156" s="137"/>
      <c r="AA1156" s="137"/>
      <c r="AB1156" s="137"/>
      <c r="AC1156" s="137"/>
      <c r="AD1156" s="137"/>
      <c r="AE1156" s="137"/>
    </row>
    <row r="1157" spans="22:31" ht="12.75" customHeight="1" x14ac:dyDescent="0.2">
      <c r="V1157" s="137"/>
      <c r="W1157" s="137"/>
      <c r="X1157" s="137"/>
      <c r="Y1157" s="137"/>
      <c r="Z1157" s="137"/>
      <c r="AA1157" s="137"/>
      <c r="AB1157" s="137"/>
      <c r="AC1157" s="137"/>
      <c r="AD1157" s="137"/>
      <c r="AE1157" s="137"/>
    </row>
    <row r="1158" spans="22:31" ht="12.75" customHeight="1" x14ac:dyDescent="0.2">
      <c r="V1158" s="137"/>
      <c r="W1158" s="137"/>
      <c r="X1158" s="137"/>
      <c r="Y1158" s="137"/>
      <c r="Z1158" s="137"/>
      <c r="AA1158" s="137"/>
      <c r="AB1158" s="137"/>
      <c r="AC1158" s="137"/>
      <c r="AD1158" s="137"/>
      <c r="AE1158" s="137"/>
    </row>
    <row r="1159" spans="22:31" ht="12.75" customHeight="1" x14ac:dyDescent="0.2">
      <c r="V1159" s="137"/>
      <c r="W1159" s="137"/>
      <c r="X1159" s="137"/>
      <c r="Y1159" s="137"/>
      <c r="Z1159" s="137"/>
      <c r="AA1159" s="137"/>
      <c r="AB1159" s="137"/>
      <c r="AC1159" s="137"/>
      <c r="AD1159" s="137"/>
      <c r="AE1159" s="137"/>
    </row>
    <row r="1160" spans="22:31" ht="12.75" customHeight="1" x14ac:dyDescent="0.2">
      <c r="V1160" s="137"/>
      <c r="W1160" s="137"/>
      <c r="X1160" s="137"/>
      <c r="Y1160" s="137"/>
      <c r="Z1160" s="137"/>
      <c r="AA1160" s="137"/>
      <c r="AB1160" s="137"/>
      <c r="AC1160" s="137"/>
      <c r="AD1160" s="137"/>
      <c r="AE1160" s="137"/>
    </row>
    <row r="1161" spans="22:31" ht="12.75" customHeight="1" x14ac:dyDescent="0.2">
      <c r="V1161" s="137"/>
      <c r="W1161" s="137"/>
      <c r="X1161" s="137"/>
      <c r="Y1161" s="137"/>
      <c r="Z1161" s="137"/>
      <c r="AA1161" s="137"/>
      <c r="AB1161" s="137"/>
      <c r="AC1161" s="137"/>
      <c r="AD1161" s="137"/>
      <c r="AE1161" s="137"/>
    </row>
    <row r="1162" spans="22:31" ht="12.75" customHeight="1" x14ac:dyDescent="0.2">
      <c r="V1162" s="137"/>
      <c r="W1162" s="137"/>
      <c r="X1162" s="137"/>
      <c r="Y1162" s="137"/>
      <c r="Z1162" s="137"/>
      <c r="AA1162" s="137"/>
      <c r="AB1162" s="137"/>
      <c r="AC1162" s="137"/>
      <c r="AD1162" s="137"/>
      <c r="AE1162" s="137"/>
    </row>
    <row r="1163" spans="22:31" ht="12.75" customHeight="1" x14ac:dyDescent="0.2">
      <c r="V1163" s="137"/>
      <c r="W1163" s="137"/>
      <c r="X1163" s="137"/>
      <c r="Y1163" s="137"/>
      <c r="Z1163" s="137"/>
      <c r="AA1163" s="137"/>
      <c r="AB1163" s="137"/>
      <c r="AC1163" s="137"/>
      <c r="AD1163" s="137"/>
      <c r="AE1163" s="137"/>
    </row>
    <row r="1164" spans="22:31" ht="12.75" customHeight="1" x14ac:dyDescent="0.2">
      <c r="V1164" s="137"/>
      <c r="W1164" s="137"/>
      <c r="X1164" s="137"/>
      <c r="Y1164" s="137"/>
      <c r="Z1164" s="137"/>
      <c r="AA1164" s="137"/>
      <c r="AB1164" s="137"/>
      <c r="AC1164" s="137"/>
      <c r="AD1164" s="137"/>
      <c r="AE1164" s="137"/>
    </row>
    <row r="1165" spans="22:31" ht="12.75" customHeight="1" x14ac:dyDescent="0.2">
      <c r="V1165" s="137"/>
      <c r="W1165" s="137"/>
      <c r="X1165" s="137"/>
      <c r="Y1165" s="137"/>
      <c r="Z1165" s="137"/>
      <c r="AA1165" s="137"/>
      <c r="AB1165" s="137"/>
      <c r="AC1165" s="137"/>
      <c r="AD1165" s="137"/>
      <c r="AE1165" s="137"/>
    </row>
    <row r="1166" spans="22:31" ht="12.75" customHeight="1" x14ac:dyDescent="0.2">
      <c r="V1166" s="137"/>
      <c r="W1166" s="137"/>
      <c r="X1166" s="137"/>
      <c r="Y1166" s="137"/>
      <c r="Z1166" s="137"/>
      <c r="AA1166" s="137"/>
      <c r="AB1166" s="137"/>
      <c r="AC1166" s="137"/>
      <c r="AD1166" s="137"/>
      <c r="AE1166" s="137"/>
    </row>
    <row r="1167" spans="22:31" ht="12.75" customHeight="1" x14ac:dyDescent="0.2">
      <c r="V1167" s="137"/>
      <c r="W1167" s="137"/>
      <c r="X1167" s="137"/>
      <c r="Y1167" s="137"/>
      <c r="Z1167" s="137"/>
      <c r="AA1167" s="137"/>
      <c r="AB1167" s="137"/>
      <c r="AC1167" s="137"/>
      <c r="AD1167" s="137"/>
      <c r="AE1167" s="137"/>
    </row>
    <row r="1168" spans="22:31" ht="12.75" customHeight="1" x14ac:dyDescent="0.2">
      <c r="V1168" s="137"/>
      <c r="W1168" s="137"/>
      <c r="X1168" s="137"/>
      <c r="Y1168" s="137"/>
      <c r="Z1168" s="137"/>
      <c r="AA1168" s="137"/>
      <c r="AB1168" s="137"/>
      <c r="AC1168" s="137"/>
      <c r="AD1168" s="137"/>
      <c r="AE1168" s="137"/>
    </row>
    <row r="1169" spans="22:31" ht="12.75" customHeight="1" x14ac:dyDescent="0.2">
      <c r="V1169" s="137"/>
      <c r="W1169" s="137"/>
      <c r="X1169" s="137"/>
      <c r="Y1169" s="137"/>
      <c r="Z1169" s="137"/>
      <c r="AA1169" s="137"/>
      <c r="AB1169" s="137"/>
      <c r="AC1169" s="137"/>
      <c r="AD1169" s="137"/>
      <c r="AE1169" s="137"/>
    </row>
    <row r="1170" spans="22:31" ht="12.75" customHeight="1" x14ac:dyDescent="0.2">
      <c r="V1170" s="137"/>
      <c r="W1170" s="137"/>
      <c r="X1170" s="137"/>
      <c r="Y1170" s="137"/>
      <c r="Z1170" s="137"/>
      <c r="AA1170" s="137"/>
      <c r="AB1170" s="137"/>
      <c r="AC1170" s="137"/>
      <c r="AD1170" s="137"/>
      <c r="AE1170" s="137"/>
    </row>
    <row r="1171" spans="22:31" ht="12.75" customHeight="1" x14ac:dyDescent="0.2">
      <c r="V1171" s="137"/>
      <c r="W1171" s="137"/>
      <c r="X1171" s="137"/>
      <c r="Y1171" s="137"/>
      <c r="Z1171" s="137"/>
      <c r="AA1171" s="137"/>
      <c r="AB1171" s="137"/>
      <c r="AC1171" s="137"/>
      <c r="AD1171" s="137"/>
      <c r="AE1171" s="137"/>
    </row>
    <row r="1172" spans="22:31" ht="12.75" customHeight="1" x14ac:dyDescent="0.2">
      <c r="V1172" s="137"/>
      <c r="W1172" s="137"/>
      <c r="X1172" s="137"/>
      <c r="Y1172" s="137"/>
      <c r="Z1172" s="137"/>
      <c r="AA1172" s="137"/>
      <c r="AB1172" s="137"/>
      <c r="AC1172" s="137"/>
      <c r="AD1172" s="137"/>
      <c r="AE1172" s="137"/>
    </row>
    <row r="1173" spans="22:31" ht="12.75" customHeight="1" x14ac:dyDescent="0.2">
      <c r="V1173" s="137"/>
      <c r="W1173" s="137"/>
      <c r="X1173" s="137"/>
      <c r="Y1173" s="137"/>
      <c r="Z1173" s="137"/>
      <c r="AA1173" s="137"/>
      <c r="AB1173" s="137"/>
      <c r="AC1173" s="137"/>
      <c r="AD1173" s="137"/>
      <c r="AE1173" s="137"/>
    </row>
    <row r="1174" spans="22:31" ht="12.75" customHeight="1" x14ac:dyDescent="0.2">
      <c r="V1174" s="137"/>
      <c r="W1174" s="137"/>
      <c r="X1174" s="137"/>
      <c r="Y1174" s="137"/>
      <c r="Z1174" s="137"/>
      <c r="AA1174" s="137"/>
      <c r="AB1174" s="137"/>
      <c r="AC1174" s="137"/>
      <c r="AD1174" s="137"/>
      <c r="AE1174" s="137"/>
    </row>
    <row r="1175" spans="22:31" ht="12.75" customHeight="1" x14ac:dyDescent="0.2">
      <c r="V1175" s="137"/>
      <c r="W1175" s="137"/>
      <c r="X1175" s="137"/>
      <c r="Y1175" s="137"/>
      <c r="Z1175" s="137"/>
      <c r="AA1175" s="137"/>
      <c r="AB1175" s="137"/>
      <c r="AC1175" s="137"/>
      <c r="AD1175" s="137"/>
      <c r="AE1175" s="137"/>
    </row>
  </sheetData>
  <mergeCells count="29">
    <mergeCell ref="A148:AI148"/>
    <mergeCell ref="A149:AI149"/>
    <mergeCell ref="A150:AI150"/>
    <mergeCell ref="A151:AI151"/>
    <mergeCell ref="A153:AI153"/>
    <mergeCell ref="A115:G115"/>
    <mergeCell ref="A118:G118"/>
    <mergeCell ref="A137:G137"/>
    <mergeCell ref="A142:G142"/>
    <mergeCell ref="A145:G145"/>
    <mergeCell ref="A147:AI147"/>
    <mergeCell ref="E42:G42"/>
    <mergeCell ref="E45:F45"/>
    <mergeCell ref="C53:G53"/>
    <mergeCell ref="E58:F58"/>
    <mergeCell ref="C81:F81"/>
    <mergeCell ref="E86:G86"/>
    <mergeCell ref="E16:G16"/>
    <mergeCell ref="E17:G17"/>
    <mergeCell ref="E19:G19"/>
    <mergeCell ref="E20:G20"/>
    <mergeCell ref="C24:G24"/>
    <mergeCell ref="C27:G27"/>
    <mergeCell ref="H3:U3"/>
    <mergeCell ref="V3:AI3"/>
    <mergeCell ref="E8:G8"/>
    <mergeCell ref="E10:G10"/>
    <mergeCell ref="C13:G13"/>
    <mergeCell ref="E15:G15"/>
  </mergeCells>
  <pageMargins left="0.70866141732283472" right="0.70866141732283472" top="0.74803149606299213" bottom="0.74803149606299213" header="0.31496062992125984" footer="0.31496062992125984"/>
  <pageSetup scale="44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27"/>
  <sheetViews>
    <sheetView view="pageBreakPreview" topLeftCell="D46" zoomScaleNormal="100" zoomScaleSheetLayoutView="100" workbookViewId="0">
      <selection activeCell="R16" sqref="R16"/>
    </sheetView>
  </sheetViews>
  <sheetFormatPr defaultRowHeight="12.75" x14ac:dyDescent="0.2"/>
  <cols>
    <col min="1" max="1" width="2.85546875" style="359" customWidth="1"/>
    <col min="2" max="2" width="3.28515625" style="359" customWidth="1"/>
    <col min="3" max="3" width="69.28515625" style="358" customWidth="1"/>
    <col min="4" max="4" width="6" style="359" customWidth="1"/>
    <col min="5" max="9" width="13.5703125" style="359" customWidth="1"/>
    <col min="10" max="14" width="13.5703125" style="359" hidden="1" customWidth="1"/>
    <col min="15" max="15" width="12.7109375" style="359" customWidth="1"/>
    <col min="16" max="17" width="11.28515625" style="359" customWidth="1"/>
    <col min="18" max="18" width="12.7109375" style="359" customWidth="1"/>
    <col min="19" max="19" width="13.140625" style="359" customWidth="1"/>
    <col min="20" max="22" width="11.28515625" style="359" hidden="1" customWidth="1"/>
    <col min="23" max="24" width="12.7109375" style="359" hidden="1" customWidth="1"/>
    <col min="25" max="27" width="11.28515625" style="359" hidden="1" customWidth="1"/>
    <col min="28" max="28" width="12.7109375" style="359" hidden="1" customWidth="1"/>
    <col min="29" max="29" width="11.28515625" style="359" hidden="1" customWidth="1"/>
    <col min="30" max="30" width="12.28515625" style="359" hidden="1" customWidth="1"/>
    <col min="31" max="31" width="12.7109375" style="359" hidden="1" customWidth="1"/>
    <col min="32" max="32" width="11.28515625" style="359" hidden="1" customWidth="1"/>
    <col min="33" max="33" width="12.7109375" style="359" hidden="1" customWidth="1"/>
    <col min="34" max="34" width="10.85546875" style="359" hidden="1" customWidth="1"/>
    <col min="35" max="35" width="11.28515625" style="359" hidden="1" customWidth="1"/>
    <col min="36" max="36" width="13.5703125" style="359" hidden="1" customWidth="1"/>
    <col min="37" max="37" width="11.28515625" style="359" hidden="1" customWidth="1"/>
    <col min="38" max="38" width="13.28515625" style="359" hidden="1" customWidth="1"/>
    <col min="39" max="42" width="11.28515625" style="359" hidden="1" customWidth="1"/>
    <col min="43" max="43" width="12.7109375" style="359" hidden="1" customWidth="1"/>
    <col min="44" max="47" width="11.28515625" style="359" hidden="1" customWidth="1"/>
    <col min="48" max="48" width="12.7109375" style="359" hidden="1" customWidth="1"/>
    <col min="49" max="52" width="11.28515625" style="359" hidden="1" customWidth="1"/>
    <col min="53" max="53" width="12.7109375" style="359" hidden="1" customWidth="1"/>
    <col min="54" max="57" width="11.28515625" style="359" hidden="1" customWidth="1"/>
    <col min="58" max="58" width="12.7109375" style="359" hidden="1" customWidth="1"/>
    <col min="59" max="62" width="11.28515625" style="359" hidden="1" customWidth="1"/>
    <col min="63" max="63" width="13.140625" style="359" hidden="1" customWidth="1"/>
    <col min="64" max="64" width="11.28515625" style="359" hidden="1" customWidth="1"/>
    <col min="65" max="66" width="12.85546875" style="359" hidden="1" customWidth="1"/>
    <col min="67" max="67" width="12" style="359" hidden="1" customWidth="1"/>
    <col min="68" max="68" width="13.140625" style="359" hidden="1" customWidth="1"/>
    <col min="69" max="69" width="12.85546875" style="359" hidden="1" customWidth="1"/>
    <col min="70" max="70" width="12.7109375" style="359" customWidth="1"/>
    <col min="71" max="71" width="13.140625" style="359" customWidth="1"/>
    <col min="72" max="72" width="11.28515625" style="359" customWidth="1"/>
    <col min="73" max="73" width="12.7109375" style="359" customWidth="1"/>
    <col min="74" max="74" width="12.140625" style="359" customWidth="1"/>
    <col min="75" max="75" width="3.28515625" style="359" customWidth="1"/>
    <col min="76" max="76" width="7.85546875" style="359" customWidth="1"/>
    <col min="77" max="77" width="3.28515625" style="359" customWidth="1"/>
    <col min="78" max="78" width="9.85546875" style="359" bestFit="1" customWidth="1"/>
    <col min="79" max="79" width="9.5703125" style="359" bestFit="1" customWidth="1"/>
    <col min="80" max="256" width="9.140625" style="359"/>
    <col min="257" max="257" width="2.85546875" style="359" customWidth="1"/>
    <col min="258" max="258" width="3.28515625" style="359" customWidth="1"/>
    <col min="259" max="259" width="69.28515625" style="359" customWidth="1"/>
    <col min="260" max="260" width="6" style="359" customWidth="1"/>
    <col min="261" max="265" width="13.5703125" style="359" customWidth="1"/>
    <col min="266" max="270" width="0" style="359" hidden="1" customWidth="1"/>
    <col min="271" max="271" width="12.7109375" style="359" customWidth="1"/>
    <col min="272" max="273" width="11.28515625" style="359" customWidth="1"/>
    <col min="274" max="274" width="12.7109375" style="359" customWidth="1"/>
    <col min="275" max="275" width="13.140625" style="359" customWidth="1"/>
    <col min="276" max="325" width="0" style="359" hidden="1" customWidth="1"/>
    <col min="326" max="326" width="12.7109375" style="359" customWidth="1"/>
    <col min="327" max="327" width="13.140625" style="359" customWidth="1"/>
    <col min="328" max="328" width="11.28515625" style="359" customWidth="1"/>
    <col min="329" max="329" width="12.7109375" style="359" customWidth="1"/>
    <col min="330" max="330" width="12.140625" style="359" customWidth="1"/>
    <col min="331" max="331" width="3.28515625" style="359" customWidth="1"/>
    <col min="332" max="332" width="0" style="359" hidden="1" customWidth="1"/>
    <col min="333" max="333" width="3.28515625" style="359" customWidth="1"/>
    <col min="334" max="334" width="9.85546875" style="359" bestFit="1" customWidth="1"/>
    <col min="335" max="335" width="9.5703125" style="359" bestFit="1" customWidth="1"/>
    <col min="336" max="512" width="9.140625" style="359"/>
    <col min="513" max="513" width="2.85546875" style="359" customWidth="1"/>
    <col min="514" max="514" width="3.28515625" style="359" customWidth="1"/>
    <col min="515" max="515" width="69.28515625" style="359" customWidth="1"/>
    <col min="516" max="516" width="6" style="359" customWidth="1"/>
    <col min="517" max="521" width="13.5703125" style="359" customWidth="1"/>
    <col min="522" max="526" width="0" style="359" hidden="1" customWidth="1"/>
    <col min="527" max="527" width="12.7109375" style="359" customWidth="1"/>
    <col min="528" max="529" width="11.28515625" style="359" customWidth="1"/>
    <col min="530" max="530" width="12.7109375" style="359" customWidth="1"/>
    <col min="531" max="531" width="13.140625" style="359" customWidth="1"/>
    <col min="532" max="581" width="0" style="359" hidden="1" customWidth="1"/>
    <col min="582" max="582" width="12.7109375" style="359" customWidth="1"/>
    <col min="583" max="583" width="13.140625" style="359" customWidth="1"/>
    <col min="584" max="584" width="11.28515625" style="359" customWidth="1"/>
    <col min="585" max="585" width="12.7109375" style="359" customWidth="1"/>
    <col min="586" max="586" width="12.140625" style="359" customWidth="1"/>
    <col min="587" max="587" width="3.28515625" style="359" customWidth="1"/>
    <col min="588" max="588" width="0" style="359" hidden="1" customWidth="1"/>
    <col min="589" max="589" width="3.28515625" style="359" customWidth="1"/>
    <col min="590" max="590" width="9.85546875" style="359" bestFit="1" customWidth="1"/>
    <col min="591" max="591" width="9.5703125" style="359" bestFit="1" customWidth="1"/>
    <col min="592" max="768" width="9.140625" style="359"/>
    <col min="769" max="769" width="2.85546875" style="359" customWidth="1"/>
    <col min="770" max="770" width="3.28515625" style="359" customWidth="1"/>
    <col min="771" max="771" width="69.28515625" style="359" customWidth="1"/>
    <col min="772" max="772" width="6" style="359" customWidth="1"/>
    <col min="773" max="777" width="13.5703125" style="359" customWidth="1"/>
    <col min="778" max="782" width="0" style="359" hidden="1" customWidth="1"/>
    <col min="783" max="783" width="12.7109375" style="359" customWidth="1"/>
    <col min="784" max="785" width="11.28515625" style="359" customWidth="1"/>
    <col min="786" max="786" width="12.7109375" style="359" customWidth="1"/>
    <col min="787" max="787" width="13.140625" style="359" customWidth="1"/>
    <col min="788" max="837" width="0" style="359" hidden="1" customWidth="1"/>
    <col min="838" max="838" width="12.7109375" style="359" customWidth="1"/>
    <col min="839" max="839" width="13.140625" style="359" customWidth="1"/>
    <col min="840" max="840" width="11.28515625" style="359" customWidth="1"/>
    <col min="841" max="841" width="12.7109375" style="359" customWidth="1"/>
    <col min="842" max="842" width="12.140625" style="359" customWidth="1"/>
    <col min="843" max="843" width="3.28515625" style="359" customWidth="1"/>
    <col min="844" max="844" width="0" style="359" hidden="1" customWidth="1"/>
    <col min="845" max="845" width="3.28515625" style="359" customWidth="1"/>
    <col min="846" max="846" width="9.85546875" style="359" bestFit="1" customWidth="1"/>
    <col min="847" max="847" width="9.5703125" style="359" bestFit="1" customWidth="1"/>
    <col min="848" max="1024" width="9.140625" style="359"/>
    <col min="1025" max="1025" width="2.85546875" style="359" customWidth="1"/>
    <col min="1026" max="1026" width="3.28515625" style="359" customWidth="1"/>
    <col min="1027" max="1027" width="69.28515625" style="359" customWidth="1"/>
    <col min="1028" max="1028" width="6" style="359" customWidth="1"/>
    <col min="1029" max="1033" width="13.5703125" style="359" customWidth="1"/>
    <col min="1034" max="1038" width="0" style="359" hidden="1" customWidth="1"/>
    <col min="1039" max="1039" width="12.7109375" style="359" customWidth="1"/>
    <col min="1040" max="1041" width="11.28515625" style="359" customWidth="1"/>
    <col min="1042" max="1042" width="12.7109375" style="359" customWidth="1"/>
    <col min="1043" max="1043" width="13.140625" style="359" customWidth="1"/>
    <col min="1044" max="1093" width="0" style="359" hidden="1" customWidth="1"/>
    <col min="1094" max="1094" width="12.7109375" style="359" customWidth="1"/>
    <col min="1095" max="1095" width="13.140625" style="359" customWidth="1"/>
    <col min="1096" max="1096" width="11.28515625" style="359" customWidth="1"/>
    <col min="1097" max="1097" width="12.7109375" style="359" customWidth="1"/>
    <col min="1098" max="1098" width="12.140625" style="359" customWidth="1"/>
    <col min="1099" max="1099" width="3.28515625" style="359" customWidth="1"/>
    <col min="1100" max="1100" width="0" style="359" hidden="1" customWidth="1"/>
    <col min="1101" max="1101" width="3.28515625" style="359" customWidth="1"/>
    <col min="1102" max="1102" width="9.85546875" style="359" bestFit="1" customWidth="1"/>
    <col min="1103" max="1103" width="9.5703125" style="359" bestFit="1" customWidth="1"/>
    <col min="1104" max="1280" width="9.140625" style="359"/>
    <col min="1281" max="1281" width="2.85546875" style="359" customWidth="1"/>
    <col min="1282" max="1282" width="3.28515625" style="359" customWidth="1"/>
    <col min="1283" max="1283" width="69.28515625" style="359" customWidth="1"/>
    <col min="1284" max="1284" width="6" style="359" customWidth="1"/>
    <col min="1285" max="1289" width="13.5703125" style="359" customWidth="1"/>
    <col min="1290" max="1294" width="0" style="359" hidden="1" customWidth="1"/>
    <col min="1295" max="1295" width="12.7109375" style="359" customWidth="1"/>
    <col min="1296" max="1297" width="11.28515625" style="359" customWidth="1"/>
    <col min="1298" max="1298" width="12.7109375" style="359" customWidth="1"/>
    <col min="1299" max="1299" width="13.140625" style="359" customWidth="1"/>
    <col min="1300" max="1349" width="0" style="359" hidden="1" customWidth="1"/>
    <col min="1350" max="1350" width="12.7109375" style="359" customWidth="1"/>
    <col min="1351" max="1351" width="13.140625" style="359" customWidth="1"/>
    <col min="1352" max="1352" width="11.28515625" style="359" customWidth="1"/>
    <col min="1353" max="1353" width="12.7109375" style="359" customWidth="1"/>
    <col min="1354" max="1354" width="12.140625" style="359" customWidth="1"/>
    <col min="1355" max="1355" width="3.28515625" style="359" customWidth="1"/>
    <col min="1356" max="1356" width="0" style="359" hidden="1" customWidth="1"/>
    <col min="1357" max="1357" width="3.28515625" style="359" customWidth="1"/>
    <col min="1358" max="1358" width="9.85546875" style="359" bestFit="1" customWidth="1"/>
    <col min="1359" max="1359" width="9.5703125" style="359" bestFit="1" customWidth="1"/>
    <col min="1360" max="1536" width="9.140625" style="359"/>
    <col min="1537" max="1537" width="2.85546875" style="359" customWidth="1"/>
    <col min="1538" max="1538" width="3.28515625" style="359" customWidth="1"/>
    <col min="1539" max="1539" width="69.28515625" style="359" customWidth="1"/>
    <col min="1540" max="1540" width="6" style="359" customWidth="1"/>
    <col min="1541" max="1545" width="13.5703125" style="359" customWidth="1"/>
    <col min="1546" max="1550" width="0" style="359" hidden="1" customWidth="1"/>
    <col min="1551" max="1551" width="12.7109375" style="359" customWidth="1"/>
    <col min="1552" max="1553" width="11.28515625" style="359" customWidth="1"/>
    <col min="1554" max="1554" width="12.7109375" style="359" customWidth="1"/>
    <col min="1555" max="1555" width="13.140625" style="359" customWidth="1"/>
    <col min="1556" max="1605" width="0" style="359" hidden="1" customWidth="1"/>
    <col min="1606" max="1606" width="12.7109375" style="359" customWidth="1"/>
    <col min="1607" max="1607" width="13.140625" style="359" customWidth="1"/>
    <col min="1608" max="1608" width="11.28515625" style="359" customWidth="1"/>
    <col min="1609" max="1609" width="12.7109375" style="359" customWidth="1"/>
    <col min="1610" max="1610" width="12.140625" style="359" customWidth="1"/>
    <col min="1611" max="1611" width="3.28515625" style="359" customWidth="1"/>
    <col min="1612" max="1612" width="0" style="359" hidden="1" customWidth="1"/>
    <col min="1613" max="1613" width="3.28515625" style="359" customWidth="1"/>
    <col min="1614" max="1614" width="9.85546875" style="359" bestFit="1" customWidth="1"/>
    <col min="1615" max="1615" width="9.5703125" style="359" bestFit="1" customWidth="1"/>
    <col min="1616" max="1792" width="9.140625" style="359"/>
    <col min="1793" max="1793" width="2.85546875" style="359" customWidth="1"/>
    <col min="1794" max="1794" width="3.28515625" style="359" customWidth="1"/>
    <col min="1795" max="1795" width="69.28515625" style="359" customWidth="1"/>
    <col min="1796" max="1796" width="6" style="359" customWidth="1"/>
    <col min="1797" max="1801" width="13.5703125" style="359" customWidth="1"/>
    <col min="1802" max="1806" width="0" style="359" hidden="1" customWidth="1"/>
    <col min="1807" max="1807" width="12.7109375" style="359" customWidth="1"/>
    <col min="1808" max="1809" width="11.28515625" style="359" customWidth="1"/>
    <col min="1810" max="1810" width="12.7109375" style="359" customWidth="1"/>
    <col min="1811" max="1811" width="13.140625" style="359" customWidth="1"/>
    <col min="1812" max="1861" width="0" style="359" hidden="1" customWidth="1"/>
    <col min="1862" max="1862" width="12.7109375" style="359" customWidth="1"/>
    <col min="1863" max="1863" width="13.140625" style="359" customWidth="1"/>
    <col min="1864" max="1864" width="11.28515625" style="359" customWidth="1"/>
    <col min="1865" max="1865" width="12.7109375" style="359" customWidth="1"/>
    <col min="1866" max="1866" width="12.140625" style="359" customWidth="1"/>
    <col min="1867" max="1867" width="3.28515625" style="359" customWidth="1"/>
    <col min="1868" max="1868" width="0" style="359" hidden="1" customWidth="1"/>
    <col min="1869" max="1869" width="3.28515625" style="359" customWidth="1"/>
    <col min="1870" max="1870" width="9.85546875" style="359" bestFit="1" customWidth="1"/>
    <col min="1871" max="1871" width="9.5703125" style="359" bestFit="1" customWidth="1"/>
    <col min="1872" max="2048" width="9.140625" style="359"/>
    <col min="2049" max="2049" width="2.85546875" style="359" customWidth="1"/>
    <col min="2050" max="2050" width="3.28515625" style="359" customWidth="1"/>
    <col min="2051" max="2051" width="69.28515625" style="359" customWidth="1"/>
    <col min="2052" max="2052" width="6" style="359" customWidth="1"/>
    <col min="2053" max="2057" width="13.5703125" style="359" customWidth="1"/>
    <col min="2058" max="2062" width="0" style="359" hidden="1" customWidth="1"/>
    <col min="2063" max="2063" width="12.7109375" style="359" customWidth="1"/>
    <col min="2064" max="2065" width="11.28515625" style="359" customWidth="1"/>
    <col min="2066" max="2066" width="12.7109375" style="359" customWidth="1"/>
    <col min="2067" max="2067" width="13.140625" style="359" customWidth="1"/>
    <col min="2068" max="2117" width="0" style="359" hidden="1" customWidth="1"/>
    <col min="2118" max="2118" width="12.7109375" style="359" customWidth="1"/>
    <col min="2119" max="2119" width="13.140625" style="359" customWidth="1"/>
    <col min="2120" max="2120" width="11.28515625" style="359" customWidth="1"/>
    <col min="2121" max="2121" width="12.7109375" style="359" customWidth="1"/>
    <col min="2122" max="2122" width="12.140625" style="359" customWidth="1"/>
    <col min="2123" max="2123" width="3.28515625" style="359" customWidth="1"/>
    <col min="2124" max="2124" width="0" style="359" hidden="1" customWidth="1"/>
    <col min="2125" max="2125" width="3.28515625" style="359" customWidth="1"/>
    <col min="2126" max="2126" width="9.85546875" style="359" bestFit="1" customWidth="1"/>
    <col min="2127" max="2127" width="9.5703125" style="359" bestFit="1" customWidth="1"/>
    <col min="2128" max="2304" width="9.140625" style="359"/>
    <col min="2305" max="2305" width="2.85546875" style="359" customWidth="1"/>
    <col min="2306" max="2306" width="3.28515625" style="359" customWidth="1"/>
    <col min="2307" max="2307" width="69.28515625" style="359" customWidth="1"/>
    <col min="2308" max="2308" width="6" style="359" customWidth="1"/>
    <col min="2309" max="2313" width="13.5703125" style="359" customWidth="1"/>
    <col min="2314" max="2318" width="0" style="359" hidden="1" customWidth="1"/>
    <col min="2319" max="2319" width="12.7109375" style="359" customWidth="1"/>
    <col min="2320" max="2321" width="11.28515625" style="359" customWidth="1"/>
    <col min="2322" max="2322" width="12.7109375" style="359" customWidth="1"/>
    <col min="2323" max="2323" width="13.140625" style="359" customWidth="1"/>
    <col min="2324" max="2373" width="0" style="359" hidden="1" customWidth="1"/>
    <col min="2374" max="2374" width="12.7109375" style="359" customWidth="1"/>
    <col min="2375" max="2375" width="13.140625" style="359" customWidth="1"/>
    <col min="2376" max="2376" width="11.28515625" style="359" customWidth="1"/>
    <col min="2377" max="2377" width="12.7109375" style="359" customWidth="1"/>
    <col min="2378" max="2378" width="12.140625" style="359" customWidth="1"/>
    <col min="2379" max="2379" width="3.28515625" style="359" customWidth="1"/>
    <col min="2380" max="2380" width="0" style="359" hidden="1" customWidth="1"/>
    <col min="2381" max="2381" width="3.28515625" style="359" customWidth="1"/>
    <col min="2382" max="2382" width="9.85546875" style="359" bestFit="1" customWidth="1"/>
    <col min="2383" max="2383" width="9.5703125" style="359" bestFit="1" customWidth="1"/>
    <col min="2384" max="2560" width="9.140625" style="359"/>
    <col min="2561" max="2561" width="2.85546875" style="359" customWidth="1"/>
    <col min="2562" max="2562" width="3.28515625" style="359" customWidth="1"/>
    <col min="2563" max="2563" width="69.28515625" style="359" customWidth="1"/>
    <col min="2564" max="2564" width="6" style="359" customWidth="1"/>
    <col min="2565" max="2569" width="13.5703125" style="359" customWidth="1"/>
    <col min="2570" max="2574" width="0" style="359" hidden="1" customWidth="1"/>
    <col min="2575" max="2575" width="12.7109375" style="359" customWidth="1"/>
    <col min="2576" max="2577" width="11.28515625" style="359" customWidth="1"/>
    <col min="2578" max="2578" width="12.7109375" style="359" customWidth="1"/>
    <col min="2579" max="2579" width="13.140625" style="359" customWidth="1"/>
    <col min="2580" max="2629" width="0" style="359" hidden="1" customWidth="1"/>
    <col min="2630" max="2630" width="12.7109375" style="359" customWidth="1"/>
    <col min="2631" max="2631" width="13.140625" style="359" customWidth="1"/>
    <col min="2632" max="2632" width="11.28515625" style="359" customWidth="1"/>
    <col min="2633" max="2633" width="12.7109375" style="359" customWidth="1"/>
    <col min="2634" max="2634" width="12.140625" style="359" customWidth="1"/>
    <col min="2635" max="2635" width="3.28515625" style="359" customWidth="1"/>
    <col min="2636" max="2636" width="0" style="359" hidden="1" customWidth="1"/>
    <col min="2637" max="2637" width="3.28515625" style="359" customWidth="1"/>
    <col min="2638" max="2638" width="9.85546875" style="359" bestFit="1" customWidth="1"/>
    <col min="2639" max="2639" width="9.5703125" style="359" bestFit="1" customWidth="1"/>
    <col min="2640" max="2816" width="9.140625" style="359"/>
    <col min="2817" max="2817" width="2.85546875" style="359" customWidth="1"/>
    <col min="2818" max="2818" width="3.28515625" style="359" customWidth="1"/>
    <col min="2819" max="2819" width="69.28515625" style="359" customWidth="1"/>
    <col min="2820" max="2820" width="6" style="359" customWidth="1"/>
    <col min="2821" max="2825" width="13.5703125" style="359" customWidth="1"/>
    <col min="2826" max="2830" width="0" style="359" hidden="1" customWidth="1"/>
    <col min="2831" max="2831" width="12.7109375" style="359" customWidth="1"/>
    <col min="2832" max="2833" width="11.28515625" style="359" customWidth="1"/>
    <col min="2834" max="2834" width="12.7109375" style="359" customWidth="1"/>
    <col min="2835" max="2835" width="13.140625" style="359" customWidth="1"/>
    <col min="2836" max="2885" width="0" style="359" hidden="1" customWidth="1"/>
    <col min="2886" max="2886" width="12.7109375" style="359" customWidth="1"/>
    <col min="2887" max="2887" width="13.140625" style="359" customWidth="1"/>
    <col min="2888" max="2888" width="11.28515625" style="359" customWidth="1"/>
    <col min="2889" max="2889" width="12.7109375" style="359" customWidth="1"/>
    <col min="2890" max="2890" width="12.140625" style="359" customWidth="1"/>
    <col min="2891" max="2891" width="3.28515625" style="359" customWidth="1"/>
    <col min="2892" max="2892" width="0" style="359" hidden="1" customWidth="1"/>
    <col min="2893" max="2893" width="3.28515625" style="359" customWidth="1"/>
    <col min="2894" max="2894" width="9.85546875" style="359" bestFit="1" customWidth="1"/>
    <col min="2895" max="2895" width="9.5703125" style="359" bestFit="1" customWidth="1"/>
    <col min="2896" max="3072" width="9.140625" style="359"/>
    <col min="3073" max="3073" width="2.85546875" style="359" customWidth="1"/>
    <col min="3074" max="3074" width="3.28515625" style="359" customWidth="1"/>
    <col min="3075" max="3075" width="69.28515625" style="359" customWidth="1"/>
    <col min="3076" max="3076" width="6" style="359" customWidth="1"/>
    <col min="3077" max="3081" width="13.5703125" style="359" customWidth="1"/>
    <col min="3082" max="3086" width="0" style="359" hidden="1" customWidth="1"/>
    <col min="3087" max="3087" width="12.7109375" style="359" customWidth="1"/>
    <col min="3088" max="3089" width="11.28515625" style="359" customWidth="1"/>
    <col min="3090" max="3090" width="12.7109375" style="359" customWidth="1"/>
    <col min="3091" max="3091" width="13.140625" style="359" customWidth="1"/>
    <col min="3092" max="3141" width="0" style="359" hidden="1" customWidth="1"/>
    <col min="3142" max="3142" width="12.7109375" style="359" customWidth="1"/>
    <col min="3143" max="3143" width="13.140625" style="359" customWidth="1"/>
    <col min="3144" max="3144" width="11.28515625" style="359" customWidth="1"/>
    <col min="3145" max="3145" width="12.7109375" style="359" customWidth="1"/>
    <col min="3146" max="3146" width="12.140625" style="359" customWidth="1"/>
    <col min="3147" max="3147" width="3.28515625" style="359" customWidth="1"/>
    <col min="3148" max="3148" width="0" style="359" hidden="1" customWidth="1"/>
    <col min="3149" max="3149" width="3.28515625" style="359" customWidth="1"/>
    <col min="3150" max="3150" width="9.85546875" style="359" bestFit="1" customWidth="1"/>
    <col min="3151" max="3151" width="9.5703125" style="359" bestFit="1" customWidth="1"/>
    <col min="3152" max="3328" width="9.140625" style="359"/>
    <col min="3329" max="3329" width="2.85546875" style="359" customWidth="1"/>
    <col min="3330" max="3330" width="3.28515625" style="359" customWidth="1"/>
    <col min="3331" max="3331" width="69.28515625" style="359" customWidth="1"/>
    <col min="3332" max="3332" width="6" style="359" customWidth="1"/>
    <col min="3333" max="3337" width="13.5703125" style="359" customWidth="1"/>
    <col min="3338" max="3342" width="0" style="359" hidden="1" customWidth="1"/>
    <col min="3343" max="3343" width="12.7109375" style="359" customWidth="1"/>
    <col min="3344" max="3345" width="11.28515625" style="359" customWidth="1"/>
    <col min="3346" max="3346" width="12.7109375" style="359" customWidth="1"/>
    <col min="3347" max="3347" width="13.140625" style="359" customWidth="1"/>
    <col min="3348" max="3397" width="0" style="359" hidden="1" customWidth="1"/>
    <col min="3398" max="3398" width="12.7109375" style="359" customWidth="1"/>
    <col min="3399" max="3399" width="13.140625" style="359" customWidth="1"/>
    <col min="3400" max="3400" width="11.28515625" style="359" customWidth="1"/>
    <col min="3401" max="3401" width="12.7109375" style="359" customWidth="1"/>
    <col min="3402" max="3402" width="12.140625" style="359" customWidth="1"/>
    <col min="3403" max="3403" width="3.28515625" style="359" customWidth="1"/>
    <col min="3404" max="3404" width="0" style="359" hidden="1" customWidth="1"/>
    <col min="3405" max="3405" width="3.28515625" style="359" customWidth="1"/>
    <col min="3406" max="3406" width="9.85546875" style="359" bestFit="1" customWidth="1"/>
    <col min="3407" max="3407" width="9.5703125" style="359" bestFit="1" customWidth="1"/>
    <col min="3408" max="3584" width="9.140625" style="359"/>
    <col min="3585" max="3585" width="2.85546875" style="359" customWidth="1"/>
    <col min="3586" max="3586" width="3.28515625" style="359" customWidth="1"/>
    <col min="3587" max="3587" width="69.28515625" style="359" customWidth="1"/>
    <col min="3588" max="3588" width="6" style="359" customWidth="1"/>
    <col min="3589" max="3593" width="13.5703125" style="359" customWidth="1"/>
    <col min="3594" max="3598" width="0" style="359" hidden="1" customWidth="1"/>
    <col min="3599" max="3599" width="12.7109375" style="359" customWidth="1"/>
    <col min="3600" max="3601" width="11.28515625" style="359" customWidth="1"/>
    <col min="3602" max="3602" width="12.7109375" style="359" customWidth="1"/>
    <col min="3603" max="3603" width="13.140625" style="359" customWidth="1"/>
    <col min="3604" max="3653" width="0" style="359" hidden="1" customWidth="1"/>
    <col min="3654" max="3654" width="12.7109375" style="359" customWidth="1"/>
    <col min="3655" max="3655" width="13.140625" style="359" customWidth="1"/>
    <col min="3656" max="3656" width="11.28515625" style="359" customWidth="1"/>
    <col min="3657" max="3657" width="12.7109375" style="359" customWidth="1"/>
    <col min="3658" max="3658" width="12.140625" style="359" customWidth="1"/>
    <col min="3659" max="3659" width="3.28515625" style="359" customWidth="1"/>
    <col min="3660" max="3660" width="0" style="359" hidden="1" customWidth="1"/>
    <col min="3661" max="3661" width="3.28515625" style="359" customWidth="1"/>
    <col min="3662" max="3662" width="9.85546875" style="359" bestFit="1" customWidth="1"/>
    <col min="3663" max="3663" width="9.5703125" style="359" bestFit="1" customWidth="1"/>
    <col min="3664" max="3840" width="9.140625" style="359"/>
    <col min="3841" max="3841" width="2.85546875" style="359" customWidth="1"/>
    <col min="3842" max="3842" width="3.28515625" style="359" customWidth="1"/>
    <col min="3843" max="3843" width="69.28515625" style="359" customWidth="1"/>
    <col min="3844" max="3844" width="6" style="359" customWidth="1"/>
    <col min="3845" max="3849" width="13.5703125" style="359" customWidth="1"/>
    <col min="3850" max="3854" width="0" style="359" hidden="1" customWidth="1"/>
    <col min="3855" max="3855" width="12.7109375" style="359" customWidth="1"/>
    <col min="3856" max="3857" width="11.28515625" style="359" customWidth="1"/>
    <col min="3858" max="3858" width="12.7109375" style="359" customWidth="1"/>
    <col min="3859" max="3859" width="13.140625" style="359" customWidth="1"/>
    <col min="3860" max="3909" width="0" style="359" hidden="1" customWidth="1"/>
    <col min="3910" max="3910" width="12.7109375" style="359" customWidth="1"/>
    <col min="3911" max="3911" width="13.140625" style="359" customWidth="1"/>
    <col min="3912" max="3912" width="11.28515625" style="359" customWidth="1"/>
    <col min="3913" max="3913" width="12.7109375" style="359" customWidth="1"/>
    <col min="3914" max="3914" width="12.140625" style="359" customWidth="1"/>
    <col min="3915" max="3915" width="3.28515625" style="359" customWidth="1"/>
    <col min="3916" max="3916" width="0" style="359" hidden="1" customWidth="1"/>
    <col min="3917" max="3917" width="3.28515625" style="359" customWidth="1"/>
    <col min="3918" max="3918" width="9.85546875" style="359" bestFit="1" customWidth="1"/>
    <col min="3919" max="3919" width="9.5703125" style="359" bestFit="1" customWidth="1"/>
    <col min="3920" max="4096" width="9.140625" style="359"/>
    <col min="4097" max="4097" width="2.85546875" style="359" customWidth="1"/>
    <col min="4098" max="4098" width="3.28515625" style="359" customWidth="1"/>
    <col min="4099" max="4099" width="69.28515625" style="359" customWidth="1"/>
    <col min="4100" max="4100" width="6" style="359" customWidth="1"/>
    <col min="4101" max="4105" width="13.5703125" style="359" customWidth="1"/>
    <col min="4106" max="4110" width="0" style="359" hidden="1" customWidth="1"/>
    <col min="4111" max="4111" width="12.7109375" style="359" customWidth="1"/>
    <col min="4112" max="4113" width="11.28515625" style="359" customWidth="1"/>
    <col min="4114" max="4114" width="12.7109375" style="359" customWidth="1"/>
    <col min="4115" max="4115" width="13.140625" style="359" customWidth="1"/>
    <col min="4116" max="4165" width="0" style="359" hidden="1" customWidth="1"/>
    <col min="4166" max="4166" width="12.7109375" style="359" customWidth="1"/>
    <col min="4167" max="4167" width="13.140625" style="359" customWidth="1"/>
    <col min="4168" max="4168" width="11.28515625" style="359" customWidth="1"/>
    <col min="4169" max="4169" width="12.7109375" style="359" customWidth="1"/>
    <col min="4170" max="4170" width="12.140625" style="359" customWidth="1"/>
    <col min="4171" max="4171" width="3.28515625" style="359" customWidth="1"/>
    <col min="4172" max="4172" width="0" style="359" hidden="1" customWidth="1"/>
    <col min="4173" max="4173" width="3.28515625" style="359" customWidth="1"/>
    <col min="4174" max="4174" width="9.85546875" style="359" bestFit="1" customWidth="1"/>
    <col min="4175" max="4175" width="9.5703125" style="359" bestFit="1" customWidth="1"/>
    <col min="4176" max="4352" width="9.140625" style="359"/>
    <col min="4353" max="4353" width="2.85546875" style="359" customWidth="1"/>
    <col min="4354" max="4354" width="3.28515625" style="359" customWidth="1"/>
    <col min="4355" max="4355" width="69.28515625" style="359" customWidth="1"/>
    <col min="4356" max="4356" width="6" style="359" customWidth="1"/>
    <col min="4357" max="4361" width="13.5703125" style="359" customWidth="1"/>
    <col min="4362" max="4366" width="0" style="359" hidden="1" customWidth="1"/>
    <col min="4367" max="4367" width="12.7109375" style="359" customWidth="1"/>
    <col min="4368" max="4369" width="11.28515625" style="359" customWidth="1"/>
    <col min="4370" max="4370" width="12.7109375" style="359" customWidth="1"/>
    <col min="4371" max="4371" width="13.140625" style="359" customWidth="1"/>
    <col min="4372" max="4421" width="0" style="359" hidden="1" customWidth="1"/>
    <col min="4422" max="4422" width="12.7109375" style="359" customWidth="1"/>
    <col min="4423" max="4423" width="13.140625" style="359" customWidth="1"/>
    <col min="4424" max="4424" width="11.28515625" style="359" customWidth="1"/>
    <col min="4425" max="4425" width="12.7109375" style="359" customWidth="1"/>
    <col min="4426" max="4426" width="12.140625" style="359" customWidth="1"/>
    <col min="4427" max="4427" width="3.28515625" style="359" customWidth="1"/>
    <col min="4428" max="4428" width="0" style="359" hidden="1" customWidth="1"/>
    <col min="4429" max="4429" width="3.28515625" style="359" customWidth="1"/>
    <col min="4430" max="4430" width="9.85546875" style="359" bestFit="1" customWidth="1"/>
    <col min="4431" max="4431" width="9.5703125" style="359" bestFit="1" customWidth="1"/>
    <col min="4432" max="4608" width="9.140625" style="359"/>
    <col min="4609" max="4609" width="2.85546875" style="359" customWidth="1"/>
    <col min="4610" max="4610" width="3.28515625" style="359" customWidth="1"/>
    <col min="4611" max="4611" width="69.28515625" style="359" customWidth="1"/>
    <col min="4612" max="4612" width="6" style="359" customWidth="1"/>
    <col min="4613" max="4617" width="13.5703125" style="359" customWidth="1"/>
    <col min="4618" max="4622" width="0" style="359" hidden="1" customWidth="1"/>
    <col min="4623" max="4623" width="12.7109375" style="359" customWidth="1"/>
    <col min="4624" max="4625" width="11.28515625" style="359" customWidth="1"/>
    <col min="4626" max="4626" width="12.7109375" style="359" customWidth="1"/>
    <col min="4627" max="4627" width="13.140625" style="359" customWidth="1"/>
    <col min="4628" max="4677" width="0" style="359" hidden="1" customWidth="1"/>
    <col min="4678" max="4678" width="12.7109375" style="359" customWidth="1"/>
    <col min="4679" max="4679" width="13.140625" style="359" customWidth="1"/>
    <col min="4680" max="4680" width="11.28515625" style="359" customWidth="1"/>
    <col min="4681" max="4681" width="12.7109375" style="359" customWidth="1"/>
    <col min="4682" max="4682" width="12.140625" style="359" customWidth="1"/>
    <col min="4683" max="4683" width="3.28515625" style="359" customWidth="1"/>
    <col min="4684" max="4684" width="0" style="359" hidden="1" customWidth="1"/>
    <col min="4685" max="4685" width="3.28515625" style="359" customWidth="1"/>
    <col min="4686" max="4686" width="9.85546875" style="359" bestFit="1" customWidth="1"/>
    <col min="4687" max="4687" width="9.5703125" style="359" bestFit="1" customWidth="1"/>
    <col min="4688" max="4864" width="9.140625" style="359"/>
    <col min="4865" max="4865" width="2.85546875" style="359" customWidth="1"/>
    <col min="4866" max="4866" width="3.28515625" style="359" customWidth="1"/>
    <col min="4867" max="4867" width="69.28515625" style="359" customWidth="1"/>
    <col min="4868" max="4868" width="6" style="359" customWidth="1"/>
    <col min="4869" max="4873" width="13.5703125" style="359" customWidth="1"/>
    <col min="4874" max="4878" width="0" style="359" hidden="1" customWidth="1"/>
    <col min="4879" max="4879" width="12.7109375" style="359" customWidth="1"/>
    <col min="4880" max="4881" width="11.28515625" style="359" customWidth="1"/>
    <col min="4882" max="4882" width="12.7109375" style="359" customWidth="1"/>
    <col min="4883" max="4883" width="13.140625" style="359" customWidth="1"/>
    <col min="4884" max="4933" width="0" style="359" hidden="1" customWidth="1"/>
    <col min="4934" max="4934" width="12.7109375" style="359" customWidth="1"/>
    <col min="4935" max="4935" width="13.140625" style="359" customWidth="1"/>
    <col min="4936" max="4936" width="11.28515625" style="359" customWidth="1"/>
    <col min="4937" max="4937" width="12.7109375" style="359" customWidth="1"/>
    <col min="4938" max="4938" width="12.140625" style="359" customWidth="1"/>
    <col min="4939" max="4939" width="3.28515625" style="359" customWidth="1"/>
    <col min="4940" max="4940" width="0" style="359" hidden="1" customWidth="1"/>
    <col min="4941" max="4941" width="3.28515625" style="359" customWidth="1"/>
    <col min="4942" max="4942" width="9.85546875" style="359" bestFit="1" customWidth="1"/>
    <col min="4943" max="4943" width="9.5703125" style="359" bestFit="1" customWidth="1"/>
    <col min="4944" max="5120" width="9.140625" style="359"/>
    <col min="5121" max="5121" width="2.85546875" style="359" customWidth="1"/>
    <col min="5122" max="5122" width="3.28515625" style="359" customWidth="1"/>
    <col min="5123" max="5123" width="69.28515625" style="359" customWidth="1"/>
    <col min="5124" max="5124" width="6" style="359" customWidth="1"/>
    <col min="5125" max="5129" width="13.5703125" style="359" customWidth="1"/>
    <col min="5130" max="5134" width="0" style="359" hidden="1" customWidth="1"/>
    <col min="5135" max="5135" width="12.7109375" style="359" customWidth="1"/>
    <col min="5136" max="5137" width="11.28515625" style="359" customWidth="1"/>
    <col min="5138" max="5138" width="12.7109375" style="359" customWidth="1"/>
    <col min="5139" max="5139" width="13.140625" style="359" customWidth="1"/>
    <col min="5140" max="5189" width="0" style="359" hidden="1" customWidth="1"/>
    <col min="5190" max="5190" width="12.7109375" style="359" customWidth="1"/>
    <col min="5191" max="5191" width="13.140625" style="359" customWidth="1"/>
    <col min="5192" max="5192" width="11.28515625" style="359" customWidth="1"/>
    <col min="5193" max="5193" width="12.7109375" style="359" customWidth="1"/>
    <col min="5194" max="5194" width="12.140625" style="359" customWidth="1"/>
    <col min="5195" max="5195" width="3.28515625" style="359" customWidth="1"/>
    <col min="5196" max="5196" width="0" style="359" hidden="1" customWidth="1"/>
    <col min="5197" max="5197" width="3.28515625" style="359" customWidth="1"/>
    <col min="5198" max="5198" width="9.85546875" style="359" bestFit="1" customWidth="1"/>
    <col min="5199" max="5199" width="9.5703125" style="359" bestFit="1" customWidth="1"/>
    <col min="5200" max="5376" width="9.140625" style="359"/>
    <col min="5377" max="5377" width="2.85546875" style="359" customWidth="1"/>
    <col min="5378" max="5378" width="3.28515625" style="359" customWidth="1"/>
    <col min="5379" max="5379" width="69.28515625" style="359" customWidth="1"/>
    <col min="5380" max="5380" width="6" style="359" customWidth="1"/>
    <col min="5381" max="5385" width="13.5703125" style="359" customWidth="1"/>
    <col min="5386" max="5390" width="0" style="359" hidden="1" customWidth="1"/>
    <col min="5391" max="5391" width="12.7109375" style="359" customWidth="1"/>
    <col min="5392" max="5393" width="11.28515625" style="359" customWidth="1"/>
    <col min="5394" max="5394" width="12.7109375" style="359" customWidth="1"/>
    <col min="5395" max="5395" width="13.140625" style="359" customWidth="1"/>
    <col min="5396" max="5445" width="0" style="359" hidden="1" customWidth="1"/>
    <col min="5446" max="5446" width="12.7109375" style="359" customWidth="1"/>
    <col min="5447" max="5447" width="13.140625" style="359" customWidth="1"/>
    <col min="5448" max="5448" width="11.28515625" style="359" customWidth="1"/>
    <col min="5449" max="5449" width="12.7109375" style="359" customWidth="1"/>
    <col min="5450" max="5450" width="12.140625" style="359" customWidth="1"/>
    <col min="5451" max="5451" width="3.28515625" style="359" customWidth="1"/>
    <col min="5452" max="5452" width="0" style="359" hidden="1" customWidth="1"/>
    <col min="5453" max="5453" width="3.28515625" style="359" customWidth="1"/>
    <col min="5454" max="5454" width="9.85546875" style="359" bestFit="1" customWidth="1"/>
    <col min="5455" max="5455" width="9.5703125" style="359" bestFit="1" customWidth="1"/>
    <col min="5456" max="5632" width="9.140625" style="359"/>
    <col min="5633" max="5633" width="2.85546875" style="359" customWidth="1"/>
    <col min="5634" max="5634" width="3.28515625" style="359" customWidth="1"/>
    <col min="5635" max="5635" width="69.28515625" style="359" customWidth="1"/>
    <col min="5636" max="5636" width="6" style="359" customWidth="1"/>
    <col min="5637" max="5641" width="13.5703125" style="359" customWidth="1"/>
    <col min="5642" max="5646" width="0" style="359" hidden="1" customWidth="1"/>
    <col min="5647" max="5647" width="12.7109375" style="359" customWidth="1"/>
    <col min="5648" max="5649" width="11.28515625" style="359" customWidth="1"/>
    <col min="5650" max="5650" width="12.7109375" style="359" customWidth="1"/>
    <col min="5651" max="5651" width="13.140625" style="359" customWidth="1"/>
    <col min="5652" max="5701" width="0" style="359" hidden="1" customWidth="1"/>
    <col min="5702" max="5702" width="12.7109375" style="359" customWidth="1"/>
    <col min="5703" max="5703" width="13.140625" style="359" customWidth="1"/>
    <col min="5704" max="5704" width="11.28515625" style="359" customWidth="1"/>
    <col min="5705" max="5705" width="12.7109375" style="359" customWidth="1"/>
    <col min="5706" max="5706" width="12.140625" style="359" customWidth="1"/>
    <col min="5707" max="5707" width="3.28515625" style="359" customWidth="1"/>
    <col min="5708" max="5708" width="0" style="359" hidden="1" customWidth="1"/>
    <col min="5709" max="5709" width="3.28515625" style="359" customWidth="1"/>
    <col min="5710" max="5710" width="9.85546875" style="359" bestFit="1" customWidth="1"/>
    <col min="5711" max="5711" width="9.5703125" style="359" bestFit="1" customWidth="1"/>
    <col min="5712" max="5888" width="9.140625" style="359"/>
    <col min="5889" max="5889" width="2.85546875" style="359" customWidth="1"/>
    <col min="5890" max="5890" width="3.28515625" style="359" customWidth="1"/>
    <col min="5891" max="5891" width="69.28515625" style="359" customWidth="1"/>
    <col min="5892" max="5892" width="6" style="359" customWidth="1"/>
    <col min="5893" max="5897" width="13.5703125" style="359" customWidth="1"/>
    <col min="5898" max="5902" width="0" style="359" hidden="1" customWidth="1"/>
    <col min="5903" max="5903" width="12.7109375" style="359" customWidth="1"/>
    <col min="5904" max="5905" width="11.28515625" style="359" customWidth="1"/>
    <col min="5906" max="5906" width="12.7109375" style="359" customWidth="1"/>
    <col min="5907" max="5907" width="13.140625" style="359" customWidth="1"/>
    <col min="5908" max="5957" width="0" style="359" hidden="1" customWidth="1"/>
    <col min="5958" max="5958" width="12.7109375" style="359" customWidth="1"/>
    <col min="5959" max="5959" width="13.140625" style="359" customWidth="1"/>
    <col min="5960" max="5960" width="11.28515625" style="359" customWidth="1"/>
    <col min="5961" max="5961" width="12.7109375" style="359" customWidth="1"/>
    <col min="5962" max="5962" width="12.140625" style="359" customWidth="1"/>
    <col min="5963" max="5963" width="3.28515625" style="359" customWidth="1"/>
    <col min="5964" max="5964" width="0" style="359" hidden="1" customWidth="1"/>
    <col min="5965" max="5965" width="3.28515625" style="359" customWidth="1"/>
    <col min="5966" max="5966" width="9.85546875" style="359" bestFit="1" customWidth="1"/>
    <col min="5967" max="5967" width="9.5703125" style="359" bestFit="1" customWidth="1"/>
    <col min="5968" max="6144" width="9.140625" style="359"/>
    <col min="6145" max="6145" width="2.85546875" style="359" customWidth="1"/>
    <col min="6146" max="6146" width="3.28515625" style="359" customWidth="1"/>
    <col min="6147" max="6147" width="69.28515625" style="359" customWidth="1"/>
    <col min="6148" max="6148" width="6" style="359" customWidth="1"/>
    <col min="6149" max="6153" width="13.5703125" style="359" customWidth="1"/>
    <col min="6154" max="6158" width="0" style="359" hidden="1" customWidth="1"/>
    <col min="6159" max="6159" width="12.7109375" style="359" customWidth="1"/>
    <col min="6160" max="6161" width="11.28515625" style="359" customWidth="1"/>
    <col min="6162" max="6162" width="12.7109375" style="359" customWidth="1"/>
    <col min="6163" max="6163" width="13.140625" style="359" customWidth="1"/>
    <col min="6164" max="6213" width="0" style="359" hidden="1" customWidth="1"/>
    <col min="6214" max="6214" width="12.7109375" style="359" customWidth="1"/>
    <col min="6215" max="6215" width="13.140625" style="359" customWidth="1"/>
    <col min="6216" max="6216" width="11.28515625" style="359" customWidth="1"/>
    <col min="6217" max="6217" width="12.7109375" style="359" customWidth="1"/>
    <col min="6218" max="6218" width="12.140625" style="359" customWidth="1"/>
    <col min="6219" max="6219" width="3.28515625" style="359" customWidth="1"/>
    <col min="6220" max="6220" width="0" style="359" hidden="1" customWidth="1"/>
    <col min="6221" max="6221" width="3.28515625" style="359" customWidth="1"/>
    <col min="6222" max="6222" width="9.85546875" style="359" bestFit="1" customWidth="1"/>
    <col min="6223" max="6223" width="9.5703125" style="359" bestFit="1" customWidth="1"/>
    <col min="6224" max="6400" width="9.140625" style="359"/>
    <col min="6401" max="6401" width="2.85546875" style="359" customWidth="1"/>
    <col min="6402" max="6402" width="3.28515625" style="359" customWidth="1"/>
    <col min="6403" max="6403" width="69.28515625" style="359" customWidth="1"/>
    <col min="6404" max="6404" width="6" style="359" customWidth="1"/>
    <col min="6405" max="6409" width="13.5703125" style="359" customWidth="1"/>
    <col min="6410" max="6414" width="0" style="359" hidden="1" customWidth="1"/>
    <col min="6415" max="6415" width="12.7109375" style="359" customWidth="1"/>
    <col min="6416" max="6417" width="11.28515625" style="359" customWidth="1"/>
    <col min="6418" max="6418" width="12.7109375" style="359" customWidth="1"/>
    <col min="6419" max="6419" width="13.140625" style="359" customWidth="1"/>
    <col min="6420" max="6469" width="0" style="359" hidden="1" customWidth="1"/>
    <col min="6470" max="6470" width="12.7109375" style="359" customWidth="1"/>
    <col min="6471" max="6471" width="13.140625" style="359" customWidth="1"/>
    <col min="6472" max="6472" width="11.28515625" style="359" customWidth="1"/>
    <col min="6473" max="6473" width="12.7109375" style="359" customWidth="1"/>
    <col min="6474" max="6474" width="12.140625" style="359" customWidth="1"/>
    <col min="6475" max="6475" width="3.28515625" style="359" customWidth="1"/>
    <col min="6476" max="6476" width="0" style="359" hidden="1" customWidth="1"/>
    <col min="6477" max="6477" width="3.28515625" style="359" customWidth="1"/>
    <col min="6478" max="6478" width="9.85546875" style="359" bestFit="1" customWidth="1"/>
    <col min="6479" max="6479" width="9.5703125" style="359" bestFit="1" customWidth="1"/>
    <col min="6480" max="6656" width="9.140625" style="359"/>
    <col min="6657" max="6657" width="2.85546875" style="359" customWidth="1"/>
    <col min="6658" max="6658" width="3.28515625" style="359" customWidth="1"/>
    <col min="6659" max="6659" width="69.28515625" style="359" customWidth="1"/>
    <col min="6660" max="6660" width="6" style="359" customWidth="1"/>
    <col min="6661" max="6665" width="13.5703125" style="359" customWidth="1"/>
    <col min="6666" max="6670" width="0" style="359" hidden="1" customWidth="1"/>
    <col min="6671" max="6671" width="12.7109375" style="359" customWidth="1"/>
    <col min="6672" max="6673" width="11.28515625" style="359" customWidth="1"/>
    <col min="6674" max="6674" width="12.7109375" style="359" customWidth="1"/>
    <col min="6675" max="6675" width="13.140625" style="359" customWidth="1"/>
    <col min="6676" max="6725" width="0" style="359" hidden="1" customWidth="1"/>
    <col min="6726" max="6726" width="12.7109375" style="359" customWidth="1"/>
    <col min="6727" max="6727" width="13.140625" style="359" customWidth="1"/>
    <col min="6728" max="6728" width="11.28515625" style="359" customWidth="1"/>
    <col min="6729" max="6729" width="12.7109375" style="359" customWidth="1"/>
    <col min="6730" max="6730" width="12.140625" style="359" customWidth="1"/>
    <col min="6731" max="6731" width="3.28515625" style="359" customWidth="1"/>
    <col min="6732" max="6732" width="0" style="359" hidden="1" customWidth="1"/>
    <col min="6733" max="6733" width="3.28515625" style="359" customWidth="1"/>
    <col min="6734" max="6734" width="9.85546875" style="359" bestFit="1" customWidth="1"/>
    <col min="6735" max="6735" width="9.5703125" style="359" bestFit="1" customWidth="1"/>
    <col min="6736" max="6912" width="9.140625" style="359"/>
    <col min="6913" max="6913" width="2.85546875" style="359" customWidth="1"/>
    <col min="6914" max="6914" width="3.28515625" style="359" customWidth="1"/>
    <col min="6915" max="6915" width="69.28515625" style="359" customWidth="1"/>
    <col min="6916" max="6916" width="6" style="359" customWidth="1"/>
    <col min="6917" max="6921" width="13.5703125" style="359" customWidth="1"/>
    <col min="6922" max="6926" width="0" style="359" hidden="1" customWidth="1"/>
    <col min="6927" max="6927" width="12.7109375" style="359" customWidth="1"/>
    <col min="6928" max="6929" width="11.28515625" style="359" customWidth="1"/>
    <col min="6930" max="6930" width="12.7109375" style="359" customWidth="1"/>
    <col min="6931" max="6931" width="13.140625" style="359" customWidth="1"/>
    <col min="6932" max="6981" width="0" style="359" hidden="1" customWidth="1"/>
    <col min="6982" max="6982" width="12.7109375" style="359" customWidth="1"/>
    <col min="6983" max="6983" width="13.140625" style="359" customWidth="1"/>
    <col min="6984" max="6984" width="11.28515625" style="359" customWidth="1"/>
    <col min="6985" max="6985" width="12.7109375" style="359" customWidth="1"/>
    <col min="6986" max="6986" width="12.140625" style="359" customWidth="1"/>
    <col min="6987" max="6987" width="3.28515625" style="359" customWidth="1"/>
    <col min="6988" max="6988" width="0" style="359" hidden="1" customWidth="1"/>
    <col min="6989" max="6989" width="3.28515625" style="359" customWidth="1"/>
    <col min="6990" max="6990" width="9.85546875" style="359" bestFit="1" customWidth="1"/>
    <col min="6991" max="6991" width="9.5703125" style="359" bestFit="1" customWidth="1"/>
    <col min="6992" max="7168" width="9.140625" style="359"/>
    <col min="7169" max="7169" width="2.85546875" style="359" customWidth="1"/>
    <col min="7170" max="7170" width="3.28515625" style="359" customWidth="1"/>
    <col min="7171" max="7171" width="69.28515625" style="359" customWidth="1"/>
    <col min="7172" max="7172" width="6" style="359" customWidth="1"/>
    <col min="7173" max="7177" width="13.5703125" style="359" customWidth="1"/>
    <col min="7178" max="7182" width="0" style="359" hidden="1" customWidth="1"/>
    <col min="7183" max="7183" width="12.7109375" style="359" customWidth="1"/>
    <col min="7184" max="7185" width="11.28515625" style="359" customWidth="1"/>
    <col min="7186" max="7186" width="12.7109375" style="359" customWidth="1"/>
    <col min="7187" max="7187" width="13.140625" style="359" customWidth="1"/>
    <col min="7188" max="7237" width="0" style="359" hidden="1" customWidth="1"/>
    <col min="7238" max="7238" width="12.7109375" style="359" customWidth="1"/>
    <col min="7239" max="7239" width="13.140625" style="359" customWidth="1"/>
    <col min="7240" max="7240" width="11.28515625" style="359" customWidth="1"/>
    <col min="7241" max="7241" width="12.7109375" style="359" customWidth="1"/>
    <col min="7242" max="7242" width="12.140625" style="359" customWidth="1"/>
    <col min="7243" max="7243" width="3.28515625" style="359" customWidth="1"/>
    <col min="7244" max="7244" width="0" style="359" hidden="1" customWidth="1"/>
    <col min="7245" max="7245" width="3.28515625" style="359" customWidth="1"/>
    <col min="7246" max="7246" width="9.85546875" style="359" bestFit="1" customWidth="1"/>
    <col min="7247" max="7247" width="9.5703125" style="359" bestFit="1" customWidth="1"/>
    <col min="7248" max="7424" width="9.140625" style="359"/>
    <col min="7425" max="7425" width="2.85546875" style="359" customWidth="1"/>
    <col min="7426" max="7426" width="3.28515625" style="359" customWidth="1"/>
    <col min="7427" max="7427" width="69.28515625" style="359" customWidth="1"/>
    <col min="7428" max="7428" width="6" style="359" customWidth="1"/>
    <col min="7429" max="7433" width="13.5703125" style="359" customWidth="1"/>
    <col min="7434" max="7438" width="0" style="359" hidden="1" customWidth="1"/>
    <col min="7439" max="7439" width="12.7109375" style="359" customWidth="1"/>
    <col min="7440" max="7441" width="11.28515625" style="359" customWidth="1"/>
    <col min="7442" max="7442" width="12.7109375" style="359" customWidth="1"/>
    <col min="7443" max="7443" width="13.140625" style="359" customWidth="1"/>
    <col min="7444" max="7493" width="0" style="359" hidden="1" customWidth="1"/>
    <col min="7494" max="7494" width="12.7109375" style="359" customWidth="1"/>
    <col min="7495" max="7495" width="13.140625" style="359" customWidth="1"/>
    <col min="7496" max="7496" width="11.28515625" style="359" customWidth="1"/>
    <col min="7497" max="7497" width="12.7109375" style="359" customWidth="1"/>
    <col min="7498" max="7498" width="12.140625" style="359" customWidth="1"/>
    <col min="7499" max="7499" width="3.28515625" style="359" customWidth="1"/>
    <col min="7500" max="7500" width="0" style="359" hidden="1" customWidth="1"/>
    <col min="7501" max="7501" width="3.28515625" style="359" customWidth="1"/>
    <col min="7502" max="7502" width="9.85546875" style="359" bestFit="1" customWidth="1"/>
    <col min="7503" max="7503" width="9.5703125" style="359" bestFit="1" customWidth="1"/>
    <col min="7504" max="7680" width="9.140625" style="359"/>
    <col min="7681" max="7681" width="2.85546875" style="359" customWidth="1"/>
    <col min="7682" max="7682" width="3.28515625" style="359" customWidth="1"/>
    <col min="7683" max="7683" width="69.28515625" style="359" customWidth="1"/>
    <col min="7684" max="7684" width="6" style="359" customWidth="1"/>
    <col min="7685" max="7689" width="13.5703125" style="359" customWidth="1"/>
    <col min="7690" max="7694" width="0" style="359" hidden="1" customWidth="1"/>
    <col min="7695" max="7695" width="12.7109375" style="359" customWidth="1"/>
    <col min="7696" max="7697" width="11.28515625" style="359" customWidth="1"/>
    <col min="7698" max="7698" width="12.7109375" style="359" customWidth="1"/>
    <col min="7699" max="7699" width="13.140625" style="359" customWidth="1"/>
    <col min="7700" max="7749" width="0" style="359" hidden="1" customWidth="1"/>
    <col min="7750" max="7750" width="12.7109375" style="359" customWidth="1"/>
    <col min="7751" max="7751" width="13.140625" style="359" customWidth="1"/>
    <col min="7752" max="7752" width="11.28515625" style="359" customWidth="1"/>
    <col min="7753" max="7753" width="12.7109375" style="359" customWidth="1"/>
    <col min="7754" max="7754" width="12.140625" style="359" customWidth="1"/>
    <col min="7755" max="7755" width="3.28515625" style="359" customWidth="1"/>
    <col min="7756" max="7756" width="0" style="359" hidden="1" customWidth="1"/>
    <col min="7757" max="7757" width="3.28515625" style="359" customWidth="1"/>
    <col min="7758" max="7758" width="9.85546875" style="359" bestFit="1" customWidth="1"/>
    <col min="7759" max="7759" width="9.5703125" style="359" bestFit="1" customWidth="1"/>
    <col min="7760" max="7936" width="9.140625" style="359"/>
    <col min="7937" max="7937" width="2.85546875" style="359" customWidth="1"/>
    <col min="7938" max="7938" width="3.28515625" style="359" customWidth="1"/>
    <col min="7939" max="7939" width="69.28515625" style="359" customWidth="1"/>
    <col min="7940" max="7940" width="6" style="359" customWidth="1"/>
    <col min="7941" max="7945" width="13.5703125" style="359" customWidth="1"/>
    <col min="7946" max="7950" width="0" style="359" hidden="1" customWidth="1"/>
    <col min="7951" max="7951" width="12.7109375" style="359" customWidth="1"/>
    <col min="7952" max="7953" width="11.28515625" style="359" customWidth="1"/>
    <col min="7954" max="7954" width="12.7109375" style="359" customWidth="1"/>
    <col min="7955" max="7955" width="13.140625" style="359" customWidth="1"/>
    <col min="7956" max="8005" width="0" style="359" hidden="1" customWidth="1"/>
    <col min="8006" max="8006" width="12.7109375" style="359" customWidth="1"/>
    <col min="8007" max="8007" width="13.140625" style="359" customWidth="1"/>
    <col min="8008" max="8008" width="11.28515625" style="359" customWidth="1"/>
    <col min="8009" max="8009" width="12.7109375" style="359" customWidth="1"/>
    <col min="8010" max="8010" width="12.140625" style="359" customWidth="1"/>
    <col min="8011" max="8011" width="3.28515625" style="359" customWidth="1"/>
    <col min="8012" max="8012" width="0" style="359" hidden="1" customWidth="1"/>
    <col min="8013" max="8013" width="3.28515625" style="359" customWidth="1"/>
    <col min="8014" max="8014" width="9.85546875" style="359" bestFit="1" customWidth="1"/>
    <col min="8015" max="8015" width="9.5703125" style="359" bestFit="1" customWidth="1"/>
    <col min="8016" max="8192" width="9.140625" style="359"/>
    <col min="8193" max="8193" width="2.85546875" style="359" customWidth="1"/>
    <col min="8194" max="8194" width="3.28515625" style="359" customWidth="1"/>
    <col min="8195" max="8195" width="69.28515625" style="359" customWidth="1"/>
    <col min="8196" max="8196" width="6" style="359" customWidth="1"/>
    <col min="8197" max="8201" width="13.5703125" style="359" customWidth="1"/>
    <col min="8202" max="8206" width="0" style="359" hidden="1" customWidth="1"/>
    <col min="8207" max="8207" width="12.7109375" style="359" customWidth="1"/>
    <col min="8208" max="8209" width="11.28515625" style="359" customWidth="1"/>
    <col min="8210" max="8210" width="12.7109375" style="359" customWidth="1"/>
    <col min="8211" max="8211" width="13.140625" style="359" customWidth="1"/>
    <col min="8212" max="8261" width="0" style="359" hidden="1" customWidth="1"/>
    <col min="8262" max="8262" width="12.7109375" style="359" customWidth="1"/>
    <col min="8263" max="8263" width="13.140625" style="359" customWidth="1"/>
    <col min="8264" max="8264" width="11.28515625" style="359" customWidth="1"/>
    <col min="8265" max="8265" width="12.7109375" style="359" customWidth="1"/>
    <col min="8266" max="8266" width="12.140625" style="359" customWidth="1"/>
    <col min="8267" max="8267" width="3.28515625" style="359" customWidth="1"/>
    <col min="8268" max="8268" width="0" style="359" hidden="1" customWidth="1"/>
    <col min="8269" max="8269" width="3.28515625" style="359" customWidth="1"/>
    <col min="8270" max="8270" width="9.85546875" style="359" bestFit="1" customWidth="1"/>
    <col min="8271" max="8271" width="9.5703125" style="359" bestFit="1" customWidth="1"/>
    <col min="8272" max="8448" width="9.140625" style="359"/>
    <col min="8449" max="8449" width="2.85546875" style="359" customWidth="1"/>
    <col min="8450" max="8450" width="3.28515625" style="359" customWidth="1"/>
    <col min="8451" max="8451" width="69.28515625" style="359" customWidth="1"/>
    <col min="8452" max="8452" width="6" style="359" customWidth="1"/>
    <col min="8453" max="8457" width="13.5703125" style="359" customWidth="1"/>
    <col min="8458" max="8462" width="0" style="359" hidden="1" customWidth="1"/>
    <col min="8463" max="8463" width="12.7109375" style="359" customWidth="1"/>
    <col min="8464" max="8465" width="11.28515625" style="359" customWidth="1"/>
    <col min="8466" max="8466" width="12.7109375" style="359" customWidth="1"/>
    <col min="8467" max="8467" width="13.140625" style="359" customWidth="1"/>
    <col min="8468" max="8517" width="0" style="359" hidden="1" customWidth="1"/>
    <col min="8518" max="8518" width="12.7109375" style="359" customWidth="1"/>
    <col min="8519" max="8519" width="13.140625" style="359" customWidth="1"/>
    <col min="8520" max="8520" width="11.28515625" style="359" customWidth="1"/>
    <col min="8521" max="8521" width="12.7109375" style="359" customWidth="1"/>
    <col min="8522" max="8522" width="12.140625" style="359" customWidth="1"/>
    <col min="8523" max="8523" width="3.28515625" style="359" customWidth="1"/>
    <col min="8524" max="8524" width="0" style="359" hidden="1" customWidth="1"/>
    <col min="8525" max="8525" width="3.28515625" style="359" customWidth="1"/>
    <col min="8526" max="8526" width="9.85546875" style="359" bestFit="1" customWidth="1"/>
    <col min="8527" max="8527" width="9.5703125" style="359" bestFit="1" customWidth="1"/>
    <col min="8528" max="8704" width="9.140625" style="359"/>
    <col min="8705" max="8705" width="2.85546875" style="359" customWidth="1"/>
    <col min="8706" max="8706" width="3.28515625" style="359" customWidth="1"/>
    <col min="8707" max="8707" width="69.28515625" style="359" customWidth="1"/>
    <col min="8708" max="8708" width="6" style="359" customWidth="1"/>
    <col min="8709" max="8713" width="13.5703125" style="359" customWidth="1"/>
    <col min="8714" max="8718" width="0" style="359" hidden="1" customWidth="1"/>
    <col min="8719" max="8719" width="12.7109375" style="359" customWidth="1"/>
    <col min="8720" max="8721" width="11.28515625" style="359" customWidth="1"/>
    <col min="8722" max="8722" width="12.7109375" style="359" customWidth="1"/>
    <col min="8723" max="8723" width="13.140625" style="359" customWidth="1"/>
    <col min="8724" max="8773" width="0" style="359" hidden="1" customWidth="1"/>
    <col min="8774" max="8774" width="12.7109375" style="359" customWidth="1"/>
    <col min="8775" max="8775" width="13.140625" style="359" customWidth="1"/>
    <col min="8776" max="8776" width="11.28515625" style="359" customWidth="1"/>
    <col min="8777" max="8777" width="12.7109375" style="359" customWidth="1"/>
    <col min="8778" max="8778" width="12.140625" style="359" customWidth="1"/>
    <col min="8779" max="8779" width="3.28515625" style="359" customWidth="1"/>
    <col min="8780" max="8780" width="0" style="359" hidden="1" customWidth="1"/>
    <col min="8781" max="8781" width="3.28515625" style="359" customWidth="1"/>
    <col min="8782" max="8782" width="9.85546875" style="359" bestFit="1" customWidth="1"/>
    <col min="8783" max="8783" width="9.5703125" style="359" bestFit="1" customWidth="1"/>
    <col min="8784" max="8960" width="9.140625" style="359"/>
    <col min="8961" max="8961" width="2.85546875" style="359" customWidth="1"/>
    <col min="8962" max="8962" width="3.28515625" style="359" customWidth="1"/>
    <col min="8963" max="8963" width="69.28515625" style="359" customWidth="1"/>
    <col min="8964" max="8964" width="6" style="359" customWidth="1"/>
    <col min="8965" max="8969" width="13.5703125" style="359" customWidth="1"/>
    <col min="8970" max="8974" width="0" style="359" hidden="1" customWidth="1"/>
    <col min="8975" max="8975" width="12.7109375" style="359" customWidth="1"/>
    <col min="8976" max="8977" width="11.28515625" style="359" customWidth="1"/>
    <col min="8978" max="8978" width="12.7109375" style="359" customWidth="1"/>
    <col min="8979" max="8979" width="13.140625" style="359" customWidth="1"/>
    <col min="8980" max="9029" width="0" style="359" hidden="1" customWidth="1"/>
    <col min="9030" max="9030" width="12.7109375" style="359" customWidth="1"/>
    <col min="9031" max="9031" width="13.140625" style="359" customWidth="1"/>
    <col min="9032" max="9032" width="11.28515625" style="359" customWidth="1"/>
    <col min="9033" max="9033" width="12.7109375" style="359" customWidth="1"/>
    <col min="9034" max="9034" width="12.140625" style="359" customWidth="1"/>
    <col min="9035" max="9035" width="3.28515625" style="359" customWidth="1"/>
    <col min="9036" max="9036" width="0" style="359" hidden="1" customWidth="1"/>
    <col min="9037" max="9037" width="3.28515625" style="359" customWidth="1"/>
    <col min="9038" max="9038" width="9.85546875" style="359" bestFit="1" customWidth="1"/>
    <col min="9039" max="9039" width="9.5703125" style="359" bestFit="1" customWidth="1"/>
    <col min="9040" max="9216" width="9.140625" style="359"/>
    <col min="9217" max="9217" width="2.85546875" style="359" customWidth="1"/>
    <col min="9218" max="9218" width="3.28515625" style="359" customWidth="1"/>
    <col min="9219" max="9219" width="69.28515625" style="359" customWidth="1"/>
    <col min="9220" max="9220" width="6" style="359" customWidth="1"/>
    <col min="9221" max="9225" width="13.5703125" style="359" customWidth="1"/>
    <col min="9226" max="9230" width="0" style="359" hidden="1" customWidth="1"/>
    <col min="9231" max="9231" width="12.7109375" style="359" customWidth="1"/>
    <col min="9232" max="9233" width="11.28515625" style="359" customWidth="1"/>
    <col min="9234" max="9234" width="12.7109375" style="359" customWidth="1"/>
    <col min="9235" max="9235" width="13.140625" style="359" customWidth="1"/>
    <col min="9236" max="9285" width="0" style="359" hidden="1" customWidth="1"/>
    <col min="9286" max="9286" width="12.7109375" style="359" customWidth="1"/>
    <col min="9287" max="9287" width="13.140625" style="359" customWidth="1"/>
    <col min="9288" max="9288" width="11.28515625" style="359" customWidth="1"/>
    <col min="9289" max="9289" width="12.7109375" style="359" customWidth="1"/>
    <col min="9290" max="9290" width="12.140625" style="359" customWidth="1"/>
    <col min="9291" max="9291" width="3.28515625" style="359" customWidth="1"/>
    <col min="9292" max="9292" width="0" style="359" hidden="1" customWidth="1"/>
    <col min="9293" max="9293" width="3.28515625" style="359" customWidth="1"/>
    <col min="9294" max="9294" width="9.85546875" style="359" bestFit="1" customWidth="1"/>
    <col min="9295" max="9295" width="9.5703125" style="359" bestFit="1" customWidth="1"/>
    <col min="9296" max="9472" width="9.140625" style="359"/>
    <col min="9473" max="9473" width="2.85546875" style="359" customWidth="1"/>
    <col min="9474" max="9474" width="3.28515625" style="359" customWidth="1"/>
    <col min="9475" max="9475" width="69.28515625" style="359" customWidth="1"/>
    <col min="9476" max="9476" width="6" style="359" customWidth="1"/>
    <col min="9477" max="9481" width="13.5703125" style="359" customWidth="1"/>
    <col min="9482" max="9486" width="0" style="359" hidden="1" customWidth="1"/>
    <col min="9487" max="9487" width="12.7109375" style="359" customWidth="1"/>
    <col min="9488" max="9489" width="11.28515625" style="359" customWidth="1"/>
    <col min="9490" max="9490" width="12.7109375" style="359" customWidth="1"/>
    <col min="9491" max="9491" width="13.140625" style="359" customWidth="1"/>
    <col min="9492" max="9541" width="0" style="359" hidden="1" customWidth="1"/>
    <col min="9542" max="9542" width="12.7109375" style="359" customWidth="1"/>
    <col min="9543" max="9543" width="13.140625" style="359" customWidth="1"/>
    <col min="9544" max="9544" width="11.28515625" style="359" customWidth="1"/>
    <col min="9545" max="9545" width="12.7109375" style="359" customWidth="1"/>
    <col min="9546" max="9546" width="12.140625" style="359" customWidth="1"/>
    <col min="9547" max="9547" width="3.28515625" style="359" customWidth="1"/>
    <col min="9548" max="9548" width="0" style="359" hidden="1" customWidth="1"/>
    <col min="9549" max="9549" width="3.28515625" style="359" customWidth="1"/>
    <col min="9550" max="9550" width="9.85546875" style="359" bestFit="1" customWidth="1"/>
    <col min="9551" max="9551" width="9.5703125" style="359" bestFit="1" customWidth="1"/>
    <col min="9552" max="9728" width="9.140625" style="359"/>
    <col min="9729" max="9729" width="2.85546875" style="359" customWidth="1"/>
    <col min="9730" max="9730" width="3.28515625" style="359" customWidth="1"/>
    <col min="9731" max="9731" width="69.28515625" style="359" customWidth="1"/>
    <col min="9732" max="9732" width="6" style="359" customWidth="1"/>
    <col min="9733" max="9737" width="13.5703125" style="359" customWidth="1"/>
    <col min="9738" max="9742" width="0" style="359" hidden="1" customWidth="1"/>
    <col min="9743" max="9743" width="12.7109375" style="359" customWidth="1"/>
    <col min="9744" max="9745" width="11.28515625" style="359" customWidth="1"/>
    <col min="9746" max="9746" width="12.7109375" style="359" customWidth="1"/>
    <col min="9747" max="9747" width="13.140625" style="359" customWidth="1"/>
    <col min="9748" max="9797" width="0" style="359" hidden="1" customWidth="1"/>
    <col min="9798" max="9798" width="12.7109375" style="359" customWidth="1"/>
    <col min="9799" max="9799" width="13.140625" style="359" customWidth="1"/>
    <col min="9800" max="9800" width="11.28515625" style="359" customWidth="1"/>
    <col min="9801" max="9801" width="12.7109375" style="359" customWidth="1"/>
    <col min="9802" max="9802" width="12.140625" style="359" customWidth="1"/>
    <col min="9803" max="9803" width="3.28515625" style="359" customWidth="1"/>
    <col min="9804" max="9804" width="0" style="359" hidden="1" customWidth="1"/>
    <col min="9805" max="9805" width="3.28515625" style="359" customWidth="1"/>
    <col min="9806" max="9806" width="9.85546875" style="359" bestFit="1" customWidth="1"/>
    <col min="9807" max="9807" width="9.5703125" style="359" bestFit="1" customWidth="1"/>
    <col min="9808" max="9984" width="9.140625" style="359"/>
    <col min="9985" max="9985" width="2.85546875" style="359" customWidth="1"/>
    <col min="9986" max="9986" width="3.28515625" style="359" customWidth="1"/>
    <col min="9987" max="9987" width="69.28515625" style="359" customWidth="1"/>
    <col min="9988" max="9988" width="6" style="359" customWidth="1"/>
    <col min="9989" max="9993" width="13.5703125" style="359" customWidth="1"/>
    <col min="9994" max="9998" width="0" style="359" hidden="1" customWidth="1"/>
    <col min="9999" max="9999" width="12.7109375" style="359" customWidth="1"/>
    <col min="10000" max="10001" width="11.28515625" style="359" customWidth="1"/>
    <col min="10002" max="10002" width="12.7109375" style="359" customWidth="1"/>
    <col min="10003" max="10003" width="13.140625" style="359" customWidth="1"/>
    <col min="10004" max="10053" width="0" style="359" hidden="1" customWidth="1"/>
    <col min="10054" max="10054" width="12.7109375" style="359" customWidth="1"/>
    <col min="10055" max="10055" width="13.140625" style="359" customWidth="1"/>
    <col min="10056" max="10056" width="11.28515625" style="359" customWidth="1"/>
    <col min="10057" max="10057" width="12.7109375" style="359" customWidth="1"/>
    <col min="10058" max="10058" width="12.140625" style="359" customWidth="1"/>
    <col min="10059" max="10059" width="3.28515625" style="359" customWidth="1"/>
    <col min="10060" max="10060" width="0" style="359" hidden="1" customWidth="1"/>
    <col min="10061" max="10061" width="3.28515625" style="359" customWidth="1"/>
    <col min="10062" max="10062" width="9.85546875" style="359" bestFit="1" customWidth="1"/>
    <col min="10063" max="10063" width="9.5703125" style="359" bestFit="1" customWidth="1"/>
    <col min="10064" max="10240" width="9.140625" style="359"/>
    <col min="10241" max="10241" width="2.85546875" style="359" customWidth="1"/>
    <col min="10242" max="10242" width="3.28515625" style="359" customWidth="1"/>
    <col min="10243" max="10243" width="69.28515625" style="359" customWidth="1"/>
    <col min="10244" max="10244" width="6" style="359" customWidth="1"/>
    <col min="10245" max="10249" width="13.5703125" style="359" customWidth="1"/>
    <col min="10250" max="10254" width="0" style="359" hidden="1" customWidth="1"/>
    <col min="10255" max="10255" width="12.7109375" style="359" customWidth="1"/>
    <col min="10256" max="10257" width="11.28515625" style="359" customWidth="1"/>
    <col min="10258" max="10258" width="12.7109375" style="359" customWidth="1"/>
    <col min="10259" max="10259" width="13.140625" style="359" customWidth="1"/>
    <col min="10260" max="10309" width="0" style="359" hidden="1" customWidth="1"/>
    <col min="10310" max="10310" width="12.7109375" style="359" customWidth="1"/>
    <col min="10311" max="10311" width="13.140625" style="359" customWidth="1"/>
    <col min="10312" max="10312" width="11.28515625" style="359" customWidth="1"/>
    <col min="10313" max="10313" width="12.7109375" style="359" customWidth="1"/>
    <col min="10314" max="10314" width="12.140625" style="359" customWidth="1"/>
    <col min="10315" max="10315" width="3.28515625" style="359" customWidth="1"/>
    <col min="10316" max="10316" width="0" style="359" hidden="1" customWidth="1"/>
    <col min="10317" max="10317" width="3.28515625" style="359" customWidth="1"/>
    <col min="10318" max="10318" width="9.85546875" style="359" bestFit="1" customWidth="1"/>
    <col min="10319" max="10319" width="9.5703125" style="359" bestFit="1" customWidth="1"/>
    <col min="10320" max="10496" width="9.140625" style="359"/>
    <col min="10497" max="10497" width="2.85546875" style="359" customWidth="1"/>
    <col min="10498" max="10498" width="3.28515625" style="359" customWidth="1"/>
    <col min="10499" max="10499" width="69.28515625" style="359" customWidth="1"/>
    <col min="10500" max="10500" width="6" style="359" customWidth="1"/>
    <col min="10501" max="10505" width="13.5703125" style="359" customWidth="1"/>
    <col min="10506" max="10510" width="0" style="359" hidden="1" customWidth="1"/>
    <col min="10511" max="10511" width="12.7109375" style="359" customWidth="1"/>
    <col min="10512" max="10513" width="11.28515625" style="359" customWidth="1"/>
    <col min="10514" max="10514" width="12.7109375" style="359" customWidth="1"/>
    <col min="10515" max="10515" width="13.140625" style="359" customWidth="1"/>
    <col min="10516" max="10565" width="0" style="359" hidden="1" customWidth="1"/>
    <col min="10566" max="10566" width="12.7109375" style="359" customWidth="1"/>
    <col min="10567" max="10567" width="13.140625" style="359" customWidth="1"/>
    <col min="10568" max="10568" width="11.28515625" style="359" customWidth="1"/>
    <col min="10569" max="10569" width="12.7109375" style="359" customWidth="1"/>
    <col min="10570" max="10570" width="12.140625" style="359" customWidth="1"/>
    <col min="10571" max="10571" width="3.28515625" style="359" customWidth="1"/>
    <col min="10572" max="10572" width="0" style="359" hidden="1" customWidth="1"/>
    <col min="10573" max="10573" width="3.28515625" style="359" customWidth="1"/>
    <col min="10574" max="10574" width="9.85546875" style="359" bestFit="1" customWidth="1"/>
    <col min="10575" max="10575" width="9.5703125" style="359" bestFit="1" customWidth="1"/>
    <col min="10576" max="10752" width="9.140625" style="359"/>
    <col min="10753" max="10753" width="2.85546875" style="359" customWidth="1"/>
    <col min="10754" max="10754" width="3.28515625" style="359" customWidth="1"/>
    <col min="10755" max="10755" width="69.28515625" style="359" customWidth="1"/>
    <col min="10756" max="10756" width="6" style="359" customWidth="1"/>
    <col min="10757" max="10761" width="13.5703125" style="359" customWidth="1"/>
    <col min="10762" max="10766" width="0" style="359" hidden="1" customWidth="1"/>
    <col min="10767" max="10767" width="12.7109375" style="359" customWidth="1"/>
    <col min="10768" max="10769" width="11.28515625" style="359" customWidth="1"/>
    <col min="10770" max="10770" width="12.7109375" style="359" customWidth="1"/>
    <col min="10771" max="10771" width="13.140625" style="359" customWidth="1"/>
    <col min="10772" max="10821" width="0" style="359" hidden="1" customWidth="1"/>
    <col min="10822" max="10822" width="12.7109375" style="359" customWidth="1"/>
    <col min="10823" max="10823" width="13.140625" style="359" customWidth="1"/>
    <col min="10824" max="10824" width="11.28515625" style="359" customWidth="1"/>
    <col min="10825" max="10825" width="12.7109375" style="359" customWidth="1"/>
    <col min="10826" max="10826" width="12.140625" style="359" customWidth="1"/>
    <col min="10827" max="10827" width="3.28515625" style="359" customWidth="1"/>
    <col min="10828" max="10828" width="0" style="359" hidden="1" customWidth="1"/>
    <col min="10829" max="10829" width="3.28515625" style="359" customWidth="1"/>
    <col min="10830" max="10830" width="9.85546875" style="359" bestFit="1" customWidth="1"/>
    <col min="10831" max="10831" width="9.5703125" style="359" bestFit="1" customWidth="1"/>
    <col min="10832" max="11008" width="9.140625" style="359"/>
    <col min="11009" max="11009" width="2.85546875" style="359" customWidth="1"/>
    <col min="11010" max="11010" width="3.28515625" style="359" customWidth="1"/>
    <col min="11011" max="11011" width="69.28515625" style="359" customWidth="1"/>
    <col min="11012" max="11012" width="6" style="359" customWidth="1"/>
    <col min="11013" max="11017" width="13.5703125" style="359" customWidth="1"/>
    <col min="11018" max="11022" width="0" style="359" hidden="1" customWidth="1"/>
    <col min="11023" max="11023" width="12.7109375" style="359" customWidth="1"/>
    <col min="11024" max="11025" width="11.28515625" style="359" customWidth="1"/>
    <col min="11026" max="11026" width="12.7109375" style="359" customWidth="1"/>
    <col min="11027" max="11027" width="13.140625" style="359" customWidth="1"/>
    <col min="11028" max="11077" width="0" style="359" hidden="1" customWidth="1"/>
    <col min="11078" max="11078" width="12.7109375" style="359" customWidth="1"/>
    <col min="11079" max="11079" width="13.140625" style="359" customWidth="1"/>
    <col min="11080" max="11080" width="11.28515625" style="359" customWidth="1"/>
    <col min="11081" max="11081" width="12.7109375" style="359" customWidth="1"/>
    <col min="11082" max="11082" width="12.140625" style="359" customWidth="1"/>
    <col min="11083" max="11083" width="3.28515625" style="359" customWidth="1"/>
    <col min="11084" max="11084" width="0" style="359" hidden="1" customWidth="1"/>
    <col min="11085" max="11085" width="3.28515625" style="359" customWidth="1"/>
    <col min="11086" max="11086" width="9.85546875" style="359" bestFit="1" customWidth="1"/>
    <col min="11087" max="11087" width="9.5703125" style="359" bestFit="1" customWidth="1"/>
    <col min="11088" max="11264" width="9.140625" style="359"/>
    <col min="11265" max="11265" width="2.85546875" style="359" customWidth="1"/>
    <col min="11266" max="11266" width="3.28515625" style="359" customWidth="1"/>
    <col min="11267" max="11267" width="69.28515625" style="359" customWidth="1"/>
    <col min="11268" max="11268" width="6" style="359" customWidth="1"/>
    <col min="11269" max="11273" width="13.5703125" style="359" customWidth="1"/>
    <col min="11274" max="11278" width="0" style="359" hidden="1" customWidth="1"/>
    <col min="11279" max="11279" width="12.7109375" style="359" customWidth="1"/>
    <col min="11280" max="11281" width="11.28515625" style="359" customWidth="1"/>
    <col min="11282" max="11282" width="12.7109375" style="359" customWidth="1"/>
    <col min="11283" max="11283" width="13.140625" style="359" customWidth="1"/>
    <col min="11284" max="11333" width="0" style="359" hidden="1" customWidth="1"/>
    <col min="11334" max="11334" width="12.7109375" style="359" customWidth="1"/>
    <col min="11335" max="11335" width="13.140625" style="359" customWidth="1"/>
    <col min="11336" max="11336" width="11.28515625" style="359" customWidth="1"/>
    <col min="11337" max="11337" width="12.7109375" style="359" customWidth="1"/>
    <col min="11338" max="11338" width="12.140625" style="359" customWidth="1"/>
    <col min="11339" max="11339" width="3.28515625" style="359" customWidth="1"/>
    <col min="11340" max="11340" width="0" style="359" hidden="1" customWidth="1"/>
    <col min="11341" max="11341" width="3.28515625" style="359" customWidth="1"/>
    <col min="11342" max="11342" width="9.85546875" style="359" bestFit="1" customWidth="1"/>
    <col min="11343" max="11343" width="9.5703125" style="359" bestFit="1" customWidth="1"/>
    <col min="11344" max="11520" width="9.140625" style="359"/>
    <col min="11521" max="11521" width="2.85546875" style="359" customWidth="1"/>
    <col min="11522" max="11522" width="3.28515625" style="359" customWidth="1"/>
    <col min="11523" max="11523" width="69.28515625" style="359" customWidth="1"/>
    <col min="11524" max="11524" width="6" style="359" customWidth="1"/>
    <col min="11525" max="11529" width="13.5703125" style="359" customWidth="1"/>
    <col min="11530" max="11534" width="0" style="359" hidden="1" customWidth="1"/>
    <col min="11535" max="11535" width="12.7109375" style="359" customWidth="1"/>
    <col min="11536" max="11537" width="11.28515625" style="359" customWidth="1"/>
    <col min="11538" max="11538" width="12.7109375" style="359" customWidth="1"/>
    <col min="11539" max="11539" width="13.140625" style="359" customWidth="1"/>
    <col min="11540" max="11589" width="0" style="359" hidden="1" customWidth="1"/>
    <col min="11590" max="11590" width="12.7109375" style="359" customWidth="1"/>
    <col min="11591" max="11591" width="13.140625" style="359" customWidth="1"/>
    <col min="11592" max="11592" width="11.28515625" style="359" customWidth="1"/>
    <col min="11593" max="11593" width="12.7109375" style="359" customWidth="1"/>
    <col min="11594" max="11594" width="12.140625" style="359" customWidth="1"/>
    <col min="11595" max="11595" width="3.28515625" style="359" customWidth="1"/>
    <col min="11596" max="11596" width="0" style="359" hidden="1" customWidth="1"/>
    <col min="11597" max="11597" width="3.28515625" style="359" customWidth="1"/>
    <col min="11598" max="11598" width="9.85546875" style="359" bestFit="1" customWidth="1"/>
    <col min="11599" max="11599" width="9.5703125" style="359" bestFit="1" customWidth="1"/>
    <col min="11600" max="11776" width="9.140625" style="359"/>
    <col min="11777" max="11777" width="2.85546875" style="359" customWidth="1"/>
    <col min="11778" max="11778" width="3.28515625" style="359" customWidth="1"/>
    <col min="11779" max="11779" width="69.28515625" style="359" customWidth="1"/>
    <col min="11780" max="11780" width="6" style="359" customWidth="1"/>
    <col min="11781" max="11785" width="13.5703125" style="359" customWidth="1"/>
    <col min="11786" max="11790" width="0" style="359" hidden="1" customWidth="1"/>
    <col min="11791" max="11791" width="12.7109375" style="359" customWidth="1"/>
    <col min="11792" max="11793" width="11.28515625" style="359" customWidth="1"/>
    <col min="11794" max="11794" width="12.7109375" style="359" customWidth="1"/>
    <col min="11795" max="11795" width="13.140625" style="359" customWidth="1"/>
    <col min="11796" max="11845" width="0" style="359" hidden="1" customWidth="1"/>
    <col min="11846" max="11846" width="12.7109375" style="359" customWidth="1"/>
    <col min="11847" max="11847" width="13.140625" style="359" customWidth="1"/>
    <col min="11848" max="11848" width="11.28515625" style="359" customWidth="1"/>
    <col min="11849" max="11849" width="12.7109375" style="359" customWidth="1"/>
    <col min="11850" max="11850" width="12.140625" style="359" customWidth="1"/>
    <col min="11851" max="11851" width="3.28515625" style="359" customWidth="1"/>
    <col min="11852" max="11852" width="0" style="359" hidden="1" customWidth="1"/>
    <col min="11853" max="11853" width="3.28515625" style="359" customWidth="1"/>
    <col min="11854" max="11854" width="9.85546875" style="359" bestFit="1" customWidth="1"/>
    <col min="11855" max="11855" width="9.5703125" style="359" bestFit="1" customWidth="1"/>
    <col min="11856" max="12032" width="9.140625" style="359"/>
    <col min="12033" max="12033" width="2.85546875" style="359" customWidth="1"/>
    <col min="12034" max="12034" width="3.28515625" style="359" customWidth="1"/>
    <col min="12035" max="12035" width="69.28515625" style="359" customWidth="1"/>
    <col min="12036" max="12036" width="6" style="359" customWidth="1"/>
    <col min="12037" max="12041" width="13.5703125" style="359" customWidth="1"/>
    <col min="12042" max="12046" width="0" style="359" hidden="1" customWidth="1"/>
    <col min="12047" max="12047" width="12.7109375" style="359" customWidth="1"/>
    <col min="12048" max="12049" width="11.28515625" style="359" customWidth="1"/>
    <col min="12050" max="12050" width="12.7109375" style="359" customWidth="1"/>
    <col min="12051" max="12051" width="13.140625" style="359" customWidth="1"/>
    <col min="12052" max="12101" width="0" style="359" hidden="1" customWidth="1"/>
    <col min="12102" max="12102" width="12.7109375" style="359" customWidth="1"/>
    <col min="12103" max="12103" width="13.140625" style="359" customWidth="1"/>
    <col min="12104" max="12104" width="11.28515625" style="359" customWidth="1"/>
    <col min="12105" max="12105" width="12.7109375" style="359" customWidth="1"/>
    <col min="12106" max="12106" width="12.140625" style="359" customWidth="1"/>
    <col min="12107" max="12107" width="3.28515625" style="359" customWidth="1"/>
    <col min="12108" max="12108" width="0" style="359" hidden="1" customWidth="1"/>
    <col min="12109" max="12109" width="3.28515625" style="359" customWidth="1"/>
    <col min="12110" max="12110" width="9.85546875" style="359" bestFit="1" customWidth="1"/>
    <col min="12111" max="12111" width="9.5703125" style="359" bestFit="1" customWidth="1"/>
    <col min="12112" max="12288" width="9.140625" style="359"/>
    <col min="12289" max="12289" width="2.85546875" style="359" customWidth="1"/>
    <col min="12290" max="12290" width="3.28515625" style="359" customWidth="1"/>
    <col min="12291" max="12291" width="69.28515625" style="359" customWidth="1"/>
    <col min="12292" max="12292" width="6" style="359" customWidth="1"/>
    <col min="12293" max="12297" width="13.5703125" style="359" customWidth="1"/>
    <col min="12298" max="12302" width="0" style="359" hidden="1" customWidth="1"/>
    <col min="12303" max="12303" width="12.7109375" style="359" customWidth="1"/>
    <col min="12304" max="12305" width="11.28515625" style="359" customWidth="1"/>
    <col min="12306" max="12306" width="12.7109375" style="359" customWidth="1"/>
    <col min="12307" max="12307" width="13.140625" style="359" customWidth="1"/>
    <col min="12308" max="12357" width="0" style="359" hidden="1" customWidth="1"/>
    <col min="12358" max="12358" width="12.7109375" style="359" customWidth="1"/>
    <col min="12359" max="12359" width="13.140625" style="359" customWidth="1"/>
    <col min="12360" max="12360" width="11.28515625" style="359" customWidth="1"/>
    <col min="12361" max="12361" width="12.7109375" style="359" customWidth="1"/>
    <col min="12362" max="12362" width="12.140625" style="359" customWidth="1"/>
    <col min="12363" max="12363" width="3.28515625" style="359" customWidth="1"/>
    <col min="12364" max="12364" width="0" style="359" hidden="1" customWidth="1"/>
    <col min="12365" max="12365" width="3.28515625" style="359" customWidth="1"/>
    <col min="12366" max="12366" width="9.85546875" style="359" bestFit="1" customWidth="1"/>
    <col min="12367" max="12367" width="9.5703125" style="359" bestFit="1" customWidth="1"/>
    <col min="12368" max="12544" width="9.140625" style="359"/>
    <col min="12545" max="12545" width="2.85546875" style="359" customWidth="1"/>
    <col min="12546" max="12546" width="3.28515625" style="359" customWidth="1"/>
    <col min="12547" max="12547" width="69.28515625" style="359" customWidth="1"/>
    <col min="12548" max="12548" width="6" style="359" customWidth="1"/>
    <col min="12549" max="12553" width="13.5703125" style="359" customWidth="1"/>
    <col min="12554" max="12558" width="0" style="359" hidden="1" customWidth="1"/>
    <col min="12559" max="12559" width="12.7109375" style="359" customWidth="1"/>
    <col min="12560" max="12561" width="11.28515625" style="359" customWidth="1"/>
    <col min="12562" max="12562" width="12.7109375" style="359" customWidth="1"/>
    <col min="12563" max="12563" width="13.140625" style="359" customWidth="1"/>
    <col min="12564" max="12613" width="0" style="359" hidden="1" customWidth="1"/>
    <col min="12614" max="12614" width="12.7109375" style="359" customWidth="1"/>
    <col min="12615" max="12615" width="13.140625" style="359" customWidth="1"/>
    <col min="12616" max="12616" width="11.28515625" style="359" customWidth="1"/>
    <col min="12617" max="12617" width="12.7109375" style="359" customWidth="1"/>
    <col min="12618" max="12618" width="12.140625" style="359" customWidth="1"/>
    <col min="12619" max="12619" width="3.28515625" style="359" customWidth="1"/>
    <col min="12620" max="12620" width="0" style="359" hidden="1" customWidth="1"/>
    <col min="12621" max="12621" width="3.28515625" style="359" customWidth="1"/>
    <col min="12622" max="12622" width="9.85546875" style="359" bestFit="1" customWidth="1"/>
    <col min="12623" max="12623" width="9.5703125" style="359" bestFit="1" customWidth="1"/>
    <col min="12624" max="12800" width="9.140625" style="359"/>
    <col min="12801" max="12801" width="2.85546875" style="359" customWidth="1"/>
    <col min="12802" max="12802" width="3.28515625" style="359" customWidth="1"/>
    <col min="12803" max="12803" width="69.28515625" style="359" customWidth="1"/>
    <col min="12804" max="12804" width="6" style="359" customWidth="1"/>
    <col min="12805" max="12809" width="13.5703125" style="359" customWidth="1"/>
    <col min="12810" max="12814" width="0" style="359" hidden="1" customWidth="1"/>
    <col min="12815" max="12815" width="12.7109375" style="359" customWidth="1"/>
    <col min="12816" max="12817" width="11.28515625" style="359" customWidth="1"/>
    <col min="12818" max="12818" width="12.7109375" style="359" customWidth="1"/>
    <col min="12819" max="12819" width="13.140625" style="359" customWidth="1"/>
    <col min="12820" max="12869" width="0" style="359" hidden="1" customWidth="1"/>
    <col min="12870" max="12870" width="12.7109375" style="359" customWidth="1"/>
    <col min="12871" max="12871" width="13.140625" style="359" customWidth="1"/>
    <col min="12872" max="12872" width="11.28515625" style="359" customWidth="1"/>
    <col min="12873" max="12873" width="12.7109375" style="359" customWidth="1"/>
    <col min="12874" max="12874" width="12.140625" style="359" customWidth="1"/>
    <col min="12875" max="12875" width="3.28515625" style="359" customWidth="1"/>
    <col min="12876" max="12876" width="0" style="359" hidden="1" customWidth="1"/>
    <col min="12877" max="12877" width="3.28515625" style="359" customWidth="1"/>
    <col min="12878" max="12878" width="9.85546875" style="359" bestFit="1" customWidth="1"/>
    <col min="12879" max="12879" width="9.5703125" style="359" bestFit="1" customWidth="1"/>
    <col min="12880" max="13056" width="9.140625" style="359"/>
    <col min="13057" max="13057" width="2.85546875" style="359" customWidth="1"/>
    <col min="13058" max="13058" width="3.28515625" style="359" customWidth="1"/>
    <col min="13059" max="13059" width="69.28515625" style="359" customWidth="1"/>
    <col min="13060" max="13060" width="6" style="359" customWidth="1"/>
    <col min="13061" max="13065" width="13.5703125" style="359" customWidth="1"/>
    <col min="13066" max="13070" width="0" style="359" hidden="1" customWidth="1"/>
    <col min="13071" max="13071" width="12.7109375" style="359" customWidth="1"/>
    <col min="13072" max="13073" width="11.28515625" style="359" customWidth="1"/>
    <col min="13074" max="13074" width="12.7109375" style="359" customWidth="1"/>
    <col min="13075" max="13075" width="13.140625" style="359" customWidth="1"/>
    <col min="13076" max="13125" width="0" style="359" hidden="1" customWidth="1"/>
    <col min="13126" max="13126" width="12.7109375" style="359" customWidth="1"/>
    <col min="13127" max="13127" width="13.140625" style="359" customWidth="1"/>
    <col min="13128" max="13128" width="11.28515625" style="359" customWidth="1"/>
    <col min="13129" max="13129" width="12.7109375" style="359" customWidth="1"/>
    <col min="13130" max="13130" width="12.140625" style="359" customWidth="1"/>
    <col min="13131" max="13131" width="3.28515625" style="359" customWidth="1"/>
    <col min="13132" max="13132" width="0" style="359" hidden="1" customWidth="1"/>
    <col min="13133" max="13133" width="3.28515625" style="359" customWidth="1"/>
    <col min="13134" max="13134" width="9.85546875" style="359" bestFit="1" customWidth="1"/>
    <col min="13135" max="13135" width="9.5703125" style="359" bestFit="1" customWidth="1"/>
    <col min="13136" max="13312" width="9.140625" style="359"/>
    <col min="13313" max="13313" width="2.85546875" style="359" customWidth="1"/>
    <col min="13314" max="13314" width="3.28515625" style="359" customWidth="1"/>
    <col min="13315" max="13315" width="69.28515625" style="359" customWidth="1"/>
    <col min="13316" max="13316" width="6" style="359" customWidth="1"/>
    <col min="13317" max="13321" width="13.5703125" style="359" customWidth="1"/>
    <col min="13322" max="13326" width="0" style="359" hidden="1" customWidth="1"/>
    <col min="13327" max="13327" width="12.7109375" style="359" customWidth="1"/>
    <col min="13328" max="13329" width="11.28515625" style="359" customWidth="1"/>
    <col min="13330" max="13330" width="12.7109375" style="359" customWidth="1"/>
    <col min="13331" max="13331" width="13.140625" style="359" customWidth="1"/>
    <col min="13332" max="13381" width="0" style="359" hidden="1" customWidth="1"/>
    <col min="13382" max="13382" width="12.7109375" style="359" customWidth="1"/>
    <col min="13383" max="13383" width="13.140625" style="359" customWidth="1"/>
    <col min="13384" max="13384" width="11.28515625" style="359" customWidth="1"/>
    <col min="13385" max="13385" width="12.7109375" style="359" customWidth="1"/>
    <col min="13386" max="13386" width="12.140625" style="359" customWidth="1"/>
    <col min="13387" max="13387" width="3.28515625" style="359" customWidth="1"/>
    <col min="13388" max="13388" width="0" style="359" hidden="1" customWidth="1"/>
    <col min="13389" max="13389" width="3.28515625" style="359" customWidth="1"/>
    <col min="13390" max="13390" width="9.85546875" style="359" bestFit="1" customWidth="1"/>
    <col min="13391" max="13391" width="9.5703125" style="359" bestFit="1" customWidth="1"/>
    <col min="13392" max="13568" width="9.140625" style="359"/>
    <col min="13569" max="13569" width="2.85546875" style="359" customWidth="1"/>
    <col min="13570" max="13570" width="3.28515625" style="359" customWidth="1"/>
    <col min="13571" max="13571" width="69.28515625" style="359" customWidth="1"/>
    <col min="13572" max="13572" width="6" style="359" customWidth="1"/>
    <col min="13573" max="13577" width="13.5703125" style="359" customWidth="1"/>
    <col min="13578" max="13582" width="0" style="359" hidden="1" customWidth="1"/>
    <col min="13583" max="13583" width="12.7109375" style="359" customWidth="1"/>
    <col min="13584" max="13585" width="11.28515625" style="359" customWidth="1"/>
    <col min="13586" max="13586" width="12.7109375" style="359" customWidth="1"/>
    <col min="13587" max="13587" width="13.140625" style="359" customWidth="1"/>
    <col min="13588" max="13637" width="0" style="359" hidden="1" customWidth="1"/>
    <col min="13638" max="13638" width="12.7109375" style="359" customWidth="1"/>
    <col min="13639" max="13639" width="13.140625" style="359" customWidth="1"/>
    <col min="13640" max="13640" width="11.28515625" style="359" customWidth="1"/>
    <col min="13641" max="13641" width="12.7109375" style="359" customWidth="1"/>
    <col min="13642" max="13642" width="12.140625" style="359" customWidth="1"/>
    <col min="13643" max="13643" width="3.28515625" style="359" customWidth="1"/>
    <col min="13644" max="13644" width="0" style="359" hidden="1" customWidth="1"/>
    <col min="13645" max="13645" width="3.28515625" style="359" customWidth="1"/>
    <col min="13646" max="13646" width="9.85546875" style="359" bestFit="1" customWidth="1"/>
    <col min="13647" max="13647" width="9.5703125" style="359" bestFit="1" customWidth="1"/>
    <col min="13648" max="13824" width="9.140625" style="359"/>
    <col min="13825" max="13825" width="2.85546875" style="359" customWidth="1"/>
    <col min="13826" max="13826" width="3.28515625" style="359" customWidth="1"/>
    <col min="13827" max="13827" width="69.28515625" style="359" customWidth="1"/>
    <col min="13828" max="13828" width="6" style="359" customWidth="1"/>
    <col min="13829" max="13833" width="13.5703125" style="359" customWidth="1"/>
    <col min="13834" max="13838" width="0" style="359" hidden="1" customWidth="1"/>
    <col min="13839" max="13839" width="12.7109375" style="359" customWidth="1"/>
    <col min="13840" max="13841" width="11.28515625" style="359" customWidth="1"/>
    <col min="13842" max="13842" width="12.7109375" style="359" customWidth="1"/>
    <col min="13843" max="13843" width="13.140625" style="359" customWidth="1"/>
    <col min="13844" max="13893" width="0" style="359" hidden="1" customWidth="1"/>
    <col min="13894" max="13894" width="12.7109375" style="359" customWidth="1"/>
    <col min="13895" max="13895" width="13.140625" style="359" customWidth="1"/>
    <col min="13896" max="13896" width="11.28515625" style="359" customWidth="1"/>
    <col min="13897" max="13897" width="12.7109375" style="359" customWidth="1"/>
    <col min="13898" max="13898" width="12.140625" style="359" customWidth="1"/>
    <col min="13899" max="13899" width="3.28515625" style="359" customWidth="1"/>
    <col min="13900" max="13900" width="0" style="359" hidden="1" customWidth="1"/>
    <col min="13901" max="13901" width="3.28515625" style="359" customWidth="1"/>
    <col min="13902" max="13902" width="9.85546875" style="359" bestFit="1" customWidth="1"/>
    <col min="13903" max="13903" width="9.5703125" style="359" bestFit="1" customWidth="1"/>
    <col min="13904" max="14080" width="9.140625" style="359"/>
    <col min="14081" max="14081" width="2.85546875" style="359" customWidth="1"/>
    <col min="14082" max="14082" width="3.28515625" style="359" customWidth="1"/>
    <col min="14083" max="14083" width="69.28515625" style="359" customWidth="1"/>
    <col min="14084" max="14084" width="6" style="359" customWidth="1"/>
    <col min="14085" max="14089" width="13.5703125" style="359" customWidth="1"/>
    <col min="14090" max="14094" width="0" style="359" hidden="1" customWidth="1"/>
    <col min="14095" max="14095" width="12.7109375" style="359" customWidth="1"/>
    <col min="14096" max="14097" width="11.28515625" style="359" customWidth="1"/>
    <col min="14098" max="14098" width="12.7109375" style="359" customWidth="1"/>
    <col min="14099" max="14099" width="13.140625" style="359" customWidth="1"/>
    <col min="14100" max="14149" width="0" style="359" hidden="1" customWidth="1"/>
    <col min="14150" max="14150" width="12.7109375" style="359" customWidth="1"/>
    <col min="14151" max="14151" width="13.140625" style="359" customWidth="1"/>
    <col min="14152" max="14152" width="11.28515625" style="359" customWidth="1"/>
    <col min="14153" max="14153" width="12.7109375" style="359" customWidth="1"/>
    <col min="14154" max="14154" width="12.140625" style="359" customWidth="1"/>
    <col min="14155" max="14155" width="3.28515625" style="359" customWidth="1"/>
    <col min="14156" max="14156" width="0" style="359" hidden="1" customWidth="1"/>
    <col min="14157" max="14157" width="3.28515625" style="359" customWidth="1"/>
    <col min="14158" max="14158" width="9.85546875" style="359" bestFit="1" customWidth="1"/>
    <col min="14159" max="14159" width="9.5703125" style="359" bestFit="1" customWidth="1"/>
    <col min="14160" max="14336" width="9.140625" style="359"/>
    <col min="14337" max="14337" width="2.85546875" style="359" customWidth="1"/>
    <col min="14338" max="14338" width="3.28515625" style="359" customWidth="1"/>
    <col min="14339" max="14339" width="69.28515625" style="359" customWidth="1"/>
    <col min="14340" max="14340" width="6" style="359" customWidth="1"/>
    <col min="14341" max="14345" width="13.5703125" style="359" customWidth="1"/>
    <col min="14346" max="14350" width="0" style="359" hidden="1" customWidth="1"/>
    <col min="14351" max="14351" width="12.7109375" style="359" customWidth="1"/>
    <col min="14352" max="14353" width="11.28515625" style="359" customWidth="1"/>
    <col min="14354" max="14354" width="12.7109375" style="359" customWidth="1"/>
    <col min="14355" max="14355" width="13.140625" style="359" customWidth="1"/>
    <col min="14356" max="14405" width="0" style="359" hidden="1" customWidth="1"/>
    <col min="14406" max="14406" width="12.7109375" style="359" customWidth="1"/>
    <col min="14407" max="14407" width="13.140625" style="359" customWidth="1"/>
    <col min="14408" max="14408" width="11.28515625" style="359" customWidth="1"/>
    <col min="14409" max="14409" width="12.7109375" style="359" customWidth="1"/>
    <col min="14410" max="14410" width="12.140625" style="359" customWidth="1"/>
    <col min="14411" max="14411" width="3.28515625" style="359" customWidth="1"/>
    <col min="14412" max="14412" width="0" style="359" hidden="1" customWidth="1"/>
    <col min="14413" max="14413" width="3.28515625" style="359" customWidth="1"/>
    <col min="14414" max="14414" width="9.85546875" style="359" bestFit="1" customWidth="1"/>
    <col min="14415" max="14415" width="9.5703125" style="359" bestFit="1" customWidth="1"/>
    <col min="14416" max="14592" width="9.140625" style="359"/>
    <col min="14593" max="14593" width="2.85546875" style="359" customWidth="1"/>
    <col min="14594" max="14594" width="3.28515625" style="359" customWidth="1"/>
    <col min="14595" max="14595" width="69.28515625" style="359" customWidth="1"/>
    <col min="14596" max="14596" width="6" style="359" customWidth="1"/>
    <col min="14597" max="14601" width="13.5703125" style="359" customWidth="1"/>
    <col min="14602" max="14606" width="0" style="359" hidden="1" customWidth="1"/>
    <col min="14607" max="14607" width="12.7109375" style="359" customWidth="1"/>
    <col min="14608" max="14609" width="11.28515625" style="359" customWidth="1"/>
    <col min="14610" max="14610" width="12.7109375" style="359" customWidth="1"/>
    <col min="14611" max="14611" width="13.140625" style="359" customWidth="1"/>
    <col min="14612" max="14661" width="0" style="359" hidden="1" customWidth="1"/>
    <col min="14662" max="14662" width="12.7109375" style="359" customWidth="1"/>
    <col min="14663" max="14663" width="13.140625" style="359" customWidth="1"/>
    <col min="14664" max="14664" width="11.28515625" style="359" customWidth="1"/>
    <col min="14665" max="14665" width="12.7109375" style="359" customWidth="1"/>
    <col min="14666" max="14666" width="12.140625" style="359" customWidth="1"/>
    <col min="14667" max="14667" width="3.28515625" style="359" customWidth="1"/>
    <col min="14668" max="14668" width="0" style="359" hidden="1" customWidth="1"/>
    <col min="14669" max="14669" width="3.28515625" style="359" customWidth="1"/>
    <col min="14670" max="14670" width="9.85546875" style="359" bestFit="1" customWidth="1"/>
    <col min="14671" max="14671" width="9.5703125" style="359" bestFit="1" customWidth="1"/>
    <col min="14672" max="14848" width="9.140625" style="359"/>
    <col min="14849" max="14849" width="2.85546875" style="359" customWidth="1"/>
    <col min="14850" max="14850" width="3.28515625" style="359" customWidth="1"/>
    <col min="14851" max="14851" width="69.28515625" style="359" customWidth="1"/>
    <col min="14852" max="14852" width="6" style="359" customWidth="1"/>
    <col min="14853" max="14857" width="13.5703125" style="359" customWidth="1"/>
    <col min="14858" max="14862" width="0" style="359" hidden="1" customWidth="1"/>
    <col min="14863" max="14863" width="12.7109375" style="359" customWidth="1"/>
    <col min="14864" max="14865" width="11.28515625" style="359" customWidth="1"/>
    <col min="14866" max="14866" width="12.7109375" style="359" customWidth="1"/>
    <col min="14867" max="14867" width="13.140625" style="359" customWidth="1"/>
    <col min="14868" max="14917" width="0" style="359" hidden="1" customWidth="1"/>
    <col min="14918" max="14918" width="12.7109375" style="359" customWidth="1"/>
    <col min="14919" max="14919" width="13.140625" style="359" customWidth="1"/>
    <col min="14920" max="14920" width="11.28515625" style="359" customWidth="1"/>
    <col min="14921" max="14921" width="12.7109375" style="359" customWidth="1"/>
    <col min="14922" max="14922" width="12.140625" style="359" customWidth="1"/>
    <col min="14923" max="14923" width="3.28515625" style="359" customWidth="1"/>
    <col min="14924" max="14924" width="0" style="359" hidden="1" customWidth="1"/>
    <col min="14925" max="14925" width="3.28515625" style="359" customWidth="1"/>
    <col min="14926" max="14926" width="9.85546875" style="359" bestFit="1" customWidth="1"/>
    <col min="14927" max="14927" width="9.5703125" style="359" bestFit="1" customWidth="1"/>
    <col min="14928" max="15104" width="9.140625" style="359"/>
    <col min="15105" max="15105" width="2.85546875" style="359" customWidth="1"/>
    <col min="15106" max="15106" width="3.28515625" style="359" customWidth="1"/>
    <col min="15107" max="15107" width="69.28515625" style="359" customWidth="1"/>
    <col min="15108" max="15108" width="6" style="359" customWidth="1"/>
    <col min="15109" max="15113" width="13.5703125" style="359" customWidth="1"/>
    <col min="15114" max="15118" width="0" style="359" hidden="1" customWidth="1"/>
    <col min="15119" max="15119" width="12.7109375" style="359" customWidth="1"/>
    <col min="15120" max="15121" width="11.28515625" style="359" customWidth="1"/>
    <col min="15122" max="15122" width="12.7109375" style="359" customWidth="1"/>
    <col min="15123" max="15123" width="13.140625" style="359" customWidth="1"/>
    <col min="15124" max="15173" width="0" style="359" hidden="1" customWidth="1"/>
    <col min="15174" max="15174" width="12.7109375" style="359" customWidth="1"/>
    <col min="15175" max="15175" width="13.140625" style="359" customWidth="1"/>
    <col min="15176" max="15176" width="11.28515625" style="359" customWidth="1"/>
    <col min="15177" max="15177" width="12.7109375" style="359" customWidth="1"/>
    <col min="15178" max="15178" width="12.140625" style="359" customWidth="1"/>
    <col min="15179" max="15179" width="3.28515625" style="359" customWidth="1"/>
    <col min="15180" max="15180" width="0" style="359" hidden="1" customWidth="1"/>
    <col min="15181" max="15181" width="3.28515625" style="359" customWidth="1"/>
    <col min="15182" max="15182" width="9.85546875" style="359" bestFit="1" customWidth="1"/>
    <col min="15183" max="15183" width="9.5703125" style="359" bestFit="1" customWidth="1"/>
    <col min="15184" max="15360" width="9.140625" style="359"/>
    <col min="15361" max="15361" width="2.85546875" style="359" customWidth="1"/>
    <col min="15362" max="15362" width="3.28515625" style="359" customWidth="1"/>
    <col min="15363" max="15363" width="69.28515625" style="359" customWidth="1"/>
    <col min="15364" max="15364" width="6" style="359" customWidth="1"/>
    <col min="15365" max="15369" width="13.5703125" style="359" customWidth="1"/>
    <col min="15370" max="15374" width="0" style="359" hidden="1" customWidth="1"/>
    <col min="15375" max="15375" width="12.7109375" style="359" customWidth="1"/>
    <col min="15376" max="15377" width="11.28515625" style="359" customWidth="1"/>
    <col min="15378" max="15378" width="12.7109375" style="359" customWidth="1"/>
    <col min="15379" max="15379" width="13.140625" style="359" customWidth="1"/>
    <col min="15380" max="15429" width="0" style="359" hidden="1" customWidth="1"/>
    <col min="15430" max="15430" width="12.7109375" style="359" customWidth="1"/>
    <col min="15431" max="15431" width="13.140625" style="359" customWidth="1"/>
    <col min="15432" max="15432" width="11.28515625" style="359" customWidth="1"/>
    <col min="15433" max="15433" width="12.7109375" style="359" customWidth="1"/>
    <col min="15434" max="15434" width="12.140625" style="359" customWidth="1"/>
    <col min="15435" max="15435" width="3.28515625" style="359" customWidth="1"/>
    <col min="15436" max="15436" width="0" style="359" hidden="1" customWidth="1"/>
    <col min="15437" max="15437" width="3.28515625" style="359" customWidth="1"/>
    <col min="15438" max="15438" width="9.85546875" style="359" bestFit="1" customWidth="1"/>
    <col min="15439" max="15439" width="9.5703125" style="359" bestFit="1" customWidth="1"/>
    <col min="15440" max="15616" width="9.140625" style="359"/>
    <col min="15617" max="15617" width="2.85546875" style="359" customWidth="1"/>
    <col min="15618" max="15618" width="3.28515625" style="359" customWidth="1"/>
    <col min="15619" max="15619" width="69.28515625" style="359" customWidth="1"/>
    <col min="15620" max="15620" width="6" style="359" customWidth="1"/>
    <col min="15621" max="15625" width="13.5703125" style="359" customWidth="1"/>
    <col min="15626" max="15630" width="0" style="359" hidden="1" customWidth="1"/>
    <col min="15631" max="15631" width="12.7109375" style="359" customWidth="1"/>
    <col min="15632" max="15633" width="11.28515625" style="359" customWidth="1"/>
    <col min="15634" max="15634" width="12.7109375" style="359" customWidth="1"/>
    <col min="15635" max="15635" width="13.140625" style="359" customWidth="1"/>
    <col min="15636" max="15685" width="0" style="359" hidden="1" customWidth="1"/>
    <col min="15686" max="15686" width="12.7109375" style="359" customWidth="1"/>
    <col min="15687" max="15687" width="13.140625" style="359" customWidth="1"/>
    <col min="15688" max="15688" width="11.28515625" style="359" customWidth="1"/>
    <col min="15689" max="15689" width="12.7109375" style="359" customWidth="1"/>
    <col min="15690" max="15690" width="12.140625" style="359" customWidth="1"/>
    <col min="15691" max="15691" width="3.28515625" style="359" customWidth="1"/>
    <col min="15692" max="15692" width="0" style="359" hidden="1" customWidth="1"/>
    <col min="15693" max="15693" width="3.28515625" style="359" customWidth="1"/>
    <col min="15694" max="15694" width="9.85546875" style="359" bestFit="1" customWidth="1"/>
    <col min="15695" max="15695" width="9.5703125" style="359" bestFit="1" customWidth="1"/>
    <col min="15696" max="15872" width="9.140625" style="359"/>
    <col min="15873" max="15873" width="2.85546875" style="359" customWidth="1"/>
    <col min="15874" max="15874" width="3.28515625" style="359" customWidth="1"/>
    <col min="15875" max="15875" width="69.28515625" style="359" customWidth="1"/>
    <col min="15876" max="15876" width="6" style="359" customWidth="1"/>
    <col min="15877" max="15881" width="13.5703125" style="359" customWidth="1"/>
    <col min="15882" max="15886" width="0" style="359" hidden="1" customWidth="1"/>
    <col min="15887" max="15887" width="12.7109375" style="359" customWidth="1"/>
    <col min="15888" max="15889" width="11.28515625" style="359" customWidth="1"/>
    <col min="15890" max="15890" width="12.7109375" style="359" customWidth="1"/>
    <col min="15891" max="15891" width="13.140625" style="359" customWidth="1"/>
    <col min="15892" max="15941" width="0" style="359" hidden="1" customWidth="1"/>
    <col min="15942" max="15942" width="12.7109375" style="359" customWidth="1"/>
    <col min="15943" max="15943" width="13.140625" style="359" customWidth="1"/>
    <col min="15944" max="15944" width="11.28515625" style="359" customWidth="1"/>
    <col min="15945" max="15945" width="12.7109375" style="359" customWidth="1"/>
    <col min="15946" max="15946" width="12.140625" style="359" customWidth="1"/>
    <col min="15947" max="15947" width="3.28515625" style="359" customWidth="1"/>
    <col min="15948" max="15948" width="0" style="359" hidden="1" customWidth="1"/>
    <col min="15949" max="15949" width="3.28515625" style="359" customWidth="1"/>
    <col min="15950" max="15950" width="9.85546875" style="359" bestFit="1" customWidth="1"/>
    <col min="15951" max="15951" width="9.5703125" style="359" bestFit="1" customWidth="1"/>
    <col min="15952" max="16128" width="9.140625" style="359"/>
    <col min="16129" max="16129" width="2.85546875" style="359" customWidth="1"/>
    <col min="16130" max="16130" width="3.28515625" style="359" customWidth="1"/>
    <col min="16131" max="16131" width="69.28515625" style="359" customWidth="1"/>
    <col min="16132" max="16132" width="6" style="359" customWidth="1"/>
    <col min="16133" max="16137" width="13.5703125" style="359" customWidth="1"/>
    <col min="16138" max="16142" width="0" style="359" hidden="1" customWidth="1"/>
    <col min="16143" max="16143" width="12.7109375" style="359" customWidth="1"/>
    <col min="16144" max="16145" width="11.28515625" style="359" customWidth="1"/>
    <col min="16146" max="16146" width="12.7109375" style="359" customWidth="1"/>
    <col min="16147" max="16147" width="13.140625" style="359" customWidth="1"/>
    <col min="16148" max="16197" width="0" style="359" hidden="1" customWidth="1"/>
    <col min="16198" max="16198" width="12.7109375" style="359" customWidth="1"/>
    <col min="16199" max="16199" width="13.140625" style="359" customWidth="1"/>
    <col min="16200" max="16200" width="11.28515625" style="359" customWidth="1"/>
    <col min="16201" max="16201" width="12.7109375" style="359" customWidth="1"/>
    <col min="16202" max="16202" width="12.140625" style="359" customWidth="1"/>
    <col min="16203" max="16203" width="3.28515625" style="359" customWidth="1"/>
    <col min="16204" max="16204" width="0" style="359" hidden="1" customWidth="1"/>
    <col min="16205" max="16205" width="3.28515625" style="359" customWidth="1"/>
    <col min="16206" max="16206" width="9.85546875" style="359" bestFit="1" customWidth="1"/>
    <col min="16207" max="16207" width="9.5703125" style="359" bestFit="1" customWidth="1"/>
    <col min="16208" max="16384" width="9.140625" style="359"/>
  </cols>
  <sheetData>
    <row r="1" spans="1:78" ht="15.75" x14ac:dyDescent="0.25">
      <c r="A1" s="353" t="s">
        <v>212</v>
      </c>
      <c r="B1" s="354"/>
      <c r="C1" s="355"/>
      <c r="D1" s="356"/>
      <c r="E1" s="357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8"/>
      <c r="BX1" s="358"/>
    </row>
    <row r="2" spans="1:78" ht="15" x14ac:dyDescent="0.25">
      <c r="A2" s="360"/>
      <c r="B2" s="356"/>
      <c r="D2" s="361"/>
      <c r="E2" s="362" t="s">
        <v>3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4"/>
      <c r="BW2" s="365"/>
      <c r="BX2" s="358"/>
      <c r="BZ2" s="358"/>
    </row>
    <row r="3" spans="1:78" ht="15" x14ac:dyDescent="0.25">
      <c r="A3" s="366"/>
      <c r="B3" s="356"/>
      <c r="C3" s="358" t="s">
        <v>213</v>
      </c>
      <c r="D3" s="367"/>
      <c r="E3" s="368" t="s">
        <v>214</v>
      </c>
      <c r="F3" s="369"/>
      <c r="G3" s="369"/>
      <c r="H3" s="369"/>
      <c r="I3" s="370"/>
      <c r="J3" s="368" t="s">
        <v>6</v>
      </c>
      <c r="K3" s="369"/>
      <c r="L3" s="369"/>
      <c r="M3" s="369"/>
      <c r="N3" s="370"/>
      <c r="O3" s="371" t="s">
        <v>7</v>
      </c>
      <c r="P3" s="369"/>
      <c r="Q3" s="369"/>
      <c r="R3" s="369"/>
      <c r="S3" s="370"/>
      <c r="T3" s="368" t="s">
        <v>8</v>
      </c>
      <c r="U3" s="369"/>
      <c r="V3" s="369"/>
      <c r="W3" s="369"/>
      <c r="X3" s="370"/>
      <c r="Y3" s="368" t="s">
        <v>9</v>
      </c>
      <c r="Z3" s="369"/>
      <c r="AA3" s="369"/>
      <c r="AB3" s="369"/>
      <c r="AC3" s="370"/>
      <c r="AD3" s="368" t="s">
        <v>10</v>
      </c>
      <c r="AE3" s="369"/>
      <c r="AF3" s="369"/>
      <c r="AG3" s="369"/>
      <c r="AH3" s="370"/>
      <c r="AI3" s="368" t="s">
        <v>11</v>
      </c>
      <c r="AJ3" s="369"/>
      <c r="AK3" s="369"/>
      <c r="AL3" s="369"/>
      <c r="AM3" s="370"/>
      <c r="AN3" s="368" t="s">
        <v>12</v>
      </c>
      <c r="AO3" s="369"/>
      <c r="AP3" s="369"/>
      <c r="AQ3" s="369"/>
      <c r="AR3" s="370"/>
      <c r="AS3" s="368" t="s">
        <v>13</v>
      </c>
      <c r="AT3" s="369"/>
      <c r="AU3" s="369"/>
      <c r="AV3" s="369"/>
      <c r="AW3" s="370"/>
      <c r="AX3" s="368" t="s">
        <v>14</v>
      </c>
      <c r="AY3" s="369"/>
      <c r="AZ3" s="369"/>
      <c r="BA3" s="369"/>
      <c r="BB3" s="370"/>
      <c r="BC3" s="368" t="s">
        <v>15</v>
      </c>
      <c r="BD3" s="369"/>
      <c r="BE3" s="369"/>
      <c r="BF3" s="369"/>
      <c r="BG3" s="370"/>
      <c r="BH3" s="368" t="s">
        <v>16</v>
      </c>
      <c r="BI3" s="369"/>
      <c r="BJ3" s="369"/>
      <c r="BK3" s="369"/>
      <c r="BL3" s="370"/>
      <c r="BM3" s="368" t="s">
        <v>17</v>
      </c>
      <c r="BN3" s="369"/>
      <c r="BO3" s="369"/>
      <c r="BP3" s="369"/>
      <c r="BQ3" s="370"/>
      <c r="BR3" s="368" t="s">
        <v>18</v>
      </c>
      <c r="BS3" s="369"/>
      <c r="BT3" s="369"/>
      <c r="BU3" s="369"/>
      <c r="BV3" s="372"/>
      <c r="BW3" s="373"/>
      <c r="BX3" s="373"/>
    </row>
    <row r="4" spans="1:78" x14ac:dyDescent="0.2">
      <c r="A4" s="366"/>
      <c r="B4" s="356"/>
      <c r="D4" s="367"/>
      <c r="E4" s="374" t="s">
        <v>215</v>
      </c>
      <c r="F4" s="375" t="s">
        <v>216</v>
      </c>
      <c r="G4" s="375" t="s">
        <v>217</v>
      </c>
      <c r="H4" s="375" t="s">
        <v>218</v>
      </c>
      <c r="I4" s="376" t="s">
        <v>219</v>
      </c>
      <c r="J4" s="374" t="s">
        <v>215</v>
      </c>
      <c r="K4" s="375" t="s">
        <v>216</v>
      </c>
      <c r="L4" s="375" t="s">
        <v>217</v>
      </c>
      <c r="M4" s="375" t="s">
        <v>218</v>
      </c>
      <c r="N4" s="377" t="s">
        <v>219</v>
      </c>
      <c r="O4" s="375" t="s">
        <v>215</v>
      </c>
      <c r="P4" s="375" t="s">
        <v>216</v>
      </c>
      <c r="Q4" s="375" t="s">
        <v>217</v>
      </c>
      <c r="R4" s="375" t="s">
        <v>218</v>
      </c>
      <c r="S4" s="377" t="s">
        <v>219</v>
      </c>
      <c r="T4" s="374" t="s">
        <v>215</v>
      </c>
      <c r="U4" s="375" t="s">
        <v>216</v>
      </c>
      <c r="V4" s="375" t="s">
        <v>217</v>
      </c>
      <c r="W4" s="375" t="s">
        <v>218</v>
      </c>
      <c r="X4" s="377" t="s">
        <v>219</v>
      </c>
      <c r="Y4" s="374" t="s">
        <v>215</v>
      </c>
      <c r="Z4" s="375" t="s">
        <v>216</v>
      </c>
      <c r="AA4" s="375" t="s">
        <v>217</v>
      </c>
      <c r="AB4" s="375" t="s">
        <v>218</v>
      </c>
      <c r="AC4" s="377" t="s">
        <v>219</v>
      </c>
      <c r="AD4" s="374" t="s">
        <v>215</v>
      </c>
      <c r="AE4" s="375" t="s">
        <v>216</v>
      </c>
      <c r="AF4" s="375" t="s">
        <v>217</v>
      </c>
      <c r="AG4" s="375" t="s">
        <v>218</v>
      </c>
      <c r="AH4" s="377" t="s">
        <v>219</v>
      </c>
      <c r="AI4" s="374" t="s">
        <v>215</v>
      </c>
      <c r="AJ4" s="375" t="s">
        <v>216</v>
      </c>
      <c r="AK4" s="375" t="s">
        <v>217</v>
      </c>
      <c r="AL4" s="375" t="s">
        <v>218</v>
      </c>
      <c r="AM4" s="377" t="s">
        <v>219</v>
      </c>
      <c r="AN4" s="374" t="s">
        <v>215</v>
      </c>
      <c r="AO4" s="375" t="s">
        <v>216</v>
      </c>
      <c r="AP4" s="375" t="s">
        <v>217</v>
      </c>
      <c r="AQ4" s="375" t="s">
        <v>218</v>
      </c>
      <c r="AR4" s="377" t="s">
        <v>219</v>
      </c>
      <c r="AS4" s="374" t="s">
        <v>215</v>
      </c>
      <c r="AT4" s="375" t="s">
        <v>216</v>
      </c>
      <c r="AU4" s="375" t="s">
        <v>217</v>
      </c>
      <c r="AV4" s="375" t="s">
        <v>218</v>
      </c>
      <c r="AW4" s="377" t="s">
        <v>219</v>
      </c>
      <c r="AX4" s="374" t="s">
        <v>215</v>
      </c>
      <c r="AY4" s="375" t="s">
        <v>216</v>
      </c>
      <c r="AZ4" s="375" t="s">
        <v>217</v>
      </c>
      <c r="BA4" s="375" t="s">
        <v>218</v>
      </c>
      <c r="BB4" s="377" t="s">
        <v>219</v>
      </c>
      <c r="BC4" s="374" t="s">
        <v>215</v>
      </c>
      <c r="BD4" s="375" t="s">
        <v>216</v>
      </c>
      <c r="BE4" s="375" t="s">
        <v>217</v>
      </c>
      <c r="BF4" s="375" t="s">
        <v>218</v>
      </c>
      <c r="BG4" s="377" t="s">
        <v>219</v>
      </c>
      <c r="BH4" s="374" t="s">
        <v>215</v>
      </c>
      <c r="BI4" s="375" t="s">
        <v>216</v>
      </c>
      <c r="BJ4" s="375" t="s">
        <v>217</v>
      </c>
      <c r="BK4" s="375" t="s">
        <v>220</v>
      </c>
      <c r="BL4" s="377" t="s">
        <v>219</v>
      </c>
      <c r="BM4" s="374" t="s">
        <v>215</v>
      </c>
      <c r="BN4" s="375" t="s">
        <v>216</v>
      </c>
      <c r="BO4" s="375" t="s">
        <v>217</v>
      </c>
      <c r="BP4" s="375" t="s">
        <v>218</v>
      </c>
      <c r="BQ4" s="377" t="s">
        <v>219</v>
      </c>
      <c r="BR4" s="374" t="s">
        <v>215</v>
      </c>
      <c r="BS4" s="375" t="s">
        <v>216</v>
      </c>
      <c r="BT4" s="375" t="s">
        <v>217</v>
      </c>
      <c r="BU4" s="375" t="s">
        <v>218</v>
      </c>
      <c r="BV4" s="378" t="s">
        <v>219</v>
      </c>
      <c r="BW4" s="365"/>
      <c r="BX4" s="373"/>
    </row>
    <row r="5" spans="1:78" x14ac:dyDescent="0.2">
      <c r="A5" s="379" t="s">
        <v>20</v>
      </c>
      <c r="B5" s="380"/>
      <c r="C5" s="380"/>
      <c r="D5" s="41"/>
      <c r="E5" s="381" t="s">
        <v>221</v>
      </c>
      <c r="F5" s="382" t="s">
        <v>222</v>
      </c>
      <c r="G5" s="382" t="s">
        <v>223</v>
      </c>
      <c r="H5" s="382" t="s">
        <v>224</v>
      </c>
      <c r="I5" s="383"/>
      <c r="J5" s="381" t="s">
        <v>221</v>
      </c>
      <c r="K5" s="382" t="s">
        <v>222</v>
      </c>
      <c r="L5" s="382" t="s">
        <v>223</v>
      </c>
      <c r="M5" s="382" t="s">
        <v>224</v>
      </c>
      <c r="N5" s="383"/>
      <c r="O5" s="382" t="s">
        <v>221</v>
      </c>
      <c r="P5" s="382" t="s">
        <v>222</v>
      </c>
      <c r="Q5" s="382" t="s">
        <v>223</v>
      </c>
      <c r="R5" s="382" t="s">
        <v>224</v>
      </c>
      <c r="S5" s="383"/>
      <c r="T5" s="381" t="s">
        <v>221</v>
      </c>
      <c r="U5" s="382" t="s">
        <v>222</v>
      </c>
      <c r="V5" s="382" t="s">
        <v>223</v>
      </c>
      <c r="W5" s="382" t="s">
        <v>224</v>
      </c>
      <c r="X5" s="383"/>
      <c r="Y5" s="381" t="s">
        <v>221</v>
      </c>
      <c r="Z5" s="382" t="s">
        <v>222</v>
      </c>
      <c r="AA5" s="382" t="s">
        <v>223</v>
      </c>
      <c r="AB5" s="382" t="s">
        <v>224</v>
      </c>
      <c r="AC5" s="383"/>
      <c r="AD5" s="381" t="s">
        <v>221</v>
      </c>
      <c r="AE5" s="382" t="s">
        <v>222</v>
      </c>
      <c r="AF5" s="382" t="s">
        <v>223</v>
      </c>
      <c r="AG5" s="382" t="s">
        <v>224</v>
      </c>
      <c r="AH5" s="383"/>
      <c r="AI5" s="381" t="s">
        <v>221</v>
      </c>
      <c r="AJ5" s="382" t="s">
        <v>222</v>
      </c>
      <c r="AK5" s="382" t="s">
        <v>223</v>
      </c>
      <c r="AL5" s="382" t="s">
        <v>224</v>
      </c>
      <c r="AM5" s="383"/>
      <c r="AN5" s="381" t="s">
        <v>221</v>
      </c>
      <c r="AO5" s="382" t="s">
        <v>222</v>
      </c>
      <c r="AP5" s="382" t="s">
        <v>223</v>
      </c>
      <c r="AQ5" s="382" t="s">
        <v>224</v>
      </c>
      <c r="AR5" s="383"/>
      <c r="AS5" s="381" t="s">
        <v>221</v>
      </c>
      <c r="AT5" s="382" t="s">
        <v>222</v>
      </c>
      <c r="AU5" s="382" t="s">
        <v>223</v>
      </c>
      <c r="AV5" s="382" t="s">
        <v>224</v>
      </c>
      <c r="AW5" s="383"/>
      <c r="AX5" s="381" t="s">
        <v>221</v>
      </c>
      <c r="AY5" s="382" t="s">
        <v>222</v>
      </c>
      <c r="AZ5" s="382" t="s">
        <v>223</v>
      </c>
      <c r="BA5" s="382" t="s">
        <v>224</v>
      </c>
      <c r="BB5" s="383"/>
      <c r="BC5" s="381" t="s">
        <v>221</v>
      </c>
      <c r="BD5" s="382" t="s">
        <v>222</v>
      </c>
      <c r="BE5" s="382" t="s">
        <v>223</v>
      </c>
      <c r="BF5" s="382" t="s">
        <v>224</v>
      </c>
      <c r="BG5" s="383"/>
      <c r="BH5" s="381" t="s">
        <v>221</v>
      </c>
      <c r="BI5" s="382" t="s">
        <v>222</v>
      </c>
      <c r="BJ5" s="382" t="s">
        <v>223</v>
      </c>
      <c r="BK5" s="382" t="s">
        <v>224</v>
      </c>
      <c r="BL5" s="383"/>
      <c r="BM5" s="381" t="s">
        <v>221</v>
      </c>
      <c r="BN5" s="382" t="s">
        <v>222</v>
      </c>
      <c r="BO5" s="382" t="s">
        <v>223</v>
      </c>
      <c r="BP5" s="382" t="s">
        <v>224</v>
      </c>
      <c r="BQ5" s="383"/>
      <c r="BR5" s="381" t="s">
        <v>221</v>
      </c>
      <c r="BS5" s="382" t="s">
        <v>222</v>
      </c>
      <c r="BT5" s="382" t="s">
        <v>223</v>
      </c>
      <c r="BU5" s="382" t="s">
        <v>224</v>
      </c>
      <c r="BV5" s="381"/>
      <c r="BW5" s="365"/>
      <c r="BX5" s="384"/>
    </row>
    <row r="6" spans="1:78" x14ac:dyDescent="0.2">
      <c r="A6" s="385"/>
      <c r="B6" s="356"/>
      <c r="D6" s="375"/>
      <c r="E6" s="386"/>
      <c r="F6" s="375"/>
      <c r="G6" s="375"/>
      <c r="H6" s="375"/>
      <c r="I6" s="387"/>
      <c r="J6" s="374"/>
      <c r="K6" s="375"/>
      <c r="L6" s="375"/>
      <c r="M6" s="375"/>
      <c r="N6" s="387"/>
      <c r="O6" s="375"/>
      <c r="P6" s="375"/>
      <c r="Q6" s="375"/>
      <c r="R6" s="375"/>
      <c r="S6" s="387"/>
      <c r="T6" s="374"/>
      <c r="U6" s="375"/>
      <c r="V6" s="375"/>
      <c r="W6" s="375"/>
      <c r="X6" s="387"/>
      <c r="Y6" s="374"/>
      <c r="Z6" s="375"/>
      <c r="AA6" s="375"/>
      <c r="AB6" s="375"/>
      <c r="AC6" s="387"/>
      <c r="AD6" s="374"/>
      <c r="AE6" s="375"/>
      <c r="AF6" s="375"/>
      <c r="AG6" s="375"/>
      <c r="AH6" s="387"/>
      <c r="AI6" s="374"/>
      <c r="AJ6" s="375"/>
      <c r="AK6" s="375"/>
      <c r="AL6" s="375"/>
      <c r="AM6" s="387"/>
      <c r="AN6" s="374"/>
      <c r="AO6" s="375"/>
      <c r="AP6" s="375"/>
      <c r="AQ6" s="375"/>
      <c r="AR6" s="387"/>
      <c r="AS6" s="374"/>
      <c r="AT6" s="375"/>
      <c r="AU6" s="375"/>
      <c r="AV6" s="375"/>
      <c r="AW6" s="387"/>
      <c r="AX6" s="374"/>
      <c r="AY6" s="375"/>
      <c r="AZ6" s="375"/>
      <c r="BA6" s="375"/>
      <c r="BB6" s="387"/>
      <c r="BC6" s="374"/>
      <c r="BD6" s="375"/>
      <c r="BE6" s="375"/>
      <c r="BF6" s="375"/>
      <c r="BG6" s="387"/>
      <c r="BH6" s="374"/>
      <c r="BI6" s="375"/>
      <c r="BJ6" s="375"/>
      <c r="BK6" s="375"/>
      <c r="BL6" s="387"/>
      <c r="BM6" s="374"/>
      <c r="BN6" s="375"/>
      <c r="BO6" s="375"/>
      <c r="BP6" s="375"/>
      <c r="BQ6" s="387"/>
      <c r="BR6" s="374"/>
      <c r="BS6" s="375"/>
      <c r="BT6" s="375"/>
      <c r="BU6" s="375"/>
      <c r="BV6" s="374"/>
      <c r="BW6" s="365"/>
      <c r="BX6" s="373"/>
    </row>
    <row r="7" spans="1:78" ht="13.5" customHeight="1" x14ac:dyDescent="0.2">
      <c r="A7" s="388">
        <v>1</v>
      </c>
      <c r="B7" s="389" t="s">
        <v>225</v>
      </c>
      <c r="D7" s="390"/>
      <c r="E7" s="391">
        <v>598293</v>
      </c>
      <c r="F7" s="88">
        <v>42</v>
      </c>
      <c r="G7" s="88">
        <v>13277</v>
      </c>
      <c r="H7" s="88">
        <v>0</v>
      </c>
      <c r="I7" s="181">
        <f t="shared" ref="I7:I47" si="0">SUM(E7:H7)</f>
        <v>611612</v>
      </c>
      <c r="J7" s="183">
        <v>28919</v>
      </c>
      <c r="K7" s="185">
        <v>0</v>
      </c>
      <c r="L7" s="185">
        <v>956</v>
      </c>
      <c r="M7" s="185">
        <v>0</v>
      </c>
      <c r="N7" s="181">
        <f>SUM(J7:M7)</f>
        <v>29875</v>
      </c>
      <c r="O7" s="185">
        <v>29267</v>
      </c>
      <c r="P7" s="185">
        <v>0</v>
      </c>
      <c r="Q7" s="185">
        <v>1524</v>
      </c>
      <c r="R7" s="185">
        <v>0</v>
      </c>
      <c r="S7" s="181">
        <f>SUM(O7:R7)</f>
        <v>30791</v>
      </c>
      <c r="T7" s="183">
        <v>0</v>
      </c>
      <c r="U7" s="185">
        <v>0</v>
      </c>
      <c r="V7" s="185">
        <v>0</v>
      </c>
      <c r="W7" s="185">
        <v>0</v>
      </c>
      <c r="X7" s="181">
        <f>SUM(T7:W7)</f>
        <v>0</v>
      </c>
      <c r="Y7" s="183">
        <v>0</v>
      </c>
      <c r="Z7" s="185">
        <v>0</v>
      </c>
      <c r="AA7" s="185">
        <v>0</v>
      </c>
      <c r="AB7" s="185">
        <v>0</v>
      </c>
      <c r="AC7" s="181">
        <f>SUM(Y7:AB7)</f>
        <v>0</v>
      </c>
      <c r="AD7" s="183">
        <v>0</v>
      </c>
      <c r="AE7" s="185">
        <v>0</v>
      </c>
      <c r="AF7" s="185">
        <v>0</v>
      </c>
      <c r="AG7" s="185">
        <v>0</v>
      </c>
      <c r="AH7" s="181">
        <f>SUM(AD7:AG7)</f>
        <v>0</v>
      </c>
      <c r="AI7" s="183">
        <v>0</v>
      </c>
      <c r="AJ7" s="185">
        <v>0</v>
      </c>
      <c r="AK7" s="185">
        <v>0</v>
      </c>
      <c r="AL7" s="185">
        <v>0</v>
      </c>
      <c r="AM7" s="181">
        <f>SUM(AI7:AL7)</f>
        <v>0</v>
      </c>
      <c r="AN7" s="183">
        <v>0</v>
      </c>
      <c r="AO7" s="185">
        <v>0</v>
      </c>
      <c r="AP7" s="185">
        <v>0</v>
      </c>
      <c r="AQ7" s="185">
        <v>0</v>
      </c>
      <c r="AR7" s="181">
        <f t="shared" ref="AR7:AR47" si="1">SUM(AN7:AQ7)</f>
        <v>0</v>
      </c>
      <c r="AS7" s="183">
        <v>0</v>
      </c>
      <c r="AT7" s="185">
        <v>0</v>
      </c>
      <c r="AU7" s="185">
        <v>0</v>
      </c>
      <c r="AV7" s="185">
        <v>0</v>
      </c>
      <c r="AW7" s="181">
        <f>SUM(AS7:AV7)</f>
        <v>0</v>
      </c>
      <c r="AX7" s="183">
        <v>0</v>
      </c>
      <c r="AY7" s="185">
        <v>0</v>
      </c>
      <c r="AZ7" s="185">
        <v>0</v>
      </c>
      <c r="BA7" s="185">
        <v>0</v>
      </c>
      <c r="BB7" s="181">
        <f>SUM(AX7:BA7)</f>
        <v>0</v>
      </c>
      <c r="BC7" s="183">
        <v>0</v>
      </c>
      <c r="BD7" s="185">
        <v>0</v>
      </c>
      <c r="BE7" s="185">
        <v>0</v>
      </c>
      <c r="BF7" s="185">
        <v>0</v>
      </c>
      <c r="BG7" s="181">
        <f>SUM(BC7:BF7)</f>
        <v>0</v>
      </c>
      <c r="BH7" s="183">
        <v>0</v>
      </c>
      <c r="BI7" s="185">
        <v>0</v>
      </c>
      <c r="BJ7" s="185">
        <v>0</v>
      </c>
      <c r="BK7" s="185">
        <v>0</v>
      </c>
      <c r="BL7" s="181">
        <f>SUM(BH7:BK7)</f>
        <v>0</v>
      </c>
      <c r="BM7" s="183">
        <v>0</v>
      </c>
      <c r="BN7" s="185">
        <v>0</v>
      </c>
      <c r="BO7" s="185">
        <v>0</v>
      </c>
      <c r="BP7" s="185">
        <v>0</v>
      </c>
      <c r="BQ7" s="181">
        <f>SUM(BM7:BP7)</f>
        <v>0</v>
      </c>
      <c r="BR7" s="183">
        <f t="shared" ref="BR7:BU22" si="2">+J7+O7+T7+Y7+AD7+AI7+AN7+AS7+AX7+BC7+BH7+BM7</f>
        <v>58186</v>
      </c>
      <c r="BS7" s="88">
        <f t="shared" si="2"/>
        <v>0</v>
      </c>
      <c r="BT7" s="185">
        <f t="shared" si="2"/>
        <v>2480</v>
      </c>
      <c r="BU7" s="185">
        <f t="shared" si="2"/>
        <v>0</v>
      </c>
      <c r="BV7" s="183">
        <f>SUM(BR7:BU7)</f>
        <v>60666</v>
      </c>
      <c r="BW7" s="392"/>
      <c r="BX7" s="393"/>
    </row>
    <row r="8" spans="1:78" x14ac:dyDescent="0.2">
      <c r="A8" s="388">
        <v>2</v>
      </c>
      <c r="B8" s="389" t="s">
        <v>226</v>
      </c>
      <c r="D8" s="394" t="s">
        <v>87</v>
      </c>
      <c r="E8" s="391">
        <v>1685348</v>
      </c>
      <c r="F8" s="88">
        <v>481289</v>
      </c>
      <c r="G8" s="88">
        <v>13816</v>
      </c>
      <c r="H8" s="88">
        <v>0</v>
      </c>
      <c r="I8" s="181">
        <f t="shared" si="0"/>
        <v>2180453</v>
      </c>
      <c r="J8" s="183">
        <v>140445</v>
      </c>
      <c r="K8" s="185">
        <v>120322</v>
      </c>
      <c r="L8" s="185">
        <v>1150</v>
      </c>
      <c r="M8" s="185">
        <v>0</v>
      </c>
      <c r="N8" s="181">
        <f>SUM(J8:M8)</f>
        <v>261917</v>
      </c>
      <c r="O8" s="185">
        <v>140443</v>
      </c>
      <c r="P8" s="185">
        <v>0</v>
      </c>
      <c r="Q8" s="185">
        <v>1152</v>
      </c>
      <c r="R8" s="185">
        <v>0</v>
      </c>
      <c r="S8" s="181">
        <f t="shared" ref="S8:S22" si="3">SUM(O8:R8)</f>
        <v>141595</v>
      </c>
      <c r="T8" s="183">
        <v>0</v>
      </c>
      <c r="U8" s="185">
        <v>0</v>
      </c>
      <c r="V8" s="185">
        <v>0</v>
      </c>
      <c r="W8" s="185">
        <v>0</v>
      </c>
      <c r="X8" s="181">
        <f t="shared" ref="X8:X47" si="4">SUM(T8:W8)</f>
        <v>0</v>
      </c>
      <c r="Y8" s="183">
        <v>0</v>
      </c>
      <c r="Z8" s="185">
        <v>0</v>
      </c>
      <c r="AA8" s="185">
        <v>0</v>
      </c>
      <c r="AB8" s="185">
        <v>0</v>
      </c>
      <c r="AC8" s="181">
        <f t="shared" ref="AC8:AC47" si="5">SUM(Y8:AB8)</f>
        <v>0</v>
      </c>
      <c r="AD8" s="183">
        <v>0</v>
      </c>
      <c r="AE8" s="185">
        <v>0</v>
      </c>
      <c r="AF8" s="185">
        <v>0</v>
      </c>
      <c r="AG8" s="185">
        <v>0</v>
      </c>
      <c r="AH8" s="181">
        <f t="shared" ref="AH8:AH46" si="6">SUM(AD8:AG8)</f>
        <v>0</v>
      </c>
      <c r="AI8" s="183">
        <v>0</v>
      </c>
      <c r="AJ8" s="185">
        <v>0</v>
      </c>
      <c r="AK8" s="185">
        <v>0</v>
      </c>
      <c r="AL8" s="185">
        <v>0</v>
      </c>
      <c r="AM8" s="181">
        <f t="shared" ref="AM8:AM47" si="7">SUM(AI8:AL8)</f>
        <v>0</v>
      </c>
      <c r="AN8" s="183">
        <v>0</v>
      </c>
      <c r="AO8" s="185">
        <v>0</v>
      </c>
      <c r="AP8" s="185">
        <v>0</v>
      </c>
      <c r="AQ8" s="185">
        <v>0</v>
      </c>
      <c r="AR8" s="181">
        <f t="shared" si="1"/>
        <v>0</v>
      </c>
      <c r="AS8" s="183">
        <v>0</v>
      </c>
      <c r="AT8" s="185">
        <v>0</v>
      </c>
      <c r="AU8" s="185">
        <v>0</v>
      </c>
      <c r="AV8" s="185">
        <v>0</v>
      </c>
      <c r="AW8" s="181">
        <f t="shared" ref="AW8:AW47" si="8">SUM(AS8:AV8)</f>
        <v>0</v>
      </c>
      <c r="AX8" s="183">
        <v>0</v>
      </c>
      <c r="AY8" s="185">
        <v>0</v>
      </c>
      <c r="AZ8" s="185">
        <v>0</v>
      </c>
      <c r="BA8" s="185">
        <v>0</v>
      </c>
      <c r="BB8" s="181">
        <f t="shared" ref="BB8:BB47" si="9">SUM(AX8:BA8)</f>
        <v>0</v>
      </c>
      <c r="BC8" s="183">
        <v>0</v>
      </c>
      <c r="BD8" s="185">
        <v>0</v>
      </c>
      <c r="BE8" s="185">
        <v>0</v>
      </c>
      <c r="BF8" s="185">
        <v>0</v>
      </c>
      <c r="BG8" s="181">
        <f t="shared" ref="BG8:BG47" si="10">SUM(BC8:BF8)</f>
        <v>0</v>
      </c>
      <c r="BH8" s="183">
        <v>0</v>
      </c>
      <c r="BI8" s="185">
        <v>0</v>
      </c>
      <c r="BJ8" s="185">
        <v>0</v>
      </c>
      <c r="BK8" s="185">
        <v>0</v>
      </c>
      <c r="BL8" s="181">
        <f t="shared" ref="BL8:BL47" si="11">SUM(BH8:BK8)</f>
        <v>0</v>
      </c>
      <c r="BM8" s="183">
        <v>0</v>
      </c>
      <c r="BN8" s="185">
        <v>0</v>
      </c>
      <c r="BO8" s="185">
        <v>0</v>
      </c>
      <c r="BP8" s="185">
        <v>0</v>
      </c>
      <c r="BQ8" s="181">
        <f t="shared" ref="BQ8:BQ47" si="12">SUM(BM8:BP8)</f>
        <v>0</v>
      </c>
      <c r="BR8" s="183">
        <f t="shared" si="2"/>
        <v>280888</v>
      </c>
      <c r="BS8" s="88">
        <f t="shared" si="2"/>
        <v>120322</v>
      </c>
      <c r="BT8" s="185">
        <f t="shared" si="2"/>
        <v>2302</v>
      </c>
      <c r="BU8" s="185">
        <f t="shared" si="2"/>
        <v>0</v>
      </c>
      <c r="BV8" s="183">
        <f>SUM(BR8:BU8)</f>
        <v>403512</v>
      </c>
      <c r="BW8" s="148"/>
      <c r="BX8" s="393"/>
    </row>
    <row r="9" spans="1:78" x14ac:dyDescent="0.2">
      <c r="A9" s="388">
        <v>3</v>
      </c>
      <c r="B9" s="389" t="s">
        <v>227</v>
      </c>
      <c r="D9" s="394"/>
      <c r="E9" s="391">
        <v>4955897</v>
      </c>
      <c r="F9" s="88">
        <v>91272773</v>
      </c>
      <c r="G9" s="88">
        <v>5318</v>
      </c>
      <c r="H9" s="88">
        <v>0</v>
      </c>
      <c r="I9" s="181">
        <f t="shared" si="0"/>
        <v>96233988</v>
      </c>
      <c r="J9" s="183">
        <v>267863</v>
      </c>
      <c r="K9" s="185">
        <v>73</v>
      </c>
      <c r="L9" s="185">
        <v>13</v>
      </c>
      <c r="M9" s="185">
        <v>5</v>
      </c>
      <c r="N9" s="181">
        <f t="shared" ref="N9:N47" si="13">SUM(J9:M9)</f>
        <v>267954</v>
      </c>
      <c r="O9" s="185">
        <v>58517</v>
      </c>
      <c r="P9" s="185">
        <v>260946</v>
      </c>
      <c r="Q9" s="185">
        <v>14</v>
      </c>
      <c r="R9" s="185">
        <v>0</v>
      </c>
      <c r="S9" s="181">
        <f t="shared" si="3"/>
        <v>319477</v>
      </c>
      <c r="T9" s="183">
        <v>0</v>
      </c>
      <c r="U9" s="185">
        <v>0</v>
      </c>
      <c r="V9" s="185">
        <v>0</v>
      </c>
      <c r="W9" s="185">
        <v>0</v>
      </c>
      <c r="X9" s="181">
        <f t="shared" si="4"/>
        <v>0</v>
      </c>
      <c r="Y9" s="183">
        <v>0</v>
      </c>
      <c r="Z9" s="185">
        <v>0</v>
      </c>
      <c r="AA9" s="185">
        <v>0</v>
      </c>
      <c r="AB9" s="185">
        <v>0</v>
      </c>
      <c r="AC9" s="181">
        <f t="shared" si="5"/>
        <v>0</v>
      </c>
      <c r="AD9" s="183">
        <v>0</v>
      </c>
      <c r="AE9" s="185">
        <v>0</v>
      </c>
      <c r="AF9" s="185">
        <v>0</v>
      </c>
      <c r="AG9" s="185">
        <v>0</v>
      </c>
      <c r="AH9" s="181">
        <f t="shared" si="6"/>
        <v>0</v>
      </c>
      <c r="AI9" s="183">
        <v>0</v>
      </c>
      <c r="AJ9" s="185">
        <v>0</v>
      </c>
      <c r="AK9" s="185">
        <v>0</v>
      </c>
      <c r="AL9" s="185">
        <v>0</v>
      </c>
      <c r="AM9" s="181">
        <f t="shared" si="7"/>
        <v>0</v>
      </c>
      <c r="AN9" s="183">
        <v>0</v>
      </c>
      <c r="AO9" s="185">
        <v>0</v>
      </c>
      <c r="AP9" s="185">
        <v>0</v>
      </c>
      <c r="AQ9" s="185">
        <v>0</v>
      </c>
      <c r="AR9" s="181">
        <f t="shared" si="1"/>
        <v>0</v>
      </c>
      <c r="AS9" s="183">
        <v>0</v>
      </c>
      <c r="AT9" s="185">
        <v>0</v>
      </c>
      <c r="AU9" s="185">
        <v>0</v>
      </c>
      <c r="AV9" s="185">
        <v>0</v>
      </c>
      <c r="AW9" s="181">
        <f t="shared" si="8"/>
        <v>0</v>
      </c>
      <c r="AX9" s="183">
        <v>0</v>
      </c>
      <c r="AY9" s="185">
        <v>0</v>
      </c>
      <c r="AZ9" s="185">
        <v>0</v>
      </c>
      <c r="BA9" s="185">
        <v>0</v>
      </c>
      <c r="BB9" s="181">
        <f t="shared" si="9"/>
        <v>0</v>
      </c>
      <c r="BC9" s="183">
        <v>0</v>
      </c>
      <c r="BD9" s="185">
        <v>0</v>
      </c>
      <c r="BE9" s="185">
        <v>0</v>
      </c>
      <c r="BF9" s="185">
        <v>0</v>
      </c>
      <c r="BG9" s="181">
        <f t="shared" si="10"/>
        <v>0</v>
      </c>
      <c r="BH9" s="183">
        <v>0</v>
      </c>
      <c r="BI9" s="185">
        <v>0</v>
      </c>
      <c r="BJ9" s="185">
        <v>0</v>
      </c>
      <c r="BK9" s="185">
        <v>0</v>
      </c>
      <c r="BL9" s="181">
        <f t="shared" si="11"/>
        <v>0</v>
      </c>
      <c r="BM9" s="183">
        <v>0</v>
      </c>
      <c r="BN9" s="185">
        <v>0</v>
      </c>
      <c r="BO9" s="185">
        <v>0</v>
      </c>
      <c r="BP9" s="185">
        <v>0</v>
      </c>
      <c r="BQ9" s="181">
        <f t="shared" si="12"/>
        <v>0</v>
      </c>
      <c r="BR9" s="183">
        <f t="shared" si="2"/>
        <v>326380</v>
      </c>
      <c r="BS9" s="88">
        <f t="shared" si="2"/>
        <v>261019</v>
      </c>
      <c r="BT9" s="185">
        <f t="shared" si="2"/>
        <v>27</v>
      </c>
      <c r="BU9" s="185">
        <f t="shared" si="2"/>
        <v>5</v>
      </c>
      <c r="BV9" s="183">
        <f>SUM(BR9:BU9)</f>
        <v>587431</v>
      </c>
      <c r="BW9" s="148"/>
      <c r="BX9" s="393"/>
    </row>
    <row r="10" spans="1:78" x14ac:dyDescent="0.2">
      <c r="A10" s="388">
        <v>4</v>
      </c>
      <c r="B10" s="389" t="s">
        <v>228</v>
      </c>
      <c r="D10" s="394"/>
      <c r="E10" s="391">
        <v>467366</v>
      </c>
      <c r="F10" s="88">
        <v>249179</v>
      </c>
      <c r="G10" s="88">
        <v>4003</v>
      </c>
      <c r="H10" s="88">
        <v>0</v>
      </c>
      <c r="I10" s="181">
        <f t="shared" si="0"/>
        <v>720548</v>
      </c>
      <c r="J10" s="183">
        <v>42202</v>
      </c>
      <c r="K10" s="185">
        <v>8262</v>
      </c>
      <c r="L10" s="185">
        <v>13</v>
      </c>
      <c r="M10" s="185">
        <v>0</v>
      </c>
      <c r="N10" s="181">
        <f>SUM(J10:M10)</f>
        <v>50477</v>
      </c>
      <c r="O10" s="185">
        <v>37029</v>
      </c>
      <c r="P10" s="185">
        <v>64819</v>
      </c>
      <c r="Q10" s="185">
        <v>130</v>
      </c>
      <c r="R10" s="185"/>
      <c r="S10" s="181">
        <f t="shared" si="3"/>
        <v>101978</v>
      </c>
      <c r="T10" s="183"/>
      <c r="U10" s="185"/>
      <c r="V10" s="185"/>
      <c r="W10" s="185"/>
      <c r="X10" s="181"/>
      <c r="Y10" s="183"/>
      <c r="Z10" s="185"/>
      <c r="AA10" s="185"/>
      <c r="AB10" s="185"/>
      <c r="AC10" s="181"/>
      <c r="AD10" s="183"/>
      <c r="AE10" s="185"/>
      <c r="AF10" s="185"/>
      <c r="AG10" s="185"/>
      <c r="AH10" s="181"/>
      <c r="AI10" s="183"/>
      <c r="AJ10" s="185"/>
      <c r="AK10" s="185"/>
      <c r="AL10" s="185"/>
      <c r="AM10" s="181"/>
      <c r="AN10" s="183"/>
      <c r="AO10" s="185"/>
      <c r="AP10" s="185"/>
      <c r="AQ10" s="185"/>
      <c r="AR10" s="181"/>
      <c r="AS10" s="183"/>
      <c r="AT10" s="185"/>
      <c r="AU10" s="185"/>
      <c r="AV10" s="185"/>
      <c r="AW10" s="181"/>
      <c r="AX10" s="183"/>
      <c r="AY10" s="185"/>
      <c r="AZ10" s="185"/>
      <c r="BA10" s="185"/>
      <c r="BB10" s="181"/>
      <c r="BC10" s="183"/>
      <c r="BD10" s="185"/>
      <c r="BE10" s="185"/>
      <c r="BF10" s="185"/>
      <c r="BG10" s="181"/>
      <c r="BH10" s="183"/>
      <c r="BI10" s="185"/>
      <c r="BJ10" s="185"/>
      <c r="BK10" s="185"/>
      <c r="BL10" s="181"/>
      <c r="BM10" s="183"/>
      <c r="BN10" s="185"/>
      <c r="BO10" s="185"/>
      <c r="BP10" s="185"/>
      <c r="BQ10" s="181"/>
      <c r="BR10" s="183">
        <f t="shared" si="2"/>
        <v>79231</v>
      </c>
      <c r="BS10" s="88">
        <f t="shared" si="2"/>
        <v>73081</v>
      </c>
      <c r="BT10" s="185">
        <f t="shared" si="2"/>
        <v>143</v>
      </c>
      <c r="BU10" s="185">
        <f t="shared" si="2"/>
        <v>0</v>
      </c>
      <c r="BV10" s="183">
        <f t="shared" ref="BV10:BV47" si="14">SUM(BR10:BU10)</f>
        <v>152455</v>
      </c>
      <c r="BW10" s="148"/>
      <c r="BX10" s="393"/>
    </row>
    <row r="11" spans="1:78" x14ac:dyDescent="0.2">
      <c r="A11" s="388">
        <v>5</v>
      </c>
      <c r="B11" s="389" t="s">
        <v>229</v>
      </c>
      <c r="D11" s="394"/>
      <c r="E11" s="391">
        <v>6627028</v>
      </c>
      <c r="F11" s="88">
        <v>2389590</v>
      </c>
      <c r="G11" s="88">
        <v>13011</v>
      </c>
      <c r="H11" s="88">
        <v>0</v>
      </c>
      <c r="I11" s="181">
        <f t="shared" si="0"/>
        <v>9029629</v>
      </c>
      <c r="J11" s="183">
        <v>394381</v>
      </c>
      <c r="K11" s="185">
        <v>459844</v>
      </c>
      <c r="L11" s="185">
        <v>75903</v>
      </c>
      <c r="M11" s="185">
        <v>0</v>
      </c>
      <c r="N11" s="181">
        <f t="shared" si="13"/>
        <v>930128</v>
      </c>
      <c r="O11" s="185">
        <v>538070</v>
      </c>
      <c r="P11" s="185">
        <v>166364</v>
      </c>
      <c r="Q11" s="185">
        <v>14930</v>
      </c>
      <c r="R11" s="185">
        <v>0</v>
      </c>
      <c r="S11" s="181">
        <f t="shared" si="3"/>
        <v>719364</v>
      </c>
      <c r="T11" s="183">
        <v>0</v>
      </c>
      <c r="U11" s="185">
        <v>0</v>
      </c>
      <c r="V11" s="185">
        <v>0</v>
      </c>
      <c r="W11" s="185">
        <v>0</v>
      </c>
      <c r="X11" s="181">
        <f t="shared" si="4"/>
        <v>0</v>
      </c>
      <c r="Y11" s="183">
        <v>0</v>
      </c>
      <c r="Z11" s="185">
        <v>0</v>
      </c>
      <c r="AA11" s="185">
        <v>0</v>
      </c>
      <c r="AB11" s="185">
        <v>0</v>
      </c>
      <c r="AC11" s="181">
        <f t="shared" si="5"/>
        <v>0</v>
      </c>
      <c r="AD11" s="183">
        <v>0</v>
      </c>
      <c r="AE11" s="185">
        <v>0</v>
      </c>
      <c r="AF11" s="185">
        <v>0</v>
      </c>
      <c r="AG11" s="185">
        <v>0</v>
      </c>
      <c r="AH11" s="181">
        <f t="shared" si="6"/>
        <v>0</v>
      </c>
      <c r="AI11" s="183">
        <v>0</v>
      </c>
      <c r="AJ11" s="185">
        <v>0</v>
      </c>
      <c r="AK11" s="185">
        <v>0</v>
      </c>
      <c r="AL11" s="185">
        <v>0</v>
      </c>
      <c r="AM11" s="181">
        <f t="shared" si="7"/>
        <v>0</v>
      </c>
      <c r="AN11" s="183">
        <v>0</v>
      </c>
      <c r="AO11" s="185">
        <v>0</v>
      </c>
      <c r="AP11" s="185">
        <v>0</v>
      </c>
      <c r="AQ11" s="185">
        <v>0</v>
      </c>
      <c r="AR11" s="181">
        <f t="shared" si="1"/>
        <v>0</v>
      </c>
      <c r="AS11" s="183">
        <v>0</v>
      </c>
      <c r="AT11" s="185">
        <v>0</v>
      </c>
      <c r="AU11" s="185">
        <v>0</v>
      </c>
      <c r="AV11" s="185">
        <v>0</v>
      </c>
      <c r="AW11" s="181">
        <f t="shared" si="8"/>
        <v>0</v>
      </c>
      <c r="AX11" s="183">
        <v>0</v>
      </c>
      <c r="AY11" s="185">
        <v>0</v>
      </c>
      <c r="AZ11" s="185">
        <v>0</v>
      </c>
      <c r="BA11" s="185">
        <v>0</v>
      </c>
      <c r="BB11" s="181">
        <f t="shared" si="9"/>
        <v>0</v>
      </c>
      <c r="BC11" s="183">
        <v>0</v>
      </c>
      <c r="BD11" s="185">
        <v>0</v>
      </c>
      <c r="BE11" s="185">
        <v>0</v>
      </c>
      <c r="BF11" s="185">
        <v>0</v>
      </c>
      <c r="BG11" s="181">
        <f t="shared" si="10"/>
        <v>0</v>
      </c>
      <c r="BH11" s="183">
        <v>0</v>
      </c>
      <c r="BI11" s="185">
        <v>0</v>
      </c>
      <c r="BJ11" s="185">
        <v>0</v>
      </c>
      <c r="BK11" s="185">
        <v>0</v>
      </c>
      <c r="BL11" s="181">
        <f t="shared" si="11"/>
        <v>0</v>
      </c>
      <c r="BM11" s="183">
        <v>0</v>
      </c>
      <c r="BN11" s="185">
        <v>0</v>
      </c>
      <c r="BO11" s="185">
        <v>0</v>
      </c>
      <c r="BP11" s="185">
        <v>0</v>
      </c>
      <c r="BQ11" s="181">
        <f t="shared" si="12"/>
        <v>0</v>
      </c>
      <c r="BR11" s="183">
        <f t="shared" si="2"/>
        <v>932451</v>
      </c>
      <c r="BS11" s="88">
        <f t="shared" si="2"/>
        <v>626208</v>
      </c>
      <c r="BT11" s="185">
        <f t="shared" si="2"/>
        <v>90833</v>
      </c>
      <c r="BU11" s="185">
        <f t="shared" si="2"/>
        <v>0</v>
      </c>
      <c r="BV11" s="183">
        <f t="shared" si="14"/>
        <v>1649492</v>
      </c>
      <c r="BW11" s="148"/>
      <c r="BX11" s="393"/>
    </row>
    <row r="12" spans="1:78" x14ac:dyDescent="0.2">
      <c r="A12" s="388">
        <v>6</v>
      </c>
      <c r="B12" s="389" t="s">
        <v>230</v>
      </c>
      <c r="D12" s="390"/>
      <c r="E12" s="391">
        <v>5559186</v>
      </c>
      <c r="F12" s="88">
        <v>914879</v>
      </c>
      <c r="G12" s="88">
        <v>376114</v>
      </c>
      <c r="H12" s="88">
        <v>0</v>
      </c>
      <c r="I12" s="181">
        <f t="shared" si="0"/>
        <v>6850179</v>
      </c>
      <c r="J12" s="183">
        <v>507360</v>
      </c>
      <c r="K12" s="185">
        <v>1819</v>
      </c>
      <c r="L12" s="185">
        <v>2339</v>
      </c>
      <c r="M12" s="185">
        <v>0</v>
      </c>
      <c r="N12" s="181">
        <f t="shared" si="13"/>
        <v>511518</v>
      </c>
      <c r="O12" s="185">
        <v>410400</v>
      </c>
      <c r="P12" s="185">
        <v>531</v>
      </c>
      <c r="Q12" s="185">
        <v>9289</v>
      </c>
      <c r="R12" s="185">
        <v>0</v>
      </c>
      <c r="S12" s="181">
        <f t="shared" si="3"/>
        <v>420220</v>
      </c>
      <c r="T12" s="183">
        <v>0</v>
      </c>
      <c r="U12" s="185">
        <v>0</v>
      </c>
      <c r="V12" s="185">
        <v>0</v>
      </c>
      <c r="W12" s="185">
        <v>0</v>
      </c>
      <c r="X12" s="181">
        <f t="shared" si="4"/>
        <v>0</v>
      </c>
      <c r="Y12" s="183">
        <v>0</v>
      </c>
      <c r="Z12" s="185">
        <v>0</v>
      </c>
      <c r="AA12" s="185">
        <v>0</v>
      </c>
      <c r="AB12" s="185">
        <v>0</v>
      </c>
      <c r="AC12" s="181">
        <f t="shared" si="5"/>
        <v>0</v>
      </c>
      <c r="AD12" s="183">
        <v>0</v>
      </c>
      <c r="AE12" s="185">
        <v>0</v>
      </c>
      <c r="AF12" s="185">
        <v>0</v>
      </c>
      <c r="AG12" s="185">
        <v>0</v>
      </c>
      <c r="AH12" s="181">
        <f t="shared" si="6"/>
        <v>0</v>
      </c>
      <c r="AI12" s="183">
        <v>0</v>
      </c>
      <c r="AJ12" s="185">
        <v>0</v>
      </c>
      <c r="AK12" s="185">
        <v>0</v>
      </c>
      <c r="AL12" s="185">
        <v>0</v>
      </c>
      <c r="AM12" s="181">
        <f t="shared" si="7"/>
        <v>0</v>
      </c>
      <c r="AN12" s="183">
        <v>0</v>
      </c>
      <c r="AO12" s="185">
        <v>0</v>
      </c>
      <c r="AP12" s="185">
        <v>0</v>
      </c>
      <c r="AQ12" s="185">
        <v>0</v>
      </c>
      <c r="AR12" s="181">
        <f t="shared" si="1"/>
        <v>0</v>
      </c>
      <c r="AS12" s="183">
        <v>0</v>
      </c>
      <c r="AT12" s="185">
        <v>0</v>
      </c>
      <c r="AU12" s="185">
        <v>0</v>
      </c>
      <c r="AV12" s="185">
        <v>0</v>
      </c>
      <c r="AW12" s="181">
        <f t="shared" si="8"/>
        <v>0</v>
      </c>
      <c r="AX12" s="183">
        <v>0</v>
      </c>
      <c r="AY12" s="185">
        <v>0</v>
      </c>
      <c r="AZ12" s="185">
        <v>0</v>
      </c>
      <c r="BA12" s="185">
        <v>0</v>
      </c>
      <c r="BB12" s="181">
        <f t="shared" si="9"/>
        <v>0</v>
      </c>
      <c r="BC12" s="183">
        <v>0</v>
      </c>
      <c r="BD12" s="185">
        <v>0</v>
      </c>
      <c r="BE12" s="185">
        <v>0</v>
      </c>
      <c r="BF12" s="185">
        <v>0</v>
      </c>
      <c r="BG12" s="181">
        <f t="shared" si="10"/>
        <v>0</v>
      </c>
      <c r="BH12" s="183">
        <v>0</v>
      </c>
      <c r="BI12" s="185">
        <v>0</v>
      </c>
      <c r="BJ12" s="185">
        <v>0</v>
      </c>
      <c r="BK12" s="185">
        <v>0</v>
      </c>
      <c r="BL12" s="181">
        <f t="shared" si="11"/>
        <v>0</v>
      </c>
      <c r="BM12" s="183">
        <v>0</v>
      </c>
      <c r="BN12" s="185">
        <v>0</v>
      </c>
      <c r="BO12" s="185">
        <v>0</v>
      </c>
      <c r="BP12" s="185">
        <v>0</v>
      </c>
      <c r="BQ12" s="181">
        <f t="shared" si="12"/>
        <v>0</v>
      </c>
      <c r="BR12" s="183">
        <f t="shared" si="2"/>
        <v>917760</v>
      </c>
      <c r="BS12" s="88">
        <f t="shared" si="2"/>
        <v>2350</v>
      </c>
      <c r="BT12" s="185">
        <f t="shared" si="2"/>
        <v>11628</v>
      </c>
      <c r="BU12" s="185">
        <f t="shared" si="2"/>
        <v>0</v>
      </c>
      <c r="BV12" s="183">
        <f t="shared" si="14"/>
        <v>931738</v>
      </c>
      <c r="BW12" s="148"/>
      <c r="BX12" s="393"/>
    </row>
    <row r="13" spans="1:78" x14ac:dyDescent="0.2">
      <c r="A13" s="388">
        <v>7</v>
      </c>
      <c r="B13" s="389" t="s">
        <v>231</v>
      </c>
      <c r="D13" s="390"/>
      <c r="E13" s="391">
        <v>109458</v>
      </c>
      <c r="F13" s="88">
        <v>93703</v>
      </c>
      <c r="G13" s="88">
        <v>3432</v>
      </c>
      <c r="H13" s="88">
        <v>0</v>
      </c>
      <c r="I13" s="181">
        <f t="shared" si="0"/>
        <v>206593</v>
      </c>
      <c r="J13" s="183">
        <v>6216</v>
      </c>
      <c r="K13" s="185">
        <v>6559</v>
      </c>
      <c r="L13" s="185">
        <v>0</v>
      </c>
      <c r="M13" s="185">
        <v>0</v>
      </c>
      <c r="N13" s="181">
        <f>SUM(J13:M13)</f>
        <v>12775</v>
      </c>
      <c r="O13" s="185">
        <v>6631</v>
      </c>
      <c r="P13" s="185">
        <v>7496</v>
      </c>
      <c r="Q13" s="185">
        <v>25</v>
      </c>
      <c r="R13" s="185"/>
      <c r="S13" s="181">
        <f t="shared" si="3"/>
        <v>14152</v>
      </c>
      <c r="T13" s="183"/>
      <c r="U13" s="185"/>
      <c r="V13" s="185"/>
      <c r="W13" s="185"/>
      <c r="X13" s="181"/>
      <c r="Y13" s="183"/>
      <c r="Z13" s="185"/>
      <c r="AA13" s="185"/>
      <c r="AB13" s="185"/>
      <c r="AC13" s="181"/>
      <c r="AD13" s="183"/>
      <c r="AE13" s="185"/>
      <c r="AF13" s="185"/>
      <c r="AG13" s="185"/>
      <c r="AH13" s="181"/>
      <c r="AI13" s="183"/>
      <c r="AJ13" s="185"/>
      <c r="AK13" s="185"/>
      <c r="AL13" s="185"/>
      <c r="AM13" s="181"/>
      <c r="AN13" s="183"/>
      <c r="AO13" s="185"/>
      <c r="AP13" s="185"/>
      <c r="AQ13" s="185"/>
      <c r="AR13" s="181"/>
      <c r="AS13" s="183"/>
      <c r="AT13" s="185"/>
      <c r="AU13" s="185"/>
      <c r="AV13" s="185"/>
      <c r="AW13" s="181"/>
      <c r="AX13" s="183"/>
      <c r="AY13" s="185"/>
      <c r="AZ13" s="185"/>
      <c r="BA13" s="185"/>
      <c r="BB13" s="181"/>
      <c r="BC13" s="183"/>
      <c r="BD13" s="185"/>
      <c r="BE13" s="185"/>
      <c r="BF13" s="185"/>
      <c r="BG13" s="181"/>
      <c r="BH13" s="183"/>
      <c r="BI13" s="185"/>
      <c r="BJ13" s="185"/>
      <c r="BK13" s="185"/>
      <c r="BL13" s="181"/>
      <c r="BM13" s="183"/>
      <c r="BN13" s="185"/>
      <c r="BO13" s="185"/>
      <c r="BP13" s="185"/>
      <c r="BQ13" s="181"/>
      <c r="BR13" s="183">
        <f t="shared" si="2"/>
        <v>12847</v>
      </c>
      <c r="BS13" s="88">
        <f t="shared" si="2"/>
        <v>14055</v>
      </c>
      <c r="BT13" s="185">
        <f t="shared" si="2"/>
        <v>25</v>
      </c>
      <c r="BU13" s="185">
        <f t="shared" si="2"/>
        <v>0</v>
      </c>
      <c r="BV13" s="183">
        <f t="shared" si="14"/>
        <v>26927</v>
      </c>
      <c r="BW13" s="148"/>
      <c r="BX13" s="393"/>
    </row>
    <row r="14" spans="1:78" x14ac:dyDescent="0.2">
      <c r="A14" s="388">
        <v>8</v>
      </c>
      <c r="B14" s="389" t="s">
        <v>232</v>
      </c>
      <c r="D14" s="390"/>
      <c r="E14" s="391">
        <v>2914169</v>
      </c>
      <c r="F14" s="88">
        <v>25260881</v>
      </c>
      <c r="G14" s="88">
        <v>34419</v>
      </c>
      <c r="H14" s="88">
        <v>4913694</v>
      </c>
      <c r="I14" s="181">
        <f t="shared" si="0"/>
        <v>33123163</v>
      </c>
      <c r="J14" s="183">
        <v>97620</v>
      </c>
      <c r="K14" s="185">
        <v>1328011</v>
      </c>
      <c r="L14" s="185">
        <v>0</v>
      </c>
      <c r="M14" s="185">
        <v>0</v>
      </c>
      <c r="N14" s="181">
        <f t="shared" si="13"/>
        <v>1425631</v>
      </c>
      <c r="O14" s="185">
        <v>142170</v>
      </c>
      <c r="P14" s="185">
        <v>2198989</v>
      </c>
      <c r="Q14" s="185">
        <v>0</v>
      </c>
      <c r="R14" s="185">
        <v>0</v>
      </c>
      <c r="S14" s="181">
        <f t="shared" si="3"/>
        <v>2341159</v>
      </c>
      <c r="T14" s="183">
        <v>0</v>
      </c>
      <c r="U14" s="185">
        <v>0</v>
      </c>
      <c r="V14" s="185">
        <v>0</v>
      </c>
      <c r="W14" s="185">
        <v>0</v>
      </c>
      <c r="X14" s="181">
        <f t="shared" si="4"/>
        <v>0</v>
      </c>
      <c r="Y14" s="183">
        <v>0</v>
      </c>
      <c r="Z14" s="185">
        <v>0</v>
      </c>
      <c r="AA14" s="185">
        <v>0</v>
      </c>
      <c r="AB14" s="185">
        <v>0</v>
      </c>
      <c r="AC14" s="181">
        <f t="shared" si="5"/>
        <v>0</v>
      </c>
      <c r="AD14" s="183">
        <v>0</v>
      </c>
      <c r="AE14" s="185">
        <v>0</v>
      </c>
      <c r="AF14" s="185">
        <v>0</v>
      </c>
      <c r="AG14" s="185">
        <v>0</v>
      </c>
      <c r="AH14" s="181">
        <f t="shared" si="6"/>
        <v>0</v>
      </c>
      <c r="AI14" s="183">
        <v>0</v>
      </c>
      <c r="AJ14" s="185">
        <v>0</v>
      </c>
      <c r="AK14" s="185">
        <v>0</v>
      </c>
      <c r="AL14" s="185">
        <v>0</v>
      </c>
      <c r="AM14" s="181">
        <f t="shared" si="7"/>
        <v>0</v>
      </c>
      <c r="AN14" s="183">
        <v>0</v>
      </c>
      <c r="AO14" s="185">
        <v>0</v>
      </c>
      <c r="AP14" s="185">
        <v>0</v>
      </c>
      <c r="AQ14" s="185">
        <v>0</v>
      </c>
      <c r="AR14" s="181">
        <f t="shared" si="1"/>
        <v>0</v>
      </c>
      <c r="AS14" s="183">
        <v>0</v>
      </c>
      <c r="AT14" s="185">
        <v>0</v>
      </c>
      <c r="AU14" s="185">
        <v>0</v>
      </c>
      <c r="AV14" s="185">
        <v>0</v>
      </c>
      <c r="AW14" s="181">
        <f t="shared" si="8"/>
        <v>0</v>
      </c>
      <c r="AX14" s="183">
        <v>0</v>
      </c>
      <c r="AY14" s="185">
        <v>0</v>
      </c>
      <c r="AZ14" s="185">
        <v>0</v>
      </c>
      <c r="BA14" s="185">
        <v>0</v>
      </c>
      <c r="BB14" s="181">
        <f t="shared" si="9"/>
        <v>0</v>
      </c>
      <c r="BC14" s="183">
        <v>0</v>
      </c>
      <c r="BD14" s="185">
        <v>0</v>
      </c>
      <c r="BE14" s="185">
        <v>0</v>
      </c>
      <c r="BF14" s="185">
        <v>0</v>
      </c>
      <c r="BG14" s="181">
        <f t="shared" si="10"/>
        <v>0</v>
      </c>
      <c r="BH14" s="183">
        <v>0</v>
      </c>
      <c r="BI14" s="185">
        <v>0</v>
      </c>
      <c r="BJ14" s="185">
        <v>0</v>
      </c>
      <c r="BK14" s="185">
        <v>0</v>
      </c>
      <c r="BL14" s="181">
        <f>SUM(BH14:BK14)</f>
        <v>0</v>
      </c>
      <c r="BM14" s="183">
        <v>0</v>
      </c>
      <c r="BN14" s="185">
        <v>0</v>
      </c>
      <c r="BO14" s="185">
        <v>0</v>
      </c>
      <c r="BP14" s="185">
        <v>0</v>
      </c>
      <c r="BQ14" s="181">
        <f t="shared" si="12"/>
        <v>0</v>
      </c>
      <c r="BR14" s="183">
        <f t="shared" si="2"/>
        <v>239790</v>
      </c>
      <c r="BS14" s="88">
        <f t="shared" si="2"/>
        <v>3527000</v>
      </c>
      <c r="BT14" s="185">
        <f t="shared" si="2"/>
        <v>0</v>
      </c>
      <c r="BU14" s="185">
        <f t="shared" si="2"/>
        <v>0</v>
      </c>
      <c r="BV14" s="183">
        <f t="shared" si="14"/>
        <v>3766790</v>
      </c>
      <c r="BW14" s="148"/>
      <c r="BX14" s="393"/>
    </row>
    <row r="15" spans="1:78" x14ac:dyDescent="0.2">
      <c r="A15" s="388">
        <v>9</v>
      </c>
      <c r="B15" s="389" t="s">
        <v>233</v>
      </c>
      <c r="D15" s="395"/>
      <c r="E15" s="391">
        <v>491778</v>
      </c>
      <c r="F15" s="88">
        <v>0</v>
      </c>
      <c r="G15" s="88">
        <v>8196</v>
      </c>
      <c r="H15" s="88">
        <v>0</v>
      </c>
      <c r="I15" s="181">
        <f t="shared" si="0"/>
        <v>499974</v>
      </c>
      <c r="J15" s="183">
        <v>25273</v>
      </c>
      <c r="K15" s="185">
        <v>0</v>
      </c>
      <c r="L15" s="185">
        <v>0</v>
      </c>
      <c r="M15" s="185">
        <v>0</v>
      </c>
      <c r="N15" s="181">
        <f t="shared" si="13"/>
        <v>25273</v>
      </c>
      <c r="O15" s="185">
        <v>26963</v>
      </c>
      <c r="P15" s="185">
        <v>65</v>
      </c>
      <c r="Q15" s="185">
        <v>145</v>
      </c>
      <c r="R15" s="185">
        <v>0</v>
      </c>
      <c r="S15" s="181">
        <f t="shared" si="3"/>
        <v>27173</v>
      </c>
      <c r="T15" s="183">
        <v>0</v>
      </c>
      <c r="U15" s="185">
        <v>0</v>
      </c>
      <c r="V15" s="185">
        <v>0</v>
      </c>
      <c r="W15" s="185">
        <v>0</v>
      </c>
      <c r="X15" s="181">
        <f t="shared" si="4"/>
        <v>0</v>
      </c>
      <c r="Y15" s="183">
        <v>0</v>
      </c>
      <c r="Z15" s="185">
        <v>0</v>
      </c>
      <c r="AA15" s="185">
        <v>0</v>
      </c>
      <c r="AB15" s="185">
        <v>0</v>
      </c>
      <c r="AC15" s="181">
        <f t="shared" si="5"/>
        <v>0</v>
      </c>
      <c r="AD15" s="183">
        <v>0</v>
      </c>
      <c r="AE15" s="185">
        <v>0</v>
      </c>
      <c r="AF15" s="185">
        <v>0</v>
      </c>
      <c r="AG15" s="185">
        <v>0</v>
      </c>
      <c r="AH15" s="181">
        <f t="shared" si="6"/>
        <v>0</v>
      </c>
      <c r="AI15" s="183">
        <v>0</v>
      </c>
      <c r="AJ15" s="185">
        <v>0</v>
      </c>
      <c r="AK15" s="185">
        <v>0</v>
      </c>
      <c r="AL15" s="185">
        <v>0</v>
      </c>
      <c r="AM15" s="181">
        <f t="shared" si="7"/>
        <v>0</v>
      </c>
      <c r="AN15" s="183">
        <v>0</v>
      </c>
      <c r="AO15" s="185">
        <v>0</v>
      </c>
      <c r="AP15" s="185">
        <v>0</v>
      </c>
      <c r="AQ15" s="185">
        <v>0</v>
      </c>
      <c r="AR15" s="181">
        <f t="shared" si="1"/>
        <v>0</v>
      </c>
      <c r="AS15" s="183">
        <v>0</v>
      </c>
      <c r="AT15" s="185">
        <v>0</v>
      </c>
      <c r="AU15" s="185">
        <v>0</v>
      </c>
      <c r="AV15" s="185">
        <v>0</v>
      </c>
      <c r="AW15" s="181">
        <f t="shared" si="8"/>
        <v>0</v>
      </c>
      <c r="AX15" s="183">
        <v>0</v>
      </c>
      <c r="AY15" s="185">
        <v>0</v>
      </c>
      <c r="AZ15" s="185">
        <v>0</v>
      </c>
      <c r="BA15" s="185">
        <v>0</v>
      </c>
      <c r="BB15" s="181">
        <f t="shared" si="9"/>
        <v>0</v>
      </c>
      <c r="BC15" s="183">
        <v>0</v>
      </c>
      <c r="BD15" s="185">
        <v>0</v>
      </c>
      <c r="BE15" s="185">
        <v>0</v>
      </c>
      <c r="BF15" s="185">
        <v>0</v>
      </c>
      <c r="BG15" s="181">
        <f t="shared" si="10"/>
        <v>0</v>
      </c>
      <c r="BH15" s="183">
        <v>0</v>
      </c>
      <c r="BI15" s="185">
        <v>0</v>
      </c>
      <c r="BJ15" s="185">
        <v>0</v>
      </c>
      <c r="BK15" s="185">
        <v>0</v>
      </c>
      <c r="BL15" s="181">
        <f t="shared" si="11"/>
        <v>0</v>
      </c>
      <c r="BM15" s="183">
        <v>0</v>
      </c>
      <c r="BN15" s="185">
        <v>0</v>
      </c>
      <c r="BO15" s="185">
        <v>0</v>
      </c>
      <c r="BP15" s="185">
        <v>0</v>
      </c>
      <c r="BQ15" s="181">
        <f t="shared" si="12"/>
        <v>0</v>
      </c>
      <c r="BR15" s="183">
        <f t="shared" si="2"/>
        <v>52236</v>
      </c>
      <c r="BS15" s="88">
        <f t="shared" si="2"/>
        <v>65</v>
      </c>
      <c r="BT15" s="185">
        <f t="shared" si="2"/>
        <v>145</v>
      </c>
      <c r="BU15" s="185">
        <f t="shared" si="2"/>
        <v>0</v>
      </c>
      <c r="BV15" s="183">
        <f t="shared" si="14"/>
        <v>52446</v>
      </c>
      <c r="BW15" s="148"/>
      <c r="BX15" s="393"/>
      <c r="BZ15" s="136"/>
    </row>
    <row r="16" spans="1:78" x14ac:dyDescent="0.2">
      <c r="A16" s="388">
        <v>10</v>
      </c>
      <c r="B16" s="91" t="s">
        <v>234</v>
      </c>
      <c r="D16" s="395"/>
      <c r="E16" s="391">
        <v>305858</v>
      </c>
      <c r="F16" s="88">
        <v>17</v>
      </c>
      <c r="G16" s="88">
        <v>3480</v>
      </c>
      <c r="H16" s="88">
        <v>37540000</v>
      </c>
      <c r="I16" s="181">
        <f t="shared" si="0"/>
        <v>37849355</v>
      </c>
      <c r="J16" s="183">
        <v>13997</v>
      </c>
      <c r="K16" s="185">
        <v>2</v>
      </c>
      <c r="L16" s="185">
        <v>14</v>
      </c>
      <c r="M16" s="185">
        <v>0</v>
      </c>
      <c r="N16" s="181">
        <f t="shared" si="13"/>
        <v>14013</v>
      </c>
      <c r="O16" s="185">
        <v>15331</v>
      </c>
      <c r="P16" s="185">
        <v>149</v>
      </c>
      <c r="Q16" s="185">
        <v>308</v>
      </c>
      <c r="R16" s="185">
        <v>1000000</v>
      </c>
      <c r="S16" s="181">
        <f t="shared" si="3"/>
        <v>1015788</v>
      </c>
      <c r="T16" s="183">
        <v>0</v>
      </c>
      <c r="U16" s="185">
        <v>0</v>
      </c>
      <c r="V16" s="185">
        <v>0</v>
      </c>
      <c r="W16" s="185">
        <v>0</v>
      </c>
      <c r="X16" s="181">
        <f t="shared" si="4"/>
        <v>0</v>
      </c>
      <c r="Y16" s="183">
        <v>0</v>
      </c>
      <c r="Z16" s="185">
        <v>0</v>
      </c>
      <c r="AA16" s="185">
        <v>0</v>
      </c>
      <c r="AB16" s="185">
        <v>0</v>
      </c>
      <c r="AC16" s="181">
        <f t="shared" si="5"/>
        <v>0</v>
      </c>
      <c r="AD16" s="183">
        <v>0</v>
      </c>
      <c r="AE16" s="185">
        <v>0</v>
      </c>
      <c r="AF16" s="185">
        <v>0</v>
      </c>
      <c r="AG16" s="185">
        <v>0</v>
      </c>
      <c r="AH16" s="181">
        <f t="shared" si="6"/>
        <v>0</v>
      </c>
      <c r="AI16" s="183">
        <v>0</v>
      </c>
      <c r="AJ16" s="185">
        <v>0</v>
      </c>
      <c r="AK16" s="185">
        <v>0</v>
      </c>
      <c r="AL16" s="185">
        <v>0</v>
      </c>
      <c r="AM16" s="181">
        <f t="shared" si="7"/>
        <v>0</v>
      </c>
      <c r="AN16" s="183">
        <v>0</v>
      </c>
      <c r="AO16" s="185">
        <v>0</v>
      </c>
      <c r="AP16" s="185">
        <v>0</v>
      </c>
      <c r="AQ16" s="185">
        <v>0</v>
      </c>
      <c r="AR16" s="181">
        <f t="shared" si="1"/>
        <v>0</v>
      </c>
      <c r="AS16" s="183">
        <v>0</v>
      </c>
      <c r="AT16" s="185">
        <v>0</v>
      </c>
      <c r="AU16" s="185">
        <v>0</v>
      </c>
      <c r="AV16" s="185">
        <v>0</v>
      </c>
      <c r="AW16" s="181">
        <f t="shared" si="8"/>
        <v>0</v>
      </c>
      <c r="AX16" s="183">
        <v>0</v>
      </c>
      <c r="AY16" s="185">
        <v>0</v>
      </c>
      <c r="AZ16" s="185">
        <v>0</v>
      </c>
      <c r="BA16" s="185">
        <v>0</v>
      </c>
      <c r="BB16" s="181">
        <f t="shared" si="9"/>
        <v>0</v>
      </c>
      <c r="BC16" s="183">
        <v>0</v>
      </c>
      <c r="BD16" s="185">
        <v>0</v>
      </c>
      <c r="BE16" s="185">
        <v>0</v>
      </c>
      <c r="BF16" s="185">
        <v>0</v>
      </c>
      <c r="BG16" s="181">
        <f t="shared" si="10"/>
        <v>0</v>
      </c>
      <c r="BH16" s="183">
        <v>0</v>
      </c>
      <c r="BI16" s="185">
        <v>0</v>
      </c>
      <c r="BJ16" s="185">
        <v>0</v>
      </c>
      <c r="BK16" s="185">
        <v>0</v>
      </c>
      <c r="BL16" s="181">
        <f t="shared" si="11"/>
        <v>0</v>
      </c>
      <c r="BM16" s="183">
        <v>0</v>
      </c>
      <c r="BN16" s="185">
        <v>0</v>
      </c>
      <c r="BO16" s="185">
        <v>0</v>
      </c>
      <c r="BP16" s="185">
        <v>0</v>
      </c>
      <c r="BQ16" s="181">
        <f t="shared" si="12"/>
        <v>0</v>
      </c>
      <c r="BR16" s="183">
        <f t="shared" si="2"/>
        <v>29328</v>
      </c>
      <c r="BS16" s="88">
        <f t="shared" si="2"/>
        <v>151</v>
      </c>
      <c r="BT16" s="185">
        <f t="shared" si="2"/>
        <v>322</v>
      </c>
      <c r="BU16" s="185">
        <f t="shared" si="2"/>
        <v>1000000</v>
      </c>
      <c r="BV16" s="183">
        <f t="shared" si="14"/>
        <v>1029801</v>
      </c>
      <c r="BW16" s="148"/>
      <c r="BX16" s="393"/>
    </row>
    <row r="17" spans="1:80" x14ac:dyDescent="0.2">
      <c r="A17" s="388">
        <v>11</v>
      </c>
      <c r="B17" s="389" t="s">
        <v>235</v>
      </c>
      <c r="D17" s="394"/>
      <c r="E17" s="391">
        <v>519590</v>
      </c>
      <c r="F17" s="88">
        <v>43195</v>
      </c>
      <c r="G17" s="88">
        <v>2921</v>
      </c>
      <c r="H17" s="88">
        <v>0</v>
      </c>
      <c r="I17" s="181">
        <f t="shared" si="0"/>
        <v>565706</v>
      </c>
      <c r="J17" s="183">
        <v>23789</v>
      </c>
      <c r="K17" s="185">
        <v>2431</v>
      </c>
      <c r="L17" s="185">
        <v>0</v>
      </c>
      <c r="M17" s="185">
        <v>0</v>
      </c>
      <c r="N17" s="181">
        <f t="shared" si="13"/>
        <v>26220</v>
      </c>
      <c r="O17" s="185">
        <v>37006</v>
      </c>
      <c r="P17" s="185">
        <v>2880</v>
      </c>
      <c r="Q17" s="185">
        <v>79</v>
      </c>
      <c r="R17" s="185">
        <v>0</v>
      </c>
      <c r="S17" s="181">
        <f t="shared" si="3"/>
        <v>39965</v>
      </c>
      <c r="T17" s="183">
        <v>0</v>
      </c>
      <c r="U17" s="185">
        <v>0</v>
      </c>
      <c r="V17" s="185">
        <v>0</v>
      </c>
      <c r="W17" s="185">
        <v>0</v>
      </c>
      <c r="X17" s="181">
        <f t="shared" si="4"/>
        <v>0</v>
      </c>
      <c r="Y17" s="183">
        <v>0</v>
      </c>
      <c r="Z17" s="185">
        <v>0</v>
      </c>
      <c r="AA17" s="185">
        <v>0</v>
      </c>
      <c r="AB17" s="185">
        <v>0</v>
      </c>
      <c r="AC17" s="181">
        <f t="shared" si="5"/>
        <v>0</v>
      </c>
      <c r="AD17" s="183">
        <v>0</v>
      </c>
      <c r="AE17" s="185">
        <v>0</v>
      </c>
      <c r="AF17" s="185">
        <v>0</v>
      </c>
      <c r="AG17" s="185">
        <v>0</v>
      </c>
      <c r="AH17" s="181">
        <f t="shared" si="6"/>
        <v>0</v>
      </c>
      <c r="AI17" s="183">
        <v>0</v>
      </c>
      <c r="AJ17" s="185">
        <v>0</v>
      </c>
      <c r="AK17" s="185">
        <v>0</v>
      </c>
      <c r="AL17" s="185">
        <v>0</v>
      </c>
      <c r="AM17" s="181">
        <f>SUM(AI17:AL17)</f>
        <v>0</v>
      </c>
      <c r="AN17" s="183">
        <v>0</v>
      </c>
      <c r="AO17" s="185">
        <v>0</v>
      </c>
      <c r="AP17" s="185">
        <v>0</v>
      </c>
      <c r="AQ17" s="185">
        <v>0</v>
      </c>
      <c r="AR17" s="181">
        <f t="shared" si="1"/>
        <v>0</v>
      </c>
      <c r="AS17" s="183">
        <v>0</v>
      </c>
      <c r="AT17" s="185">
        <v>0</v>
      </c>
      <c r="AU17" s="185">
        <v>0</v>
      </c>
      <c r="AV17" s="185">
        <v>0</v>
      </c>
      <c r="AW17" s="181">
        <f t="shared" si="8"/>
        <v>0</v>
      </c>
      <c r="AX17" s="183">
        <v>0</v>
      </c>
      <c r="AY17" s="185">
        <v>0</v>
      </c>
      <c r="AZ17" s="185">
        <v>0</v>
      </c>
      <c r="BA17" s="185">
        <v>0</v>
      </c>
      <c r="BB17" s="181">
        <f t="shared" si="9"/>
        <v>0</v>
      </c>
      <c r="BC17" s="183">
        <v>0</v>
      </c>
      <c r="BD17" s="185">
        <v>0</v>
      </c>
      <c r="BE17" s="185">
        <v>0</v>
      </c>
      <c r="BF17" s="185">
        <v>0</v>
      </c>
      <c r="BG17" s="181">
        <f t="shared" si="10"/>
        <v>0</v>
      </c>
      <c r="BH17" s="183">
        <v>0</v>
      </c>
      <c r="BI17" s="185">
        <v>0</v>
      </c>
      <c r="BJ17" s="185">
        <v>0</v>
      </c>
      <c r="BK17" s="185">
        <v>0</v>
      </c>
      <c r="BL17" s="181">
        <f t="shared" si="11"/>
        <v>0</v>
      </c>
      <c r="BM17" s="183">
        <v>0</v>
      </c>
      <c r="BN17" s="185">
        <v>0</v>
      </c>
      <c r="BO17" s="185">
        <v>0</v>
      </c>
      <c r="BP17" s="185">
        <v>0</v>
      </c>
      <c r="BQ17" s="181">
        <f t="shared" si="12"/>
        <v>0</v>
      </c>
      <c r="BR17" s="183">
        <f t="shared" si="2"/>
        <v>60795</v>
      </c>
      <c r="BS17" s="88">
        <f t="shared" si="2"/>
        <v>5311</v>
      </c>
      <c r="BT17" s="185">
        <f t="shared" si="2"/>
        <v>79</v>
      </c>
      <c r="BU17" s="185">
        <f t="shared" si="2"/>
        <v>0</v>
      </c>
      <c r="BV17" s="183">
        <f t="shared" si="14"/>
        <v>66185</v>
      </c>
      <c r="BW17" s="148"/>
      <c r="BX17" s="393"/>
      <c r="BZ17" s="136"/>
    </row>
    <row r="18" spans="1:80" x14ac:dyDescent="0.2">
      <c r="A18" s="388">
        <v>12</v>
      </c>
      <c r="B18" s="359" t="s">
        <v>236</v>
      </c>
      <c r="D18" s="390"/>
      <c r="E18" s="391">
        <v>295723</v>
      </c>
      <c r="F18" s="88">
        <v>498</v>
      </c>
      <c r="G18" s="88">
        <v>1406</v>
      </c>
      <c r="H18" s="88">
        <v>0</v>
      </c>
      <c r="I18" s="181">
        <f t="shared" si="0"/>
        <v>297627</v>
      </c>
      <c r="J18" s="183">
        <v>17330</v>
      </c>
      <c r="K18" s="185">
        <v>0</v>
      </c>
      <c r="L18" s="185">
        <v>8</v>
      </c>
      <c r="M18" s="185">
        <v>0</v>
      </c>
      <c r="N18" s="181">
        <f t="shared" si="13"/>
        <v>17338</v>
      </c>
      <c r="O18" s="185">
        <v>21158</v>
      </c>
      <c r="P18" s="185">
        <v>127</v>
      </c>
      <c r="Q18" s="185">
        <v>22</v>
      </c>
      <c r="R18" s="185">
        <v>0</v>
      </c>
      <c r="S18" s="181">
        <f t="shared" si="3"/>
        <v>21307</v>
      </c>
      <c r="T18" s="183">
        <v>0</v>
      </c>
      <c r="U18" s="185">
        <v>0</v>
      </c>
      <c r="V18" s="185">
        <v>0</v>
      </c>
      <c r="W18" s="185">
        <v>0</v>
      </c>
      <c r="X18" s="181">
        <f t="shared" si="4"/>
        <v>0</v>
      </c>
      <c r="Y18" s="183">
        <v>0</v>
      </c>
      <c r="Z18" s="185">
        <v>0</v>
      </c>
      <c r="AA18" s="185">
        <v>0</v>
      </c>
      <c r="AB18" s="185">
        <v>0</v>
      </c>
      <c r="AC18" s="181">
        <f t="shared" si="5"/>
        <v>0</v>
      </c>
      <c r="AD18" s="183">
        <v>0</v>
      </c>
      <c r="AE18" s="185">
        <v>0</v>
      </c>
      <c r="AF18" s="185">
        <v>0</v>
      </c>
      <c r="AG18" s="185">
        <v>0</v>
      </c>
      <c r="AH18" s="181">
        <f t="shared" si="6"/>
        <v>0</v>
      </c>
      <c r="AI18" s="183">
        <v>0</v>
      </c>
      <c r="AJ18" s="185">
        <v>0</v>
      </c>
      <c r="AK18" s="185">
        <v>0</v>
      </c>
      <c r="AL18" s="185">
        <v>0</v>
      </c>
      <c r="AM18" s="181">
        <f t="shared" si="7"/>
        <v>0</v>
      </c>
      <c r="AN18" s="183">
        <v>0</v>
      </c>
      <c r="AO18" s="185">
        <v>0</v>
      </c>
      <c r="AP18" s="185">
        <v>0</v>
      </c>
      <c r="AQ18" s="185">
        <v>0</v>
      </c>
      <c r="AR18" s="181">
        <f t="shared" si="1"/>
        <v>0</v>
      </c>
      <c r="AS18" s="183">
        <v>0</v>
      </c>
      <c r="AT18" s="185">
        <v>0</v>
      </c>
      <c r="AU18" s="185">
        <v>0</v>
      </c>
      <c r="AV18" s="185">
        <v>0</v>
      </c>
      <c r="AW18" s="181">
        <f t="shared" si="8"/>
        <v>0</v>
      </c>
      <c r="AX18" s="183">
        <v>0</v>
      </c>
      <c r="AY18" s="185">
        <v>0</v>
      </c>
      <c r="AZ18" s="185">
        <v>0</v>
      </c>
      <c r="BA18" s="185">
        <v>0</v>
      </c>
      <c r="BB18" s="181">
        <f t="shared" si="9"/>
        <v>0</v>
      </c>
      <c r="BC18" s="183">
        <v>0</v>
      </c>
      <c r="BD18" s="185">
        <v>0</v>
      </c>
      <c r="BE18" s="185">
        <v>0</v>
      </c>
      <c r="BF18" s="185">
        <v>0</v>
      </c>
      <c r="BG18" s="181">
        <f t="shared" si="10"/>
        <v>0</v>
      </c>
      <c r="BH18" s="183">
        <v>0</v>
      </c>
      <c r="BI18" s="185">
        <v>0</v>
      </c>
      <c r="BJ18" s="185">
        <v>0</v>
      </c>
      <c r="BK18" s="185">
        <v>0</v>
      </c>
      <c r="BL18" s="181">
        <f>SUM(BH18:BK18)</f>
        <v>0</v>
      </c>
      <c r="BM18" s="183">
        <v>0</v>
      </c>
      <c r="BN18" s="185">
        <v>0</v>
      </c>
      <c r="BO18" s="185">
        <v>0</v>
      </c>
      <c r="BP18" s="185">
        <v>0</v>
      </c>
      <c r="BQ18" s="181">
        <f t="shared" si="12"/>
        <v>0</v>
      </c>
      <c r="BR18" s="183">
        <f t="shared" si="2"/>
        <v>38488</v>
      </c>
      <c r="BS18" s="88">
        <f t="shared" si="2"/>
        <v>127</v>
      </c>
      <c r="BT18" s="185">
        <f t="shared" si="2"/>
        <v>30</v>
      </c>
      <c r="BU18" s="185">
        <f t="shared" si="2"/>
        <v>0</v>
      </c>
      <c r="BV18" s="183">
        <f t="shared" si="14"/>
        <v>38645</v>
      </c>
      <c r="BW18" s="148"/>
      <c r="BX18" s="393"/>
    </row>
    <row r="19" spans="1:80" x14ac:dyDescent="0.2">
      <c r="A19" s="388">
        <v>13</v>
      </c>
      <c r="B19" s="359" t="s">
        <v>237</v>
      </c>
      <c r="D19" s="390"/>
      <c r="E19" s="391">
        <v>1054524</v>
      </c>
      <c r="F19" s="88">
        <v>6996074</v>
      </c>
      <c r="G19" s="88">
        <v>20198</v>
      </c>
      <c r="H19" s="88">
        <v>0</v>
      </c>
      <c r="I19" s="181">
        <f t="shared" si="0"/>
        <v>8070796</v>
      </c>
      <c r="J19" s="183">
        <v>53437</v>
      </c>
      <c r="K19" s="185">
        <v>1418670</v>
      </c>
      <c r="L19" s="185">
        <v>2</v>
      </c>
      <c r="M19" s="185">
        <v>0</v>
      </c>
      <c r="N19" s="181">
        <f>SUM(J19:M19)</f>
        <v>1472109</v>
      </c>
      <c r="O19" s="185">
        <v>44492</v>
      </c>
      <c r="P19" s="185">
        <v>138060</v>
      </c>
      <c r="Q19" s="185">
        <v>16</v>
      </c>
      <c r="R19" s="185"/>
      <c r="S19" s="181">
        <f t="shared" si="3"/>
        <v>182568</v>
      </c>
      <c r="T19" s="183"/>
      <c r="U19" s="185"/>
      <c r="V19" s="185"/>
      <c r="W19" s="185"/>
      <c r="X19" s="181"/>
      <c r="Y19" s="183"/>
      <c r="Z19" s="185"/>
      <c r="AA19" s="185"/>
      <c r="AB19" s="185"/>
      <c r="AC19" s="181"/>
      <c r="AD19" s="183"/>
      <c r="AE19" s="185"/>
      <c r="AF19" s="185"/>
      <c r="AG19" s="185"/>
      <c r="AH19" s="181"/>
      <c r="AI19" s="183"/>
      <c r="AJ19" s="185"/>
      <c r="AK19" s="185"/>
      <c r="AL19" s="185"/>
      <c r="AM19" s="181"/>
      <c r="AN19" s="183"/>
      <c r="AO19" s="185"/>
      <c r="AP19" s="185"/>
      <c r="AQ19" s="185"/>
      <c r="AR19" s="181"/>
      <c r="AS19" s="183"/>
      <c r="AT19" s="185"/>
      <c r="AU19" s="185"/>
      <c r="AV19" s="185"/>
      <c r="AW19" s="181"/>
      <c r="AX19" s="183"/>
      <c r="AY19" s="185"/>
      <c r="AZ19" s="185"/>
      <c r="BA19" s="185"/>
      <c r="BB19" s="181"/>
      <c r="BC19" s="183"/>
      <c r="BD19" s="185"/>
      <c r="BE19" s="185"/>
      <c r="BF19" s="185"/>
      <c r="BG19" s="181"/>
      <c r="BH19" s="183"/>
      <c r="BI19" s="185"/>
      <c r="BJ19" s="185"/>
      <c r="BK19" s="185"/>
      <c r="BL19" s="181"/>
      <c r="BM19" s="183"/>
      <c r="BN19" s="185"/>
      <c r="BO19" s="185"/>
      <c r="BP19" s="185"/>
      <c r="BQ19" s="181"/>
      <c r="BR19" s="183">
        <f t="shared" si="2"/>
        <v>97929</v>
      </c>
      <c r="BS19" s="88">
        <f t="shared" si="2"/>
        <v>1556730</v>
      </c>
      <c r="BT19" s="185">
        <f t="shared" si="2"/>
        <v>18</v>
      </c>
      <c r="BU19" s="185">
        <f t="shared" si="2"/>
        <v>0</v>
      </c>
      <c r="BV19" s="183">
        <f t="shared" si="14"/>
        <v>1654677</v>
      </c>
      <c r="BW19" s="148"/>
      <c r="BX19" s="393"/>
    </row>
    <row r="20" spans="1:80" x14ac:dyDescent="0.2">
      <c r="A20" s="388">
        <v>14</v>
      </c>
      <c r="B20" s="389" t="s">
        <v>238</v>
      </c>
      <c r="D20" s="394"/>
      <c r="E20" s="391">
        <v>3136923</v>
      </c>
      <c r="F20" s="88">
        <v>526</v>
      </c>
      <c r="G20" s="88">
        <v>314724</v>
      </c>
      <c r="H20" s="88">
        <v>0</v>
      </c>
      <c r="I20" s="181">
        <f t="shared" si="0"/>
        <v>3452173</v>
      </c>
      <c r="J20" s="183">
        <v>135367</v>
      </c>
      <c r="K20" s="185">
        <v>0</v>
      </c>
      <c r="L20" s="185">
        <v>21881</v>
      </c>
      <c r="M20" s="185">
        <v>0</v>
      </c>
      <c r="N20" s="181">
        <f t="shared" si="13"/>
        <v>157248</v>
      </c>
      <c r="O20" s="185">
        <v>140643</v>
      </c>
      <c r="P20" s="185">
        <v>5487</v>
      </c>
      <c r="Q20" s="185">
        <v>21894</v>
      </c>
      <c r="R20" s="185">
        <v>0</v>
      </c>
      <c r="S20" s="181">
        <f t="shared" si="3"/>
        <v>168024</v>
      </c>
      <c r="T20" s="183">
        <v>0</v>
      </c>
      <c r="U20" s="185">
        <v>0</v>
      </c>
      <c r="V20" s="185">
        <v>0</v>
      </c>
      <c r="W20" s="185">
        <v>0</v>
      </c>
      <c r="X20" s="181">
        <f t="shared" si="4"/>
        <v>0</v>
      </c>
      <c r="Y20" s="183">
        <v>0</v>
      </c>
      <c r="Z20" s="185">
        <v>0</v>
      </c>
      <c r="AA20" s="185">
        <v>0</v>
      </c>
      <c r="AB20" s="185">
        <v>0</v>
      </c>
      <c r="AC20" s="181">
        <f t="shared" si="5"/>
        <v>0</v>
      </c>
      <c r="AD20" s="183">
        <v>0</v>
      </c>
      <c r="AE20" s="185">
        <v>0</v>
      </c>
      <c r="AF20" s="185">
        <v>0</v>
      </c>
      <c r="AG20" s="185">
        <v>0</v>
      </c>
      <c r="AH20" s="181">
        <f t="shared" si="6"/>
        <v>0</v>
      </c>
      <c r="AI20" s="183">
        <v>0</v>
      </c>
      <c r="AJ20" s="185">
        <v>0</v>
      </c>
      <c r="AK20" s="185">
        <v>0</v>
      </c>
      <c r="AL20" s="185">
        <v>0</v>
      </c>
      <c r="AM20" s="181">
        <f t="shared" si="7"/>
        <v>0</v>
      </c>
      <c r="AN20" s="183">
        <v>0</v>
      </c>
      <c r="AO20" s="185">
        <v>0</v>
      </c>
      <c r="AP20" s="185">
        <v>0</v>
      </c>
      <c r="AQ20" s="185">
        <v>0</v>
      </c>
      <c r="AR20" s="181">
        <f t="shared" si="1"/>
        <v>0</v>
      </c>
      <c r="AS20" s="183">
        <v>0</v>
      </c>
      <c r="AT20" s="185">
        <v>0</v>
      </c>
      <c r="AU20" s="185">
        <v>0</v>
      </c>
      <c r="AV20" s="185">
        <v>0</v>
      </c>
      <c r="AW20" s="181">
        <f t="shared" si="8"/>
        <v>0</v>
      </c>
      <c r="AX20" s="183">
        <v>0</v>
      </c>
      <c r="AY20" s="185">
        <v>0</v>
      </c>
      <c r="AZ20" s="185">
        <v>0</v>
      </c>
      <c r="BA20" s="185">
        <v>0</v>
      </c>
      <c r="BB20" s="181">
        <f>SUM(AX20:BA20)</f>
        <v>0</v>
      </c>
      <c r="BC20" s="183">
        <v>0</v>
      </c>
      <c r="BD20" s="185">
        <v>0</v>
      </c>
      <c r="BE20" s="185">
        <v>0</v>
      </c>
      <c r="BF20" s="185">
        <v>0</v>
      </c>
      <c r="BG20" s="181">
        <f t="shared" si="10"/>
        <v>0</v>
      </c>
      <c r="BH20" s="183">
        <v>0</v>
      </c>
      <c r="BI20" s="185">
        <v>0</v>
      </c>
      <c r="BJ20" s="185">
        <v>0</v>
      </c>
      <c r="BK20" s="185">
        <v>0</v>
      </c>
      <c r="BL20" s="181">
        <f t="shared" si="11"/>
        <v>0</v>
      </c>
      <c r="BM20" s="183">
        <v>0</v>
      </c>
      <c r="BN20" s="185">
        <v>0</v>
      </c>
      <c r="BO20" s="185">
        <v>0</v>
      </c>
      <c r="BP20" s="185">
        <v>0</v>
      </c>
      <c r="BQ20" s="181">
        <f t="shared" si="12"/>
        <v>0</v>
      </c>
      <c r="BR20" s="183">
        <f t="shared" si="2"/>
        <v>276010</v>
      </c>
      <c r="BS20" s="88">
        <f t="shared" si="2"/>
        <v>5487</v>
      </c>
      <c r="BT20" s="185">
        <f t="shared" si="2"/>
        <v>43775</v>
      </c>
      <c r="BU20" s="185">
        <f t="shared" si="2"/>
        <v>0</v>
      </c>
      <c r="BV20" s="183">
        <f t="shared" si="14"/>
        <v>325272</v>
      </c>
      <c r="BW20" s="148"/>
      <c r="BX20" s="393"/>
    </row>
    <row r="21" spans="1:80" x14ac:dyDescent="0.2">
      <c r="A21" s="388">
        <v>15</v>
      </c>
      <c r="B21" s="389" t="s">
        <v>239</v>
      </c>
      <c r="D21" s="394"/>
      <c r="E21" s="391">
        <v>122856</v>
      </c>
      <c r="F21" s="88">
        <v>47688</v>
      </c>
      <c r="G21" s="88">
        <v>2855</v>
      </c>
      <c r="H21" s="88">
        <v>0</v>
      </c>
      <c r="I21" s="181">
        <f t="shared" si="0"/>
        <v>173399</v>
      </c>
      <c r="J21" s="183">
        <v>7125</v>
      </c>
      <c r="K21" s="185">
        <v>11929</v>
      </c>
      <c r="L21" s="185">
        <v>63</v>
      </c>
      <c r="M21" s="185">
        <v>0</v>
      </c>
      <c r="N21" s="181">
        <f>SUM(J21:M21)</f>
        <v>19117</v>
      </c>
      <c r="O21" s="185">
        <v>6020</v>
      </c>
      <c r="P21" s="185">
        <v>9</v>
      </c>
      <c r="Q21" s="185">
        <v>51</v>
      </c>
      <c r="R21" s="185"/>
      <c r="S21" s="181">
        <f t="shared" si="3"/>
        <v>6080</v>
      </c>
      <c r="T21" s="183"/>
      <c r="U21" s="185"/>
      <c r="V21" s="185"/>
      <c r="W21" s="185"/>
      <c r="X21" s="181"/>
      <c r="Y21" s="183"/>
      <c r="Z21" s="185"/>
      <c r="AA21" s="185"/>
      <c r="AB21" s="185"/>
      <c r="AC21" s="181"/>
      <c r="AD21" s="183"/>
      <c r="AE21" s="185"/>
      <c r="AF21" s="185"/>
      <c r="AG21" s="185"/>
      <c r="AH21" s="181"/>
      <c r="AI21" s="183"/>
      <c r="AJ21" s="185"/>
      <c r="AK21" s="185"/>
      <c r="AL21" s="185"/>
      <c r="AM21" s="181"/>
      <c r="AN21" s="183"/>
      <c r="AO21" s="185"/>
      <c r="AP21" s="185"/>
      <c r="AQ21" s="185"/>
      <c r="AR21" s="181"/>
      <c r="AS21" s="183"/>
      <c r="AT21" s="185"/>
      <c r="AU21" s="185"/>
      <c r="AV21" s="185"/>
      <c r="AW21" s="181"/>
      <c r="AX21" s="183"/>
      <c r="AY21" s="185"/>
      <c r="AZ21" s="185"/>
      <c r="BA21" s="185"/>
      <c r="BB21" s="181"/>
      <c r="BC21" s="183"/>
      <c r="BD21" s="185"/>
      <c r="BE21" s="185"/>
      <c r="BF21" s="185"/>
      <c r="BG21" s="181"/>
      <c r="BH21" s="183"/>
      <c r="BI21" s="185"/>
      <c r="BJ21" s="185"/>
      <c r="BK21" s="185"/>
      <c r="BL21" s="181"/>
      <c r="BM21" s="183"/>
      <c r="BN21" s="185"/>
      <c r="BO21" s="185"/>
      <c r="BP21" s="185"/>
      <c r="BQ21" s="181"/>
      <c r="BR21" s="183">
        <f t="shared" si="2"/>
        <v>13145</v>
      </c>
      <c r="BS21" s="88">
        <f t="shared" si="2"/>
        <v>11938</v>
      </c>
      <c r="BT21" s="185">
        <f t="shared" si="2"/>
        <v>114</v>
      </c>
      <c r="BU21" s="185">
        <f t="shared" si="2"/>
        <v>0</v>
      </c>
      <c r="BV21" s="183">
        <f t="shared" si="14"/>
        <v>25197</v>
      </c>
      <c r="BW21" s="148"/>
      <c r="BX21" s="393"/>
    </row>
    <row r="22" spans="1:80" x14ac:dyDescent="0.2">
      <c r="A22" s="388">
        <v>16</v>
      </c>
      <c r="B22" s="389" t="s">
        <v>240</v>
      </c>
      <c r="D22" s="390"/>
      <c r="E22" s="391">
        <v>2668812</v>
      </c>
      <c r="F22" s="88">
        <v>21150175</v>
      </c>
      <c r="G22" s="88">
        <v>1509245</v>
      </c>
      <c r="H22" s="88">
        <v>0</v>
      </c>
      <c r="I22" s="181">
        <f t="shared" si="0"/>
        <v>25328232</v>
      </c>
      <c r="J22" s="183">
        <v>57684</v>
      </c>
      <c r="K22" s="185">
        <v>3109719</v>
      </c>
      <c r="L22" s="185">
        <v>8522</v>
      </c>
      <c r="M22" s="185">
        <v>0</v>
      </c>
      <c r="N22" s="181">
        <f t="shared" si="13"/>
        <v>3175925</v>
      </c>
      <c r="O22" s="185">
        <v>65633</v>
      </c>
      <c r="P22" s="185">
        <v>3568074</v>
      </c>
      <c r="Q22" s="185">
        <v>4480</v>
      </c>
      <c r="R22" s="185">
        <v>0</v>
      </c>
      <c r="S22" s="181">
        <f t="shared" si="3"/>
        <v>3638187</v>
      </c>
      <c r="T22" s="183">
        <v>0</v>
      </c>
      <c r="U22" s="185">
        <v>0</v>
      </c>
      <c r="V22" s="185">
        <v>0</v>
      </c>
      <c r="W22" s="185">
        <v>0</v>
      </c>
      <c r="X22" s="181">
        <f t="shared" si="4"/>
        <v>0</v>
      </c>
      <c r="Y22" s="183">
        <v>0</v>
      </c>
      <c r="Z22" s="185">
        <v>0</v>
      </c>
      <c r="AA22" s="185">
        <v>0</v>
      </c>
      <c r="AB22" s="185">
        <v>0</v>
      </c>
      <c r="AC22" s="181">
        <f t="shared" si="5"/>
        <v>0</v>
      </c>
      <c r="AD22" s="183">
        <v>0</v>
      </c>
      <c r="AE22" s="185">
        <v>0</v>
      </c>
      <c r="AF22" s="185">
        <v>0</v>
      </c>
      <c r="AG22" s="185">
        <v>0</v>
      </c>
      <c r="AH22" s="181">
        <f t="shared" si="6"/>
        <v>0</v>
      </c>
      <c r="AI22" s="183">
        <v>0</v>
      </c>
      <c r="AJ22" s="185">
        <v>0</v>
      </c>
      <c r="AK22" s="185">
        <v>0</v>
      </c>
      <c r="AL22" s="185">
        <v>0</v>
      </c>
      <c r="AM22" s="181">
        <f t="shared" si="7"/>
        <v>0</v>
      </c>
      <c r="AN22" s="183">
        <v>0</v>
      </c>
      <c r="AO22" s="185">
        <v>0</v>
      </c>
      <c r="AP22" s="185">
        <v>0</v>
      </c>
      <c r="AQ22" s="185">
        <v>0</v>
      </c>
      <c r="AR22" s="181">
        <f t="shared" si="1"/>
        <v>0</v>
      </c>
      <c r="AS22" s="183">
        <v>0</v>
      </c>
      <c r="AT22" s="185">
        <v>0</v>
      </c>
      <c r="AU22" s="185">
        <v>0</v>
      </c>
      <c r="AV22" s="185">
        <v>0</v>
      </c>
      <c r="AW22" s="181">
        <f t="shared" si="8"/>
        <v>0</v>
      </c>
      <c r="AX22" s="183">
        <v>0</v>
      </c>
      <c r="AY22" s="185">
        <v>0</v>
      </c>
      <c r="AZ22" s="185">
        <v>0</v>
      </c>
      <c r="BA22" s="185">
        <v>0</v>
      </c>
      <c r="BB22" s="181">
        <f t="shared" si="9"/>
        <v>0</v>
      </c>
      <c r="BC22" s="183">
        <v>0</v>
      </c>
      <c r="BD22" s="185">
        <v>0</v>
      </c>
      <c r="BE22" s="185">
        <v>0</v>
      </c>
      <c r="BF22" s="185">
        <v>0</v>
      </c>
      <c r="BG22" s="181">
        <f t="shared" si="10"/>
        <v>0</v>
      </c>
      <c r="BH22" s="183">
        <v>0</v>
      </c>
      <c r="BI22" s="185">
        <v>0</v>
      </c>
      <c r="BJ22" s="185">
        <v>0</v>
      </c>
      <c r="BK22" s="185">
        <v>0</v>
      </c>
      <c r="BL22" s="181">
        <f t="shared" si="11"/>
        <v>0</v>
      </c>
      <c r="BM22" s="183">
        <v>0</v>
      </c>
      <c r="BN22" s="185">
        <v>0</v>
      </c>
      <c r="BO22" s="185">
        <v>0</v>
      </c>
      <c r="BP22" s="185">
        <v>0</v>
      </c>
      <c r="BQ22" s="181">
        <f t="shared" si="12"/>
        <v>0</v>
      </c>
      <c r="BR22" s="183">
        <f t="shared" si="2"/>
        <v>123317</v>
      </c>
      <c r="BS22" s="88">
        <f t="shared" si="2"/>
        <v>6677793</v>
      </c>
      <c r="BT22" s="185">
        <f t="shared" si="2"/>
        <v>13002</v>
      </c>
      <c r="BU22" s="185">
        <f t="shared" si="2"/>
        <v>0</v>
      </c>
      <c r="BV22" s="183">
        <f t="shared" si="14"/>
        <v>6814112</v>
      </c>
      <c r="BW22" s="148"/>
      <c r="BX22" s="393"/>
    </row>
    <row r="23" spans="1:80" x14ac:dyDescent="0.2">
      <c r="A23" s="388">
        <v>17</v>
      </c>
      <c r="B23" s="389" t="s">
        <v>241</v>
      </c>
      <c r="D23" s="390"/>
      <c r="E23" s="391">
        <v>10989443</v>
      </c>
      <c r="F23" s="88">
        <v>86438288</v>
      </c>
      <c r="G23" s="88">
        <v>16262</v>
      </c>
      <c r="H23" s="88">
        <v>0</v>
      </c>
      <c r="I23" s="181">
        <f t="shared" si="0"/>
        <v>97443993</v>
      </c>
      <c r="J23" s="183">
        <v>700086</v>
      </c>
      <c r="K23" s="185">
        <v>18750650</v>
      </c>
      <c r="L23" s="185">
        <v>12</v>
      </c>
      <c r="M23" s="185">
        <v>0</v>
      </c>
      <c r="N23" s="181">
        <f t="shared" si="13"/>
        <v>19450748</v>
      </c>
      <c r="O23" s="185">
        <v>714467</v>
      </c>
      <c r="P23" s="185">
        <v>10026372</v>
      </c>
      <c r="Q23" s="185">
        <v>5494</v>
      </c>
      <c r="R23" s="185">
        <v>0</v>
      </c>
      <c r="S23" s="181">
        <f>SUM(O23:R23)</f>
        <v>10746333</v>
      </c>
      <c r="T23" s="183">
        <v>0</v>
      </c>
      <c r="U23" s="185">
        <v>0</v>
      </c>
      <c r="V23" s="185">
        <v>0</v>
      </c>
      <c r="W23" s="185">
        <v>0</v>
      </c>
      <c r="X23" s="181">
        <f t="shared" si="4"/>
        <v>0</v>
      </c>
      <c r="Y23" s="183">
        <v>0</v>
      </c>
      <c r="Z23" s="185">
        <v>0</v>
      </c>
      <c r="AA23" s="185">
        <v>0</v>
      </c>
      <c r="AB23" s="185">
        <v>0</v>
      </c>
      <c r="AC23" s="181">
        <f t="shared" si="5"/>
        <v>0</v>
      </c>
      <c r="AD23" s="183">
        <v>0</v>
      </c>
      <c r="AE23" s="185">
        <v>0</v>
      </c>
      <c r="AF23" s="185">
        <v>0</v>
      </c>
      <c r="AG23" s="185">
        <v>0</v>
      </c>
      <c r="AH23" s="181">
        <f t="shared" si="6"/>
        <v>0</v>
      </c>
      <c r="AI23" s="183">
        <v>0</v>
      </c>
      <c r="AJ23" s="185">
        <v>0</v>
      </c>
      <c r="AK23" s="185">
        <v>0</v>
      </c>
      <c r="AL23" s="185">
        <v>0</v>
      </c>
      <c r="AM23" s="181">
        <f t="shared" si="7"/>
        <v>0</v>
      </c>
      <c r="AN23" s="183">
        <v>0</v>
      </c>
      <c r="AO23" s="185">
        <v>0</v>
      </c>
      <c r="AP23" s="185">
        <v>0</v>
      </c>
      <c r="AQ23" s="185">
        <v>0</v>
      </c>
      <c r="AR23" s="181">
        <f t="shared" si="1"/>
        <v>0</v>
      </c>
      <c r="AS23" s="183">
        <v>0</v>
      </c>
      <c r="AT23" s="185">
        <v>0</v>
      </c>
      <c r="AU23" s="185">
        <v>0</v>
      </c>
      <c r="AV23" s="185">
        <v>0</v>
      </c>
      <c r="AW23" s="181">
        <f t="shared" si="8"/>
        <v>0</v>
      </c>
      <c r="AX23" s="183">
        <v>0</v>
      </c>
      <c r="AY23" s="185">
        <v>0</v>
      </c>
      <c r="AZ23" s="185">
        <v>0</v>
      </c>
      <c r="BA23" s="185">
        <v>0</v>
      </c>
      <c r="BB23" s="181">
        <f t="shared" si="9"/>
        <v>0</v>
      </c>
      <c r="BC23" s="183">
        <v>0</v>
      </c>
      <c r="BD23" s="185">
        <v>0</v>
      </c>
      <c r="BE23" s="185">
        <v>0</v>
      </c>
      <c r="BF23" s="185">
        <v>0</v>
      </c>
      <c r="BG23" s="181">
        <f t="shared" si="10"/>
        <v>0</v>
      </c>
      <c r="BH23" s="183">
        <v>0</v>
      </c>
      <c r="BI23" s="185">
        <v>0</v>
      </c>
      <c r="BJ23" s="185">
        <v>0</v>
      </c>
      <c r="BK23" s="185">
        <v>0</v>
      </c>
      <c r="BL23" s="181">
        <f t="shared" si="11"/>
        <v>0</v>
      </c>
      <c r="BM23" s="183">
        <v>0</v>
      </c>
      <c r="BN23" s="185">
        <v>0</v>
      </c>
      <c r="BO23" s="185">
        <v>0</v>
      </c>
      <c r="BP23" s="185">
        <v>0</v>
      </c>
      <c r="BQ23" s="181">
        <f t="shared" si="12"/>
        <v>0</v>
      </c>
      <c r="BR23" s="183">
        <f t="shared" ref="BR23:BU50" si="15">+J23+O23+T23+Y23+AD23+AI23+AN23+AS23+AX23+BC23+BH23+BM23</f>
        <v>1414553</v>
      </c>
      <c r="BS23" s="88">
        <f t="shared" si="15"/>
        <v>28777022</v>
      </c>
      <c r="BT23" s="185">
        <f t="shared" si="15"/>
        <v>5506</v>
      </c>
      <c r="BU23" s="185">
        <f t="shared" si="15"/>
        <v>0</v>
      </c>
      <c r="BV23" s="183">
        <f t="shared" si="14"/>
        <v>30197081</v>
      </c>
      <c r="BW23" s="148"/>
      <c r="BX23" s="393"/>
      <c r="BY23" s="136"/>
      <c r="BZ23" s="136"/>
      <c r="CA23" s="136"/>
      <c r="CB23" s="136"/>
    </row>
    <row r="24" spans="1:80" x14ac:dyDescent="0.2">
      <c r="A24" s="388">
        <v>18</v>
      </c>
      <c r="B24" s="389" t="s">
        <v>242</v>
      </c>
      <c r="D24" s="395"/>
      <c r="E24" s="391">
        <v>3008733</v>
      </c>
      <c r="F24" s="88">
        <v>51271899</v>
      </c>
      <c r="G24" s="88">
        <v>1235365</v>
      </c>
      <c r="H24" s="88">
        <v>0</v>
      </c>
      <c r="I24" s="181">
        <f t="shared" si="0"/>
        <v>55515997</v>
      </c>
      <c r="J24" s="183">
        <v>160993</v>
      </c>
      <c r="K24" s="185">
        <v>5064136</v>
      </c>
      <c r="L24" s="185">
        <v>41738</v>
      </c>
      <c r="M24" s="185">
        <v>0</v>
      </c>
      <c r="N24" s="181">
        <f t="shared" si="13"/>
        <v>5266867</v>
      </c>
      <c r="O24" s="185">
        <v>214485</v>
      </c>
      <c r="P24" s="185">
        <v>3604496</v>
      </c>
      <c r="Q24" s="185">
        <v>406945</v>
      </c>
      <c r="R24" s="185">
        <v>0</v>
      </c>
      <c r="S24" s="181">
        <f t="shared" ref="S24:S33" si="16">SUM(O24:R24)</f>
        <v>4225926</v>
      </c>
      <c r="T24" s="183">
        <v>0</v>
      </c>
      <c r="U24" s="185">
        <v>0</v>
      </c>
      <c r="V24" s="185">
        <v>0</v>
      </c>
      <c r="W24" s="185">
        <v>0</v>
      </c>
      <c r="X24" s="181">
        <f t="shared" si="4"/>
        <v>0</v>
      </c>
      <c r="Y24" s="183">
        <v>0</v>
      </c>
      <c r="Z24" s="185">
        <v>0</v>
      </c>
      <c r="AA24" s="185">
        <v>0</v>
      </c>
      <c r="AB24" s="185">
        <v>0</v>
      </c>
      <c r="AC24" s="181">
        <f t="shared" si="5"/>
        <v>0</v>
      </c>
      <c r="AD24" s="183">
        <v>0</v>
      </c>
      <c r="AE24" s="185">
        <v>0</v>
      </c>
      <c r="AF24" s="185">
        <v>0</v>
      </c>
      <c r="AG24" s="185">
        <v>0</v>
      </c>
      <c r="AH24" s="181">
        <f t="shared" si="6"/>
        <v>0</v>
      </c>
      <c r="AI24" s="183">
        <v>0</v>
      </c>
      <c r="AJ24" s="185">
        <v>0</v>
      </c>
      <c r="AK24" s="185">
        <v>0</v>
      </c>
      <c r="AL24" s="185">
        <v>0</v>
      </c>
      <c r="AM24" s="181">
        <f t="shared" si="7"/>
        <v>0</v>
      </c>
      <c r="AN24" s="183">
        <v>0</v>
      </c>
      <c r="AO24" s="185">
        <v>0</v>
      </c>
      <c r="AP24" s="185">
        <v>0</v>
      </c>
      <c r="AQ24" s="185">
        <v>0</v>
      </c>
      <c r="AR24" s="181">
        <f t="shared" si="1"/>
        <v>0</v>
      </c>
      <c r="AS24" s="183">
        <v>0</v>
      </c>
      <c r="AT24" s="185">
        <v>0</v>
      </c>
      <c r="AU24" s="185">
        <v>0</v>
      </c>
      <c r="AV24" s="185">
        <v>0</v>
      </c>
      <c r="AW24" s="181">
        <f t="shared" si="8"/>
        <v>0</v>
      </c>
      <c r="AX24" s="183">
        <v>0</v>
      </c>
      <c r="AY24" s="185">
        <v>0</v>
      </c>
      <c r="AZ24" s="185">
        <v>0</v>
      </c>
      <c r="BA24" s="185">
        <v>0</v>
      </c>
      <c r="BB24" s="181">
        <f t="shared" si="9"/>
        <v>0</v>
      </c>
      <c r="BC24" s="183">
        <v>0</v>
      </c>
      <c r="BD24" s="185">
        <v>0</v>
      </c>
      <c r="BE24" s="185">
        <v>0</v>
      </c>
      <c r="BF24" s="185">
        <v>0</v>
      </c>
      <c r="BG24" s="181">
        <f t="shared" si="10"/>
        <v>0</v>
      </c>
      <c r="BH24" s="183">
        <v>0</v>
      </c>
      <c r="BI24" s="185">
        <v>0</v>
      </c>
      <c r="BJ24" s="185">
        <v>0</v>
      </c>
      <c r="BK24" s="185">
        <v>0</v>
      </c>
      <c r="BL24" s="181">
        <f t="shared" si="11"/>
        <v>0</v>
      </c>
      <c r="BM24" s="183">
        <v>0</v>
      </c>
      <c r="BN24" s="185">
        <v>0</v>
      </c>
      <c r="BO24" s="185">
        <v>0</v>
      </c>
      <c r="BP24" s="185">
        <v>0</v>
      </c>
      <c r="BQ24" s="181">
        <f t="shared" si="12"/>
        <v>0</v>
      </c>
      <c r="BR24" s="183">
        <f t="shared" si="15"/>
        <v>375478</v>
      </c>
      <c r="BS24" s="88">
        <f t="shared" si="15"/>
        <v>8668632</v>
      </c>
      <c r="BT24" s="185">
        <f t="shared" si="15"/>
        <v>448683</v>
      </c>
      <c r="BU24" s="185">
        <f t="shared" si="15"/>
        <v>0</v>
      </c>
      <c r="BV24" s="183">
        <f t="shared" si="14"/>
        <v>9492793</v>
      </c>
      <c r="BW24" s="148"/>
      <c r="BX24" s="393"/>
      <c r="BY24" s="136"/>
    </row>
    <row r="25" spans="1:80" x14ac:dyDescent="0.2">
      <c r="A25" s="396">
        <v>19</v>
      </c>
      <c r="B25" s="397" t="s">
        <v>243</v>
      </c>
      <c r="D25" s="390"/>
      <c r="E25" s="391">
        <v>939592</v>
      </c>
      <c r="F25" s="88">
        <v>196766757</v>
      </c>
      <c r="G25" s="88">
        <v>11926</v>
      </c>
      <c r="H25" s="88">
        <v>0</v>
      </c>
      <c r="I25" s="181">
        <f t="shared" si="0"/>
        <v>197718275</v>
      </c>
      <c r="J25" s="183">
        <v>43998</v>
      </c>
      <c r="K25" s="185">
        <v>855041</v>
      </c>
      <c r="L25" s="185">
        <v>0</v>
      </c>
      <c r="M25" s="185">
        <v>0</v>
      </c>
      <c r="N25" s="181">
        <f t="shared" si="13"/>
        <v>899039</v>
      </c>
      <c r="O25" s="185">
        <v>60471</v>
      </c>
      <c r="P25" s="185">
        <v>21334558</v>
      </c>
      <c r="Q25" s="185">
        <v>85</v>
      </c>
      <c r="R25" s="185">
        <v>0</v>
      </c>
      <c r="S25" s="181">
        <f t="shared" si="16"/>
        <v>21395114</v>
      </c>
      <c r="T25" s="183">
        <v>0</v>
      </c>
      <c r="U25" s="185">
        <v>0</v>
      </c>
      <c r="V25" s="185">
        <v>0</v>
      </c>
      <c r="W25" s="185">
        <v>0</v>
      </c>
      <c r="X25" s="181">
        <f t="shared" si="4"/>
        <v>0</v>
      </c>
      <c r="Y25" s="183">
        <v>0</v>
      </c>
      <c r="Z25" s="185">
        <v>0</v>
      </c>
      <c r="AA25" s="185">
        <v>0</v>
      </c>
      <c r="AB25" s="185">
        <v>0</v>
      </c>
      <c r="AC25" s="181">
        <f t="shared" si="5"/>
        <v>0</v>
      </c>
      <c r="AD25" s="183">
        <v>0</v>
      </c>
      <c r="AE25" s="185">
        <v>0</v>
      </c>
      <c r="AF25" s="185">
        <v>0</v>
      </c>
      <c r="AG25" s="185">
        <v>0</v>
      </c>
      <c r="AH25" s="181">
        <f t="shared" si="6"/>
        <v>0</v>
      </c>
      <c r="AI25" s="183">
        <v>0</v>
      </c>
      <c r="AJ25" s="185">
        <v>0</v>
      </c>
      <c r="AK25" s="185">
        <v>0</v>
      </c>
      <c r="AL25" s="185">
        <v>0</v>
      </c>
      <c r="AM25" s="181">
        <f t="shared" si="7"/>
        <v>0</v>
      </c>
      <c r="AN25" s="183">
        <v>0</v>
      </c>
      <c r="AO25" s="185">
        <v>0</v>
      </c>
      <c r="AP25" s="185">
        <v>0</v>
      </c>
      <c r="AQ25" s="185">
        <v>0</v>
      </c>
      <c r="AR25" s="181">
        <f t="shared" si="1"/>
        <v>0</v>
      </c>
      <c r="AS25" s="183">
        <v>0</v>
      </c>
      <c r="AT25" s="185">
        <v>0</v>
      </c>
      <c r="AU25" s="185">
        <v>0</v>
      </c>
      <c r="AV25" s="185">
        <v>0</v>
      </c>
      <c r="AW25" s="181">
        <f t="shared" si="8"/>
        <v>0</v>
      </c>
      <c r="AX25" s="183">
        <v>0</v>
      </c>
      <c r="AY25" s="185">
        <v>0</v>
      </c>
      <c r="AZ25" s="185">
        <v>0</v>
      </c>
      <c r="BA25" s="185">
        <v>0</v>
      </c>
      <c r="BB25" s="181">
        <f t="shared" si="9"/>
        <v>0</v>
      </c>
      <c r="BC25" s="183">
        <v>0</v>
      </c>
      <c r="BD25" s="185">
        <v>0</v>
      </c>
      <c r="BE25" s="185">
        <v>0</v>
      </c>
      <c r="BF25" s="185">
        <v>0</v>
      </c>
      <c r="BG25" s="181">
        <f t="shared" si="10"/>
        <v>0</v>
      </c>
      <c r="BH25" s="183">
        <v>0</v>
      </c>
      <c r="BI25" s="185">
        <v>0</v>
      </c>
      <c r="BJ25" s="185">
        <v>0</v>
      </c>
      <c r="BK25" s="185">
        <v>0</v>
      </c>
      <c r="BL25" s="181">
        <f t="shared" si="11"/>
        <v>0</v>
      </c>
      <c r="BM25" s="183">
        <v>0</v>
      </c>
      <c r="BN25" s="185">
        <v>0</v>
      </c>
      <c r="BO25" s="185">
        <v>0</v>
      </c>
      <c r="BP25" s="185">
        <v>0</v>
      </c>
      <c r="BQ25" s="181">
        <f t="shared" si="12"/>
        <v>0</v>
      </c>
      <c r="BR25" s="183">
        <f t="shared" si="15"/>
        <v>104469</v>
      </c>
      <c r="BS25" s="88">
        <f t="shared" si="15"/>
        <v>22189599</v>
      </c>
      <c r="BT25" s="185">
        <f t="shared" si="15"/>
        <v>85</v>
      </c>
      <c r="BU25" s="185">
        <f t="shared" si="15"/>
        <v>0</v>
      </c>
      <c r="BV25" s="183">
        <f t="shared" si="14"/>
        <v>22294153</v>
      </c>
      <c r="BW25" s="148"/>
      <c r="BX25" s="393"/>
    </row>
    <row r="26" spans="1:80" x14ac:dyDescent="0.2">
      <c r="A26" s="396">
        <v>20</v>
      </c>
      <c r="B26" s="398" t="s">
        <v>244</v>
      </c>
      <c r="C26" s="398"/>
      <c r="D26" s="390"/>
      <c r="E26" s="391">
        <v>206028</v>
      </c>
      <c r="F26" s="88">
        <v>568781</v>
      </c>
      <c r="G26" s="88">
        <v>3681</v>
      </c>
      <c r="H26" s="88">
        <v>0</v>
      </c>
      <c r="I26" s="181">
        <f t="shared" si="0"/>
        <v>778490</v>
      </c>
      <c r="J26" s="183">
        <v>11804</v>
      </c>
      <c r="K26" s="185">
        <v>7489</v>
      </c>
      <c r="L26" s="185">
        <v>2</v>
      </c>
      <c r="M26" s="185">
        <v>0</v>
      </c>
      <c r="N26" s="181">
        <f t="shared" si="13"/>
        <v>19295</v>
      </c>
      <c r="O26" s="185">
        <v>10986</v>
      </c>
      <c r="P26" s="185">
        <v>127530</v>
      </c>
      <c r="Q26" s="185">
        <v>11</v>
      </c>
      <c r="R26" s="185"/>
      <c r="S26" s="181">
        <f t="shared" si="16"/>
        <v>138527</v>
      </c>
      <c r="T26" s="183"/>
      <c r="U26" s="185"/>
      <c r="V26" s="185"/>
      <c r="W26" s="185"/>
      <c r="X26" s="181"/>
      <c r="Y26" s="183"/>
      <c r="Z26" s="185"/>
      <c r="AA26" s="185"/>
      <c r="AB26" s="185"/>
      <c r="AC26" s="181"/>
      <c r="AD26" s="183"/>
      <c r="AE26" s="185"/>
      <c r="AF26" s="185"/>
      <c r="AG26" s="185"/>
      <c r="AH26" s="181"/>
      <c r="AI26" s="183"/>
      <c r="AJ26" s="185"/>
      <c r="AK26" s="185"/>
      <c r="AL26" s="185"/>
      <c r="AM26" s="181"/>
      <c r="AN26" s="183"/>
      <c r="AO26" s="185"/>
      <c r="AP26" s="185"/>
      <c r="AQ26" s="185"/>
      <c r="AR26" s="181"/>
      <c r="AS26" s="183"/>
      <c r="AT26" s="185"/>
      <c r="AU26" s="185"/>
      <c r="AV26" s="185"/>
      <c r="AW26" s="181"/>
      <c r="AX26" s="183"/>
      <c r="AY26" s="185"/>
      <c r="AZ26" s="185"/>
      <c r="BA26" s="185"/>
      <c r="BB26" s="181"/>
      <c r="BC26" s="183"/>
      <c r="BD26" s="185"/>
      <c r="BE26" s="185"/>
      <c r="BF26" s="185"/>
      <c r="BG26" s="181"/>
      <c r="BH26" s="183"/>
      <c r="BI26" s="185"/>
      <c r="BJ26" s="185"/>
      <c r="BK26" s="185"/>
      <c r="BL26" s="181"/>
      <c r="BM26" s="183"/>
      <c r="BN26" s="185"/>
      <c r="BO26" s="185"/>
      <c r="BP26" s="185"/>
      <c r="BQ26" s="181"/>
      <c r="BR26" s="183">
        <f t="shared" si="15"/>
        <v>22790</v>
      </c>
      <c r="BS26" s="88">
        <f t="shared" si="15"/>
        <v>135019</v>
      </c>
      <c r="BT26" s="185">
        <f t="shared" si="15"/>
        <v>13</v>
      </c>
      <c r="BU26" s="185">
        <f t="shared" si="15"/>
        <v>0</v>
      </c>
      <c r="BV26" s="183">
        <f t="shared" si="14"/>
        <v>157822</v>
      </c>
      <c r="BW26" s="148"/>
      <c r="BX26" s="393"/>
    </row>
    <row r="27" spans="1:80" x14ac:dyDescent="0.2">
      <c r="A27" s="396">
        <v>21</v>
      </c>
      <c r="B27" s="399" t="s">
        <v>245</v>
      </c>
      <c r="C27" s="399"/>
      <c r="D27" s="390"/>
      <c r="E27" s="391">
        <v>154283</v>
      </c>
      <c r="F27" s="88">
        <v>208</v>
      </c>
      <c r="G27" s="88">
        <v>1821</v>
      </c>
      <c r="H27" s="88">
        <v>0</v>
      </c>
      <c r="I27" s="181">
        <f t="shared" si="0"/>
        <v>156312</v>
      </c>
      <c r="J27" s="183">
        <v>8666</v>
      </c>
      <c r="K27" s="185">
        <v>14</v>
      </c>
      <c r="L27" s="185">
        <v>0</v>
      </c>
      <c r="M27" s="185">
        <v>0</v>
      </c>
      <c r="N27" s="181">
        <f t="shared" si="13"/>
        <v>8680</v>
      </c>
      <c r="O27" s="185">
        <v>9183</v>
      </c>
      <c r="P27" s="185">
        <v>292</v>
      </c>
      <c r="Q27" s="185">
        <v>14</v>
      </c>
      <c r="R27" s="185">
        <v>0</v>
      </c>
      <c r="S27" s="181">
        <f t="shared" si="16"/>
        <v>9489</v>
      </c>
      <c r="T27" s="183"/>
      <c r="U27" s="185"/>
      <c r="V27" s="185"/>
      <c r="W27" s="185"/>
      <c r="X27" s="181"/>
      <c r="Y27" s="183"/>
      <c r="Z27" s="185"/>
      <c r="AA27" s="185"/>
      <c r="AB27" s="185"/>
      <c r="AC27" s="181"/>
      <c r="AD27" s="183"/>
      <c r="AE27" s="185"/>
      <c r="AF27" s="185"/>
      <c r="AG27" s="185"/>
      <c r="AH27" s="181"/>
      <c r="AI27" s="183"/>
      <c r="AJ27" s="185"/>
      <c r="AK27" s="185"/>
      <c r="AL27" s="185"/>
      <c r="AM27" s="181"/>
      <c r="AN27" s="183"/>
      <c r="AO27" s="185"/>
      <c r="AP27" s="185"/>
      <c r="AQ27" s="185"/>
      <c r="AR27" s="181"/>
      <c r="AS27" s="183"/>
      <c r="AT27" s="185"/>
      <c r="AU27" s="185"/>
      <c r="AV27" s="185"/>
      <c r="AW27" s="181"/>
      <c r="AX27" s="183"/>
      <c r="AY27" s="185"/>
      <c r="AZ27" s="185"/>
      <c r="BA27" s="185"/>
      <c r="BB27" s="181"/>
      <c r="BC27" s="183"/>
      <c r="BD27" s="185"/>
      <c r="BE27" s="185"/>
      <c r="BF27" s="185"/>
      <c r="BG27" s="181"/>
      <c r="BH27" s="183"/>
      <c r="BI27" s="185"/>
      <c r="BJ27" s="185"/>
      <c r="BK27" s="185"/>
      <c r="BL27" s="181"/>
      <c r="BM27" s="183"/>
      <c r="BN27" s="185"/>
      <c r="BO27" s="185"/>
      <c r="BP27" s="185"/>
      <c r="BQ27" s="181"/>
      <c r="BR27" s="183">
        <f t="shared" si="15"/>
        <v>17849</v>
      </c>
      <c r="BS27" s="88">
        <f t="shared" si="15"/>
        <v>306</v>
      </c>
      <c r="BT27" s="185">
        <f t="shared" si="15"/>
        <v>14</v>
      </c>
      <c r="BU27" s="185">
        <f t="shared" si="15"/>
        <v>0</v>
      </c>
      <c r="BV27" s="183">
        <f t="shared" si="14"/>
        <v>18169</v>
      </c>
      <c r="BW27" s="148"/>
      <c r="BX27" s="393"/>
    </row>
    <row r="28" spans="1:80" x14ac:dyDescent="0.2">
      <c r="A28" s="388">
        <v>22</v>
      </c>
      <c r="B28" s="389" t="s">
        <v>246</v>
      </c>
      <c r="D28" s="400" t="s">
        <v>89</v>
      </c>
      <c r="E28" s="391">
        <v>25324503</v>
      </c>
      <c r="F28" s="88">
        <v>665603</v>
      </c>
      <c r="G28" s="88">
        <v>809856</v>
      </c>
      <c r="H28" s="88">
        <v>0</v>
      </c>
      <c r="I28" s="181">
        <f t="shared" si="0"/>
        <v>26799962</v>
      </c>
      <c r="J28" s="183">
        <v>1623163</v>
      </c>
      <c r="K28" s="185">
        <v>12933</v>
      </c>
      <c r="L28" s="185">
        <v>778</v>
      </c>
      <c r="M28" s="185">
        <v>0</v>
      </c>
      <c r="N28" s="181">
        <f t="shared" si="13"/>
        <v>1636874</v>
      </c>
      <c r="O28" s="185">
        <v>1869662</v>
      </c>
      <c r="P28" s="185">
        <v>53298</v>
      </c>
      <c r="Q28" s="185">
        <v>2364</v>
      </c>
      <c r="R28" s="185">
        <v>0</v>
      </c>
      <c r="S28" s="181">
        <f t="shared" si="16"/>
        <v>1925324</v>
      </c>
      <c r="T28" s="183">
        <v>0</v>
      </c>
      <c r="U28" s="185">
        <v>0</v>
      </c>
      <c r="V28" s="185">
        <v>0</v>
      </c>
      <c r="W28" s="185">
        <v>0</v>
      </c>
      <c r="X28" s="181">
        <f t="shared" si="4"/>
        <v>0</v>
      </c>
      <c r="Y28" s="183">
        <v>0</v>
      </c>
      <c r="Z28" s="185">
        <v>0</v>
      </c>
      <c r="AA28" s="185">
        <v>0</v>
      </c>
      <c r="AB28" s="185">
        <v>0</v>
      </c>
      <c r="AC28" s="181">
        <f t="shared" si="5"/>
        <v>0</v>
      </c>
      <c r="AD28" s="183">
        <v>0</v>
      </c>
      <c r="AE28" s="185">
        <v>0</v>
      </c>
      <c r="AF28" s="185">
        <v>0</v>
      </c>
      <c r="AG28" s="185">
        <v>0</v>
      </c>
      <c r="AH28" s="181">
        <f t="shared" si="6"/>
        <v>0</v>
      </c>
      <c r="AI28" s="183">
        <v>0</v>
      </c>
      <c r="AJ28" s="185">
        <v>0</v>
      </c>
      <c r="AK28" s="185">
        <v>0</v>
      </c>
      <c r="AL28" s="185">
        <v>0</v>
      </c>
      <c r="AM28" s="181">
        <f t="shared" si="7"/>
        <v>0</v>
      </c>
      <c r="AN28" s="183">
        <v>0</v>
      </c>
      <c r="AO28" s="185">
        <v>0</v>
      </c>
      <c r="AP28" s="185">
        <v>0</v>
      </c>
      <c r="AQ28" s="185">
        <v>0</v>
      </c>
      <c r="AR28" s="181">
        <f t="shared" si="1"/>
        <v>0</v>
      </c>
      <c r="AS28" s="183">
        <v>0</v>
      </c>
      <c r="AT28" s="185">
        <v>0</v>
      </c>
      <c r="AU28" s="185">
        <v>0</v>
      </c>
      <c r="AV28" s="185">
        <v>0</v>
      </c>
      <c r="AW28" s="181">
        <f t="shared" si="8"/>
        <v>0</v>
      </c>
      <c r="AX28" s="183">
        <v>0</v>
      </c>
      <c r="AY28" s="185">
        <v>0</v>
      </c>
      <c r="AZ28" s="185">
        <v>0</v>
      </c>
      <c r="BA28" s="185">
        <v>0</v>
      </c>
      <c r="BB28" s="181">
        <f t="shared" si="9"/>
        <v>0</v>
      </c>
      <c r="BC28" s="183">
        <v>0</v>
      </c>
      <c r="BD28" s="185">
        <v>0</v>
      </c>
      <c r="BE28" s="185">
        <v>0</v>
      </c>
      <c r="BF28" s="185">
        <v>0</v>
      </c>
      <c r="BG28" s="181">
        <f t="shared" si="10"/>
        <v>0</v>
      </c>
      <c r="BH28" s="183">
        <v>0</v>
      </c>
      <c r="BI28" s="185">
        <v>0</v>
      </c>
      <c r="BJ28" s="185">
        <v>0</v>
      </c>
      <c r="BK28" s="185">
        <v>0</v>
      </c>
      <c r="BL28" s="181">
        <f t="shared" si="11"/>
        <v>0</v>
      </c>
      <c r="BM28" s="183">
        <v>0</v>
      </c>
      <c r="BN28" s="185">
        <v>0</v>
      </c>
      <c r="BO28" s="185">
        <v>0</v>
      </c>
      <c r="BP28" s="185">
        <v>0</v>
      </c>
      <c r="BQ28" s="181">
        <f t="shared" si="12"/>
        <v>0</v>
      </c>
      <c r="BR28" s="183">
        <f t="shared" si="15"/>
        <v>3492825</v>
      </c>
      <c r="BS28" s="88">
        <f t="shared" si="15"/>
        <v>66231</v>
      </c>
      <c r="BT28" s="185">
        <f t="shared" si="15"/>
        <v>3142</v>
      </c>
      <c r="BU28" s="185">
        <f t="shared" si="15"/>
        <v>0</v>
      </c>
      <c r="BV28" s="183">
        <f t="shared" si="14"/>
        <v>3562198</v>
      </c>
      <c r="BW28" s="148"/>
      <c r="BX28" s="393"/>
    </row>
    <row r="29" spans="1:80" x14ac:dyDescent="0.2">
      <c r="A29" s="388">
        <v>23</v>
      </c>
      <c r="B29" s="389" t="s">
        <v>247</v>
      </c>
      <c r="D29" s="390"/>
      <c r="E29" s="391">
        <v>44573925</v>
      </c>
      <c r="F29" s="88">
        <v>7091013</v>
      </c>
      <c r="G29" s="88">
        <v>773683</v>
      </c>
      <c r="H29" s="88">
        <v>0</v>
      </c>
      <c r="I29" s="181">
        <f t="shared" si="0"/>
        <v>52438621</v>
      </c>
      <c r="J29" s="183">
        <v>2933087</v>
      </c>
      <c r="K29" s="185">
        <v>678492</v>
      </c>
      <c r="L29" s="185">
        <v>10249</v>
      </c>
      <c r="M29" s="185">
        <v>0</v>
      </c>
      <c r="N29" s="181">
        <f t="shared" si="13"/>
        <v>3621828</v>
      </c>
      <c r="O29" s="185">
        <v>4068881</v>
      </c>
      <c r="P29" s="185">
        <v>495981</v>
      </c>
      <c r="Q29" s="185">
        <v>138137</v>
      </c>
      <c r="R29" s="185">
        <v>0</v>
      </c>
      <c r="S29" s="181">
        <f t="shared" si="16"/>
        <v>4702999</v>
      </c>
      <c r="T29" s="183">
        <v>0</v>
      </c>
      <c r="U29" s="185">
        <v>0</v>
      </c>
      <c r="V29" s="185">
        <v>0</v>
      </c>
      <c r="W29" s="185">
        <v>0</v>
      </c>
      <c r="X29" s="181">
        <f t="shared" si="4"/>
        <v>0</v>
      </c>
      <c r="Y29" s="183">
        <v>0</v>
      </c>
      <c r="Z29" s="185">
        <v>0</v>
      </c>
      <c r="AA29" s="185">
        <v>0</v>
      </c>
      <c r="AB29" s="185">
        <v>0</v>
      </c>
      <c r="AC29" s="181">
        <f t="shared" si="5"/>
        <v>0</v>
      </c>
      <c r="AD29" s="183">
        <v>0</v>
      </c>
      <c r="AE29" s="185">
        <v>0</v>
      </c>
      <c r="AF29" s="185">
        <v>0</v>
      </c>
      <c r="AG29" s="185">
        <v>0</v>
      </c>
      <c r="AH29" s="181">
        <f t="shared" si="6"/>
        <v>0</v>
      </c>
      <c r="AI29" s="183">
        <v>0</v>
      </c>
      <c r="AJ29" s="185">
        <v>0</v>
      </c>
      <c r="AK29" s="185">
        <v>0</v>
      </c>
      <c r="AL29" s="185">
        <v>0</v>
      </c>
      <c r="AM29" s="181">
        <f t="shared" si="7"/>
        <v>0</v>
      </c>
      <c r="AN29" s="183">
        <v>0</v>
      </c>
      <c r="AO29" s="185">
        <v>0</v>
      </c>
      <c r="AP29" s="185">
        <v>0</v>
      </c>
      <c r="AQ29" s="185">
        <v>0</v>
      </c>
      <c r="AR29" s="181">
        <f t="shared" si="1"/>
        <v>0</v>
      </c>
      <c r="AS29" s="183">
        <v>0</v>
      </c>
      <c r="AT29" s="185">
        <v>0</v>
      </c>
      <c r="AU29" s="185">
        <v>0</v>
      </c>
      <c r="AV29" s="185">
        <v>0</v>
      </c>
      <c r="AW29" s="181">
        <f t="shared" si="8"/>
        <v>0</v>
      </c>
      <c r="AX29" s="183">
        <v>0</v>
      </c>
      <c r="AY29" s="185">
        <v>0</v>
      </c>
      <c r="AZ29" s="185">
        <v>0</v>
      </c>
      <c r="BA29" s="185">
        <v>0</v>
      </c>
      <c r="BB29" s="181">
        <f t="shared" si="9"/>
        <v>0</v>
      </c>
      <c r="BC29" s="183">
        <v>0</v>
      </c>
      <c r="BD29" s="185">
        <v>0</v>
      </c>
      <c r="BE29" s="185">
        <v>0</v>
      </c>
      <c r="BF29" s="185">
        <v>0</v>
      </c>
      <c r="BG29" s="181">
        <f t="shared" si="10"/>
        <v>0</v>
      </c>
      <c r="BH29" s="183">
        <v>0</v>
      </c>
      <c r="BI29" s="185">
        <v>0</v>
      </c>
      <c r="BJ29" s="185">
        <v>0</v>
      </c>
      <c r="BK29" s="185">
        <v>0</v>
      </c>
      <c r="BL29" s="181">
        <f t="shared" si="11"/>
        <v>0</v>
      </c>
      <c r="BM29" s="183">
        <v>0</v>
      </c>
      <c r="BN29" s="185">
        <v>0</v>
      </c>
      <c r="BO29" s="185">
        <v>0</v>
      </c>
      <c r="BP29" s="185">
        <v>0</v>
      </c>
      <c r="BQ29" s="181">
        <f>SUM(BM29:BP29)</f>
        <v>0</v>
      </c>
      <c r="BR29" s="183">
        <f t="shared" si="15"/>
        <v>7001968</v>
      </c>
      <c r="BS29" s="88">
        <f t="shared" si="15"/>
        <v>1174473</v>
      </c>
      <c r="BT29" s="185">
        <f t="shared" si="15"/>
        <v>148386</v>
      </c>
      <c r="BU29" s="185">
        <f t="shared" si="15"/>
        <v>0</v>
      </c>
      <c r="BV29" s="183">
        <f t="shared" si="14"/>
        <v>8324827</v>
      </c>
      <c r="BW29" s="148"/>
      <c r="BX29" s="393"/>
    </row>
    <row r="30" spans="1:80" x14ac:dyDescent="0.2">
      <c r="A30" s="388">
        <v>24</v>
      </c>
      <c r="B30" s="389" t="s">
        <v>248</v>
      </c>
      <c r="D30" s="401"/>
      <c r="E30" s="391">
        <v>349353</v>
      </c>
      <c r="F30" s="88">
        <v>820</v>
      </c>
      <c r="G30" s="88">
        <v>5494</v>
      </c>
      <c r="H30" s="88">
        <v>0</v>
      </c>
      <c r="I30" s="181">
        <f t="shared" si="0"/>
        <v>355667</v>
      </c>
      <c r="J30" s="183">
        <v>58387</v>
      </c>
      <c r="K30" s="185">
        <v>0</v>
      </c>
      <c r="L30" s="185">
        <v>2856</v>
      </c>
      <c r="M30" s="185">
        <v>0</v>
      </c>
      <c r="N30" s="181">
        <f t="shared" si="13"/>
        <v>61243</v>
      </c>
      <c r="O30" s="185">
        <v>23209</v>
      </c>
      <c r="P30" s="185">
        <v>54</v>
      </c>
      <c r="Q30" s="185">
        <v>0</v>
      </c>
      <c r="R30" s="185">
        <v>0</v>
      </c>
      <c r="S30" s="181">
        <f t="shared" si="16"/>
        <v>23263</v>
      </c>
      <c r="T30" s="183">
        <v>0</v>
      </c>
      <c r="U30" s="185">
        <v>0</v>
      </c>
      <c r="V30" s="185">
        <v>0</v>
      </c>
      <c r="W30" s="185">
        <v>0</v>
      </c>
      <c r="X30" s="181">
        <f t="shared" si="4"/>
        <v>0</v>
      </c>
      <c r="Y30" s="183">
        <v>0</v>
      </c>
      <c r="Z30" s="185">
        <v>0</v>
      </c>
      <c r="AA30" s="185">
        <v>0</v>
      </c>
      <c r="AB30" s="185">
        <v>0</v>
      </c>
      <c r="AC30" s="181">
        <f t="shared" si="5"/>
        <v>0</v>
      </c>
      <c r="AD30" s="183">
        <v>0</v>
      </c>
      <c r="AE30" s="185">
        <v>0</v>
      </c>
      <c r="AF30" s="185">
        <v>0</v>
      </c>
      <c r="AG30" s="185">
        <v>0</v>
      </c>
      <c r="AH30" s="181">
        <f t="shared" si="6"/>
        <v>0</v>
      </c>
      <c r="AI30" s="183">
        <v>0</v>
      </c>
      <c r="AJ30" s="185">
        <v>0</v>
      </c>
      <c r="AK30" s="185">
        <v>0</v>
      </c>
      <c r="AL30" s="185">
        <v>0</v>
      </c>
      <c r="AM30" s="181">
        <f t="shared" si="7"/>
        <v>0</v>
      </c>
      <c r="AN30" s="183">
        <v>0</v>
      </c>
      <c r="AO30" s="185">
        <v>0</v>
      </c>
      <c r="AP30" s="185">
        <v>0</v>
      </c>
      <c r="AQ30" s="185">
        <v>0</v>
      </c>
      <c r="AR30" s="181">
        <f t="shared" si="1"/>
        <v>0</v>
      </c>
      <c r="AS30" s="183">
        <v>0</v>
      </c>
      <c r="AT30" s="185">
        <v>0</v>
      </c>
      <c r="AU30" s="185">
        <v>0</v>
      </c>
      <c r="AV30" s="185">
        <v>0</v>
      </c>
      <c r="AW30" s="181">
        <f t="shared" si="8"/>
        <v>0</v>
      </c>
      <c r="AX30" s="183">
        <v>0</v>
      </c>
      <c r="AY30" s="185">
        <v>0</v>
      </c>
      <c r="AZ30" s="185">
        <v>0</v>
      </c>
      <c r="BA30" s="185">
        <v>0</v>
      </c>
      <c r="BB30" s="181">
        <f t="shared" si="9"/>
        <v>0</v>
      </c>
      <c r="BC30" s="183">
        <v>0</v>
      </c>
      <c r="BD30" s="185">
        <v>0</v>
      </c>
      <c r="BE30" s="185">
        <v>0</v>
      </c>
      <c r="BF30" s="185">
        <v>0</v>
      </c>
      <c r="BG30" s="181">
        <f t="shared" si="10"/>
        <v>0</v>
      </c>
      <c r="BH30" s="183">
        <v>0</v>
      </c>
      <c r="BI30" s="185">
        <v>0</v>
      </c>
      <c r="BJ30" s="185">
        <v>0</v>
      </c>
      <c r="BK30" s="185">
        <v>0</v>
      </c>
      <c r="BL30" s="181">
        <f t="shared" si="11"/>
        <v>0</v>
      </c>
      <c r="BM30" s="183">
        <v>0</v>
      </c>
      <c r="BN30" s="185">
        <v>0</v>
      </c>
      <c r="BO30" s="185">
        <v>0</v>
      </c>
      <c r="BP30" s="185">
        <v>0</v>
      </c>
      <c r="BQ30" s="181">
        <f t="shared" si="12"/>
        <v>0</v>
      </c>
      <c r="BR30" s="183">
        <f t="shared" si="15"/>
        <v>81596</v>
      </c>
      <c r="BS30" s="88">
        <f t="shared" si="15"/>
        <v>54</v>
      </c>
      <c r="BT30" s="185">
        <f t="shared" si="15"/>
        <v>2856</v>
      </c>
      <c r="BU30" s="185">
        <f t="shared" si="15"/>
        <v>0</v>
      </c>
      <c r="BV30" s="183">
        <f t="shared" si="14"/>
        <v>84506</v>
      </c>
      <c r="BW30" s="148"/>
      <c r="BX30" s="393"/>
    </row>
    <row r="31" spans="1:80" x14ac:dyDescent="0.2">
      <c r="A31" s="388">
        <v>25</v>
      </c>
      <c r="B31" s="389" t="s">
        <v>249</v>
      </c>
      <c r="D31" s="390"/>
      <c r="E31" s="391">
        <v>15624390</v>
      </c>
      <c r="F31" s="88">
        <v>3172073</v>
      </c>
      <c r="G31" s="88">
        <v>1064158</v>
      </c>
      <c r="H31" s="88">
        <v>0</v>
      </c>
      <c r="I31" s="181">
        <f t="shared" si="0"/>
        <v>19860621</v>
      </c>
      <c r="J31" s="183">
        <v>897125</v>
      </c>
      <c r="K31" s="185">
        <v>255458</v>
      </c>
      <c r="L31" s="185">
        <v>3066</v>
      </c>
      <c r="M31" s="185">
        <v>0</v>
      </c>
      <c r="N31" s="181">
        <f t="shared" si="13"/>
        <v>1155649</v>
      </c>
      <c r="O31" s="185">
        <v>904840</v>
      </c>
      <c r="P31" s="185">
        <v>258171</v>
      </c>
      <c r="Q31" s="185">
        <v>162238</v>
      </c>
      <c r="R31" s="185">
        <v>294</v>
      </c>
      <c r="S31" s="181">
        <f t="shared" si="16"/>
        <v>1325543</v>
      </c>
      <c r="T31" s="183">
        <v>0</v>
      </c>
      <c r="U31" s="185">
        <v>0</v>
      </c>
      <c r="V31" s="185">
        <v>0</v>
      </c>
      <c r="W31" s="185">
        <v>0</v>
      </c>
      <c r="X31" s="181">
        <f t="shared" si="4"/>
        <v>0</v>
      </c>
      <c r="Y31" s="183">
        <v>0</v>
      </c>
      <c r="Z31" s="185">
        <v>0</v>
      </c>
      <c r="AA31" s="185">
        <v>0</v>
      </c>
      <c r="AB31" s="185">
        <v>0</v>
      </c>
      <c r="AC31" s="181">
        <f t="shared" si="5"/>
        <v>0</v>
      </c>
      <c r="AD31" s="183">
        <v>0</v>
      </c>
      <c r="AE31" s="185">
        <v>0</v>
      </c>
      <c r="AF31" s="185">
        <v>0</v>
      </c>
      <c r="AG31" s="185">
        <v>0</v>
      </c>
      <c r="AH31" s="181">
        <f t="shared" si="6"/>
        <v>0</v>
      </c>
      <c r="AI31" s="183">
        <v>0</v>
      </c>
      <c r="AJ31" s="185">
        <v>0</v>
      </c>
      <c r="AK31" s="185">
        <v>0</v>
      </c>
      <c r="AL31" s="185">
        <v>0</v>
      </c>
      <c r="AM31" s="181">
        <f t="shared" si="7"/>
        <v>0</v>
      </c>
      <c r="AN31" s="183">
        <v>0</v>
      </c>
      <c r="AO31" s="185">
        <v>0</v>
      </c>
      <c r="AP31" s="185">
        <v>0</v>
      </c>
      <c r="AQ31" s="185">
        <v>0</v>
      </c>
      <c r="AR31" s="181">
        <f t="shared" si="1"/>
        <v>0</v>
      </c>
      <c r="AS31" s="183">
        <v>0</v>
      </c>
      <c r="AT31" s="185">
        <v>0</v>
      </c>
      <c r="AU31" s="185">
        <v>0</v>
      </c>
      <c r="AV31" s="185">
        <v>0</v>
      </c>
      <c r="AW31" s="181">
        <f t="shared" si="8"/>
        <v>0</v>
      </c>
      <c r="AX31" s="183">
        <v>0</v>
      </c>
      <c r="AY31" s="185">
        <v>0</v>
      </c>
      <c r="AZ31" s="185">
        <v>0</v>
      </c>
      <c r="BA31" s="185">
        <v>0</v>
      </c>
      <c r="BB31" s="181">
        <f t="shared" si="9"/>
        <v>0</v>
      </c>
      <c r="BC31" s="183">
        <v>0</v>
      </c>
      <c r="BD31" s="185">
        <v>0</v>
      </c>
      <c r="BE31" s="185">
        <v>0</v>
      </c>
      <c r="BF31" s="185">
        <v>0</v>
      </c>
      <c r="BG31" s="181">
        <f t="shared" si="10"/>
        <v>0</v>
      </c>
      <c r="BH31" s="183">
        <v>0</v>
      </c>
      <c r="BI31" s="185">
        <v>0</v>
      </c>
      <c r="BJ31" s="185">
        <v>0</v>
      </c>
      <c r="BK31" s="185">
        <v>0</v>
      </c>
      <c r="BL31" s="181">
        <f t="shared" si="11"/>
        <v>0</v>
      </c>
      <c r="BM31" s="183">
        <v>0</v>
      </c>
      <c r="BN31" s="185">
        <v>0</v>
      </c>
      <c r="BO31" s="185">
        <v>0</v>
      </c>
      <c r="BP31" s="185">
        <v>0</v>
      </c>
      <c r="BQ31" s="181">
        <f t="shared" si="12"/>
        <v>0</v>
      </c>
      <c r="BR31" s="183">
        <f t="shared" si="15"/>
        <v>1801965</v>
      </c>
      <c r="BS31" s="88">
        <f t="shared" si="15"/>
        <v>513629</v>
      </c>
      <c r="BT31" s="185">
        <f t="shared" si="15"/>
        <v>165304</v>
      </c>
      <c r="BU31" s="185">
        <f t="shared" si="15"/>
        <v>294</v>
      </c>
      <c r="BV31" s="183">
        <f t="shared" si="14"/>
        <v>2481192</v>
      </c>
      <c r="BW31" s="148"/>
      <c r="BX31" s="393"/>
    </row>
    <row r="32" spans="1:80" x14ac:dyDescent="0.2">
      <c r="A32" s="388">
        <v>26</v>
      </c>
      <c r="B32" s="389" t="s">
        <v>250</v>
      </c>
      <c r="D32" s="390"/>
      <c r="E32" s="391">
        <v>405467</v>
      </c>
      <c r="F32" s="88">
        <v>260880</v>
      </c>
      <c r="G32" s="88">
        <v>16726</v>
      </c>
      <c r="H32" s="88">
        <v>0</v>
      </c>
      <c r="I32" s="181">
        <f t="shared" si="0"/>
        <v>683073</v>
      </c>
      <c r="J32" s="183">
        <v>11573</v>
      </c>
      <c r="K32" s="185">
        <v>1526</v>
      </c>
      <c r="L32" s="185">
        <v>39</v>
      </c>
      <c r="M32" s="185">
        <v>0</v>
      </c>
      <c r="N32" s="181">
        <f>SUM(J32:M32)</f>
        <v>13138</v>
      </c>
      <c r="O32" s="185">
        <v>11588</v>
      </c>
      <c r="P32" s="185">
        <v>1414</v>
      </c>
      <c r="Q32" s="185">
        <v>0</v>
      </c>
      <c r="R32" s="185">
        <v>0</v>
      </c>
      <c r="S32" s="181">
        <f t="shared" si="16"/>
        <v>13002</v>
      </c>
      <c r="T32" s="183"/>
      <c r="U32" s="185"/>
      <c r="V32" s="185"/>
      <c r="W32" s="185"/>
      <c r="X32" s="181"/>
      <c r="Y32" s="183"/>
      <c r="Z32" s="185"/>
      <c r="AA32" s="185"/>
      <c r="AB32" s="185"/>
      <c r="AC32" s="181"/>
      <c r="AD32" s="183"/>
      <c r="AE32" s="185"/>
      <c r="AF32" s="185"/>
      <c r="AG32" s="185"/>
      <c r="AH32" s="181"/>
      <c r="AI32" s="183"/>
      <c r="AJ32" s="185"/>
      <c r="AK32" s="185"/>
      <c r="AL32" s="185"/>
      <c r="AM32" s="181"/>
      <c r="AN32" s="183"/>
      <c r="AO32" s="185"/>
      <c r="AP32" s="185"/>
      <c r="AQ32" s="185"/>
      <c r="AR32" s="181"/>
      <c r="AS32" s="183"/>
      <c r="AT32" s="185"/>
      <c r="AU32" s="185"/>
      <c r="AV32" s="185"/>
      <c r="AW32" s="181"/>
      <c r="AX32" s="183"/>
      <c r="AY32" s="185"/>
      <c r="AZ32" s="185"/>
      <c r="BA32" s="185"/>
      <c r="BB32" s="181"/>
      <c r="BC32" s="183"/>
      <c r="BD32" s="185"/>
      <c r="BE32" s="185"/>
      <c r="BF32" s="185"/>
      <c r="BG32" s="181"/>
      <c r="BH32" s="183"/>
      <c r="BI32" s="185"/>
      <c r="BJ32" s="185"/>
      <c r="BK32" s="185"/>
      <c r="BL32" s="181"/>
      <c r="BM32" s="183"/>
      <c r="BN32" s="185"/>
      <c r="BO32" s="185"/>
      <c r="BP32" s="185"/>
      <c r="BQ32" s="181"/>
      <c r="BR32" s="183">
        <f t="shared" si="15"/>
        <v>23161</v>
      </c>
      <c r="BS32" s="88">
        <f t="shared" si="15"/>
        <v>2940</v>
      </c>
      <c r="BT32" s="185">
        <f t="shared" si="15"/>
        <v>39</v>
      </c>
      <c r="BU32" s="185">
        <f t="shared" si="15"/>
        <v>0</v>
      </c>
      <c r="BV32" s="183">
        <f t="shared" si="14"/>
        <v>26140</v>
      </c>
      <c r="BW32" s="148"/>
      <c r="BX32" s="393"/>
    </row>
    <row r="33" spans="1:78" x14ac:dyDescent="0.2">
      <c r="A33" s="388">
        <v>27</v>
      </c>
      <c r="B33" s="359" t="s">
        <v>251</v>
      </c>
      <c r="D33" s="390"/>
      <c r="E33" s="391">
        <v>1148224</v>
      </c>
      <c r="F33" s="88">
        <v>1416</v>
      </c>
      <c r="G33" s="88">
        <v>110201</v>
      </c>
      <c r="H33" s="88">
        <v>0</v>
      </c>
      <c r="I33" s="181">
        <f t="shared" si="0"/>
        <v>1259841</v>
      </c>
      <c r="J33" s="183">
        <v>68062</v>
      </c>
      <c r="K33" s="185">
        <v>2</v>
      </c>
      <c r="L33" s="185">
        <v>1098</v>
      </c>
      <c r="M33" s="185">
        <v>0</v>
      </c>
      <c r="N33" s="181">
        <f t="shared" si="13"/>
        <v>69162</v>
      </c>
      <c r="O33" s="185">
        <v>66302</v>
      </c>
      <c r="P33" s="185">
        <v>86</v>
      </c>
      <c r="Q33" s="185">
        <v>4854</v>
      </c>
      <c r="R33" s="185">
        <v>0</v>
      </c>
      <c r="S33" s="181">
        <f t="shared" si="16"/>
        <v>71242</v>
      </c>
      <c r="T33" s="183">
        <v>0</v>
      </c>
      <c r="U33" s="185">
        <v>0</v>
      </c>
      <c r="V33" s="185">
        <v>0</v>
      </c>
      <c r="W33" s="185">
        <v>0</v>
      </c>
      <c r="X33" s="181">
        <f t="shared" si="4"/>
        <v>0</v>
      </c>
      <c r="Y33" s="183">
        <v>0</v>
      </c>
      <c r="Z33" s="185">
        <v>0</v>
      </c>
      <c r="AA33" s="185">
        <v>0</v>
      </c>
      <c r="AB33" s="185">
        <v>0</v>
      </c>
      <c r="AC33" s="181">
        <f t="shared" si="5"/>
        <v>0</v>
      </c>
      <c r="AD33" s="183">
        <v>0</v>
      </c>
      <c r="AE33" s="185">
        <v>0</v>
      </c>
      <c r="AF33" s="185">
        <v>0</v>
      </c>
      <c r="AG33" s="185">
        <v>0</v>
      </c>
      <c r="AH33" s="181">
        <f t="shared" si="6"/>
        <v>0</v>
      </c>
      <c r="AI33" s="183">
        <v>0</v>
      </c>
      <c r="AJ33" s="185">
        <v>0</v>
      </c>
      <c r="AK33" s="185">
        <v>0</v>
      </c>
      <c r="AL33" s="185">
        <v>0</v>
      </c>
      <c r="AM33" s="181">
        <f t="shared" si="7"/>
        <v>0</v>
      </c>
      <c r="AN33" s="183">
        <v>0</v>
      </c>
      <c r="AO33" s="185">
        <v>0</v>
      </c>
      <c r="AP33" s="185">
        <v>0</v>
      </c>
      <c r="AQ33" s="185">
        <v>0</v>
      </c>
      <c r="AR33" s="181">
        <f t="shared" si="1"/>
        <v>0</v>
      </c>
      <c r="AS33" s="183">
        <v>0</v>
      </c>
      <c r="AT33" s="185">
        <v>0</v>
      </c>
      <c r="AU33" s="185">
        <v>0</v>
      </c>
      <c r="AV33" s="185">
        <v>0</v>
      </c>
      <c r="AW33" s="181">
        <f t="shared" si="8"/>
        <v>0</v>
      </c>
      <c r="AX33" s="183">
        <v>0</v>
      </c>
      <c r="AY33" s="185">
        <v>0</v>
      </c>
      <c r="AZ33" s="185">
        <v>0</v>
      </c>
      <c r="BA33" s="185">
        <v>0</v>
      </c>
      <c r="BB33" s="181">
        <f t="shared" si="9"/>
        <v>0</v>
      </c>
      <c r="BC33" s="183">
        <v>0</v>
      </c>
      <c r="BD33" s="185">
        <v>0</v>
      </c>
      <c r="BE33" s="185">
        <v>0</v>
      </c>
      <c r="BF33" s="185">
        <v>0</v>
      </c>
      <c r="BG33" s="181">
        <f t="shared" si="10"/>
        <v>0</v>
      </c>
      <c r="BH33" s="183">
        <v>0</v>
      </c>
      <c r="BI33" s="185">
        <v>0</v>
      </c>
      <c r="BJ33" s="185">
        <v>0</v>
      </c>
      <c r="BK33" s="185">
        <v>0</v>
      </c>
      <c r="BL33" s="181">
        <f t="shared" si="11"/>
        <v>0</v>
      </c>
      <c r="BM33" s="183">
        <v>0</v>
      </c>
      <c r="BN33" s="185">
        <v>0</v>
      </c>
      <c r="BO33" s="185">
        <v>0</v>
      </c>
      <c r="BP33" s="185">
        <v>0</v>
      </c>
      <c r="BQ33" s="181">
        <f t="shared" si="12"/>
        <v>0</v>
      </c>
      <c r="BR33" s="183">
        <f t="shared" si="15"/>
        <v>134364</v>
      </c>
      <c r="BS33" s="88">
        <f t="shared" si="15"/>
        <v>88</v>
      </c>
      <c r="BT33" s="185">
        <f t="shared" si="15"/>
        <v>5952</v>
      </c>
      <c r="BU33" s="185">
        <f t="shared" si="15"/>
        <v>0</v>
      </c>
      <c r="BV33" s="183">
        <f t="shared" si="14"/>
        <v>140404</v>
      </c>
      <c r="BW33" s="148"/>
      <c r="BX33" s="393"/>
    </row>
    <row r="34" spans="1:78" x14ac:dyDescent="0.2">
      <c r="A34" s="388">
        <v>28</v>
      </c>
      <c r="B34" s="389" t="s">
        <v>252</v>
      </c>
      <c r="D34" s="390"/>
      <c r="E34" s="391">
        <v>96876077</v>
      </c>
      <c r="F34" s="88">
        <v>1497689</v>
      </c>
      <c r="G34" s="88">
        <v>3337267</v>
      </c>
      <c r="H34" s="88">
        <v>0</v>
      </c>
      <c r="I34" s="181">
        <f t="shared" si="0"/>
        <v>101711033</v>
      </c>
      <c r="J34" s="183">
        <v>8006135</v>
      </c>
      <c r="K34" s="185">
        <v>105447</v>
      </c>
      <c r="L34" s="185">
        <v>68895</v>
      </c>
      <c r="M34" s="185">
        <v>4803</v>
      </c>
      <c r="N34" s="181">
        <f t="shared" si="13"/>
        <v>8185280</v>
      </c>
      <c r="O34" s="185">
        <v>7807331</v>
      </c>
      <c r="P34" s="185">
        <v>276535</v>
      </c>
      <c r="Q34" s="185">
        <v>32605</v>
      </c>
      <c r="R34" s="185">
        <v>3575</v>
      </c>
      <c r="S34" s="181">
        <f>SUM(O34:R34)</f>
        <v>8120046</v>
      </c>
      <c r="T34" s="183">
        <v>0</v>
      </c>
      <c r="U34" s="185">
        <v>0</v>
      </c>
      <c r="V34" s="185">
        <v>0</v>
      </c>
      <c r="W34" s="185">
        <v>0</v>
      </c>
      <c r="X34" s="181">
        <f t="shared" si="4"/>
        <v>0</v>
      </c>
      <c r="Y34" s="183">
        <v>0</v>
      </c>
      <c r="Z34" s="185">
        <v>0</v>
      </c>
      <c r="AA34" s="185">
        <v>0</v>
      </c>
      <c r="AB34" s="185">
        <v>0</v>
      </c>
      <c r="AC34" s="181">
        <f t="shared" si="5"/>
        <v>0</v>
      </c>
      <c r="AD34" s="183">
        <v>0</v>
      </c>
      <c r="AE34" s="185">
        <v>0</v>
      </c>
      <c r="AF34" s="185">
        <v>0</v>
      </c>
      <c r="AG34" s="185">
        <v>0</v>
      </c>
      <c r="AH34" s="181">
        <f t="shared" si="6"/>
        <v>0</v>
      </c>
      <c r="AI34" s="183">
        <v>0</v>
      </c>
      <c r="AJ34" s="185">
        <v>0</v>
      </c>
      <c r="AK34" s="185">
        <v>0</v>
      </c>
      <c r="AL34" s="185">
        <v>0</v>
      </c>
      <c r="AM34" s="181">
        <f t="shared" si="7"/>
        <v>0</v>
      </c>
      <c r="AN34" s="183">
        <v>0</v>
      </c>
      <c r="AO34" s="185">
        <v>0</v>
      </c>
      <c r="AP34" s="185">
        <v>0</v>
      </c>
      <c r="AQ34" s="185">
        <v>0</v>
      </c>
      <c r="AR34" s="181">
        <f t="shared" si="1"/>
        <v>0</v>
      </c>
      <c r="AS34" s="183">
        <v>0</v>
      </c>
      <c r="AT34" s="185">
        <v>0</v>
      </c>
      <c r="AU34" s="185">
        <v>0</v>
      </c>
      <c r="AV34" s="185">
        <v>0</v>
      </c>
      <c r="AW34" s="181">
        <f t="shared" si="8"/>
        <v>0</v>
      </c>
      <c r="AX34" s="183">
        <v>0</v>
      </c>
      <c r="AY34" s="185">
        <v>0</v>
      </c>
      <c r="AZ34" s="185">
        <v>0</v>
      </c>
      <c r="BA34" s="185">
        <v>0</v>
      </c>
      <c r="BB34" s="181">
        <f t="shared" si="9"/>
        <v>0</v>
      </c>
      <c r="BC34" s="183">
        <v>0</v>
      </c>
      <c r="BD34" s="185">
        <v>0</v>
      </c>
      <c r="BE34" s="185">
        <v>0</v>
      </c>
      <c r="BF34" s="185">
        <v>0</v>
      </c>
      <c r="BG34" s="181">
        <f t="shared" si="10"/>
        <v>0</v>
      </c>
      <c r="BH34" s="183">
        <v>0</v>
      </c>
      <c r="BI34" s="185">
        <v>0</v>
      </c>
      <c r="BJ34" s="185">
        <v>0</v>
      </c>
      <c r="BK34" s="185">
        <v>0</v>
      </c>
      <c r="BL34" s="181">
        <f t="shared" si="11"/>
        <v>0</v>
      </c>
      <c r="BM34" s="183">
        <v>0</v>
      </c>
      <c r="BN34" s="185">
        <v>0</v>
      </c>
      <c r="BO34" s="185">
        <v>0</v>
      </c>
      <c r="BP34" s="185">
        <v>0</v>
      </c>
      <c r="BQ34" s="181">
        <f t="shared" si="12"/>
        <v>0</v>
      </c>
      <c r="BR34" s="183">
        <f t="shared" si="15"/>
        <v>15813466</v>
      </c>
      <c r="BS34" s="88">
        <f t="shared" si="15"/>
        <v>381982</v>
      </c>
      <c r="BT34" s="185">
        <f t="shared" si="15"/>
        <v>101500</v>
      </c>
      <c r="BU34" s="185">
        <f t="shared" si="15"/>
        <v>8378</v>
      </c>
      <c r="BV34" s="183">
        <f t="shared" si="14"/>
        <v>16305326</v>
      </c>
      <c r="BW34" s="148"/>
      <c r="BX34" s="393"/>
    </row>
    <row r="35" spans="1:78" x14ac:dyDescent="0.2">
      <c r="A35" s="388">
        <v>29</v>
      </c>
      <c r="B35" s="389" t="s">
        <v>253</v>
      </c>
      <c r="D35" s="390"/>
      <c r="E35" s="391">
        <v>8033569</v>
      </c>
      <c r="F35" s="88">
        <v>8411043</v>
      </c>
      <c r="G35" s="88">
        <v>365444</v>
      </c>
      <c r="H35" s="88">
        <v>0</v>
      </c>
      <c r="I35" s="181">
        <f t="shared" si="0"/>
        <v>16810056</v>
      </c>
      <c r="J35" s="183">
        <v>337160</v>
      </c>
      <c r="K35" s="185">
        <v>323418</v>
      </c>
      <c r="L35" s="185">
        <v>1444</v>
      </c>
      <c r="M35" s="185">
        <v>0</v>
      </c>
      <c r="N35" s="181">
        <f t="shared" si="13"/>
        <v>662022</v>
      </c>
      <c r="O35" s="185">
        <v>410703</v>
      </c>
      <c r="P35" s="185">
        <v>151301</v>
      </c>
      <c r="Q35" s="185">
        <v>9596</v>
      </c>
      <c r="R35" s="185">
        <v>0</v>
      </c>
      <c r="S35" s="181">
        <f>SUM(O35:R35)</f>
        <v>571600</v>
      </c>
      <c r="T35" s="183">
        <v>0</v>
      </c>
      <c r="U35" s="185">
        <v>0</v>
      </c>
      <c r="V35" s="185">
        <v>0</v>
      </c>
      <c r="W35" s="185">
        <v>0</v>
      </c>
      <c r="X35" s="183">
        <f t="shared" si="4"/>
        <v>0</v>
      </c>
      <c r="Y35" s="183">
        <v>0</v>
      </c>
      <c r="Z35" s="185">
        <v>0</v>
      </c>
      <c r="AA35" s="185">
        <v>0</v>
      </c>
      <c r="AB35" s="185">
        <v>0</v>
      </c>
      <c r="AC35" s="181">
        <f t="shared" si="5"/>
        <v>0</v>
      </c>
      <c r="AD35" s="183">
        <v>0</v>
      </c>
      <c r="AE35" s="185">
        <v>0</v>
      </c>
      <c r="AF35" s="185">
        <v>0</v>
      </c>
      <c r="AG35" s="185">
        <v>0</v>
      </c>
      <c r="AH35" s="181">
        <f t="shared" si="6"/>
        <v>0</v>
      </c>
      <c r="AI35" s="183">
        <v>0</v>
      </c>
      <c r="AJ35" s="185">
        <v>0</v>
      </c>
      <c r="AK35" s="185">
        <v>0</v>
      </c>
      <c r="AL35" s="185">
        <v>0</v>
      </c>
      <c r="AM35" s="181">
        <f t="shared" si="7"/>
        <v>0</v>
      </c>
      <c r="AN35" s="183">
        <v>0</v>
      </c>
      <c r="AO35" s="185">
        <v>0</v>
      </c>
      <c r="AP35" s="185">
        <v>0</v>
      </c>
      <c r="AQ35" s="185">
        <v>0</v>
      </c>
      <c r="AR35" s="181">
        <f t="shared" si="1"/>
        <v>0</v>
      </c>
      <c r="AS35" s="183">
        <v>0</v>
      </c>
      <c r="AT35" s="185">
        <v>0</v>
      </c>
      <c r="AU35" s="185">
        <v>0</v>
      </c>
      <c r="AV35" s="185">
        <v>0</v>
      </c>
      <c r="AW35" s="181">
        <f t="shared" si="8"/>
        <v>0</v>
      </c>
      <c r="AX35" s="183">
        <v>0</v>
      </c>
      <c r="AY35" s="185">
        <v>0</v>
      </c>
      <c r="AZ35" s="185">
        <v>0</v>
      </c>
      <c r="BA35" s="185">
        <v>0</v>
      </c>
      <c r="BB35" s="181">
        <f t="shared" si="9"/>
        <v>0</v>
      </c>
      <c r="BC35" s="183">
        <v>0</v>
      </c>
      <c r="BD35" s="185">
        <v>0</v>
      </c>
      <c r="BE35" s="185">
        <v>0</v>
      </c>
      <c r="BF35" s="185">
        <v>0</v>
      </c>
      <c r="BG35" s="181">
        <f t="shared" si="10"/>
        <v>0</v>
      </c>
      <c r="BH35" s="183">
        <v>0</v>
      </c>
      <c r="BI35" s="185">
        <v>0</v>
      </c>
      <c r="BJ35" s="185">
        <v>0</v>
      </c>
      <c r="BK35" s="185">
        <v>0</v>
      </c>
      <c r="BL35" s="181">
        <f t="shared" si="11"/>
        <v>0</v>
      </c>
      <c r="BM35" s="183">
        <v>0</v>
      </c>
      <c r="BN35" s="185">
        <v>0</v>
      </c>
      <c r="BO35" s="185">
        <v>0</v>
      </c>
      <c r="BP35" s="185">
        <v>0</v>
      </c>
      <c r="BQ35" s="181">
        <f t="shared" si="12"/>
        <v>0</v>
      </c>
      <c r="BR35" s="183">
        <f t="shared" si="15"/>
        <v>747863</v>
      </c>
      <c r="BS35" s="88">
        <f t="shared" si="15"/>
        <v>474719</v>
      </c>
      <c r="BT35" s="185">
        <f t="shared" si="15"/>
        <v>11040</v>
      </c>
      <c r="BU35" s="185">
        <f t="shared" si="15"/>
        <v>0</v>
      </c>
      <c r="BV35" s="183">
        <f t="shared" si="14"/>
        <v>1233622</v>
      </c>
      <c r="BW35" s="148"/>
      <c r="BX35" s="393"/>
    </row>
    <row r="36" spans="1:78" x14ac:dyDescent="0.2">
      <c r="A36" s="388">
        <v>30</v>
      </c>
      <c r="B36" s="389" t="s">
        <v>254</v>
      </c>
      <c r="D36" s="390"/>
      <c r="E36" s="391">
        <v>779984</v>
      </c>
      <c r="F36" s="88">
        <v>2582803</v>
      </c>
      <c r="G36" s="88">
        <v>31750</v>
      </c>
      <c r="H36" s="88">
        <v>0</v>
      </c>
      <c r="I36" s="181">
        <f t="shared" si="0"/>
        <v>3394537</v>
      </c>
      <c r="J36" s="183">
        <v>25268</v>
      </c>
      <c r="K36" s="185">
        <v>0</v>
      </c>
      <c r="L36" s="185">
        <v>0</v>
      </c>
      <c r="M36" s="185">
        <v>27</v>
      </c>
      <c r="N36" s="181">
        <f t="shared" si="13"/>
        <v>25295</v>
      </c>
      <c r="O36" s="185">
        <v>24248</v>
      </c>
      <c r="P36" s="185">
        <v>594685</v>
      </c>
      <c r="Q36" s="185">
        <v>0</v>
      </c>
      <c r="R36" s="185">
        <v>0</v>
      </c>
      <c r="S36" s="181">
        <f>SUM(O36:R36)</f>
        <v>618933</v>
      </c>
      <c r="T36" s="183">
        <v>0</v>
      </c>
      <c r="U36" s="185">
        <v>0</v>
      </c>
      <c r="V36" s="185">
        <v>0</v>
      </c>
      <c r="W36" s="185">
        <v>0</v>
      </c>
      <c r="X36" s="181">
        <f t="shared" si="4"/>
        <v>0</v>
      </c>
      <c r="Y36" s="183">
        <v>0</v>
      </c>
      <c r="Z36" s="185">
        <v>0</v>
      </c>
      <c r="AA36" s="185">
        <v>0</v>
      </c>
      <c r="AB36" s="185">
        <v>0</v>
      </c>
      <c r="AC36" s="181">
        <f t="shared" si="5"/>
        <v>0</v>
      </c>
      <c r="AD36" s="183">
        <v>0</v>
      </c>
      <c r="AE36" s="185">
        <v>0</v>
      </c>
      <c r="AF36" s="185">
        <v>0</v>
      </c>
      <c r="AG36" s="185">
        <v>0</v>
      </c>
      <c r="AH36" s="181">
        <f t="shared" si="6"/>
        <v>0</v>
      </c>
      <c r="AI36" s="183">
        <v>0</v>
      </c>
      <c r="AJ36" s="185">
        <v>0</v>
      </c>
      <c r="AK36" s="185">
        <v>0</v>
      </c>
      <c r="AL36" s="185">
        <v>0</v>
      </c>
      <c r="AM36" s="181">
        <f t="shared" si="7"/>
        <v>0</v>
      </c>
      <c r="AN36" s="183">
        <v>0</v>
      </c>
      <c r="AO36" s="185">
        <v>0</v>
      </c>
      <c r="AP36" s="185">
        <v>0</v>
      </c>
      <c r="AQ36" s="185">
        <v>0</v>
      </c>
      <c r="AR36" s="181">
        <f t="shared" si="1"/>
        <v>0</v>
      </c>
      <c r="AS36" s="183">
        <v>0</v>
      </c>
      <c r="AT36" s="185">
        <v>0</v>
      </c>
      <c r="AU36" s="185">
        <v>0</v>
      </c>
      <c r="AV36" s="185">
        <v>0</v>
      </c>
      <c r="AW36" s="181">
        <f t="shared" si="8"/>
        <v>0</v>
      </c>
      <c r="AX36" s="183">
        <v>0</v>
      </c>
      <c r="AY36" s="185">
        <v>0</v>
      </c>
      <c r="AZ36" s="185">
        <v>0</v>
      </c>
      <c r="BA36" s="185">
        <v>0</v>
      </c>
      <c r="BB36" s="181">
        <f t="shared" si="9"/>
        <v>0</v>
      </c>
      <c r="BC36" s="183">
        <v>0</v>
      </c>
      <c r="BD36" s="185">
        <v>0</v>
      </c>
      <c r="BE36" s="185">
        <v>0</v>
      </c>
      <c r="BF36" s="185">
        <v>0</v>
      </c>
      <c r="BG36" s="181">
        <f t="shared" si="10"/>
        <v>0</v>
      </c>
      <c r="BH36" s="183">
        <v>0</v>
      </c>
      <c r="BI36" s="185">
        <v>0</v>
      </c>
      <c r="BJ36" s="185">
        <v>0</v>
      </c>
      <c r="BK36" s="185">
        <v>0</v>
      </c>
      <c r="BL36" s="181">
        <f t="shared" si="11"/>
        <v>0</v>
      </c>
      <c r="BM36" s="183">
        <v>0</v>
      </c>
      <c r="BN36" s="185">
        <v>0</v>
      </c>
      <c r="BO36" s="185">
        <v>0</v>
      </c>
      <c r="BP36" s="185">
        <v>0</v>
      </c>
      <c r="BQ36" s="181">
        <f t="shared" si="12"/>
        <v>0</v>
      </c>
      <c r="BR36" s="183">
        <f t="shared" si="15"/>
        <v>49516</v>
      </c>
      <c r="BS36" s="88">
        <f t="shared" si="15"/>
        <v>594685</v>
      </c>
      <c r="BT36" s="185">
        <f t="shared" si="15"/>
        <v>0</v>
      </c>
      <c r="BU36" s="185">
        <f t="shared" si="15"/>
        <v>27</v>
      </c>
      <c r="BV36" s="183">
        <f t="shared" si="14"/>
        <v>644228</v>
      </c>
      <c r="BW36" s="148"/>
      <c r="BX36" s="393"/>
    </row>
    <row r="37" spans="1:78" x14ac:dyDescent="0.2">
      <c r="A37" s="388">
        <v>31</v>
      </c>
      <c r="B37" s="389" t="s">
        <v>255</v>
      </c>
      <c r="D37" s="390"/>
      <c r="E37" s="391">
        <v>2177557</v>
      </c>
      <c r="F37" s="88">
        <v>1391364</v>
      </c>
      <c r="G37" s="88">
        <v>68828</v>
      </c>
      <c r="H37" s="88">
        <v>0</v>
      </c>
      <c r="I37" s="181">
        <f t="shared" si="0"/>
        <v>3637749</v>
      </c>
      <c r="J37" s="183">
        <v>115225</v>
      </c>
      <c r="K37" s="185">
        <v>306678</v>
      </c>
      <c r="L37" s="185">
        <v>352</v>
      </c>
      <c r="M37" s="185">
        <v>0</v>
      </c>
      <c r="N37" s="181">
        <f t="shared" si="13"/>
        <v>422255</v>
      </c>
      <c r="O37" s="185">
        <v>149897</v>
      </c>
      <c r="P37" s="185">
        <v>35228</v>
      </c>
      <c r="Q37" s="185">
        <v>0</v>
      </c>
      <c r="R37" s="185">
        <v>0</v>
      </c>
      <c r="S37" s="181">
        <f>SUM(O37:R37)</f>
        <v>185125</v>
      </c>
      <c r="T37" s="183">
        <v>0</v>
      </c>
      <c r="U37" s="185">
        <v>0</v>
      </c>
      <c r="V37" s="185">
        <v>0</v>
      </c>
      <c r="W37" s="185">
        <v>0</v>
      </c>
      <c r="X37" s="181">
        <f t="shared" si="4"/>
        <v>0</v>
      </c>
      <c r="Y37" s="183">
        <v>0</v>
      </c>
      <c r="Z37" s="185">
        <v>0</v>
      </c>
      <c r="AA37" s="185">
        <v>0</v>
      </c>
      <c r="AB37" s="185">
        <v>0</v>
      </c>
      <c r="AC37" s="181">
        <f t="shared" si="5"/>
        <v>0</v>
      </c>
      <c r="AD37" s="183">
        <v>0</v>
      </c>
      <c r="AE37" s="185">
        <v>0</v>
      </c>
      <c r="AF37" s="185">
        <v>0</v>
      </c>
      <c r="AG37" s="185">
        <v>0</v>
      </c>
      <c r="AH37" s="181">
        <f t="shared" si="6"/>
        <v>0</v>
      </c>
      <c r="AI37" s="183">
        <v>0</v>
      </c>
      <c r="AJ37" s="185">
        <v>0</v>
      </c>
      <c r="AK37" s="185">
        <v>0</v>
      </c>
      <c r="AL37" s="185">
        <v>0</v>
      </c>
      <c r="AM37" s="181">
        <f t="shared" si="7"/>
        <v>0</v>
      </c>
      <c r="AN37" s="183">
        <v>0</v>
      </c>
      <c r="AO37" s="185">
        <v>0</v>
      </c>
      <c r="AP37" s="185">
        <v>0</v>
      </c>
      <c r="AQ37" s="185">
        <v>0</v>
      </c>
      <c r="AR37" s="181">
        <f t="shared" si="1"/>
        <v>0</v>
      </c>
      <c r="AS37" s="183">
        <v>0</v>
      </c>
      <c r="AT37" s="185">
        <v>0</v>
      </c>
      <c r="AU37" s="185">
        <v>0</v>
      </c>
      <c r="AV37" s="185">
        <v>0</v>
      </c>
      <c r="AW37" s="181">
        <f t="shared" si="8"/>
        <v>0</v>
      </c>
      <c r="AX37" s="183">
        <v>0</v>
      </c>
      <c r="AY37" s="185">
        <v>0</v>
      </c>
      <c r="AZ37" s="185">
        <v>0</v>
      </c>
      <c r="BA37" s="185">
        <v>0</v>
      </c>
      <c r="BB37" s="181">
        <f t="shared" si="9"/>
        <v>0</v>
      </c>
      <c r="BC37" s="183">
        <v>0</v>
      </c>
      <c r="BD37" s="185">
        <v>0</v>
      </c>
      <c r="BE37" s="185">
        <v>0</v>
      </c>
      <c r="BF37" s="185">
        <v>0</v>
      </c>
      <c r="BG37" s="181">
        <f t="shared" si="10"/>
        <v>0</v>
      </c>
      <c r="BH37" s="183">
        <v>0</v>
      </c>
      <c r="BI37" s="185">
        <v>0</v>
      </c>
      <c r="BJ37" s="185">
        <v>0</v>
      </c>
      <c r="BK37" s="185">
        <v>0</v>
      </c>
      <c r="BL37" s="181">
        <f t="shared" si="11"/>
        <v>0</v>
      </c>
      <c r="BM37" s="183">
        <v>0</v>
      </c>
      <c r="BN37" s="185">
        <v>0</v>
      </c>
      <c r="BO37" s="185">
        <v>0</v>
      </c>
      <c r="BP37" s="185">
        <v>0</v>
      </c>
      <c r="BQ37" s="181">
        <f t="shared" si="12"/>
        <v>0</v>
      </c>
      <c r="BR37" s="183">
        <f t="shared" si="15"/>
        <v>265122</v>
      </c>
      <c r="BS37" s="88">
        <f t="shared" si="15"/>
        <v>341906</v>
      </c>
      <c r="BT37" s="185">
        <f t="shared" si="15"/>
        <v>352</v>
      </c>
      <c r="BU37" s="185">
        <f t="shared" si="15"/>
        <v>0</v>
      </c>
      <c r="BV37" s="183">
        <f t="shared" si="14"/>
        <v>607380</v>
      </c>
      <c r="BW37" s="148"/>
      <c r="BX37" s="393"/>
    </row>
    <row r="38" spans="1:78" x14ac:dyDescent="0.2">
      <c r="A38" s="388">
        <v>32</v>
      </c>
      <c r="B38" s="91" t="s">
        <v>256</v>
      </c>
      <c r="D38" s="390"/>
      <c r="E38" s="391">
        <v>6969112</v>
      </c>
      <c r="F38" s="88">
        <v>1749542</v>
      </c>
      <c r="G38" s="88">
        <v>236015</v>
      </c>
      <c r="H38" s="88">
        <v>0</v>
      </c>
      <c r="I38" s="181">
        <f t="shared" si="0"/>
        <v>8954669</v>
      </c>
      <c r="J38" s="183">
        <v>225803</v>
      </c>
      <c r="K38" s="185">
        <v>153434</v>
      </c>
      <c r="L38" s="185">
        <v>152</v>
      </c>
      <c r="M38" s="185">
        <v>0</v>
      </c>
      <c r="N38" s="181">
        <f t="shared" si="13"/>
        <v>379389</v>
      </c>
      <c r="O38" s="185">
        <v>473175</v>
      </c>
      <c r="P38" s="185">
        <v>109375</v>
      </c>
      <c r="Q38" s="185">
        <v>13208</v>
      </c>
      <c r="R38" s="185">
        <v>0</v>
      </c>
      <c r="S38" s="181">
        <f>SUM(O38:R38)</f>
        <v>595758</v>
      </c>
      <c r="T38" s="183">
        <v>0</v>
      </c>
      <c r="U38" s="185">
        <v>0</v>
      </c>
      <c r="V38" s="185">
        <v>0</v>
      </c>
      <c r="W38" s="185">
        <v>0</v>
      </c>
      <c r="X38" s="181">
        <f t="shared" si="4"/>
        <v>0</v>
      </c>
      <c r="Y38" s="183">
        <v>0</v>
      </c>
      <c r="Z38" s="185">
        <v>0</v>
      </c>
      <c r="AA38" s="185">
        <v>0</v>
      </c>
      <c r="AB38" s="185">
        <v>0</v>
      </c>
      <c r="AC38" s="181">
        <f t="shared" si="5"/>
        <v>0</v>
      </c>
      <c r="AD38" s="183">
        <v>0</v>
      </c>
      <c r="AE38" s="185">
        <v>0</v>
      </c>
      <c r="AF38" s="185">
        <v>0</v>
      </c>
      <c r="AG38" s="185">
        <v>0</v>
      </c>
      <c r="AH38" s="181">
        <f>SUM(AD38:AG38)</f>
        <v>0</v>
      </c>
      <c r="AI38" s="183">
        <v>0</v>
      </c>
      <c r="AJ38" s="185">
        <v>0</v>
      </c>
      <c r="AK38" s="185">
        <v>0</v>
      </c>
      <c r="AL38" s="185">
        <v>0</v>
      </c>
      <c r="AM38" s="181">
        <f t="shared" si="7"/>
        <v>0</v>
      </c>
      <c r="AN38" s="183">
        <v>0</v>
      </c>
      <c r="AO38" s="185">
        <v>0</v>
      </c>
      <c r="AP38" s="185">
        <v>0</v>
      </c>
      <c r="AQ38" s="185">
        <v>0</v>
      </c>
      <c r="AR38" s="181">
        <f t="shared" si="1"/>
        <v>0</v>
      </c>
      <c r="AS38" s="183">
        <v>0</v>
      </c>
      <c r="AT38" s="185">
        <v>0</v>
      </c>
      <c r="AU38" s="185">
        <v>0</v>
      </c>
      <c r="AV38" s="185">
        <v>0</v>
      </c>
      <c r="AW38" s="181">
        <f t="shared" si="8"/>
        <v>0</v>
      </c>
      <c r="AX38" s="183">
        <v>0</v>
      </c>
      <c r="AY38" s="185">
        <v>0</v>
      </c>
      <c r="AZ38" s="185">
        <v>0</v>
      </c>
      <c r="BA38" s="185">
        <v>0</v>
      </c>
      <c r="BB38" s="181">
        <f t="shared" si="9"/>
        <v>0</v>
      </c>
      <c r="BC38" s="183">
        <v>0</v>
      </c>
      <c r="BD38" s="185">
        <v>0</v>
      </c>
      <c r="BE38" s="185">
        <v>0</v>
      </c>
      <c r="BF38" s="185">
        <v>0</v>
      </c>
      <c r="BG38" s="181">
        <f t="shared" si="10"/>
        <v>0</v>
      </c>
      <c r="BH38" s="183">
        <v>0</v>
      </c>
      <c r="BI38" s="185">
        <v>0</v>
      </c>
      <c r="BJ38" s="185">
        <v>0</v>
      </c>
      <c r="BK38" s="185">
        <v>0</v>
      </c>
      <c r="BL38" s="181">
        <f t="shared" si="11"/>
        <v>0</v>
      </c>
      <c r="BM38" s="183">
        <v>0</v>
      </c>
      <c r="BN38" s="185">
        <v>0</v>
      </c>
      <c r="BO38" s="185">
        <v>0</v>
      </c>
      <c r="BP38" s="185">
        <v>0</v>
      </c>
      <c r="BQ38" s="181">
        <f t="shared" si="12"/>
        <v>0</v>
      </c>
      <c r="BR38" s="183">
        <f t="shared" si="15"/>
        <v>698978</v>
      </c>
      <c r="BS38" s="88">
        <f t="shared" si="15"/>
        <v>262809</v>
      </c>
      <c r="BT38" s="185">
        <f t="shared" si="15"/>
        <v>13360</v>
      </c>
      <c r="BU38" s="185">
        <f t="shared" si="15"/>
        <v>0</v>
      </c>
      <c r="BV38" s="183">
        <f t="shared" si="14"/>
        <v>975147</v>
      </c>
      <c r="BW38" s="148"/>
      <c r="BX38" s="393"/>
    </row>
    <row r="39" spans="1:78" x14ac:dyDescent="0.2">
      <c r="A39" s="388">
        <v>33</v>
      </c>
      <c r="B39" s="91" t="s">
        <v>257</v>
      </c>
      <c r="D39" s="394"/>
      <c r="E39" s="391">
        <v>947706</v>
      </c>
      <c r="F39" s="88">
        <v>30373603</v>
      </c>
      <c r="G39" s="88">
        <v>3607</v>
      </c>
      <c r="H39" s="88">
        <v>0</v>
      </c>
      <c r="I39" s="181">
        <f t="shared" si="0"/>
        <v>31324916</v>
      </c>
      <c r="J39" s="183">
        <v>32666</v>
      </c>
      <c r="K39" s="185">
        <v>992442</v>
      </c>
      <c r="L39" s="185">
        <v>0</v>
      </c>
      <c r="M39" s="185">
        <v>0</v>
      </c>
      <c r="N39" s="181">
        <f t="shared" si="13"/>
        <v>1025108</v>
      </c>
      <c r="O39" s="185">
        <v>33435</v>
      </c>
      <c r="P39" s="185">
        <v>1618754</v>
      </c>
      <c r="Q39" s="185">
        <v>86</v>
      </c>
      <c r="R39" s="185">
        <v>0</v>
      </c>
      <c r="S39" s="181">
        <f t="shared" ref="S39:S47" si="17">SUM(O39:R39)</f>
        <v>1652275</v>
      </c>
      <c r="T39" s="183">
        <v>0</v>
      </c>
      <c r="U39" s="185">
        <v>0</v>
      </c>
      <c r="V39" s="185">
        <v>0</v>
      </c>
      <c r="W39" s="185">
        <v>0</v>
      </c>
      <c r="X39" s="181">
        <f t="shared" si="4"/>
        <v>0</v>
      </c>
      <c r="Y39" s="183">
        <v>0</v>
      </c>
      <c r="Z39" s="185">
        <v>0</v>
      </c>
      <c r="AA39" s="185">
        <v>0</v>
      </c>
      <c r="AB39" s="185">
        <v>0</v>
      </c>
      <c r="AC39" s="181">
        <f t="shared" si="5"/>
        <v>0</v>
      </c>
      <c r="AD39" s="183">
        <v>0</v>
      </c>
      <c r="AE39" s="185">
        <v>0</v>
      </c>
      <c r="AF39" s="185">
        <v>0</v>
      </c>
      <c r="AG39" s="185">
        <v>0</v>
      </c>
      <c r="AH39" s="181">
        <f t="shared" si="6"/>
        <v>0</v>
      </c>
      <c r="AI39" s="183">
        <v>0</v>
      </c>
      <c r="AJ39" s="185">
        <v>0</v>
      </c>
      <c r="AK39" s="185">
        <v>0</v>
      </c>
      <c r="AL39" s="185">
        <v>0</v>
      </c>
      <c r="AM39" s="181">
        <f t="shared" si="7"/>
        <v>0</v>
      </c>
      <c r="AN39" s="183">
        <v>0</v>
      </c>
      <c r="AO39" s="185">
        <v>0</v>
      </c>
      <c r="AP39" s="185">
        <v>0</v>
      </c>
      <c r="AQ39" s="185">
        <v>0</v>
      </c>
      <c r="AR39" s="181">
        <f t="shared" si="1"/>
        <v>0</v>
      </c>
      <c r="AS39" s="183">
        <v>0</v>
      </c>
      <c r="AT39" s="185">
        <v>0</v>
      </c>
      <c r="AU39" s="185">
        <v>0</v>
      </c>
      <c r="AV39" s="185">
        <v>0</v>
      </c>
      <c r="AW39" s="181">
        <f t="shared" si="8"/>
        <v>0</v>
      </c>
      <c r="AX39" s="183">
        <v>0</v>
      </c>
      <c r="AY39" s="185">
        <v>0</v>
      </c>
      <c r="AZ39" s="185">
        <v>0</v>
      </c>
      <c r="BA39" s="185">
        <v>0</v>
      </c>
      <c r="BB39" s="181">
        <f t="shared" si="9"/>
        <v>0</v>
      </c>
      <c r="BC39" s="183">
        <v>0</v>
      </c>
      <c r="BD39" s="185">
        <v>0</v>
      </c>
      <c r="BE39" s="185">
        <v>0</v>
      </c>
      <c r="BF39" s="185">
        <v>0</v>
      </c>
      <c r="BG39" s="181">
        <f t="shared" si="10"/>
        <v>0</v>
      </c>
      <c r="BH39" s="183">
        <v>0</v>
      </c>
      <c r="BI39" s="185">
        <v>0</v>
      </c>
      <c r="BJ39" s="185">
        <v>0</v>
      </c>
      <c r="BK39" s="185">
        <v>0</v>
      </c>
      <c r="BL39" s="181">
        <f t="shared" si="11"/>
        <v>0</v>
      </c>
      <c r="BM39" s="183">
        <v>0</v>
      </c>
      <c r="BN39" s="185">
        <v>0</v>
      </c>
      <c r="BO39" s="185">
        <v>0</v>
      </c>
      <c r="BP39" s="185">
        <v>0</v>
      </c>
      <c r="BQ39" s="181">
        <f t="shared" si="12"/>
        <v>0</v>
      </c>
      <c r="BR39" s="183">
        <f t="shared" si="15"/>
        <v>66101</v>
      </c>
      <c r="BS39" s="88">
        <f t="shared" si="15"/>
        <v>2611196</v>
      </c>
      <c r="BT39" s="185">
        <f t="shared" si="15"/>
        <v>86</v>
      </c>
      <c r="BU39" s="185">
        <f t="shared" si="15"/>
        <v>0</v>
      </c>
      <c r="BV39" s="183">
        <f t="shared" si="14"/>
        <v>2677383</v>
      </c>
      <c r="BW39" s="148"/>
      <c r="BX39" s="393"/>
    </row>
    <row r="40" spans="1:78" x14ac:dyDescent="0.2">
      <c r="A40" s="388">
        <v>34</v>
      </c>
      <c r="B40" s="389" t="s">
        <v>258</v>
      </c>
      <c r="D40" s="390"/>
      <c r="E40" s="391">
        <v>1683999</v>
      </c>
      <c r="F40" s="88">
        <v>7634620</v>
      </c>
      <c r="G40" s="88">
        <v>18409</v>
      </c>
      <c r="H40" s="88">
        <v>0</v>
      </c>
      <c r="I40" s="181">
        <f t="shared" si="0"/>
        <v>9337028</v>
      </c>
      <c r="J40" s="183">
        <v>95974</v>
      </c>
      <c r="K40" s="185">
        <v>644148</v>
      </c>
      <c r="L40" s="185">
        <v>89</v>
      </c>
      <c r="M40" s="185">
        <v>0</v>
      </c>
      <c r="N40" s="181">
        <f t="shared" si="13"/>
        <v>740211</v>
      </c>
      <c r="O40" s="185">
        <v>110775</v>
      </c>
      <c r="P40" s="185">
        <v>97342</v>
      </c>
      <c r="Q40" s="185">
        <v>400</v>
      </c>
      <c r="R40" s="185">
        <v>0</v>
      </c>
      <c r="S40" s="181">
        <f t="shared" si="17"/>
        <v>208517</v>
      </c>
      <c r="T40" s="183">
        <v>0</v>
      </c>
      <c r="U40" s="185">
        <v>0</v>
      </c>
      <c r="V40" s="185">
        <v>0</v>
      </c>
      <c r="W40" s="185">
        <v>0</v>
      </c>
      <c r="X40" s="181">
        <f t="shared" si="4"/>
        <v>0</v>
      </c>
      <c r="Y40" s="183">
        <v>0</v>
      </c>
      <c r="Z40" s="185">
        <v>0</v>
      </c>
      <c r="AA40" s="185">
        <v>0</v>
      </c>
      <c r="AB40" s="185">
        <v>0</v>
      </c>
      <c r="AC40" s="181">
        <f t="shared" si="5"/>
        <v>0</v>
      </c>
      <c r="AD40" s="183">
        <v>0</v>
      </c>
      <c r="AE40" s="185">
        <v>0</v>
      </c>
      <c r="AF40" s="185">
        <v>0</v>
      </c>
      <c r="AG40" s="185">
        <v>0</v>
      </c>
      <c r="AH40" s="181">
        <f t="shared" si="6"/>
        <v>0</v>
      </c>
      <c r="AI40" s="183">
        <v>0</v>
      </c>
      <c r="AJ40" s="185">
        <v>0</v>
      </c>
      <c r="AK40" s="185">
        <v>0</v>
      </c>
      <c r="AL40" s="185">
        <v>0</v>
      </c>
      <c r="AM40" s="181">
        <f t="shared" si="7"/>
        <v>0</v>
      </c>
      <c r="AN40" s="183">
        <v>0</v>
      </c>
      <c r="AO40" s="185">
        <v>0</v>
      </c>
      <c r="AP40" s="185">
        <v>0</v>
      </c>
      <c r="AQ40" s="185">
        <v>0</v>
      </c>
      <c r="AR40" s="181">
        <f t="shared" si="1"/>
        <v>0</v>
      </c>
      <c r="AS40" s="183">
        <v>0</v>
      </c>
      <c r="AT40" s="185">
        <v>0</v>
      </c>
      <c r="AU40" s="185">
        <v>0</v>
      </c>
      <c r="AV40" s="185">
        <v>0</v>
      </c>
      <c r="AW40" s="181">
        <f t="shared" si="8"/>
        <v>0</v>
      </c>
      <c r="AX40" s="183">
        <v>0</v>
      </c>
      <c r="AY40" s="185">
        <v>0</v>
      </c>
      <c r="AZ40" s="185">
        <v>0</v>
      </c>
      <c r="BA40" s="185">
        <v>0</v>
      </c>
      <c r="BB40" s="181">
        <f t="shared" si="9"/>
        <v>0</v>
      </c>
      <c r="BC40" s="183">
        <v>0</v>
      </c>
      <c r="BD40" s="185">
        <v>0</v>
      </c>
      <c r="BE40" s="185">
        <v>0</v>
      </c>
      <c r="BF40" s="185">
        <v>0</v>
      </c>
      <c r="BG40" s="181">
        <f t="shared" si="10"/>
        <v>0</v>
      </c>
      <c r="BH40" s="183">
        <v>0</v>
      </c>
      <c r="BI40" s="185">
        <v>0</v>
      </c>
      <c r="BJ40" s="185">
        <v>0</v>
      </c>
      <c r="BK40" s="185">
        <v>0</v>
      </c>
      <c r="BL40" s="181">
        <f t="shared" si="11"/>
        <v>0</v>
      </c>
      <c r="BM40" s="183">
        <v>0</v>
      </c>
      <c r="BN40" s="185">
        <v>0</v>
      </c>
      <c r="BO40" s="185">
        <v>0</v>
      </c>
      <c r="BP40" s="185">
        <v>0</v>
      </c>
      <c r="BQ40" s="181">
        <f t="shared" si="12"/>
        <v>0</v>
      </c>
      <c r="BR40" s="183">
        <f t="shared" si="15"/>
        <v>206749</v>
      </c>
      <c r="BS40" s="88">
        <f t="shared" si="15"/>
        <v>741490</v>
      </c>
      <c r="BT40" s="185">
        <f t="shared" si="15"/>
        <v>489</v>
      </c>
      <c r="BU40" s="185">
        <f t="shared" si="15"/>
        <v>0</v>
      </c>
      <c r="BV40" s="183">
        <f t="shared" si="14"/>
        <v>948728</v>
      </c>
      <c r="BW40" s="148"/>
      <c r="BX40" s="393"/>
    </row>
    <row r="41" spans="1:78" x14ac:dyDescent="0.2">
      <c r="A41" s="388">
        <v>35</v>
      </c>
      <c r="B41" s="389" t="s">
        <v>259</v>
      </c>
      <c r="D41" s="390"/>
      <c r="E41" s="391">
        <v>632471</v>
      </c>
      <c r="F41" s="88">
        <v>8162158</v>
      </c>
      <c r="G41" s="88">
        <v>2764</v>
      </c>
      <c r="H41" s="88">
        <v>0</v>
      </c>
      <c r="I41" s="181">
        <f t="shared" si="0"/>
        <v>8797393</v>
      </c>
      <c r="J41" s="183">
        <v>28642</v>
      </c>
      <c r="K41" s="185">
        <v>907089</v>
      </c>
      <c r="L41" s="185">
        <v>149</v>
      </c>
      <c r="M41" s="185">
        <v>0</v>
      </c>
      <c r="N41" s="181">
        <f t="shared" si="13"/>
        <v>935880</v>
      </c>
      <c r="O41" s="185">
        <v>26527</v>
      </c>
      <c r="P41" s="185">
        <v>49000</v>
      </c>
      <c r="Q41" s="185">
        <v>0</v>
      </c>
      <c r="R41" s="185">
        <v>0</v>
      </c>
      <c r="S41" s="181">
        <f t="shared" si="17"/>
        <v>75527</v>
      </c>
      <c r="T41" s="183">
        <v>0</v>
      </c>
      <c r="U41" s="185">
        <v>0</v>
      </c>
      <c r="V41" s="185">
        <v>0</v>
      </c>
      <c r="W41" s="185">
        <v>0</v>
      </c>
      <c r="X41" s="181">
        <f t="shared" si="4"/>
        <v>0</v>
      </c>
      <c r="Y41" s="183">
        <v>0</v>
      </c>
      <c r="Z41" s="185">
        <v>0</v>
      </c>
      <c r="AA41" s="185">
        <v>0</v>
      </c>
      <c r="AB41" s="185">
        <v>0</v>
      </c>
      <c r="AC41" s="181">
        <f t="shared" si="5"/>
        <v>0</v>
      </c>
      <c r="AD41" s="183">
        <v>0</v>
      </c>
      <c r="AE41" s="185">
        <v>0</v>
      </c>
      <c r="AF41" s="185">
        <v>0</v>
      </c>
      <c r="AG41" s="185">
        <v>0</v>
      </c>
      <c r="AH41" s="181">
        <f t="shared" si="6"/>
        <v>0</v>
      </c>
      <c r="AI41" s="183">
        <v>0</v>
      </c>
      <c r="AJ41" s="185">
        <v>0</v>
      </c>
      <c r="AK41" s="185">
        <v>0</v>
      </c>
      <c r="AL41" s="185">
        <v>0</v>
      </c>
      <c r="AM41" s="181">
        <f t="shared" si="7"/>
        <v>0</v>
      </c>
      <c r="AN41" s="183">
        <v>0</v>
      </c>
      <c r="AO41" s="185">
        <v>0</v>
      </c>
      <c r="AP41" s="185">
        <v>0</v>
      </c>
      <c r="AQ41" s="185">
        <v>0</v>
      </c>
      <c r="AR41" s="181">
        <f t="shared" si="1"/>
        <v>0</v>
      </c>
      <c r="AS41" s="183">
        <v>0</v>
      </c>
      <c r="AT41" s="185">
        <v>0</v>
      </c>
      <c r="AU41" s="185">
        <v>0</v>
      </c>
      <c r="AV41" s="185">
        <v>0</v>
      </c>
      <c r="AW41" s="181">
        <f t="shared" si="8"/>
        <v>0</v>
      </c>
      <c r="AX41" s="183">
        <v>0</v>
      </c>
      <c r="AY41" s="185">
        <v>0</v>
      </c>
      <c r="AZ41" s="185">
        <v>0</v>
      </c>
      <c r="BA41" s="185">
        <v>0</v>
      </c>
      <c r="BB41" s="181">
        <f t="shared" si="9"/>
        <v>0</v>
      </c>
      <c r="BC41" s="183">
        <v>0</v>
      </c>
      <c r="BD41" s="185">
        <v>0</v>
      </c>
      <c r="BE41" s="185">
        <v>0</v>
      </c>
      <c r="BF41" s="185">
        <v>0</v>
      </c>
      <c r="BG41" s="181">
        <f t="shared" si="10"/>
        <v>0</v>
      </c>
      <c r="BH41" s="183">
        <v>0</v>
      </c>
      <c r="BI41" s="185">
        <v>0</v>
      </c>
      <c r="BJ41" s="185">
        <v>0</v>
      </c>
      <c r="BK41" s="185">
        <v>0</v>
      </c>
      <c r="BL41" s="181">
        <f t="shared" si="11"/>
        <v>0</v>
      </c>
      <c r="BM41" s="183">
        <v>0</v>
      </c>
      <c r="BN41" s="185">
        <v>0</v>
      </c>
      <c r="BO41" s="185">
        <v>0</v>
      </c>
      <c r="BP41" s="185">
        <v>0</v>
      </c>
      <c r="BQ41" s="181">
        <f t="shared" si="12"/>
        <v>0</v>
      </c>
      <c r="BR41" s="183">
        <f t="shared" si="15"/>
        <v>55169</v>
      </c>
      <c r="BS41" s="88">
        <f t="shared" si="15"/>
        <v>956089</v>
      </c>
      <c r="BT41" s="185">
        <f t="shared" si="15"/>
        <v>149</v>
      </c>
      <c r="BU41" s="185">
        <f t="shared" si="15"/>
        <v>0</v>
      </c>
      <c r="BV41" s="183">
        <f t="shared" si="14"/>
        <v>1011407</v>
      </c>
      <c r="BW41" s="148"/>
      <c r="BX41" s="393"/>
      <c r="BY41" s="358"/>
      <c r="BZ41" s="358"/>
    </row>
    <row r="42" spans="1:78" x14ac:dyDescent="0.2">
      <c r="A42" s="388">
        <v>36</v>
      </c>
      <c r="B42" s="359" t="s">
        <v>260</v>
      </c>
      <c r="D42" s="390"/>
      <c r="E42" s="391">
        <v>251412</v>
      </c>
      <c r="F42" s="88">
        <v>2151096</v>
      </c>
      <c r="G42" s="88">
        <v>4275</v>
      </c>
      <c r="H42" s="88">
        <v>0</v>
      </c>
      <c r="I42" s="181">
        <f t="shared" si="0"/>
        <v>2406783</v>
      </c>
      <c r="J42" s="183">
        <v>13296</v>
      </c>
      <c r="K42" s="185">
        <v>94236</v>
      </c>
      <c r="L42" s="185">
        <v>331</v>
      </c>
      <c r="M42" s="185">
        <v>0</v>
      </c>
      <c r="N42" s="181">
        <f t="shared" si="13"/>
        <v>107863</v>
      </c>
      <c r="O42" s="185">
        <v>15549</v>
      </c>
      <c r="P42" s="185">
        <v>502419</v>
      </c>
      <c r="Q42" s="185">
        <v>184</v>
      </c>
      <c r="R42" s="185">
        <v>0</v>
      </c>
      <c r="S42" s="181">
        <f t="shared" si="17"/>
        <v>518152</v>
      </c>
      <c r="T42" s="183">
        <v>0</v>
      </c>
      <c r="U42" s="185">
        <v>0</v>
      </c>
      <c r="V42" s="185">
        <v>0</v>
      </c>
      <c r="W42" s="185">
        <v>0</v>
      </c>
      <c r="X42" s="181">
        <f t="shared" si="4"/>
        <v>0</v>
      </c>
      <c r="Y42" s="183">
        <v>0</v>
      </c>
      <c r="Z42" s="185">
        <v>0</v>
      </c>
      <c r="AA42" s="185">
        <v>0</v>
      </c>
      <c r="AB42" s="185">
        <v>0</v>
      </c>
      <c r="AC42" s="181">
        <f t="shared" si="5"/>
        <v>0</v>
      </c>
      <c r="AD42" s="183">
        <v>0</v>
      </c>
      <c r="AE42" s="185">
        <v>0</v>
      </c>
      <c r="AF42" s="185">
        <v>0</v>
      </c>
      <c r="AG42" s="185">
        <v>0</v>
      </c>
      <c r="AH42" s="181">
        <f>SUM(AD42:AG42)</f>
        <v>0</v>
      </c>
      <c r="AI42" s="183">
        <v>0</v>
      </c>
      <c r="AJ42" s="185">
        <v>0</v>
      </c>
      <c r="AK42" s="185">
        <v>0</v>
      </c>
      <c r="AL42" s="185">
        <v>0</v>
      </c>
      <c r="AM42" s="181">
        <f t="shared" si="7"/>
        <v>0</v>
      </c>
      <c r="AN42" s="183">
        <v>0</v>
      </c>
      <c r="AO42" s="185">
        <v>0</v>
      </c>
      <c r="AP42" s="185">
        <v>0</v>
      </c>
      <c r="AQ42" s="185">
        <v>0</v>
      </c>
      <c r="AR42" s="181">
        <f t="shared" si="1"/>
        <v>0</v>
      </c>
      <c r="AS42" s="183">
        <v>0</v>
      </c>
      <c r="AT42" s="185">
        <v>0</v>
      </c>
      <c r="AU42" s="185">
        <v>0</v>
      </c>
      <c r="AV42" s="185">
        <v>0</v>
      </c>
      <c r="AW42" s="181">
        <f t="shared" si="8"/>
        <v>0</v>
      </c>
      <c r="AX42" s="183">
        <v>0</v>
      </c>
      <c r="AY42" s="185">
        <v>0</v>
      </c>
      <c r="AZ42" s="185">
        <v>0</v>
      </c>
      <c r="BA42" s="185">
        <v>0</v>
      </c>
      <c r="BB42" s="181">
        <f t="shared" si="9"/>
        <v>0</v>
      </c>
      <c r="BC42" s="183">
        <v>0</v>
      </c>
      <c r="BD42" s="185">
        <v>0</v>
      </c>
      <c r="BE42" s="185">
        <v>0</v>
      </c>
      <c r="BF42" s="185">
        <v>0</v>
      </c>
      <c r="BG42" s="181">
        <f t="shared" si="10"/>
        <v>0</v>
      </c>
      <c r="BH42" s="183">
        <v>0</v>
      </c>
      <c r="BI42" s="185">
        <v>0</v>
      </c>
      <c r="BJ42" s="185">
        <v>0</v>
      </c>
      <c r="BK42" s="185">
        <v>0</v>
      </c>
      <c r="BL42" s="181">
        <f t="shared" si="11"/>
        <v>0</v>
      </c>
      <c r="BM42" s="183">
        <v>0</v>
      </c>
      <c r="BN42" s="185">
        <v>0</v>
      </c>
      <c r="BO42" s="185">
        <v>0</v>
      </c>
      <c r="BP42" s="185">
        <v>0</v>
      </c>
      <c r="BQ42" s="181">
        <f t="shared" si="12"/>
        <v>0</v>
      </c>
      <c r="BR42" s="183">
        <f t="shared" si="15"/>
        <v>28845</v>
      </c>
      <c r="BS42" s="88">
        <f t="shared" si="15"/>
        <v>596655</v>
      </c>
      <c r="BT42" s="185">
        <f t="shared" si="15"/>
        <v>515</v>
      </c>
      <c r="BU42" s="185">
        <f t="shared" si="15"/>
        <v>0</v>
      </c>
      <c r="BV42" s="183">
        <f t="shared" si="14"/>
        <v>626015</v>
      </c>
      <c r="BW42" s="148"/>
      <c r="BX42" s="393"/>
      <c r="BY42" s="358"/>
      <c r="BZ42" s="185"/>
    </row>
    <row r="43" spans="1:78" x14ac:dyDescent="0.2">
      <c r="A43" s="388">
        <v>37</v>
      </c>
      <c r="B43" s="359" t="s">
        <v>261</v>
      </c>
      <c r="D43" s="401"/>
      <c r="E43" s="391">
        <v>1018694</v>
      </c>
      <c r="F43" s="88">
        <v>4492149</v>
      </c>
      <c r="G43" s="88">
        <v>209321</v>
      </c>
      <c r="H43" s="88">
        <v>0</v>
      </c>
      <c r="I43" s="181">
        <f t="shared" si="0"/>
        <v>5720164</v>
      </c>
      <c r="J43" s="183">
        <v>34632</v>
      </c>
      <c r="K43" s="185">
        <v>668650</v>
      </c>
      <c r="L43" s="185">
        <v>0</v>
      </c>
      <c r="M43" s="185">
        <v>0</v>
      </c>
      <c r="N43" s="181">
        <f t="shared" si="13"/>
        <v>703282</v>
      </c>
      <c r="O43" s="185">
        <v>54736</v>
      </c>
      <c r="P43" s="185">
        <v>160450</v>
      </c>
      <c r="Q43" s="185">
        <v>0</v>
      </c>
      <c r="R43" s="185">
        <v>7</v>
      </c>
      <c r="S43" s="181">
        <f t="shared" si="17"/>
        <v>215193</v>
      </c>
      <c r="T43" s="183">
        <v>0</v>
      </c>
      <c r="U43" s="185">
        <v>0</v>
      </c>
      <c r="V43" s="185">
        <v>0</v>
      </c>
      <c r="W43" s="185">
        <v>0</v>
      </c>
      <c r="X43" s="181">
        <f t="shared" si="4"/>
        <v>0</v>
      </c>
      <c r="Y43" s="183">
        <v>0</v>
      </c>
      <c r="Z43" s="185">
        <v>0</v>
      </c>
      <c r="AA43" s="185">
        <v>0</v>
      </c>
      <c r="AB43" s="185">
        <v>0</v>
      </c>
      <c r="AC43" s="181">
        <f t="shared" si="5"/>
        <v>0</v>
      </c>
      <c r="AD43" s="183">
        <v>0</v>
      </c>
      <c r="AE43" s="185">
        <v>0</v>
      </c>
      <c r="AF43" s="185">
        <v>0</v>
      </c>
      <c r="AG43" s="185">
        <v>0</v>
      </c>
      <c r="AH43" s="181">
        <f t="shared" si="6"/>
        <v>0</v>
      </c>
      <c r="AI43" s="183">
        <v>0</v>
      </c>
      <c r="AJ43" s="185">
        <v>0</v>
      </c>
      <c r="AK43" s="185">
        <v>0</v>
      </c>
      <c r="AL43" s="185">
        <v>0</v>
      </c>
      <c r="AM43" s="181">
        <f t="shared" si="7"/>
        <v>0</v>
      </c>
      <c r="AN43" s="183">
        <v>0</v>
      </c>
      <c r="AO43" s="185">
        <v>0</v>
      </c>
      <c r="AP43" s="185">
        <v>0</v>
      </c>
      <c r="AQ43" s="185">
        <v>0</v>
      </c>
      <c r="AR43" s="181">
        <f t="shared" si="1"/>
        <v>0</v>
      </c>
      <c r="AS43" s="183">
        <v>0</v>
      </c>
      <c r="AT43" s="185">
        <v>0</v>
      </c>
      <c r="AU43" s="185">
        <v>0</v>
      </c>
      <c r="AV43" s="185">
        <v>0</v>
      </c>
      <c r="AW43" s="181">
        <f t="shared" si="8"/>
        <v>0</v>
      </c>
      <c r="AX43" s="183">
        <v>0</v>
      </c>
      <c r="AY43" s="185">
        <v>0</v>
      </c>
      <c r="AZ43" s="185">
        <v>0</v>
      </c>
      <c r="BA43" s="185">
        <v>0</v>
      </c>
      <c r="BB43" s="181">
        <f t="shared" si="9"/>
        <v>0</v>
      </c>
      <c r="BC43" s="183">
        <v>0</v>
      </c>
      <c r="BD43" s="185">
        <v>0</v>
      </c>
      <c r="BE43" s="185">
        <v>0</v>
      </c>
      <c r="BF43" s="185">
        <v>0</v>
      </c>
      <c r="BG43" s="181">
        <f t="shared" si="10"/>
        <v>0</v>
      </c>
      <c r="BH43" s="183">
        <v>0</v>
      </c>
      <c r="BI43" s="185">
        <v>0</v>
      </c>
      <c r="BJ43" s="185">
        <v>0</v>
      </c>
      <c r="BK43" s="185">
        <v>0</v>
      </c>
      <c r="BL43" s="181">
        <f t="shared" si="11"/>
        <v>0</v>
      </c>
      <c r="BM43" s="183">
        <v>0</v>
      </c>
      <c r="BN43" s="185">
        <v>0</v>
      </c>
      <c r="BO43" s="185">
        <v>0</v>
      </c>
      <c r="BP43" s="185">
        <v>0</v>
      </c>
      <c r="BQ43" s="181">
        <f t="shared" si="12"/>
        <v>0</v>
      </c>
      <c r="BR43" s="183">
        <f t="shared" si="15"/>
        <v>89368</v>
      </c>
      <c r="BS43" s="88">
        <f t="shared" si="15"/>
        <v>829100</v>
      </c>
      <c r="BT43" s="185">
        <f t="shared" si="15"/>
        <v>0</v>
      </c>
      <c r="BU43" s="185">
        <f t="shared" si="15"/>
        <v>7</v>
      </c>
      <c r="BV43" s="183">
        <f t="shared" si="14"/>
        <v>918475</v>
      </c>
      <c r="BW43" s="148"/>
      <c r="BX43" s="393"/>
      <c r="BY43" s="358"/>
      <c r="BZ43" s="185"/>
    </row>
    <row r="44" spans="1:78" x14ac:dyDescent="0.2">
      <c r="A44" s="388">
        <v>38</v>
      </c>
      <c r="B44" s="389" t="s">
        <v>262</v>
      </c>
      <c r="D44" s="390"/>
      <c r="E44" s="391">
        <v>998670</v>
      </c>
      <c r="F44" s="88">
        <v>1478534</v>
      </c>
      <c r="G44" s="88">
        <v>3780</v>
      </c>
      <c r="H44" s="88">
        <v>0</v>
      </c>
      <c r="I44" s="181">
        <f t="shared" si="0"/>
        <v>2480984</v>
      </c>
      <c r="J44" s="183">
        <v>46005</v>
      </c>
      <c r="K44" s="185">
        <v>11</v>
      </c>
      <c r="L44" s="185">
        <v>1072</v>
      </c>
      <c r="M44" s="185">
        <v>0</v>
      </c>
      <c r="N44" s="181">
        <f t="shared" si="13"/>
        <v>47088</v>
      </c>
      <c r="O44" s="185">
        <v>59713</v>
      </c>
      <c r="P44" s="185">
        <v>143631</v>
      </c>
      <c r="Q44" s="185">
        <v>436</v>
      </c>
      <c r="R44" s="185">
        <v>0</v>
      </c>
      <c r="S44" s="181">
        <f t="shared" si="17"/>
        <v>203780</v>
      </c>
      <c r="T44" s="183">
        <v>0</v>
      </c>
      <c r="U44" s="185">
        <v>0</v>
      </c>
      <c r="V44" s="185">
        <v>0</v>
      </c>
      <c r="W44" s="185">
        <v>0</v>
      </c>
      <c r="X44" s="181">
        <f t="shared" si="4"/>
        <v>0</v>
      </c>
      <c r="Y44" s="183">
        <v>0</v>
      </c>
      <c r="Z44" s="185">
        <v>0</v>
      </c>
      <c r="AA44" s="185">
        <v>0</v>
      </c>
      <c r="AB44" s="185">
        <v>0</v>
      </c>
      <c r="AC44" s="181">
        <f t="shared" si="5"/>
        <v>0</v>
      </c>
      <c r="AD44" s="183">
        <v>0</v>
      </c>
      <c r="AE44" s="185">
        <v>0</v>
      </c>
      <c r="AF44" s="185">
        <v>0</v>
      </c>
      <c r="AG44" s="185">
        <v>0</v>
      </c>
      <c r="AH44" s="181">
        <f t="shared" si="6"/>
        <v>0</v>
      </c>
      <c r="AI44" s="183">
        <v>0</v>
      </c>
      <c r="AJ44" s="185">
        <v>0</v>
      </c>
      <c r="AK44" s="185">
        <v>0</v>
      </c>
      <c r="AL44" s="185">
        <v>0</v>
      </c>
      <c r="AM44" s="181">
        <f t="shared" si="7"/>
        <v>0</v>
      </c>
      <c r="AN44" s="183">
        <v>0</v>
      </c>
      <c r="AO44" s="185">
        <v>0</v>
      </c>
      <c r="AP44" s="185">
        <v>0</v>
      </c>
      <c r="AQ44" s="185">
        <v>0</v>
      </c>
      <c r="AR44" s="181">
        <f t="shared" si="1"/>
        <v>0</v>
      </c>
      <c r="AS44" s="183">
        <v>0</v>
      </c>
      <c r="AT44" s="185">
        <v>0</v>
      </c>
      <c r="AU44" s="185">
        <v>0</v>
      </c>
      <c r="AV44" s="185">
        <v>0</v>
      </c>
      <c r="AW44" s="181">
        <f t="shared" si="8"/>
        <v>0</v>
      </c>
      <c r="AX44" s="183">
        <v>0</v>
      </c>
      <c r="AY44" s="185">
        <v>0</v>
      </c>
      <c r="AZ44" s="185">
        <v>0</v>
      </c>
      <c r="BA44" s="185">
        <v>0</v>
      </c>
      <c r="BB44" s="181">
        <f t="shared" si="9"/>
        <v>0</v>
      </c>
      <c r="BC44" s="183">
        <v>0</v>
      </c>
      <c r="BD44" s="185">
        <v>0</v>
      </c>
      <c r="BE44" s="185">
        <v>0</v>
      </c>
      <c r="BF44" s="185">
        <v>0</v>
      </c>
      <c r="BG44" s="181">
        <f t="shared" si="10"/>
        <v>0</v>
      </c>
      <c r="BH44" s="183">
        <v>0</v>
      </c>
      <c r="BI44" s="185">
        <v>0</v>
      </c>
      <c r="BJ44" s="185">
        <v>0</v>
      </c>
      <c r="BK44" s="185">
        <v>0</v>
      </c>
      <c r="BL44" s="181">
        <f t="shared" si="11"/>
        <v>0</v>
      </c>
      <c r="BM44" s="183">
        <v>0</v>
      </c>
      <c r="BN44" s="185">
        <v>0</v>
      </c>
      <c r="BO44" s="185">
        <v>0</v>
      </c>
      <c r="BP44" s="185">
        <v>0</v>
      </c>
      <c r="BQ44" s="181">
        <f t="shared" si="12"/>
        <v>0</v>
      </c>
      <c r="BR44" s="183">
        <f t="shared" si="15"/>
        <v>105718</v>
      </c>
      <c r="BS44" s="88">
        <f t="shared" si="15"/>
        <v>143642</v>
      </c>
      <c r="BT44" s="185">
        <f t="shared" si="15"/>
        <v>1508</v>
      </c>
      <c r="BU44" s="185">
        <f t="shared" si="15"/>
        <v>0</v>
      </c>
      <c r="BV44" s="183">
        <f t="shared" si="14"/>
        <v>250868</v>
      </c>
      <c r="BW44" s="148"/>
      <c r="BX44" s="393"/>
      <c r="BY44" s="358"/>
      <c r="BZ44" s="185"/>
    </row>
    <row r="45" spans="1:78" x14ac:dyDescent="0.2">
      <c r="A45" s="388">
        <v>39</v>
      </c>
      <c r="B45" s="389" t="s">
        <v>263</v>
      </c>
      <c r="D45" s="390"/>
      <c r="E45" s="391">
        <v>1976647</v>
      </c>
      <c r="F45" s="88">
        <v>9071370</v>
      </c>
      <c r="G45" s="88">
        <v>34121</v>
      </c>
      <c r="H45" s="88">
        <v>0</v>
      </c>
      <c r="I45" s="181">
        <f t="shared" si="0"/>
        <v>11082138</v>
      </c>
      <c r="J45" s="183">
        <v>127284</v>
      </c>
      <c r="K45" s="185">
        <v>1011184</v>
      </c>
      <c r="L45" s="185">
        <v>0</v>
      </c>
      <c r="M45" s="185">
        <v>0</v>
      </c>
      <c r="N45" s="181">
        <f>SUM(J45:M45)</f>
        <v>1138468</v>
      </c>
      <c r="O45" s="185">
        <v>86935</v>
      </c>
      <c r="P45" s="185">
        <v>734162</v>
      </c>
      <c r="Q45" s="185">
        <v>0</v>
      </c>
      <c r="R45" s="185">
        <v>0</v>
      </c>
      <c r="S45" s="181">
        <f>SUM(O45:R45)</f>
        <v>821097</v>
      </c>
      <c r="T45" s="183">
        <v>0</v>
      </c>
      <c r="U45" s="185">
        <v>0</v>
      </c>
      <c r="V45" s="185">
        <v>0</v>
      </c>
      <c r="W45" s="185">
        <v>0</v>
      </c>
      <c r="X45" s="181">
        <f t="shared" si="4"/>
        <v>0</v>
      </c>
      <c r="Y45" s="183">
        <v>0</v>
      </c>
      <c r="Z45" s="185">
        <v>0</v>
      </c>
      <c r="AA45" s="185">
        <v>0</v>
      </c>
      <c r="AB45" s="185">
        <v>0</v>
      </c>
      <c r="AC45" s="181">
        <f t="shared" si="5"/>
        <v>0</v>
      </c>
      <c r="AD45" s="183">
        <v>0</v>
      </c>
      <c r="AE45" s="185">
        <v>0</v>
      </c>
      <c r="AF45" s="185">
        <v>0</v>
      </c>
      <c r="AG45" s="185">
        <v>0</v>
      </c>
      <c r="AH45" s="181">
        <f>SUM(AD45:AG45)</f>
        <v>0</v>
      </c>
      <c r="AI45" s="183">
        <v>0</v>
      </c>
      <c r="AJ45" s="185">
        <v>0</v>
      </c>
      <c r="AK45" s="185">
        <v>0</v>
      </c>
      <c r="AL45" s="185">
        <v>0</v>
      </c>
      <c r="AM45" s="181">
        <f t="shared" si="7"/>
        <v>0</v>
      </c>
      <c r="AN45" s="183">
        <v>0</v>
      </c>
      <c r="AO45" s="185">
        <v>0</v>
      </c>
      <c r="AP45" s="185">
        <v>0</v>
      </c>
      <c r="AQ45" s="185">
        <v>0</v>
      </c>
      <c r="AR45" s="181">
        <f t="shared" si="1"/>
        <v>0</v>
      </c>
      <c r="AS45" s="183">
        <v>0</v>
      </c>
      <c r="AT45" s="185">
        <v>0</v>
      </c>
      <c r="AU45" s="185">
        <v>0</v>
      </c>
      <c r="AV45" s="185">
        <v>0</v>
      </c>
      <c r="AW45" s="181">
        <f t="shared" si="8"/>
        <v>0</v>
      </c>
      <c r="AX45" s="183">
        <v>0</v>
      </c>
      <c r="AY45" s="185">
        <v>0</v>
      </c>
      <c r="AZ45" s="185">
        <v>0</v>
      </c>
      <c r="BA45" s="185">
        <v>0</v>
      </c>
      <c r="BB45" s="181">
        <f t="shared" si="9"/>
        <v>0</v>
      </c>
      <c r="BC45" s="183">
        <v>0</v>
      </c>
      <c r="BD45" s="185">
        <v>0</v>
      </c>
      <c r="BE45" s="185">
        <v>0</v>
      </c>
      <c r="BF45" s="185">
        <v>0</v>
      </c>
      <c r="BG45" s="181">
        <f t="shared" si="10"/>
        <v>0</v>
      </c>
      <c r="BH45" s="183">
        <v>0</v>
      </c>
      <c r="BI45" s="185">
        <v>0</v>
      </c>
      <c r="BJ45" s="185">
        <v>0</v>
      </c>
      <c r="BK45" s="185">
        <v>0</v>
      </c>
      <c r="BL45" s="181">
        <f t="shared" si="11"/>
        <v>0</v>
      </c>
      <c r="BM45" s="183">
        <v>0</v>
      </c>
      <c r="BN45" s="185">
        <v>0</v>
      </c>
      <c r="BO45" s="185">
        <v>0</v>
      </c>
      <c r="BP45" s="185">
        <v>0</v>
      </c>
      <c r="BQ45" s="181">
        <f t="shared" si="12"/>
        <v>0</v>
      </c>
      <c r="BR45" s="183">
        <f t="shared" si="15"/>
        <v>214219</v>
      </c>
      <c r="BS45" s="88">
        <f t="shared" si="15"/>
        <v>1745346</v>
      </c>
      <c r="BT45" s="185">
        <f t="shared" si="15"/>
        <v>0</v>
      </c>
      <c r="BU45" s="185">
        <f t="shared" si="15"/>
        <v>0</v>
      </c>
      <c r="BV45" s="183">
        <f t="shared" si="14"/>
        <v>1959565</v>
      </c>
      <c r="BW45" s="148"/>
      <c r="BX45" s="393"/>
      <c r="BY45" s="358"/>
      <c r="BZ45" s="185"/>
    </row>
    <row r="46" spans="1:78" ht="12" customHeight="1" x14ac:dyDescent="0.2">
      <c r="A46" s="388">
        <v>40</v>
      </c>
      <c r="B46" s="389" t="s">
        <v>264</v>
      </c>
      <c r="D46" s="390"/>
      <c r="E46" s="391">
        <v>1450386</v>
      </c>
      <c r="F46" s="88">
        <v>60580589</v>
      </c>
      <c r="G46" s="88">
        <v>5277</v>
      </c>
      <c r="H46" s="88">
        <v>0</v>
      </c>
      <c r="I46" s="181">
        <f t="shared" si="0"/>
        <v>62036252</v>
      </c>
      <c r="J46" s="183">
        <v>51967</v>
      </c>
      <c r="K46" s="185">
        <v>7903395</v>
      </c>
      <c r="L46" s="185">
        <v>0</v>
      </c>
      <c r="M46" s="185">
        <v>0</v>
      </c>
      <c r="N46" s="181">
        <f t="shared" si="13"/>
        <v>7955362</v>
      </c>
      <c r="O46" s="185">
        <v>84343</v>
      </c>
      <c r="P46" s="185">
        <v>3302592</v>
      </c>
      <c r="Q46" s="185">
        <v>40</v>
      </c>
      <c r="R46" s="185">
        <v>0</v>
      </c>
      <c r="S46" s="181">
        <f t="shared" si="17"/>
        <v>3386975</v>
      </c>
      <c r="T46" s="183">
        <v>0</v>
      </c>
      <c r="U46" s="185">
        <v>0</v>
      </c>
      <c r="V46" s="185">
        <v>0</v>
      </c>
      <c r="W46" s="185">
        <v>0</v>
      </c>
      <c r="X46" s="181">
        <f t="shared" si="4"/>
        <v>0</v>
      </c>
      <c r="Y46" s="183">
        <v>0</v>
      </c>
      <c r="Z46" s="185">
        <v>0</v>
      </c>
      <c r="AA46" s="185">
        <v>0</v>
      </c>
      <c r="AB46" s="185">
        <v>0</v>
      </c>
      <c r="AC46" s="181">
        <f t="shared" si="5"/>
        <v>0</v>
      </c>
      <c r="AD46" s="183">
        <v>0</v>
      </c>
      <c r="AE46" s="185">
        <v>0</v>
      </c>
      <c r="AF46" s="185">
        <v>0</v>
      </c>
      <c r="AG46" s="185">
        <v>0</v>
      </c>
      <c r="AH46" s="181">
        <f t="shared" si="6"/>
        <v>0</v>
      </c>
      <c r="AI46" s="183">
        <v>0</v>
      </c>
      <c r="AJ46" s="185">
        <v>0</v>
      </c>
      <c r="AK46" s="185">
        <v>0</v>
      </c>
      <c r="AL46" s="185">
        <v>0</v>
      </c>
      <c r="AM46" s="181">
        <f t="shared" si="7"/>
        <v>0</v>
      </c>
      <c r="AN46" s="183">
        <v>0</v>
      </c>
      <c r="AO46" s="185">
        <v>0</v>
      </c>
      <c r="AP46" s="185">
        <v>0</v>
      </c>
      <c r="AQ46" s="185">
        <v>0</v>
      </c>
      <c r="AR46" s="181">
        <f t="shared" si="1"/>
        <v>0</v>
      </c>
      <c r="AS46" s="183">
        <v>0</v>
      </c>
      <c r="AT46" s="185">
        <v>0</v>
      </c>
      <c r="AU46" s="185">
        <v>0</v>
      </c>
      <c r="AV46" s="185">
        <v>0</v>
      </c>
      <c r="AW46" s="181">
        <f t="shared" si="8"/>
        <v>0</v>
      </c>
      <c r="AX46" s="183">
        <v>0</v>
      </c>
      <c r="AY46" s="185">
        <v>0</v>
      </c>
      <c r="AZ46" s="185">
        <v>0</v>
      </c>
      <c r="BA46" s="185">
        <v>0</v>
      </c>
      <c r="BB46" s="181">
        <f t="shared" si="9"/>
        <v>0</v>
      </c>
      <c r="BC46" s="183">
        <v>0</v>
      </c>
      <c r="BD46" s="185">
        <v>0</v>
      </c>
      <c r="BE46" s="185">
        <v>0</v>
      </c>
      <c r="BF46" s="185">
        <v>0</v>
      </c>
      <c r="BG46" s="181">
        <f t="shared" si="10"/>
        <v>0</v>
      </c>
      <c r="BH46" s="183">
        <v>0</v>
      </c>
      <c r="BI46" s="185">
        <v>0</v>
      </c>
      <c r="BJ46" s="185">
        <v>0</v>
      </c>
      <c r="BK46" s="185">
        <v>0</v>
      </c>
      <c r="BL46" s="181">
        <f t="shared" si="11"/>
        <v>0</v>
      </c>
      <c r="BM46" s="183">
        <v>0</v>
      </c>
      <c r="BN46" s="185">
        <v>0</v>
      </c>
      <c r="BO46" s="185">
        <v>0</v>
      </c>
      <c r="BP46" s="185">
        <v>0</v>
      </c>
      <c r="BQ46" s="181">
        <f t="shared" si="12"/>
        <v>0</v>
      </c>
      <c r="BR46" s="183">
        <f t="shared" si="15"/>
        <v>136310</v>
      </c>
      <c r="BS46" s="88">
        <f t="shared" si="15"/>
        <v>11205987</v>
      </c>
      <c r="BT46" s="185">
        <f t="shared" si="15"/>
        <v>40</v>
      </c>
      <c r="BU46" s="185">
        <f t="shared" si="15"/>
        <v>0</v>
      </c>
      <c r="BV46" s="183">
        <f t="shared" si="14"/>
        <v>11342337</v>
      </c>
      <c r="BW46" s="148"/>
      <c r="BX46" s="393"/>
      <c r="BY46" s="358"/>
      <c r="BZ46" s="185"/>
    </row>
    <row r="47" spans="1:78" x14ac:dyDescent="0.2">
      <c r="A47" s="402">
        <v>41</v>
      </c>
      <c r="B47" s="403" t="s">
        <v>265</v>
      </c>
      <c r="C47" s="404"/>
      <c r="D47" s="405"/>
      <c r="E47" s="391">
        <v>3635726</v>
      </c>
      <c r="F47" s="88">
        <v>8974139</v>
      </c>
      <c r="G47" s="88">
        <v>4606362</v>
      </c>
      <c r="H47" s="88">
        <v>0</v>
      </c>
      <c r="I47" s="181">
        <f t="shared" si="0"/>
        <v>17216227</v>
      </c>
      <c r="J47" s="183">
        <v>146563</v>
      </c>
      <c r="K47" s="185">
        <v>9809</v>
      </c>
      <c r="L47" s="185">
        <v>81382</v>
      </c>
      <c r="M47" s="185">
        <v>0</v>
      </c>
      <c r="N47" s="181">
        <f t="shared" si="13"/>
        <v>237754</v>
      </c>
      <c r="O47" s="185">
        <v>256175</v>
      </c>
      <c r="P47" s="185">
        <v>770443</v>
      </c>
      <c r="Q47" s="185">
        <v>31191</v>
      </c>
      <c r="R47" s="185">
        <v>0</v>
      </c>
      <c r="S47" s="181">
        <f t="shared" si="17"/>
        <v>1057809</v>
      </c>
      <c r="T47" s="183">
        <v>0</v>
      </c>
      <c r="U47" s="185">
        <v>0</v>
      </c>
      <c r="V47" s="185">
        <v>0</v>
      </c>
      <c r="W47" s="185">
        <v>0</v>
      </c>
      <c r="X47" s="181">
        <f t="shared" si="4"/>
        <v>0</v>
      </c>
      <c r="Y47" s="183">
        <v>0</v>
      </c>
      <c r="Z47" s="185">
        <v>0</v>
      </c>
      <c r="AA47" s="185">
        <v>0</v>
      </c>
      <c r="AB47" s="185">
        <v>0</v>
      </c>
      <c r="AC47" s="181">
        <f t="shared" si="5"/>
        <v>0</v>
      </c>
      <c r="AD47" s="183">
        <v>0</v>
      </c>
      <c r="AE47" s="185">
        <v>0</v>
      </c>
      <c r="AF47" s="185">
        <v>0</v>
      </c>
      <c r="AG47" s="185">
        <v>0</v>
      </c>
      <c r="AH47" s="181">
        <f>SUM(AD47:AG47)</f>
        <v>0</v>
      </c>
      <c r="AI47" s="183">
        <v>0</v>
      </c>
      <c r="AJ47" s="185">
        <v>0</v>
      </c>
      <c r="AK47" s="185">
        <v>0</v>
      </c>
      <c r="AL47" s="185">
        <v>0</v>
      </c>
      <c r="AM47" s="181">
        <f t="shared" si="7"/>
        <v>0</v>
      </c>
      <c r="AN47" s="183">
        <v>0</v>
      </c>
      <c r="AO47" s="185">
        <v>0</v>
      </c>
      <c r="AP47" s="185">
        <v>0</v>
      </c>
      <c r="AQ47" s="185">
        <v>0</v>
      </c>
      <c r="AR47" s="181">
        <f t="shared" si="1"/>
        <v>0</v>
      </c>
      <c r="AS47" s="183">
        <v>0</v>
      </c>
      <c r="AT47" s="185">
        <v>0</v>
      </c>
      <c r="AU47" s="185">
        <v>0</v>
      </c>
      <c r="AV47" s="185">
        <v>0</v>
      </c>
      <c r="AW47" s="181">
        <f t="shared" si="8"/>
        <v>0</v>
      </c>
      <c r="AX47" s="183">
        <v>0</v>
      </c>
      <c r="AY47" s="185">
        <v>0</v>
      </c>
      <c r="AZ47" s="185">
        <v>0</v>
      </c>
      <c r="BA47" s="185">
        <v>0</v>
      </c>
      <c r="BB47" s="181">
        <f t="shared" si="9"/>
        <v>0</v>
      </c>
      <c r="BC47" s="183">
        <v>0</v>
      </c>
      <c r="BD47" s="185">
        <v>0</v>
      </c>
      <c r="BE47" s="185">
        <v>0</v>
      </c>
      <c r="BF47" s="185">
        <v>0</v>
      </c>
      <c r="BG47" s="181">
        <f t="shared" si="10"/>
        <v>0</v>
      </c>
      <c r="BH47" s="183">
        <v>0</v>
      </c>
      <c r="BI47" s="185">
        <v>0</v>
      </c>
      <c r="BJ47" s="185">
        <v>0</v>
      </c>
      <c r="BK47" s="185">
        <v>0</v>
      </c>
      <c r="BL47" s="181">
        <f t="shared" si="11"/>
        <v>0</v>
      </c>
      <c r="BM47" s="183">
        <v>0</v>
      </c>
      <c r="BN47" s="185">
        <v>0</v>
      </c>
      <c r="BO47" s="185">
        <v>0</v>
      </c>
      <c r="BP47" s="185">
        <v>0</v>
      </c>
      <c r="BQ47" s="181">
        <f t="shared" si="12"/>
        <v>0</v>
      </c>
      <c r="BR47" s="183">
        <f t="shared" si="15"/>
        <v>402738</v>
      </c>
      <c r="BS47" s="88">
        <f t="shared" si="15"/>
        <v>780252</v>
      </c>
      <c r="BT47" s="185">
        <f t="shared" si="15"/>
        <v>112573</v>
      </c>
      <c r="BU47" s="185">
        <f t="shared" si="15"/>
        <v>0</v>
      </c>
      <c r="BV47" s="183">
        <f t="shared" si="14"/>
        <v>1295563</v>
      </c>
      <c r="BW47" s="148"/>
      <c r="BX47" s="393"/>
      <c r="BY47" s="358"/>
      <c r="BZ47" s="185"/>
    </row>
    <row r="48" spans="1:78" x14ac:dyDescent="0.2">
      <c r="A48" s="385" t="s">
        <v>266</v>
      </c>
      <c r="B48" s="389"/>
      <c r="D48" s="406"/>
      <c r="E48" s="177">
        <f t="shared" ref="E48:BP48" si="18">SUM(E7:E47)</f>
        <v>261668760</v>
      </c>
      <c r="F48" s="176">
        <f t="shared" si="18"/>
        <v>643688946</v>
      </c>
      <c r="G48" s="176">
        <f t="shared" si="18"/>
        <v>15302808</v>
      </c>
      <c r="H48" s="176">
        <f t="shared" si="18"/>
        <v>42453694</v>
      </c>
      <c r="I48" s="156">
        <f t="shared" si="18"/>
        <v>963114208</v>
      </c>
      <c r="J48" s="177">
        <f t="shared" si="18"/>
        <v>17622572</v>
      </c>
      <c r="K48" s="176">
        <f t="shared" si="18"/>
        <v>45213323</v>
      </c>
      <c r="L48" s="176">
        <f t="shared" si="18"/>
        <v>324568</v>
      </c>
      <c r="M48" s="176">
        <f t="shared" si="18"/>
        <v>4835</v>
      </c>
      <c r="N48" s="156">
        <f>SUM(N7:N47)</f>
        <v>63165298</v>
      </c>
      <c r="O48" s="176">
        <f t="shared" si="18"/>
        <v>19267389</v>
      </c>
      <c r="P48" s="176">
        <f t="shared" si="18"/>
        <v>50862165</v>
      </c>
      <c r="Q48" s="176">
        <f t="shared" si="18"/>
        <v>861947</v>
      </c>
      <c r="R48" s="176">
        <f t="shared" si="18"/>
        <v>1003876</v>
      </c>
      <c r="S48" s="156">
        <f t="shared" si="18"/>
        <v>71995377</v>
      </c>
      <c r="T48" s="177">
        <f t="shared" si="18"/>
        <v>0</v>
      </c>
      <c r="U48" s="176">
        <f t="shared" si="18"/>
        <v>0</v>
      </c>
      <c r="V48" s="176">
        <f t="shared" si="18"/>
        <v>0</v>
      </c>
      <c r="W48" s="176">
        <f t="shared" si="18"/>
        <v>0</v>
      </c>
      <c r="X48" s="156">
        <f t="shared" si="18"/>
        <v>0</v>
      </c>
      <c r="Y48" s="177">
        <f t="shared" si="18"/>
        <v>0</v>
      </c>
      <c r="Z48" s="176">
        <f t="shared" si="18"/>
        <v>0</v>
      </c>
      <c r="AA48" s="176">
        <f t="shared" si="18"/>
        <v>0</v>
      </c>
      <c r="AB48" s="176">
        <f t="shared" si="18"/>
        <v>0</v>
      </c>
      <c r="AC48" s="156">
        <f t="shared" si="18"/>
        <v>0</v>
      </c>
      <c r="AD48" s="177">
        <f t="shared" si="18"/>
        <v>0</v>
      </c>
      <c r="AE48" s="176">
        <f t="shared" si="18"/>
        <v>0</v>
      </c>
      <c r="AF48" s="176">
        <f t="shared" si="18"/>
        <v>0</v>
      </c>
      <c r="AG48" s="176">
        <f t="shared" si="18"/>
        <v>0</v>
      </c>
      <c r="AH48" s="156">
        <f t="shared" si="18"/>
        <v>0</v>
      </c>
      <c r="AI48" s="177">
        <f t="shared" si="18"/>
        <v>0</v>
      </c>
      <c r="AJ48" s="176">
        <f t="shared" si="18"/>
        <v>0</v>
      </c>
      <c r="AK48" s="176">
        <f t="shared" si="18"/>
        <v>0</v>
      </c>
      <c r="AL48" s="176">
        <f t="shared" si="18"/>
        <v>0</v>
      </c>
      <c r="AM48" s="156">
        <f t="shared" si="18"/>
        <v>0</v>
      </c>
      <c r="AN48" s="177">
        <f t="shared" si="18"/>
        <v>0</v>
      </c>
      <c r="AO48" s="176">
        <f t="shared" si="18"/>
        <v>0</v>
      </c>
      <c r="AP48" s="176">
        <f t="shared" si="18"/>
        <v>0</v>
      </c>
      <c r="AQ48" s="176">
        <f t="shared" si="18"/>
        <v>0</v>
      </c>
      <c r="AR48" s="156">
        <f t="shared" si="18"/>
        <v>0</v>
      </c>
      <c r="AS48" s="177">
        <f t="shared" si="18"/>
        <v>0</v>
      </c>
      <c r="AT48" s="176">
        <f t="shared" si="18"/>
        <v>0</v>
      </c>
      <c r="AU48" s="176">
        <f t="shared" si="18"/>
        <v>0</v>
      </c>
      <c r="AV48" s="176">
        <f t="shared" si="18"/>
        <v>0</v>
      </c>
      <c r="AW48" s="156">
        <f t="shared" si="18"/>
        <v>0</v>
      </c>
      <c r="AX48" s="177">
        <f t="shared" si="18"/>
        <v>0</v>
      </c>
      <c r="AY48" s="176">
        <f t="shared" si="18"/>
        <v>0</v>
      </c>
      <c r="AZ48" s="176">
        <f t="shared" si="18"/>
        <v>0</v>
      </c>
      <c r="BA48" s="176">
        <f t="shared" si="18"/>
        <v>0</v>
      </c>
      <c r="BB48" s="156">
        <f t="shared" si="18"/>
        <v>0</v>
      </c>
      <c r="BC48" s="177">
        <f t="shared" si="18"/>
        <v>0</v>
      </c>
      <c r="BD48" s="176">
        <f t="shared" si="18"/>
        <v>0</v>
      </c>
      <c r="BE48" s="176">
        <f t="shared" si="18"/>
        <v>0</v>
      </c>
      <c r="BF48" s="176">
        <f t="shared" si="18"/>
        <v>0</v>
      </c>
      <c r="BG48" s="156">
        <f t="shared" si="18"/>
        <v>0</v>
      </c>
      <c r="BH48" s="177">
        <f t="shared" si="18"/>
        <v>0</v>
      </c>
      <c r="BI48" s="176">
        <f t="shared" si="18"/>
        <v>0</v>
      </c>
      <c r="BJ48" s="176">
        <f t="shared" si="18"/>
        <v>0</v>
      </c>
      <c r="BK48" s="176">
        <f t="shared" si="18"/>
        <v>0</v>
      </c>
      <c r="BL48" s="156">
        <f t="shared" si="18"/>
        <v>0</v>
      </c>
      <c r="BM48" s="177">
        <f t="shared" si="18"/>
        <v>0</v>
      </c>
      <c r="BN48" s="176">
        <f t="shared" si="18"/>
        <v>0</v>
      </c>
      <c r="BO48" s="176">
        <f t="shared" si="18"/>
        <v>0</v>
      </c>
      <c r="BP48" s="176">
        <f t="shared" si="18"/>
        <v>0</v>
      </c>
      <c r="BQ48" s="156">
        <f t="shared" ref="BQ48:BV48" si="19">SUM(BQ7:BQ47)</f>
        <v>0</v>
      </c>
      <c r="BR48" s="177">
        <f t="shared" si="19"/>
        <v>36889961</v>
      </c>
      <c r="BS48" s="176">
        <f t="shared" si="19"/>
        <v>96075488</v>
      </c>
      <c r="BT48" s="176">
        <f t="shared" si="19"/>
        <v>1186515</v>
      </c>
      <c r="BU48" s="176">
        <f t="shared" si="19"/>
        <v>1008711</v>
      </c>
      <c r="BV48" s="156">
        <f t="shared" si="19"/>
        <v>135160675</v>
      </c>
      <c r="BW48" s="148"/>
      <c r="BX48" s="393"/>
      <c r="BY48" s="358"/>
      <c r="BZ48" s="185"/>
    </row>
    <row r="49" spans="1:78" x14ac:dyDescent="0.2">
      <c r="A49" s="407" t="s">
        <v>267</v>
      </c>
      <c r="B49" s="389"/>
      <c r="D49" s="406"/>
      <c r="E49" s="201"/>
      <c r="F49" s="158"/>
      <c r="G49" s="158"/>
      <c r="H49" s="158"/>
      <c r="I49" s="202"/>
      <c r="J49" s="201"/>
      <c r="K49" s="158"/>
      <c r="L49" s="158"/>
      <c r="M49" s="158"/>
      <c r="N49" s="202"/>
      <c r="O49" s="158"/>
      <c r="P49" s="158"/>
      <c r="Q49" s="158"/>
      <c r="R49" s="158"/>
      <c r="S49" s="202"/>
      <c r="T49" s="201"/>
      <c r="U49" s="158"/>
      <c r="V49" s="158"/>
      <c r="W49" s="158"/>
      <c r="X49" s="202"/>
      <c r="Y49" s="201"/>
      <c r="Z49" s="158"/>
      <c r="AA49" s="158"/>
      <c r="AB49" s="158"/>
      <c r="AC49" s="202"/>
      <c r="AD49" s="201"/>
      <c r="AE49" s="158"/>
      <c r="AF49" s="158"/>
      <c r="AG49" s="158"/>
      <c r="AH49" s="202"/>
      <c r="AI49" s="201"/>
      <c r="AJ49" s="158"/>
      <c r="AK49" s="158"/>
      <c r="AL49" s="158"/>
      <c r="AM49" s="202"/>
      <c r="AN49" s="201"/>
      <c r="AO49" s="158"/>
      <c r="AP49" s="158"/>
      <c r="AQ49" s="158"/>
      <c r="AR49" s="202"/>
      <c r="AS49" s="201"/>
      <c r="AT49" s="158"/>
      <c r="AU49" s="158"/>
      <c r="AV49" s="158"/>
      <c r="AW49" s="202"/>
      <c r="AX49" s="201"/>
      <c r="AY49" s="158"/>
      <c r="AZ49" s="158"/>
      <c r="BA49" s="158"/>
      <c r="BB49" s="202"/>
      <c r="BC49" s="201"/>
      <c r="BD49" s="158"/>
      <c r="BE49" s="158"/>
      <c r="BF49" s="158"/>
      <c r="BG49" s="202"/>
      <c r="BH49" s="201"/>
      <c r="BI49" s="158"/>
      <c r="BJ49" s="158"/>
      <c r="BK49" s="158"/>
      <c r="BL49" s="202"/>
      <c r="BM49" s="201"/>
      <c r="BN49" s="158"/>
      <c r="BO49" s="158"/>
      <c r="BP49" s="158"/>
      <c r="BQ49" s="202"/>
      <c r="BR49" s="201"/>
      <c r="BS49" s="158"/>
      <c r="BT49" s="158"/>
      <c r="BU49" s="158"/>
      <c r="BV49" s="202"/>
      <c r="BW49" s="148"/>
      <c r="BX49" s="393"/>
      <c r="BY49" s="358"/>
      <c r="BZ49" s="185"/>
    </row>
    <row r="50" spans="1:78" x14ac:dyDescent="0.2">
      <c r="A50" s="385" t="s">
        <v>27</v>
      </c>
      <c r="D50" s="408"/>
      <c r="E50" s="409"/>
      <c r="F50" s="74"/>
      <c r="G50" s="74"/>
      <c r="H50" s="74"/>
      <c r="I50" s="202"/>
      <c r="J50" s="409"/>
      <c r="K50" s="74"/>
      <c r="L50" s="74"/>
      <c r="M50" s="74"/>
      <c r="N50" s="202"/>
      <c r="O50" s="74"/>
      <c r="P50" s="74"/>
      <c r="Q50" s="74"/>
      <c r="R50" s="74"/>
      <c r="S50" s="201"/>
      <c r="T50" s="409"/>
      <c r="U50" s="74"/>
      <c r="V50" s="74"/>
      <c r="W50" s="74"/>
      <c r="X50" s="201"/>
      <c r="Y50" s="409"/>
      <c r="Z50" s="74"/>
      <c r="AA50" s="74"/>
      <c r="AB50" s="74"/>
      <c r="AC50" s="201"/>
      <c r="AD50" s="409"/>
      <c r="AE50" s="74"/>
      <c r="AF50" s="74"/>
      <c r="AG50" s="74"/>
      <c r="AH50" s="201"/>
      <c r="AI50" s="409"/>
      <c r="AJ50" s="74"/>
      <c r="AK50" s="74"/>
      <c r="AL50" s="74"/>
      <c r="AM50" s="201"/>
      <c r="AN50" s="409"/>
      <c r="AO50" s="74"/>
      <c r="AP50" s="74"/>
      <c r="AQ50" s="74"/>
      <c r="AR50" s="201"/>
      <c r="AS50" s="409"/>
      <c r="AT50" s="74"/>
      <c r="AU50" s="74"/>
      <c r="AV50" s="74"/>
      <c r="AW50" s="201"/>
      <c r="AX50" s="409"/>
      <c r="AY50" s="74"/>
      <c r="AZ50" s="74"/>
      <c r="BA50" s="74"/>
      <c r="BB50" s="201"/>
      <c r="BC50" s="409"/>
      <c r="BD50" s="74"/>
      <c r="BE50" s="74"/>
      <c r="BF50" s="74"/>
      <c r="BG50" s="201"/>
      <c r="BH50" s="409"/>
      <c r="BI50" s="74"/>
      <c r="BJ50" s="74"/>
      <c r="BK50" s="74"/>
      <c r="BL50" s="201"/>
      <c r="BM50" s="409"/>
      <c r="BN50" s="74"/>
      <c r="BO50" s="74"/>
      <c r="BP50" s="74"/>
      <c r="BQ50" s="201"/>
      <c r="BR50" s="409"/>
      <c r="BS50" s="74"/>
      <c r="BT50" s="74"/>
      <c r="BU50" s="74"/>
      <c r="BV50" s="201"/>
      <c r="BW50" s="410"/>
      <c r="BX50" s="393"/>
      <c r="BY50" s="358"/>
      <c r="BZ50" s="185"/>
    </row>
    <row r="51" spans="1:78" x14ac:dyDescent="0.2">
      <c r="A51" s="388" t="s">
        <v>268</v>
      </c>
      <c r="B51" s="411"/>
      <c r="C51" s="411"/>
      <c r="D51" s="408"/>
      <c r="E51" s="88">
        <v>7798</v>
      </c>
      <c r="F51" s="88">
        <v>0</v>
      </c>
      <c r="G51" s="88">
        <v>0</v>
      </c>
      <c r="H51" s="88">
        <v>0</v>
      </c>
      <c r="I51" s="181">
        <f t="shared" ref="I51:I57" si="20">SUM(E51:H51)</f>
        <v>7798</v>
      </c>
      <c r="J51" s="391">
        <v>475</v>
      </c>
      <c r="K51" s="88">
        <v>0</v>
      </c>
      <c r="L51" s="88">
        <v>0</v>
      </c>
      <c r="M51" s="88">
        <v>0</v>
      </c>
      <c r="N51" s="181">
        <f>SUM(J51:M51)</f>
        <v>475</v>
      </c>
      <c r="O51" s="88">
        <v>475</v>
      </c>
      <c r="P51" s="88">
        <v>0</v>
      </c>
      <c r="Q51" s="88">
        <v>0</v>
      </c>
      <c r="R51" s="88">
        <v>0</v>
      </c>
      <c r="S51" s="181">
        <f>SUM(O51:R51)</f>
        <v>475</v>
      </c>
      <c r="T51" s="88">
        <v>0</v>
      </c>
      <c r="U51" s="88">
        <v>0</v>
      </c>
      <c r="V51" s="88">
        <v>0</v>
      </c>
      <c r="W51" s="88">
        <v>0</v>
      </c>
      <c r="X51" s="181">
        <f>SUM(T51:W51)</f>
        <v>0</v>
      </c>
      <c r="Y51" s="88">
        <v>0</v>
      </c>
      <c r="Z51" s="88">
        <v>0</v>
      </c>
      <c r="AA51" s="88">
        <v>0</v>
      </c>
      <c r="AB51" s="88">
        <v>0</v>
      </c>
      <c r="AC51" s="181">
        <f>SUM(Y51:AB51)</f>
        <v>0</v>
      </c>
      <c r="AD51" s="88">
        <v>0</v>
      </c>
      <c r="AE51" s="88">
        <v>0</v>
      </c>
      <c r="AF51" s="88">
        <v>0</v>
      </c>
      <c r="AG51" s="88">
        <v>0</v>
      </c>
      <c r="AH51" s="181">
        <f>SUM(AD51:AG51)</f>
        <v>0</v>
      </c>
      <c r="AI51" s="88">
        <v>0</v>
      </c>
      <c r="AJ51" s="88">
        <v>0</v>
      </c>
      <c r="AK51" s="88">
        <v>0</v>
      </c>
      <c r="AL51" s="88">
        <v>0</v>
      </c>
      <c r="AM51" s="181">
        <f>SUM(AI51:AL51)</f>
        <v>0</v>
      </c>
      <c r="AN51" s="88">
        <v>0</v>
      </c>
      <c r="AO51" s="88">
        <v>0</v>
      </c>
      <c r="AP51" s="88">
        <v>0</v>
      </c>
      <c r="AQ51" s="88">
        <v>0</v>
      </c>
      <c r="AR51" s="181">
        <f>SUM(AN51:AQ51)</f>
        <v>0</v>
      </c>
      <c r="AS51" s="88">
        <v>0</v>
      </c>
      <c r="AT51" s="88">
        <v>0</v>
      </c>
      <c r="AU51" s="88">
        <v>0</v>
      </c>
      <c r="AV51" s="88">
        <v>0</v>
      </c>
      <c r="AW51" s="181">
        <f>SUM(AS51:AV51)</f>
        <v>0</v>
      </c>
      <c r="AX51" s="88">
        <v>0</v>
      </c>
      <c r="AY51" s="88">
        <v>0</v>
      </c>
      <c r="AZ51" s="88">
        <v>0</v>
      </c>
      <c r="BA51" s="88">
        <v>0</v>
      </c>
      <c r="BB51" s="181">
        <f>SUM(AX51:BA51)</f>
        <v>0</v>
      </c>
      <c r="BC51" s="88">
        <v>0</v>
      </c>
      <c r="BD51" s="88">
        <v>0</v>
      </c>
      <c r="BE51" s="88">
        <v>0</v>
      </c>
      <c r="BF51" s="88">
        <v>0</v>
      </c>
      <c r="BG51" s="181">
        <f>SUM(BC51:BF51)</f>
        <v>0</v>
      </c>
      <c r="BH51" s="88">
        <v>0</v>
      </c>
      <c r="BI51" s="88">
        <v>0</v>
      </c>
      <c r="BJ51" s="88">
        <v>0</v>
      </c>
      <c r="BK51" s="88">
        <v>0</v>
      </c>
      <c r="BL51" s="181">
        <f>SUM(BH51:BK51)</f>
        <v>0</v>
      </c>
      <c r="BM51" s="88">
        <v>0</v>
      </c>
      <c r="BN51" s="88">
        <v>0</v>
      </c>
      <c r="BO51" s="88">
        <v>0</v>
      </c>
      <c r="BP51" s="88">
        <v>0</v>
      </c>
      <c r="BQ51" s="181">
        <f>SUM(BM51:BP51)</f>
        <v>0</v>
      </c>
      <c r="BR51" s="88">
        <f t="shared" ref="BR51:BT52" si="21">+J51+O51+T51+Y51+AD51+AI51+AN51+AS51+AX51+BC51+BH51+BM51</f>
        <v>950</v>
      </c>
      <c r="BS51" s="88">
        <f t="shared" si="21"/>
        <v>0</v>
      </c>
      <c r="BT51" s="88">
        <f t="shared" si="21"/>
        <v>0</v>
      </c>
      <c r="BU51" s="88">
        <f>+M51+R51+W51+AB51+AG51+AL51+AQ51+AV51+BA51+BF51+BK51+BP51</f>
        <v>0</v>
      </c>
      <c r="BV51" s="181">
        <f>SUM(BR51:BU51)</f>
        <v>950</v>
      </c>
      <c r="BW51" s="148"/>
      <c r="BX51" s="393"/>
      <c r="BY51" s="358"/>
      <c r="BZ51" s="185"/>
    </row>
    <row r="52" spans="1:78" x14ac:dyDescent="0.2">
      <c r="A52" s="388" t="s">
        <v>269</v>
      </c>
      <c r="B52" s="411"/>
      <c r="C52" s="359"/>
      <c r="D52" s="406" t="s">
        <v>87</v>
      </c>
      <c r="E52" s="88">
        <v>507157</v>
      </c>
      <c r="F52" s="88">
        <v>0</v>
      </c>
      <c r="G52" s="88">
        <v>0</v>
      </c>
      <c r="H52" s="88">
        <v>0</v>
      </c>
      <c r="I52" s="181">
        <f t="shared" si="20"/>
        <v>507157</v>
      </c>
      <c r="J52" s="391">
        <v>42263</v>
      </c>
      <c r="K52" s="88">
        <v>0</v>
      </c>
      <c r="L52" s="88">
        <v>0</v>
      </c>
      <c r="M52" s="88">
        <v>0</v>
      </c>
      <c r="N52" s="181">
        <f>SUM(J52:M52)</f>
        <v>42263</v>
      </c>
      <c r="O52" s="88">
        <v>42263</v>
      </c>
      <c r="P52" s="88">
        <v>0</v>
      </c>
      <c r="Q52" s="88">
        <v>0</v>
      </c>
      <c r="R52" s="88">
        <v>0</v>
      </c>
      <c r="S52" s="181">
        <f>SUM(O52:R52)</f>
        <v>42263</v>
      </c>
      <c r="T52" s="88">
        <v>0</v>
      </c>
      <c r="U52" s="88">
        <v>0</v>
      </c>
      <c r="V52" s="88">
        <v>0</v>
      </c>
      <c r="W52" s="88">
        <v>0</v>
      </c>
      <c r="X52" s="181">
        <f>SUM(T52:W52)</f>
        <v>0</v>
      </c>
      <c r="Y52" s="88">
        <v>0</v>
      </c>
      <c r="Z52" s="88">
        <v>0</v>
      </c>
      <c r="AA52" s="88">
        <v>0</v>
      </c>
      <c r="AB52" s="88">
        <v>0</v>
      </c>
      <c r="AC52" s="181">
        <f>SUM(Y52:AB52)</f>
        <v>0</v>
      </c>
      <c r="AD52" s="88">
        <v>0</v>
      </c>
      <c r="AE52" s="88">
        <v>0</v>
      </c>
      <c r="AF52" s="88">
        <v>0</v>
      </c>
      <c r="AG52" s="88">
        <v>0</v>
      </c>
      <c r="AH52" s="181">
        <f>SUM(AD52:AG52)</f>
        <v>0</v>
      </c>
      <c r="AI52" s="88">
        <v>0</v>
      </c>
      <c r="AJ52" s="88">
        <v>0</v>
      </c>
      <c r="AK52" s="88">
        <v>0</v>
      </c>
      <c r="AL52" s="88">
        <v>0</v>
      </c>
      <c r="AM52" s="181">
        <f>SUM(AI52:AL52)</f>
        <v>0</v>
      </c>
      <c r="AN52" s="88">
        <v>0</v>
      </c>
      <c r="AO52" s="88">
        <v>0</v>
      </c>
      <c r="AP52" s="88">
        <v>0</v>
      </c>
      <c r="AQ52" s="88">
        <v>0</v>
      </c>
      <c r="AR52" s="181">
        <f>SUM(AN52:AQ52)</f>
        <v>0</v>
      </c>
      <c r="AS52" s="88">
        <v>0</v>
      </c>
      <c r="AT52" s="88">
        <v>0</v>
      </c>
      <c r="AU52" s="88">
        <v>0</v>
      </c>
      <c r="AV52" s="88">
        <v>0</v>
      </c>
      <c r="AW52" s="181">
        <f>SUM(AS52:AV52)</f>
        <v>0</v>
      </c>
      <c r="AX52" s="88">
        <v>0</v>
      </c>
      <c r="AY52" s="88">
        <v>0</v>
      </c>
      <c r="AZ52" s="88">
        <v>0</v>
      </c>
      <c r="BA52" s="88">
        <v>0</v>
      </c>
      <c r="BB52" s="181">
        <f>SUM(AX52:BA52)</f>
        <v>0</v>
      </c>
      <c r="BC52" s="88">
        <v>0</v>
      </c>
      <c r="BD52" s="88">
        <v>0</v>
      </c>
      <c r="BE52" s="88">
        <v>0</v>
      </c>
      <c r="BF52" s="88">
        <v>0</v>
      </c>
      <c r="BG52" s="181">
        <f>SUM(BC52:BF52)</f>
        <v>0</v>
      </c>
      <c r="BH52" s="88">
        <v>0</v>
      </c>
      <c r="BI52" s="88">
        <v>0</v>
      </c>
      <c r="BJ52" s="88">
        <v>0</v>
      </c>
      <c r="BK52" s="88">
        <v>0</v>
      </c>
      <c r="BL52" s="181">
        <f>SUM(BH52:BK52)</f>
        <v>0</v>
      </c>
      <c r="BM52" s="88">
        <v>0</v>
      </c>
      <c r="BN52" s="88">
        <v>0</v>
      </c>
      <c r="BO52" s="88">
        <v>0</v>
      </c>
      <c r="BP52" s="88">
        <v>0</v>
      </c>
      <c r="BQ52" s="181">
        <f>SUM(BM52:BP52)</f>
        <v>0</v>
      </c>
      <c r="BR52" s="88">
        <f t="shared" si="21"/>
        <v>84526</v>
      </c>
      <c r="BS52" s="88">
        <f t="shared" si="21"/>
        <v>0</v>
      </c>
      <c r="BT52" s="88">
        <f t="shared" si="21"/>
        <v>0</v>
      </c>
      <c r="BU52" s="88">
        <f>+M52+R52+W52+AB52+AG52+AL52+AQ52+AV52+BA52+BF52+BK52+BP52</f>
        <v>0</v>
      </c>
      <c r="BV52" s="181">
        <f>SUM(BR52:BU52)</f>
        <v>84526</v>
      </c>
      <c r="BW52" s="148"/>
      <c r="BX52" s="393"/>
      <c r="BY52" s="358"/>
      <c r="BZ52" s="185"/>
    </row>
    <row r="53" spans="1:78" x14ac:dyDescent="0.2">
      <c r="A53" s="388" t="s">
        <v>270</v>
      </c>
      <c r="B53" s="411"/>
      <c r="C53" s="359"/>
      <c r="D53" s="412"/>
      <c r="E53" s="88">
        <f>SUM(E54:E55)</f>
        <v>229269955</v>
      </c>
      <c r="F53" s="88">
        <v>0</v>
      </c>
      <c r="G53" s="88">
        <v>0</v>
      </c>
      <c r="H53" s="88">
        <v>0</v>
      </c>
      <c r="I53" s="181">
        <f>SUM(I54:I55)</f>
        <v>229269955</v>
      </c>
      <c r="J53" s="391">
        <f>+J54+J55</f>
        <v>4156462.4270000001</v>
      </c>
      <c r="K53" s="88">
        <f>SUM(K54:K55)</f>
        <v>0</v>
      </c>
      <c r="L53" s="88">
        <f>SUM(L54:L55)</f>
        <v>0</v>
      </c>
      <c r="M53" s="88">
        <f>SUM(M54:M55)</f>
        <v>0</v>
      </c>
      <c r="N53" s="181">
        <f>SUM(J53:M53)</f>
        <v>4156462.4270000001</v>
      </c>
      <c r="O53" s="88">
        <f>SUM(O54:O55)</f>
        <v>1746959.1300000001</v>
      </c>
      <c r="P53" s="88">
        <f>SUM(P54:P55)</f>
        <v>0</v>
      </c>
      <c r="Q53" s="88">
        <f>SUM(Q54:Q55)</f>
        <v>0</v>
      </c>
      <c r="R53" s="88">
        <f>SUM(R54:R55)</f>
        <v>0</v>
      </c>
      <c r="S53" s="181">
        <f>SUM(S54:S55)</f>
        <v>1746959.1300000001</v>
      </c>
      <c r="T53" s="88">
        <v>0</v>
      </c>
      <c r="U53" s="88">
        <v>0</v>
      </c>
      <c r="V53" s="88">
        <v>0</v>
      </c>
      <c r="W53" s="88">
        <v>0</v>
      </c>
      <c r="X53" s="181">
        <f>SUM(X54:X55)</f>
        <v>0</v>
      </c>
      <c r="Y53" s="88">
        <v>0</v>
      </c>
      <c r="Z53" s="88">
        <v>0</v>
      </c>
      <c r="AA53" s="88">
        <v>0</v>
      </c>
      <c r="AB53" s="88">
        <v>0</v>
      </c>
      <c r="AC53" s="181">
        <f>SUM(AC54:AC55)</f>
        <v>0</v>
      </c>
      <c r="AD53" s="88">
        <v>0</v>
      </c>
      <c r="AE53" s="88">
        <v>0</v>
      </c>
      <c r="AF53" s="88">
        <v>0</v>
      </c>
      <c r="AG53" s="88">
        <v>0</v>
      </c>
      <c r="AH53" s="181">
        <f>SUM(AH54:AH55)</f>
        <v>0</v>
      </c>
      <c r="AI53" s="88">
        <v>0</v>
      </c>
      <c r="AJ53" s="88">
        <v>0</v>
      </c>
      <c r="AK53" s="88">
        <v>0</v>
      </c>
      <c r="AL53" s="88">
        <v>0</v>
      </c>
      <c r="AM53" s="181">
        <f>SUM(AM54:AM55)</f>
        <v>0</v>
      </c>
      <c r="AN53" s="88">
        <v>0</v>
      </c>
      <c r="AO53" s="88">
        <v>0</v>
      </c>
      <c r="AP53" s="88">
        <v>0</v>
      </c>
      <c r="AQ53" s="88">
        <v>0</v>
      </c>
      <c r="AR53" s="181">
        <f>SUM(AR54:AR55)</f>
        <v>0</v>
      </c>
      <c r="AS53" s="88">
        <v>0</v>
      </c>
      <c r="AT53" s="88">
        <v>0</v>
      </c>
      <c r="AU53" s="88">
        <v>0</v>
      </c>
      <c r="AV53" s="88">
        <v>0</v>
      </c>
      <c r="AW53" s="181">
        <f>SUM(AW54:AW55)</f>
        <v>0</v>
      </c>
      <c r="AX53" s="88">
        <v>0</v>
      </c>
      <c r="AY53" s="88">
        <v>0</v>
      </c>
      <c r="AZ53" s="88">
        <v>0</v>
      </c>
      <c r="BA53" s="88">
        <v>0</v>
      </c>
      <c r="BB53" s="181">
        <f>SUM(BB54:BB55)</f>
        <v>0</v>
      </c>
      <c r="BC53" s="88">
        <v>0</v>
      </c>
      <c r="BD53" s="88">
        <v>0</v>
      </c>
      <c r="BE53" s="88">
        <v>0</v>
      </c>
      <c r="BF53" s="88">
        <v>0</v>
      </c>
      <c r="BG53" s="181">
        <f>SUM(BG54:BG55)</f>
        <v>0</v>
      </c>
      <c r="BH53" s="88">
        <v>0</v>
      </c>
      <c r="BI53" s="88">
        <v>0</v>
      </c>
      <c r="BJ53" s="88">
        <v>0</v>
      </c>
      <c r="BK53" s="88">
        <v>0</v>
      </c>
      <c r="BL53" s="181">
        <f>SUM(BL54:BL55)</f>
        <v>0</v>
      </c>
      <c r="BM53" s="88">
        <v>0</v>
      </c>
      <c r="BN53" s="88">
        <v>0</v>
      </c>
      <c r="BO53" s="88">
        <v>0</v>
      </c>
      <c r="BP53" s="88">
        <v>0</v>
      </c>
      <c r="BQ53" s="181">
        <f t="shared" ref="BQ53:BV53" si="22">SUM(BQ54:BQ55)</f>
        <v>0</v>
      </c>
      <c r="BR53" s="88">
        <f t="shared" si="22"/>
        <v>5903421.557</v>
      </c>
      <c r="BS53" s="88">
        <f t="shared" si="22"/>
        <v>0</v>
      </c>
      <c r="BT53" s="88">
        <f t="shared" si="22"/>
        <v>0</v>
      </c>
      <c r="BU53" s="88">
        <f t="shared" si="22"/>
        <v>0</v>
      </c>
      <c r="BV53" s="181">
        <f t="shared" si="22"/>
        <v>5903421.557</v>
      </c>
      <c r="BW53" s="148"/>
      <c r="BX53" s="393"/>
      <c r="BY53" s="358"/>
      <c r="BZ53" s="358"/>
    </row>
    <row r="54" spans="1:78" s="414" customFormat="1" x14ac:dyDescent="0.2">
      <c r="A54" s="413" t="s">
        <v>132</v>
      </c>
      <c r="C54" s="415"/>
      <c r="D54" s="412"/>
      <c r="E54" s="80">
        <v>229269955</v>
      </c>
      <c r="F54" s="80">
        <v>0</v>
      </c>
      <c r="G54" s="80">
        <v>0</v>
      </c>
      <c r="H54" s="80">
        <v>0</v>
      </c>
      <c r="I54" s="218">
        <f>SUM(E54:H54)</f>
        <v>229269955</v>
      </c>
      <c r="J54" s="416">
        <f>4134676.685</f>
        <v>4134676.6850000001</v>
      </c>
      <c r="K54" s="80">
        <v>0</v>
      </c>
      <c r="L54" s="80">
        <v>0</v>
      </c>
      <c r="M54" s="80">
        <v>0</v>
      </c>
      <c r="N54" s="218">
        <f t="shared" ref="N54:N63" si="23">SUM(J54:M54)</f>
        <v>4134676.6850000001</v>
      </c>
      <c r="O54" s="80">
        <v>1746663.6</v>
      </c>
      <c r="P54" s="80">
        <v>0</v>
      </c>
      <c r="Q54" s="80">
        <v>0</v>
      </c>
      <c r="R54" s="80">
        <v>0</v>
      </c>
      <c r="S54" s="218">
        <f t="shared" ref="S54:S63" si="24">SUM(O54:R54)</f>
        <v>1746663.6</v>
      </c>
      <c r="T54" s="80">
        <v>0</v>
      </c>
      <c r="U54" s="80">
        <v>0</v>
      </c>
      <c r="V54" s="80">
        <v>0</v>
      </c>
      <c r="W54" s="80">
        <v>0</v>
      </c>
      <c r="X54" s="218">
        <f t="shared" ref="X54:X63" si="25">SUM(T54:W54)</f>
        <v>0</v>
      </c>
      <c r="Y54" s="417">
        <v>0</v>
      </c>
      <c r="Z54" s="80">
        <v>0</v>
      </c>
      <c r="AA54" s="80">
        <v>0</v>
      </c>
      <c r="AB54" s="80">
        <v>0</v>
      </c>
      <c r="AC54" s="218">
        <f t="shared" ref="AC54:AC63" si="26">SUM(Y54:AB54)</f>
        <v>0</v>
      </c>
      <c r="AD54" s="80">
        <v>0</v>
      </c>
      <c r="AE54" s="80">
        <v>0</v>
      </c>
      <c r="AF54" s="80">
        <v>0</v>
      </c>
      <c r="AG54" s="80">
        <v>0</v>
      </c>
      <c r="AH54" s="218">
        <f t="shared" ref="AH54:AH63" si="27">SUM(AD54:AG54)</f>
        <v>0</v>
      </c>
      <c r="AI54" s="80">
        <v>0</v>
      </c>
      <c r="AJ54" s="80">
        <v>0</v>
      </c>
      <c r="AK54" s="80">
        <v>0</v>
      </c>
      <c r="AL54" s="80">
        <v>0</v>
      </c>
      <c r="AM54" s="218">
        <f t="shared" ref="AM54:AM63" si="28">SUM(AI54:AL54)</f>
        <v>0</v>
      </c>
      <c r="AN54" s="80">
        <v>0</v>
      </c>
      <c r="AO54" s="80">
        <v>0</v>
      </c>
      <c r="AP54" s="80">
        <v>0</v>
      </c>
      <c r="AQ54" s="80">
        <v>0</v>
      </c>
      <c r="AR54" s="218">
        <f t="shared" ref="AR54:AR63" si="29">SUM(AN54:AQ54)</f>
        <v>0</v>
      </c>
      <c r="AS54" s="80">
        <v>0</v>
      </c>
      <c r="AT54" s="80">
        <v>0</v>
      </c>
      <c r="AU54" s="80">
        <v>0</v>
      </c>
      <c r="AV54" s="80">
        <v>0</v>
      </c>
      <c r="AW54" s="218">
        <f t="shared" ref="AW54:AW63" si="30">SUM(AS54:AV54)</f>
        <v>0</v>
      </c>
      <c r="AX54" s="80">
        <v>0</v>
      </c>
      <c r="AY54" s="80">
        <v>0</v>
      </c>
      <c r="AZ54" s="80">
        <v>0</v>
      </c>
      <c r="BA54" s="80">
        <v>0</v>
      </c>
      <c r="BB54" s="218">
        <f t="shared" ref="BB54:BB63" si="31">SUM(AX54:BA54)</f>
        <v>0</v>
      </c>
      <c r="BC54" s="80">
        <v>0</v>
      </c>
      <c r="BD54" s="80">
        <v>0</v>
      </c>
      <c r="BE54" s="80">
        <v>0</v>
      </c>
      <c r="BF54" s="80">
        <v>0</v>
      </c>
      <c r="BG54" s="218">
        <f t="shared" ref="BG54:BG63" si="32">SUM(BC54:BF54)</f>
        <v>0</v>
      </c>
      <c r="BH54" s="80">
        <v>0</v>
      </c>
      <c r="BI54" s="80">
        <v>0</v>
      </c>
      <c r="BJ54" s="80">
        <v>0</v>
      </c>
      <c r="BK54" s="80">
        <v>0</v>
      </c>
      <c r="BL54" s="218">
        <f t="shared" ref="BL54:BL63" si="33">SUM(BH54:BK54)</f>
        <v>0</v>
      </c>
      <c r="BM54" s="80">
        <v>0</v>
      </c>
      <c r="BN54" s="80">
        <v>0</v>
      </c>
      <c r="BO54" s="80">
        <v>0</v>
      </c>
      <c r="BP54" s="80">
        <v>0</v>
      </c>
      <c r="BQ54" s="218">
        <f t="shared" ref="BQ54:BQ63" si="34">SUM(BM54:BP54)</f>
        <v>0</v>
      </c>
      <c r="BR54" s="80">
        <f t="shared" ref="BR54:BU63" si="35">+J54+O54+T54+Y54+AD54+AI54+AN54+AS54+AX54+BC54+BH54+BM54</f>
        <v>5881340.2850000001</v>
      </c>
      <c r="BS54" s="80">
        <f t="shared" si="35"/>
        <v>0</v>
      </c>
      <c r="BT54" s="80">
        <f t="shared" si="35"/>
        <v>0</v>
      </c>
      <c r="BU54" s="80">
        <f t="shared" si="35"/>
        <v>0</v>
      </c>
      <c r="BV54" s="218">
        <f t="shared" ref="BV54:BV63" si="36">SUM(BR54:BU54)</f>
        <v>5881340.2850000001</v>
      </c>
      <c r="BW54" s="186"/>
      <c r="BX54" s="393"/>
      <c r="BY54" s="415"/>
      <c r="BZ54" s="415"/>
    </row>
    <row r="55" spans="1:78" s="414" customFormat="1" x14ac:dyDescent="0.2">
      <c r="A55" s="413" t="s">
        <v>271</v>
      </c>
      <c r="C55" s="415"/>
      <c r="D55" s="412"/>
      <c r="E55" s="80">
        <v>0</v>
      </c>
      <c r="F55" s="80">
        <v>0</v>
      </c>
      <c r="G55" s="80">
        <v>0</v>
      </c>
      <c r="H55" s="80">
        <v>0</v>
      </c>
      <c r="I55" s="218">
        <f>SUM(E55:H55)</f>
        <v>0</v>
      </c>
      <c r="J55" s="416">
        <f>21785.742</f>
        <v>21785.741999999998</v>
      </c>
      <c r="K55" s="80">
        <v>0</v>
      </c>
      <c r="L55" s="80">
        <v>0</v>
      </c>
      <c r="M55" s="80">
        <v>0</v>
      </c>
      <c r="N55" s="218">
        <f t="shared" si="23"/>
        <v>21785.741999999998</v>
      </c>
      <c r="O55" s="80">
        <v>295.52999999999997</v>
      </c>
      <c r="P55" s="80">
        <v>0</v>
      </c>
      <c r="Q55" s="80">
        <v>0</v>
      </c>
      <c r="R55" s="80">
        <v>0</v>
      </c>
      <c r="S55" s="218">
        <f t="shared" si="24"/>
        <v>295.52999999999997</v>
      </c>
      <c r="T55" s="80">
        <v>0</v>
      </c>
      <c r="U55" s="80">
        <v>0</v>
      </c>
      <c r="V55" s="80">
        <v>0</v>
      </c>
      <c r="W55" s="80">
        <v>0</v>
      </c>
      <c r="X55" s="218">
        <f t="shared" si="25"/>
        <v>0</v>
      </c>
      <c r="Y55" s="417">
        <v>0</v>
      </c>
      <c r="Z55" s="80">
        <v>0</v>
      </c>
      <c r="AA55" s="80">
        <v>0</v>
      </c>
      <c r="AB55" s="80">
        <v>0</v>
      </c>
      <c r="AC55" s="218">
        <f t="shared" si="26"/>
        <v>0</v>
      </c>
      <c r="AD55" s="80">
        <v>0</v>
      </c>
      <c r="AE55" s="80">
        <v>0</v>
      </c>
      <c r="AF55" s="80">
        <v>0</v>
      </c>
      <c r="AG55" s="80">
        <v>0</v>
      </c>
      <c r="AH55" s="218">
        <f t="shared" si="27"/>
        <v>0</v>
      </c>
      <c r="AI55" s="80">
        <v>0</v>
      </c>
      <c r="AJ55" s="80">
        <v>0</v>
      </c>
      <c r="AK55" s="80">
        <v>0</v>
      </c>
      <c r="AL55" s="80">
        <v>0</v>
      </c>
      <c r="AM55" s="218">
        <f t="shared" si="28"/>
        <v>0</v>
      </c>
      <c r="AN55" s="80">
        <v>0</v>
      </c>
      <c r="AO55" s="80">
        <v>0</v>
      </c>
      <c r="AP55" s="80">
        <v>0</v>
      </c>
      <c r="AQ55" s="80">
        <v>0</v>
      </c>
      <c r="AR55" s="218">
        <f t="shared" si="29"/>
        <v>0</v>
      </c>
      <c r="AS55" s="80">
        <v>0</v>
      </c>
      <c r="AT55" s="80">
        <v>0</v>
      </c>
      <c r="AU55" s="80">
        <v>0</v>
      </c>
      <c r="AV55" s="80">
        <v>0</v>
      </c>
      <c r="AW55" s="218">
        <f t="shared" si="30"/>
        <v>0</v>
      </c>
      <c r="AX55" s="80">
        <v>0</v>
      </c>
      <c r="AY55" s="80">
        <v>0</v>
      </c>
      <c r="AZ55" s="80">
        <v>0</v>
      </c>
      <c r="BA55" s="80">
        <v>0</v>
      </c>
      <c r="BB55" s="218">
        <f t="shared" si="31"/>
        <v>0</v>
      </c>
      <c r="BC55" s="80">
        <v>0</v>
      </c>
      <c r="BD55" s="80">
        <v>0</v>
      </c>
      <c r="BE55" s="80">
        <v>0</v>
      </c>
      <c r="BF55" s="80">
        <v>0</v>
      </c>
      <c r="BG55" s="218">
        <f t="shared" si="32"/>
        <v>0</v>
      </c>
      <c r="BH55" s="80">
        <v>0</v>
      </c>
      <c r="BI55" s="80">
        <v>0</v>
      </c>
      <c r="BJ55" s="80">
        <v>0</v>
      </c>
      <c r="BK55" s="80">
        <v>0</v>
      </c>
      <c r="BL55" s="218">
        <f t="shared" si="33"/>
        <v>0</v>
      </c>
      <c r="BM55" s="80">
        <v>0</v>
      </c>
      <c r="BN55" s="80">
        <v>0</v>
      </c>
      <c r="BO55" s="80">
        <v>0</v>
      </c>
      <c r="BP55" s="80">
        <v>0</v>
      </c>
      <c r="BQ55" s="218">
        <f t="shared" si="34"/>
        <v>0</v>
      </c>
      <c r="BR55" s="80">
        <f t="shared" si="35"/>
        <v>22081.271999999997</v>
      </c>
      <c r="BS55" s="80">
        <f t="shared" si="35"/>
        <v>0</v>
      </c>
      <c r="BT55" s="80">
        <f t="shared" si="35"/>
        <v>0</v>
      </c>
      <c r="BU55" s="80">
        <f t="shared" si="35"/>
        <v>0</v>
      </c>
      <c r="BV55" s="218">
        <f t="shared" si="36"/>
        <v>22081.271999999997</v>
      </c>
      <c r="BW55" s="186"/>
      <c r="BX55" s="393"/>
      <c r="BY55" s="415"/>
      <c r="BZ55" s="415"/>
    </row>
    <row r="56" spans="1:78" x14ac:dyDescent="0.2">
      <c r="A56" s="388" t="s">
        <v>272</v>
      </c>
      <c r="B56" s="411"/>
      <c r="C56" s="359"/>
      <c r="D56" s="406"/>
      <c r="E56" s="88">
        <v>0</v>
      </c>
      <c r="F56" s="80">
        <v>538471528</v>
      </c>
      <c r="G56" s="88">
        <v>0</v>
      </c>
      <c r="H56" s="88">
        <v>0</v>
      </c>
      <c r="I56" s="181">
        <f t="shared" si="20"/>
        <v>538471528</v>
      </c>
      <c r="J56" s="391">
        <v>0</v>
      </c>
      <c r="K56" s="88">
        <v>44872627</v>
      </c>
      <c r="L56" s="88">
        <v>0</v>
      </c>
      <c r="M56" s="88">
        <v>0</v>
      </c>
      <c r="N56" s="181">
        <f t="shared" si="23"/>
        <v>44872627</v>
      </c>
      <c r="O56" s="88">
        <v>0</v>
      </c>
      <c r="P56" s="88">
        <v>44872627</v>
      </c>
      <c r="Q56" s="88">
        <v>0</v>
      </c>
      <c r="R56" s="88">
        <v>0</v>
      </c>
      <c r="S56" s="181">
        <f t="shared" si="24"/>
        <v>44872627</v>
      </c>
      <c r="T56" s="88">
        <v>0</v>
      </c>
      <c r="U56" s="88">
        <v>0</v>
      </c>
      <c r="V56" s="88">
        <v>0</v>
      </c>
      <c r="W56" s="88">
        <v>0</v>
      </c>
      <c r="X56" s="181">
        <f t="shared" si="25"/>
        <v>0</v>
      </c>
      <c r="Y56" s="88">
        <v>0</v>
      </c>
      <c r="Z56" s="88">
        <v>0</v>
      </c>
      <c r="AA56" s="88">
        <v>0</v>
      </c>
      <c r="AB56" s="88">
        <v>0</v>
      </c>
      <c r="AC56" s="181">
        <f t="shared" si="26"/>
        <v>0</v>
      </c>
      <c r="AD56" s="88">
        <v>0</v>
      </c>
      <c r="AE56" s="88">
        <v>0</v>
      </c>
      <c r="AF56" s="88">
        <v>0</v>
      </c>
      <c r="AG56" s="88">
        <v>0</v>
      </c>
      <c r="AH56" s="181">
        <f t="shared" si="27"/>
        <v>0</v>
      </c>
      <c r="AI56" s="88">
        <v>0</v>
      </c>
      <c r="AJ56" s="88">
        <v>0</v>
      </c>
      <c r="AK56" s="88">
        <v>0</v>
      </c>
      <c r="AL56" s="88">
        <v>0</v>
      </c>
      <c r="AM56" s="181">
        <f t="shared" si="28"/>
        <v>0</v>
      </c>
      <c r="AN56" s="88">
        <v>0</v>
      </c>
      <c r="AO56" s="88">
        <v>0</v>
      </c>
      <c r="AP56" s="88">
        <v>0</v>
      </c>
      <c r="AQ56" s="88">
        <v>0</v>
      </c>
      <c r="AR56" s="181">
        <f t="shared" si="29"/>
        <v>0</v>
      </c>
      <c r="AS56" s="88">
        <v>0</v>
      </c>
      <c r="AT56" s="88">
        <v>0</v>
      </c>
      <c r="AU56" s="88">
        <v>0</v>
      </c>
      <c r="AV56" s="88">
        <v>0</v>
      </c>
      <c r="AW56" s="181">
        <f t="shared" si="30"/>
        <v>0</v>
      </c>
      <c r="AX56" s="88">
        <v>0</v>
      </c>
      <c r="AY56" s="88">
        <v>0</v>
      </c>
      <c r="AZ56" s="88">
        <v>0</v>
      </c>
      <c r="BA56" s="88">
        <v>0</v>
      </c>
      <c r="BB56" s="181">
        <f t="shared" si="31"/>
        <v>0</v>
      </c>
      <c r="BC56" s="88">
        <v>0</v>
      </c>
      <c r="BD56" s="88">
        <v>0</v>
      </c>
      <c r="BE56" s="88">
        <v>0</v>
      </c>
      <c r="BF56" s="88">
        <v>0</v>
      </c>
      <c r="BG56" s="181">
        <f t="shared" si="32"/>
        <v>0</v>
      </c>
      <c r="BH56" s="88">
        <v>0</v>
      </c>
      <c r="BI56" s="88">
        <v>0</v>
      </c>
      <c r="BJ56" s="88">
        <v>0</v>
      </c>
      <c r="BK56" s="88">
        <v>0</v>
      </c>
      <c r="BL56" s="181">
        <f t="shared" si="33"/>
        <v>0</v>
      </c>
      <c r="BM56" s="88">
        <v>0</v>
      </c>
      <c r="BN56" s="88">
        <v>0</v>
      </c>
      <c r="BO56" s="88">
        <v>0</v>
      </c>
      <c r="BP56" s="88">
        <v>0</v>
      </c>
      <c r="BQ56" s="181">
        <f>SUM(BM56:BP56)</f>
        <v>0</v>
      </c>
      <c r="BR56" s="88">
        <f t="shared" si="35"/>
        <v>0</v>
      </c>
      <c r="BS56" s="88">
        <f t="shared" si="35"/>
        <v>89745254</v>
      </c>
      <c r="BT56" s="88">
        <f t="shared" si="35"/>
        <v>0</v>
      </c>
      <c r="BU56" s="88">
        <f t="shared" si="35"/>
        <v>0</v>
      </c>
      <c r="BV56" s="181">
        <f t="shared" si="36"/>
        <v>89745254</v>
      </c>
      <c r="BW56" s="148"/>
      <c r="BX56" s="393"/>
      <c r="BY56" s="136"/>
    </row>
    <row r="57" spans="1:78" x14ac:dyDescent="0.2">
      <c r="A57" s="388" t="s">
        <v>273</v>
      </c>
      <c r="B57" s="411"/>
      <c r="C57" s="359"/>
      <c r="D57" s="408"/>
      <c r="E57" s="88">
        <v>0</v>
      </c>
      <c r="F57" s="88">
        <v>14026878</v>
      </c>
      <c r="G57" s="88">
        <v>0</v>
      </c>
      <c r="H57" s="88">
        <v>0</v>
      </c>
      <c r="I57" s="181">
        <f t="shared" si="20"/>
        <v>14026878</v>
      </c>
      <c r="J57" s="391">
        <v>0</v>
      </c>
      <c r="K57" s="88">
        <v>0</v>
      </c>
      <c r="L57" s="88">
        <v>0</v>
      </c>
      <c r="M57" s="88">
        <v>0</v>
      </c>
      <c r="N57" s="181">
        <f t="shared" si="23"/>
        <v>0</v>
      </c>
      <c r="O57" s="88">
        <v>0</v>
      </c>
      <c r="P57" s="88">
        <v>0</v>
      </c>
      <c r="Q57" s="88">
        <v>0</v>
      </c>
      <c r="R57" s="88">
        <v>0</v>
      </c>
      <c r="S57" s="181">
        <f t="shared" si="24"/>
        <v>0</v>
      </c>
      <c r="T57" s="88">
        <v>0</v>
      </c>
      <c r="U57" s="88">
        <v>0</v>
      </c>
      <c r="V57" s="88">
        <v>0</v>
      </c>
      <c r="W57" s="88">
        <v>0</v>
      </c>
      <c r="X57" s="181">
        <f t="shared" si="25"/>
        <v>0</v>
      </c>
      <c r="Y57" s="88">
        <v>0</v>
      </c>
      <c r="Z57" s="88">
        <v>0</v>
      </c>
      <c r="AA57" s="88">
        <v>0</v>
      </c>
      <c r="AB57" s="88">
        <v>0</v>
      </c>
      <c r="AC57" s="181">
        <f t="shared" si="26"/>
        <v>0</v>
      </c>
      <c r="AD57" s="88">
        <v>0</v>
      </c>
      <c r="AE57" s="88">
        <v>0</v>
      </c>
      <c r="AF57" s="88">
        <v>0</v>
      </c>
      <c r="AG57" s="88">
        <v>0</v>
      </c>
      <c r="AH57" s="181">
        <f t="shared" si="27"/>
        <v>0</v>
      </c>
      <c r="AI57" s="88">
        <v>0</v>
      </c>
      <c r="AJ57" s="88">
        <v>0</v>
      </c>
      <c r="AK57" s="88">
        <v>0</v>
      </c>
      <c r="AL57" s="88">
        <v>0</v>
      </c>
      <c r="AM57" s="181">
        <f t="shared" si="28"/>
        <v>0</v>
      </c>
      <c r="AN57" s="88">
        <v>0</v>
      </c>
      <c r="AO57" s="88">
        <v>0</v>
      </c>
      <c r="AP57" s="88">
        <v>0</v>
      </c>
      <c r="AQ57" s="88">
        <v>0</v>
      </c>
      <c r="AR57" s="181">
        <f t="shared" si="29"/>
        <v>0</v>
      </c>
      <c r="AS57" s="88">
        <v>0</v>
      </c>
      <c r="AT57" s="88">
        <v>0</v>
      </c>
      <c r="AU57" s="88">
        <v>0</v>
      </c>
      <c r="AV57" s="88">
        <v>0</v>
      </c>
      <c r="AW57" s="181">
        <f t="shared" si="30"/>
        <v>0</v>
      </c>
      <c r="AX57" s="88">
        <v>0</v>
      </c>
      <c r="AY57" s="88">
        <v>0</v>
      </c>
      <c r="AZ57" s="88">
        <v>0</v>
      </c>
      <c r="BA57" s="88">
        <v>0</v>
      </c>
      <c r="BB57" s="181">
        <f t="shared" si="31"/>
        <v>0</v>
      </c>
      <c r="BC57" s="88">
        <v>0</v>
      </c>
      <c r="BD57" s="88">
        <v>0</v>
      </c>
      <c r="BE57" s="88">
        <v>0</v>
      </c>
      <c r="BF57" s="88">
        <v>0</v>
      </c>
      <c r="BG57" s="181">
        <f t="shared" si="32"/>
        <v>0</v>
      </c>
      <c r="BH57" s="88">
        <v>0</v>
      </c>
      <c r="BI57" s="88">
        <v>0</v>
      </c>
      <c r="BJ57" s="88">
        <v>0</v>
      </c>
      <c r="BK57" s="88">
        <v>0</v>
      </c>
      <c r="BL57" s="181">
        <f t="shared" si="33"/>
        <v>0</v>
      </c>
      <c r="BM57" s="88">
        <v>0</v>
      </c>
      <c r="BN57" s="88">
        <v>0</v>
      </c>
      <c r="BO57" s="88">
        <v>0</v>
      </c>
      <c r="BP57" s="88">
        <v>0</v>
      </c>
      <c r="BQ57" s="181">
        <f t="shared" si="34"/>
        <v>0</v>
      </c>
      <c r="BR57" s="88">
        <f t="shared" si="35"/>
        <v>0</v>
      </c>
      <c r="BS57" s="88">
        <f t="shared" si="35"/>
        <v>0</v>
      </c>
      <c r="BT57" s="88">
        <f t="shared" si="35"/>
        <v>0</v>
      </c>
      <c r="BU57" s="88">
        <f t="shared" si="35"/>
        <v>0</v>
      </c>
      <c r="BV57" s="181">
        <f t="shared" si="36"/>
        <v>0</v>
      </c>
      <c r="BW57" s="148"/>
      <c r="BX57" s="393"/>
    </row>
    <row r="58" spans="1:78" ht="12" customHeight="1" x14ac:dyDescent="0.2">
      <c r="A58" s="388" t="s">
        <v>274</v>
      </c>
      <c r="B58" s="411"/>
      <c r="C58" s="359"/>
      <c r="D58" s="406" t="s">
        <v>117</v>
      </c>
      <c r="E58" s="88">
        <v>0</v>
      </c>
      <c r="F58" s="88">
        <v>0</v>
      </c>
      <c r="G58" s="88">
        <v>0</v>
      </c>
      <c r="H58" s="88">
        <v>97937</v>
      </c>
      <c r="I58" s="181">
        <f t="shared" ref="I58:I69" si="37">SUM(E58:H58)</f>
        <v>97937</v>
      </c>
      <c r="J58" s="391">
        <v>0</v>
      </c>
      <c r="K58" s="88">
        <v>0</v>
      </c>
      <c r="L58" s="88">
        <v>0</v>
      </c>
      <c r="M58" s="88">
        <f>-[14]original!$G$40</f>
        <v>18</v>
      </c>
      <c r="N58" s="181">
        <f t="shared" si="23"/>
        <v>18</v>
      </c>
      <c r="O58" s="88">
        <v>0</v>
      </c>
      <c r="P58" s="88">
        <v>0</v>
      </c>
      <c r="Q58" s="88">
        <v>0</v>
      </c>
      <c r="R58" s="88">
        <f>-[15]original!$H$40</f>
        <v>111334</v>
      </c>
      <c r="S58" s="181">
        <f>SUM(O58:R58)</f>
        <v>111334</v>
      </c>
      <c r="T58" s="88">
        <v>0</v>
      </c>
      <c r="U58" s="88">
        <v>0</v>
      </c>
      <c r="V58" s="88">
        <v>0</v>
      </c>
      <c r="W58" s="88">
        <v>0</v>
      </c>
      <c r="X58" s="181">
        <f t="shared" si="25"/>
        <v>0</v>
      </c>
      <c r="Y58" s="88">
        <v>0</v>
      </c>
      <c r="Z58" s="88">
        <v>0</v>
      </c>
      <c r="AA58" s="88">
        <v>0</v>
      </c>
      <c r="AB58" s="88">
        <v>0</v>
      </c>
      <c r="AC58" s="181">
        <f t="shared" si="26"/>
        <v>0</v>
      </c>
      <c r="AD58" s="88">
        <v>0</v>
      </c>
      <c r="AE58" s="88">
        <v>0</v>
      </c>
      <c r="AF58" s="88">
        <v>0</v>
      </c>
      <c r="AG58" s="88">
        <v>0</v>
      </c>
      <c r="AH58" s="181">
        <f>SUM(AD58:AG58)</f>
        <v>0</v>
      </c>
      <c r="AI58" s="88">
        <v>0</v>
      </c>
      <c r="AJ58" s="88">
        <v>0</v>
      </c>
      <c r="AK58" s="88">
        <v>0</v>
      </c>
      <c r="AL58" s="88">
        <v>0</v>
      </c>
      <c r="AM58" s="181">
        <f>SUM(AI58:AL58)</f>
        <v>0</v>
      </c>
      <c r="AN58" s="88">
        <v>0</v>
      </c>
      <c r="AO58" s="88">
        <v>0</v>
      </c>
      <c r="AP58" s="88">
        <v>0</v>
      </c>
      <c r="AQ58" s="88">
        <v>0</v>
      </c>
      <c r="AR58" s="181">
        <f t="shared" si="29"/>
        <v>0</v>
      </c>
      <c r="AS58" s="88">
        <v>0</v>
      </c>
      <c r="AT58" s="88">
        <v>0</v>
      </c>
      <c r="AU58" s="88">
        <v>0</v>
      </c>
      <c r="AV58" s="88">
        <v>0</v>
      </c>
      <c r="AW58" s="181">
        <f t="shared" si="30"/>
        <v>0</v>
      </c>
      <c r="AX58" s="88">
        <v>0</v>
      </c>
      <c r="AY58" s="88">
        <v>0</v>
      </c>
      <c r="AZ58" s="88">
        <v>0</v>
      </c>
      <c r="BA58" s="88">
        <v>0</v>
      </c>
      <c r="BB58" s="181">
        <f>SUM(AX58:BA58)</f>
        <v>0</v>
      </c>
      <c r="BC58" s="88">
        <v>0</v>
      </c>
      <c r="BD58" s="88">
        <v>0</v>
      </c>
      <c r="BE58" s="88">
        <v>0</v>
      </c>
      <c r="BF58" s="88">
        <v>0</v>
      </c>
      <c r="BG58" s="181">
        <f t="shared" si="32"/>
        <v>0</v>
      </c>
      <c r="BH58" s="88">
        <v>0</v>
      </c>
      <c r="BI58" s="88">
        <v>0</v>
      </c>
      <c r="BJ58" s="88">
        <v>0</v>
      </c>
      <c r="BK58" s="88">
        <v>0</v>
      </c>
      <c r="BL58" s="181">
        <f t="shared" si="33"/>
        <v>0</v>
      </c>
      <c r="BM58" s="88">
        <v>0</v>
      </c>
      <c r="BN58" s="88">
        <v>0</v>
      </c>
      <c r="BO58" s="88">
        <v>0</v>
      </c>
      <c r="BP58" s="88">
        <v>0</v>
      </c>
      <c r="BQ58" s="181">
        <f t="shared" si="34"/>
        <v>0</v>
      </c>
      <c r="BR58" s="88">
        <f t="shared" si="35"/>
        <v>0</v>
      </c>
      <c r="BS58" s="88">
        <f t="shared" si="35"/>
        <v>0</v>
      </c>
      <c r="BT58" s="88">
        <f t="shared" si="35"/>
        <v>0</v>
      </c>
      <c r="BU58" s="88">
        <f t="shared" si="35"/>
        <v>111352</v>
      </c>
      <c r="BV58" s="181">
        <f t="shared" si="36"/>
        <v>111352</v>
      </c>
      <c r="BW58" s="148"/>
      <c r="BX58" s="393"/>
    </row>
    <row r="59" spans="1:78" x14ac:dyDescent="0.2">
      <c r="A59" s="388" t="s">
        <v>275</v>
      </c>
      <c r="B59" s="411"/>
      <c r="C59" s="359"/>
      <c r="D59" s="406" t="s">
        <v>117</v>
      </c>
      <c r="E59" s="88">
        <v>0</v>
      </c>
      <c r="F59" s="88">
        <v>120001</v>
      </c>
      <c r="G59" s="88">
        <v>0</v>
      </c>
      <c r="H59" s="88">
        <v>0</v>
      </c>
      <c r="I59" s="181">
        <f t="shared" si="37"/>
        <v>120001</v>
      </c>
      <c r="J59" s="391">
        <v>0</v>
      </c>
      <c r="K59" s="88">
        <v>0</v>
      </c>
      <c r="L59" s="88">
        <v>0</v>
      </c>
      <c r="M59" s="88">
        <v>0</v>
      </c>
      <c r="N59" s="181">
        <f t="shared" si="23"/>
        <v>0</v>
      </c>
      <c r="O59" s="88">
        <v>0</v>
      </c>
      <c r="P59" s="88">
        <v>0</v>
      </c>
      <c r="Q59" s="88">
        <v>0</v>
      </c>
      <c r="R59" s="88">
        <v>0</v>
      </c>
      <c r="S59" s="181">
        <f t="shared" si="24"/>
        <v>0</v>
      </c>
      <c r="T59" s="88">
        <v>0</v>
      </c>
      <c r="U59" s="88">
        <v>0</v>
      </c>
      <c r="V59" s="88">
        <v>0</v>
      </c>
      <c r="W59" s="88">
        <v>0</v>
      </c>
      <c r="X59" s="181">
        <f t="shared" si="25"/>
        <v>0</v>
      </c>
      <c r="Y59" s="88">
        <v>0</v>
      </c>
      <c r="Z59" s="88">
        <v>0</v>
      </c>
      <c r="AA59" s="88">
        <v>0</v>
      </c>
      <c r="AB59" s="88">
        <v>0</v>
      </c>
      <c r="AC59" s="181">
        <f t="shared" si="26"/>
        <v>0</v>
      </c>
      <c r="AD59" s="88">
        <v>0</v>
      </c>
      <c r="AE59" s="88">
        <v>0</v>
      </c>
      <c r="AF59" s="88">
        <v>0</v>
      </c>
      <c r="AG59" s="88">
        <v>0</v>
      </c>
      <c r="AH59" s="181">
        <f>SUM(AD59:AG59)</f>
        <v>0</v>
      </c>
      <c r="AI59" s="88">
        <v>0</v>
      </c>
      <c r="AJ59" s="88">
        <v>0</v>
      </c>
      <c r="AK59" s="88">
        <v>0</v>
      </c>
      <c r="AL59" s="88">
        <v>0</v>
      </c>
      <c r="AM59" s="181">
        <f t="shared" si="28"/>
        <v>0</v>
      </c>
      <c r="AN59" s="88">
        <v>0</v>
      </c>
      <c r="AO59" s="88">
        <v>0</v>
      </c>
      <c r="AP59" s="88">
        <v>0</v>
      </c>
      <c r="AQ59" s="88">
        <v>0</v>
      </c>
      <c r="AR59" s="181">
        <f t="shared" si="29"/>
        <v>0</v>
      </c>
      <c r="AS59" s="88">
        <v>0</v>
      </c>
      <c r="AT59" s="88">
        <v>0</v>
      </c>
      <c r="AU59" s="88">
        <v>0</v>
      </c>
      <c r="AV59" s="88">
        <v>0</v>
      </c>
      <c r="AW59" s="181">
        <f t="shared" si="30"/>
        <v>0</v>
      </c>
      <c r="AX59" s="88">
        <v>0</v>
      </c>
      <c r="AY59" s="88">
        <v>0</v>
      </c>
      <c r="AZ59" s="88">
        <v>0</v>
      </c>
      <c r="BA59" s="88">
        <v>0</v>
      </c>
      <c r="BB59" s="181">
        <f t="shared" si="31"/>
        <v>0</v>
      </c>
      <c r="BC59" s="88">
        <v>0</v>
      </c>
      <c r="BD59" s="88">
        <v>0</v>
      </c>
      <c r="BE59" s="88">
        <v>0</v>
      </c>
      <c r="BF59" s="88">
        <v>0</v>
      </c>
      <c r="BG59" s="181">
        <f t="shared" si="32"/>
        <v>0</v>
      </c>
      <c r="BH59" s="88">
        <v>0</v>
      </c>
      <c r="BI59" s="88">
        <v>0</v>
      </c>
      <c r="BJ59" s="88">
        <v>0</v>
      </c>
      <c r="BK59" s="88">
        <v>0</v>
      </c>
      <c r="BL59" s="181">
        <f t="shared" si="33"/>
        <v>0</v>
      </c>
      <c r="BM59" s="88">
        <v>0</v>
      </c>
      <c r="BN59" s="88">
        <v>0</v>
      </c>
      <c r="BO59" s="88">
        <v>0</v>
      </c>
      <c r="BP59" s="88">
        <v>0</v>
      </c>
      <c r="BQ59" s="181">
        <f t="shared" si="34"/>
        <v>0</v>
      </c>
      <c r="BR59" s="88">
        <f>+J59+O59+T59+Y59+AD59+AI59+AN59+AS59+AX59+BC59+BH59+BM59</f>
        <v>0</v>
      </c>
      <c r="BS59" s="88">
        <f>+K59+P59+U59+Z59+AE59+AJ59+AO59+AT59+AY59+BD59+BI59+BN59</f>
        <v>0</v>
      </c>
      <c r="BT59" s="88">
        <f>+L59+Q59+V59+AA59+AF59+AK59+AP59+AU59+AZ59+BE59+BJ59+BO59</f>
        <v>0</v>
      </c>
      <c r="BU59" s="88">
        <f t="shared" si="35"/>
        <v>0</v>
      </c>
      <c r="BV59" s="181">
        <f>SUM(BR59:BU59)</f>
        <v>0</v>
      </c>
      <c r="BW59" s="148"/>
      <c r="BX59" s="393"/>
    </row>
    <row r="60" spans="1:78" x14ac:dyDescent="0.2">
      <c r="A60" s="388" t="s">
        <v>276</v>
      </c>
      <c r="B60" s="411"/>
      <c r="C60" s="411"/>
      <c r="D60" s="408"/>
      <c r="E60" s="88">
        <v>0</v>
      </c>
      <c r="F60" s="88">
        <v>19412896</v>
      </c>
      <c r="G60" s="88">
        <v>0</v>
      </c>
      <c r="H60" s="88">
        <v>0</v>
      </c>
      <c r="I60" s="181">
        <f t="shared" si="37"/>
        <v>19412896</v>
      </c>
      <c r="J60" s="391">
        <v>0</v>
      </c>
      <c r="K60" s="88">
        <v>1745798</v>
      </c>
      <c r="L60" s="88">
        <v>0</v>
      </c>
      <c r="M60" s="88">
        <v>0</v>
      </c>
      <c r="N60" s="181">
        <f t="shared" si="23"/>
        <v>1745798</v>
      </c>
      <c r="O60" s="88">
        <v>0</v>
      </c>
      <c r="P60" s="88">
        <v>1447692</v>
      </c>
      <c r="Q60" s="88">
        <v>0</v>
      </c>
      <c r="R60" s="88">
        <v>0</v>
      </c>
      <c r="S60" s="181">
        <f t="shared" si="24"/>
        <v>1447692</v>
      </c>
      <c r="T60" s="88">
        <v>0</v>
      </c>
      <c r="U60" s="88">
        <v>0</v>
      </c>
      <c r="V60" s="88">
        <v>0</v>
      </c>
      <c r="W60" s="88">
        <v>0</v>
      </c>
      <c r="X60" s="181">
        <f t="shared" si="25"/>
        <v>0</v>
      </c>
      <c r="Y60" s="88">
        <v>0</v>
      </c>
      <c r="Z60" s="88">
        <v>0</v>
      </c>
      <c r="AA60" s="88">
        <v>0</v>
      </c>
      <c r="AB60" s="88">
        <v>0</v>
      </c>
      <c r="AC60" s="181">
        <f t="shared" si="26"/>
        <v>0</v>
      </c>
      <c r="AD60" s="88">
        <v>0</v>
      </c>
      <c r="AE60" s="88">
        <v>0</v>
      </c>
      <c r="AF60" s="88">
        <v>0</v>
      </c>
      <c r="AG60" s="88">
        <v>0</v>
      </c>
      <c r="AH60" s="181">
        <f>SUM(AD60:AG60)</f>
        <v>0</v>
      </c>
      <c r="AI60" s="88">
        <v>0</v>
      </c>
      <c r="AJ60" s="88">
        <v>0</v>
      </c>
      <c r="AK60" s="88">
        <v>0</v>
      </c>
      <c r="AL60" s="88">
        <v>0</v>
      </c>
      <c r="AM60" s="181">
        <f t="shared" si="28"/>
        <v>0</v>
      </c>
      <c r="AN60" s="88">
        <v>0</v>
      </c>
      <c r="AO60" s="88">
        <v>0</v>
      </c>
      <c r="AP60" s="88">
        <v>0</v>
      </c>
      <c r="AQ60" s="88">
        <v>0</v>
      </c>
      <c r="AR60" s="181">
        <f t="shared" si="29"/>
        <v>0</v>
      </c>
      <c r="AS60" s="88">
        <v>0</v>
      </c>
      <c r="AT60" s="88">
        <v>0</v>
      </c>
      <c r="AU60" s="88">
        <v>0</v>
      </c>
      <c r="AV60" s="88">
        <v>0</v>
      </c>
      <c r="AW60" s="181">
        <f t="shared" si="30"/>
        <v>0</v>
      </c>
      <c r="AX60" s="88">
        <v>0</v>
      </c>
      <c r="AY60" s="88">
        <v>0</v>
      </c>
      <c r="AZ60" s="88">
        <v>0</v>
      </c>
      <c r="BA60" s="88">
        <v>0</v>
      </c>
      <c r="BB60" s="181">
        <f t="shared" si="31"/>
        <v>0</v>
      </c>
      <c r="BC60" s="88">
        <v>0</v>
      </c>
      <c r="BD60" s="88">
        <v>0</v>
      </c>
      <c r="BE60" s="88">
        <v>0</v>
      </c>
      <c r="BF60" s="88">
        <v>0</v>
      </c>
      <c r="BG60" s="181">
        <f t="shared" si="32"/>
        <v>0</v>
      </c>
      <c r="BH60" s="88">
        <v>0</v>
      </c>
      <c r="BI60" s="88">
        <v>0</v>
      </c>
      <c r="BJ60" s="88">
        <v>0</v>
      </c>
      <c r="BK60" s="88">
        <v>0</v>
      </c>
      <c r="BL60" s="181">
        <f t="shared" si="33"/>
        <v>0</v>
      </c>
      <c r="BM60" s="88">
        <v>0</v>
      </c>
      <c r="BN60" s="88">
        <v>0</v>
      </c>
      <c r="BO60" s="88">
        <v>0</v>
      </c>
      <c r="BP60" s="88">
        <v>0</v>
      </c>
      <c r="BQ60" s="181">
        <f t="shared" si="34"/>
        <v>0</v>
      </c>
      <c r="BR60" s="88">
        <f t="shared" ref="BR60:BT63" si="38">+J60+O60+T60+Y60+AD60+AI60+AN60+AS60+AX60+BC60+BH60+BM60</f>
        <v>0</v>
      </c>
      <c r="BS60" s="88">
        <f t="shared" si="38"/>
        <v>3193490</v>
      </c>
      <c r="BT60" s="88">
        <f t="shared" si="38"/>
        <v>0</v>
      </c>
      <c r="BU60" s="88">
        <f t="shared" si="35"/>
        <v>0</v>
      </c>
      <c r="BV60" s="181">
        <f t="shared" si="36"/>
        <v>3193490</v>
      </c>
      <c r="BW60" s="148"/>
      <c r="BX60" s="393"/>
    </row>
    <row r="61" spans="1:78" x14ac:dyDescent="0.2">
      <c r="A61" s="388" t="s">
        <v>277</v>
      </c>
      <c r="B61" s="411"/>
      <c r="C61" s="359"/>
      <c r="D61" s="408"/>
      <c r="E61" s="88">
        <v>2472086</v>
      </c>
      <c r="F61" s="88">
        <v>78141</v>
      </c>
      <c r="G61" s="88">
        <v>0</v>
      </c>
      <c r="H61" s="88">
        <v>0</v>
      </c>
      <c r="I61" s="181">
        <f t="shared" si="37"/>
        <v>2550227</v>
      </c>
      <c r="J61" s="391">
        <v>183244</v>
      </c>
      <c r="K61" s="88">
        <v>2943</v>
      </c>
      <c r="L61" s="88">
        <v>0</v>
      </c>
      <c r="M61" s="88">
        <v>0</v>
      </c>
      <c r="N61" s="181">
        <f t="shared" si="23"/>
        <v>186187</v>
      </c>
      <c r="O61" s="88">
        <v>176962</v>
      </c>
      <c r="P61" s="88">
        <v>2357</v>
      </c>
      <c r="Q61" s="88">
        <v>0</v>
      </c>
      <c r="R61" s="88">
        <v>0</v>
      </c>
      <c r="S61" s="181">
        <f t="shared" si="24"/>
        <v>179319</v>
      </c>
      <c r="T61" s="88">
        <v>0</v>
      </c>
      <c r="U61" s="88">
        <v>0</v>
      </c>
      <c r="V61" s="88">
        <v>0</v>
      </c>
      <c r="W61" s="88">
        <v>0</v>
      </c>
      <c r="X61" s="181">
        <f t="shared" si="25"/>
        <v>0</v>
      </c>
      <c r="Y61" s="88">
        <v>0</v>
      </c>
      <c r="Z61" s="88">
        <v>0</v>
      </c>
      <c r="AA61" s="88">
        <v>0</v>
      </c>
      <c r="AB61" s="88">
        <v>0</v>
      </c>
      <c r="AC61" s="181">
        <f t="shared" si="26"/>
        <v>0</v>
      </c>
      <c r="AD61" s="88">
        <v>0</v>
      </c>
      <c r="AE61" s="88">
        <v>0</v>
      </c>
      <c r="AF61" s="88">
        <v>0</v>
      </c>
      <c r="AG61" s="88">
        <v>0</v>
      </c>
      <c r="AH61" s="181">
        <f t="shared" si="27"/>
        <v>0</v>
      </c>
      <c r="AI61" s="88">
        <v>0</v>
      </c>
      <c r="AJ61" s="88">
        <v>0</v>
      </c>
      <c r="AK61" s="88">
        <v>0</v>
      </c>
      <c r="AL61" s="88">
        <v>0</v>
      </c>
      <c r="AM61" s="181">
        <f t="shared" si="28"/>
        <v>0</v>
      </c>
      <c r="AN61" s="88">
        <v>0</v>
      </c>
      <c r="AO61" s="88">
        <v>0</v>
      </c>
      <c r="AP61" s="88">
        <v>0</v>
      </c>
      <c r="AQ61" s="88">
        <v>0</v>
      </c>
      <c r="AR61" s="181">
        <f t="shared" si="29"/>
        <v>0</v>
      </c>
      <c r="AS61" s="88">
        <v>0</v>
      </c>
      <c r="AT61" s="88">
        <v>0</v>
      </c>
      <c r="AU61" s="88">
        <v>0</v>
      </c>
      <c r="AV61" s="88">
        <v>0</v>
      </c>
      <c r="AW61" s="181">
        <f t="shared" si="30"/>
        <v>0</v>
      </c>
      <c r="AX61" s="88">
        <v>0</v>
      </c>
      <c r="AY61" s="88">
        <v>0</v>
      </c>
      <c r="AZ61" s="88">
        <v>0</v>
      </c>
      <c r="BA61" s="88">
        <v>0</v>
      </c>
      <c r="BB61" s="181">
        <f t="shared" si="31"/>
        <v>0</v>
      </c>
      <c r="BC61" s="88">
        <v>0</v>
      </c>
      <c r="BD61" s="88">
        <v>0</v>
      </c>
      <c r="BE61" s="88">
        <v>0</v>
      </c>
      <c r="BF61" s="88">
        <v>0</v>
      </c>
      <c r="BG61" s="181">
        <f t="shared" si="32"/>
        <v>0</v>
      </c>
      <c r="BH61" s="88">
        <v>0</v>
      </c>
      <c r="BI61" s="88">
        <v>0</v>
      </c>
      <c r="BJ61" s="88">
        <v>0</v>
      </c>
      <c r="BK61" s="88">
        <v>0</v>
      </c>
      <c r="BL61" s="181">
        <f t="shared" si="33"/>
        <v>0</v>
      </c>
      <c r="BM61" s="88">
        <v>0</v>
      </c>
      <c r="BN61" s="88">
        <v>0</v>
      </c>
      <c r="BO61" s="88">
        <v>0</v>
      </c>
      <c r="BP61" s="88">
        <v>0</v>
      </c>
      <c r="BQ61" s="181">
        <f>SUM(BM61:BP61)</f>
        <v>0</v>
      </c>
      <c r="BR61" s="88">
        <f t="shared" si="38"/>
        <v>360206</v>
      </c>
      <c r="BS61" s="88">
        <f t="shared" si="38"/>
        <v>5300</v>
      </c>
      <c r="BT61" s="88">
        <f t="shared" si="38"/>
        <v>0</v>
      </c>
      <c r="BU61" s="88">
        <f t="shared" si="35"/>
        <v>0</v>
      </c>
      <c r="BV61" s="181">
        <f t="shared" si="36"/>
        <v>365506</v>
      </c>
      <c r="BW61" s="148"/>
      <c r="BX61" s="393"/>
    </row>
    <row r="62" spans="1:78" x14ac:dyDescent="0.2">
      <c r="A62" s="418" t="s">
        <v>278</v>
      </c>
      <c r="B62" s="419"/>
      <c r="C62" s="359"/>
      <c r="D62" s="408"/>
      <c r="E62" s="88">
        <v>1064218</v>
      </c>
      <c r="F62" s="88">
        <v>126719</v>
      </c>
      <c r="G62" s="88">
        <v>0</v>
      </c>
      <c r="H62" s="88">
        <v>0</v>
      </c>
      <c r="I62" s="181">
        <f t="shared" si="37"/>
        <v>1190937</v>
      </c>
      <c r="J62" s="391">
        <v>76516</v>
      </c>
      <c r="K62" s="88">
        <v>6553</v>
      </c>
      <c r="L62" s="88">
        <v>0</v>
      </c>
      <c r="M62" s="88">
        <v>0</v>
      </c>
      <c r="N62" s="181">
        <f t="shared" si="23"/>
        <v>83069</v>
      </c>
      <c r="O62" s="88">
        <v>79279</v>
      </c>
      <c r="P62" s="88">
        <v>201</v>
      </c>
      <c r="Q62" s="88">
        <v>0</v>
      </c>
      <c r="R62" s="88">
        <v>0</v>
      </c>
      <c r="S62" s="181">
        <f t="shared" si="24"/>
        <v>79480</v>
      </c>
      <c r="T62" s="88">
        <v>0</v>
      </c>
      <c r="U62" s="88">
        <v>0</v>
      </c>
      <c r="V62" s="88">
        <v>0</v>
      </c>
      <c r="W62" s="88">
        <v>0</v>
      </c>
      <c r="X62" s="181">
        <f t="shared" si="25"/>
        <v>0</v>
      </c>
      <c r="Y62" s="88">
        <v>0</v>
      </c>
      <c r="Z62" s="88">
        <v>0</v>
      </c>
      <c r="AA62" s="88">
        <v>0</v>
      </c>
      <c r="AB62" s="88">
        <v>0</v>
      </c>
      <c r="AC62" s="181">
        <f t="shared" si="26"/>
        <v>0</v>
      </c>
      <c r="AD62" s="88">
        <v>0</v>
      </c>
      <c r="AE62" s="88">
        <v>0</v>
      </c>
      <c r="AF62" s="88">
        <v>0</v>
      </c>
      <c r="AG62" s="88">
        <v>0</v>
      </c>
      <c r="AH62" s="181">
        <f t="shared" si="27"/>
        <v>0</v>
      </c>
      <c r="AI62" s="88">
        <v>0</v>
      </c>
      <c r="AJ62" s="88">
        <v>0</v>
      </c>
      <c r="AK62" s="88">
        <v>0</v>
      </c>
      <c r="AL62" s="88">
        <v>0</v>
      </c>
      <c r="AM62" s="181">
        <f t="shared" si="28"/>
        <v>0</v>
      </c>
      <c r="AN62" s="88">
        <v>0</v>
      </c>
      <c r="AO62" s="88">
        <v>0</v>
      </c>
      <c r="AP62" s="88">
        <v>0</v>
      </c>
      <c r="AQ62" s="88">
        <v>0</v>
      </c>
      <c r="AR62" s="181">
        <f t="shared" si="29"/>
        <v>0</v>
      </c>
      <c r="AS62" s="88">
        <v>0</v>
      </c>
      <c r="AT62" s="88">
        <v>0</v>
      </c>
      <c r="AU62" s="88">
        <v>0</v>
      </c>
      <c r="AV62" s="88">
        <v>0</v>
      </c>
      <c r="AW62" s="181">
        <f t="shared" si="30"/>
        <v>0</v>
      </c>
      <c r="AX62" s="88">
        <v>0</v>
      </c>
      <c r="AY62" s="88">
        <v>0</v>
      </c>
      <c r="AZ62" s="88">
        <v>0</v>
      </c>
      <c r="BA62" s="88">
        <v>0</v>
      </c>
      <c r="BB62" s="181">
        <f t="shared" si="31"/>
        <v>0</v>
      </c>
      <c r="BC62" s="88">
        <v>0</v>
      </c>
      <c r="BD62" s="88">
        <v>0</v>
      </c>
      <c r="BE62" s="88">
        <v>0</v>
      </c>
      <c r="BF62" s="88">
        <v>0</v>
      </c>
      <c r="BG62" s="181">
        <f t="shared" si="32"/>
        <v>0</v>
      </c>
      <c r="BH62" s="88">
        <v>0</v>
      </c>
      <c r="BI62" s="88">
        <v>0</v>
      </c>
      <c r="BJ62" s="88">
        <v>0</v>
      </c>
      <c r="BK62" s="88">
        <v>0</v>
      </c>
      <c r="BL62" s="181">
        <f t="shared" si="33"/>
        <v>0</v>
      </c>
      <c r="BM62" s="88">
        <v>0</v>
      </c>
      <c r="BN62" s="88">
        <v>0</v>
      </c>
      <c r="BO62" s="88">
        <v>0</v>
      </c>
      <c r="BP62" s="88">
        <v>0</v>
      </c>
      <c r="BQ62" s="181">
        <f>SUM(BM62:BP62)</f>
        <v>0</v>
      </c>
      <c r="BR62" s="88">
        <f t="shared" si="38"/>
        <v>155795</v>
      </c>
      <c r="BS62" s="88">
        <f t="shared" si="38"/>
        <v>6754</v>
      </c>
      <c r="BT62" s="88">
        <f t="shared" si="38"/>
        <v>0</v>
      </c>
      <c r="BU62" s="88">
        <f t="shared" si="35"/>
        <v>0</v>
      </c>
      <c r="BV62" s="181">
        <f>SUM(BR62:BU62)</f>
        <v>162549</v>
      </c>
      <c r="BW62" s="148"/>
      <c r="BX62" s="393"/>
    </row>
    <row r="63" spans="1:78" s="358" customFormat="1" x14ac:dyDescent="0.2">
      <c r="A63" s="420" t="s">
        <v>279</v>
      </c>
      <c r="B63" s="421"/>
      <c r="C63" s="404"/>
      <c r="D63" s="405"/>
      <c r="E63" s="88">
        <v>0</v>
      </c>
      <c r="F63" s="88">
        <v>10997</v>
      </c>
      <c r="G63" s="88">
        <v>0</v>
      </c>
      <c r="H63" s="88">
        <v>0</v>
      </c>
      <c r="I63" s="181">
        <f t="shared" si="37"/>
        <v>10997</v>
      </c>
      <c r="J63" s="391">
        <v>0</v>
      </c>
      <c r="K63" s="88">
        <v>0</v>
      </c>
      <c r="L63" s="88">
        <v>0</v>
      </c>
      <c r="M63" s="88">
        <v>0</v>
      </c>
      <c r="N63" s="181">
        <f t="shared" si="23"/>
        <v>0</v>
      </c>
      <c r="O63" s="88">
        <v>0</v>
      </c>
      <c r="P63" s="88">
        <v>0</v>
      </c>
      <c r="Q63" s="88">
        <v>0</v>
      </c>
      <c r="R63" s="88">
        <v>0</v>
      </c>
      <c r="S63" s="181">
        <f t="shared" si="24"/>
        <v>0</v>
      </c>
      <c r="T63" s="88">
        <v>0</v>
      </c>
      <c r="U63" s="88">
        <v>0</v>
      </c>
      <c r="V63" s="88">
        <v>0</v>
      </c>
      <c r="W63" s="88">
        <v>0</v>
      </c>
      <c r="X63" s="181">
        <f t="shared" si="25"/>
        <v>0</v>
      </c>
      <c r="Y63" s="88">
        <v>0</v>
      </c>
      <c r="Z63" s="88">
        <v>0</v>
      </c>
      <c r="AA63" s="88">
        <v>0</v>
      </c>
      <c r="AB63" s="88">
        <v>0</v>
      </c>
      <c r="AC63" s="181">
        <f t="shared" si="26"/>
        <v>0</v>
      </c>
      <c r="AD63" s="88">
        <v>0</v>
      </c>
      <c r="AE63" s="88">
        <v>0</v>
      </c>
      <c r="AF63" s="88">
        <v>0</v>
      </c>
      <c r="AG63" s="88">
        <v>0</v>
      </c>
      <c r="AH63" s="181">
        <f t="shared" si="27"/>
        <v>0</v>
      </c>
      <c r="AI63" s="88">
        <v>0</v>
      </c>
      <c r="AJ63" s="88">
        <v>0</v>
      </c>
      <c r="AK63" s="88">
        <v>0</v>
      </c>
      <c r="AL63" s="88">
        <v>0</v>
      </c>
      <c r="AM63" s="181">
        <f t="shared" si="28"/>
        <v>0</v>
      </c>
      <c r="AN63" s="88">
        <v>0</v>
      </c>
      <c r="AO63" s="88">
        <v>0</v>
      </c>
      <c r="AP63" s="88">
        <v>0</v>
      </c>
      <c r="AQ63" s="88">
        <v>0</v>
      </c>
      <c r="AR63" s="181">
        <f t="shared" si="29"/>
        <v>0</v>
      </c>
      <c r="AS63" s="88">
        <v>0</v>
      </c>
      <c r="AT63" s="88">
        <v>0</v>
      </c>
      <c r="AU63" s="88">
        <v>0</v>
      </c>
      <c r="AV63" s="88">
        <v>0</v>
      </c>
      <c r="AW63" s="181">
        <f t="shared" si="30"/>
        <v>0</v>
      </c>
      <c r="AX63" s="88">
        <v>0</v>
      </c>
      <c r="AY63" s="88">
        <v>0</v>
      </c>
      <c r="AZ63" s="88">
        <v>0</v>
      </c>
      <c r="BA63" s="88">
        <v>0</v>
      </c>
      <c r="BB63" s="181">
        <f t="shared" si="31"/>
        <v>0</v>
      </c>
      <c r="BC63" s="88">
        <v>0</v>
      </c>
      <c r="BD63" s="88">
        <v>0</v>
      </c>
      <c r="BE63" s="88">
        <v>0</v>
      </c>
      <c r="BF63" s="88">
        <v>0</v>
      </c>
      <c r="BG63" s="181">
        <f t="shared" si="32"/>
        <v>0</v>
      </c>
      <c r="BH63" s="88">
        <v>0</v>
      </c>
      <c r="BI63" s="88">
        <v>0</v>
      </c>
      <c r="BJ63" s="88">
        <v>0</v>
      </c>
      <c r="BK63" s="88">
        <v>0</v>
      </c>
      <c r="BL63" s="181">
        <f t="shared" si="33"/>
        <v>0</v>
      </c>
      <c r="BM63" s="88">
        <v>0</v>
      </c>
      <c r="BN63" s="88">
        <v>0</v>
      </c>
      <c r="BO63" s="88">
        <v>0</v>
      </c>
      <c r="BP63" s="88">
        <v>0</v>
      </c>
      <c r="BQ63" s="181">
        <f t="shared" si="34"/>
        <v>0</v>
      </c>
      <c r="BR63" s="88">
        <f t="shared" si="38"/>
        <v>0</v>
      </c>
      <c r="BS63" s="88">
        <f t="shared" si="38"/>
        <v>0</v>
      </c>
      <c r="BT63" s="88">
        <f t="shared" si="38"/>
        <v>0</v>
      </c>
      <c r="BU63" s="88">
        <f t="shared" si="35"/>
        <v>0</v>
      </c>
      <c r="BV63" s="181">
        <f t="shared" si="36"/>
        <v>0</v>
      </c>
      <c r="BW63" s="148"/>
      <c r="BX63" s="393"/>
    </row>
    <row r="64" spans="1:78" x14ac:dyDescent="0.2">
      <c r="A64" s="385" t="s">
        <v>280</v>
      </c>
      <c r="B64" s="389"/>
      <c r="D64" s="408"/>
      <c r="E64" s="177">
        <f t="shared" ref="E64:AQ64" si="39">SUM(E51:E63)-E53</f>
        <v>233321214</v>
      </c>
      <c r="F64" s="176">
        <f t="shared" si="39"/>
        <v>572247160</v>
      </c>
      <c r="G64" s="176">
        <f t="shared" si="39"/>
        <v>0</v>
      </c>
      <c r="H64" s="176">
        <f t="shared" si="39"/>
        <v>97937</v>
      </c>
      <c r="I64" s="156">
        <f t="shared" si="39"/>
        <v>805666311</v>
      </c>
      <c r="J64" s="177">
        <f t="shared" si="39"/>
        <v>4458960.4269999983</v>
      </c>
      <c r="K64" s="176">
        <f t="shared" si="39"/>
        <v>46627921</v>
      </c>
      <c r="L64" s="176">
        <f t="shared" si="39"/>
        <v>0</v>
      </c>
      <c r="M64" s="176">
        <f t="shared" si="39"/>
        <v>18</v>
      </c>
      <c r="N64" s="156">
        <f t="shared" si="39"/>
        <v>51086899.427000001</v>
      </c>
      <c r="O64" s="176">
        <f t="shared" si="39"/>
        <v>2045938.1300000001</v>
      </c>
      <c r="P64" s="176">
        <f t="shared" si="39"/>
        <v>46322877</v>
      </c>
      <c r="Q64" s="176">
        <f t="shared" si="39"/>
        <v>0</v>
      </c>
      <c r="R64" s="176">
        <f t="shared" si="39"/>
        <v>111334</v>
      </c>
      <c r="S64" s="156">
        <f t="shared" si="39"/>
        <v>48480149.129999995</v>
      </c>
      <c r="T64" s="177">
        <f t="shared" si="39"/>
        <v>0</v>
      </c>
      <c r="U64" s="176">
        <f t="shared" si="39"/>
        <v>0</v>
      </c>
      <c r="V64" s="176">
        <f t="shared" si="39"/>
        <v>0</v>
      </c>
      <c r="W64" s="176">
        <f t="shared" si="39"/>
        <v>0</v>
      </c>
      <c r="X64" s="156">
        <f t="shared" si="39"/>
        <v>0</v>
      </c>
      <c r="Y64" s="177">
        <f t="shared" si="39"/>
        <v>0</v>
      </c>
      <c r="Z64" s="176">
        <f t="shared" si="39"/>
        <v>0</v>
      </c>
      <c r="AA64" s="176">
        <f t="shared" si="39"/>
        <v>0</v>
      </c>
      <c r="AB64" s="176">
        <f t="shared" si="39"/>
        <v>0</v>
      </c>
      <c r="AC64" s="156">
        <f t="shared" si="39"/>
        <v>0</v>
      </c>
      <c r="AD64" s="177">
        <f t="shared" si="39"/>
        <v>0</v>
      </c>
      <c r="AE64" s="177">
        <f t="shared" si="39"/>
        <v>0</v>
      </c>
      <c r="AF64" s="177">
        <f t="shared" si="39"/>
        <v>0</v>
      </c>
      <c r="AG64" s="177">
        <f t="shared" si="39"/>
        <v>0</v>
      </c>
      <c r="AH64" s="177">
        <f t="shared" si="39"/>
        <v>0</v>
      </c>
      <c r="AI64" s="177">
        <f t="shared" si="39"/>
        <v>0</v>
      </c>
      <c r="AJ64" s="177">
        <f t="shared" si="39"/>
        <v>0</v>
      </c>
      <c r="AK64" s="177">
        <f t="shared" si="39"/>
        <v>0</v>
      </c>
      <c r="AL64" s="177">
        <f t="shared" si="39"/>
        <v>0</v>
      </c>
      <c r="AM64" s="177">
        <f t="shared" si="39"/>
        <v>0</v>
      </c>
      <c r="AN64" s="177">
        <f t="shared" si="39"/>
        <v>0</v>
      </c>
      <c r="AO64" s="177">
        <f t="shared" si="39"/>
        <v>0</v>
      </c>
      <c r="AP64" s="177">
        <f t="shared" si="39"/>
        <v>0</v>
      </c>
      <c r="AQ64" s="177">
        <f t="shared" si="39"/>
        <v>0</v>
      </c>
      <c r="AR64" s="156">
        <f>SUM(AR51:AR63)-AR53</f>
        <v>0</v>
      </c>
      <c r="AS64" s="177">
        <f t="shared" ref="AS64:BE64" si="40">SUM(AS51:AS63)-AS53</f>
        <v>0</v>
      </c>
      <c r="AT64" s="176">
        <f t="shared" si="40"/>
        <v>0</v>
      </c>
      <c r="AU64" s="176">
        <f t="shared" si="40"/>
        <v>0</v>
      </c>
      <c r="AV64" s="176">
        <f t="shared" si="40"/>
        <v>0</v>
      </c>
      <c r="AW64" s="156">
        <f t="shared" si="40"/>
        <v>0</v>
      </c>
      <c r="AX64" s="177">
        <f t="shared" si="40"/>
        <v>0</v>
      </c>
      <c r="AY64" s="176">
        <f t="shared" si="40"/>
        <v>0</v>
      </c>
      <c r="AZ64" s="176">
        <f t="shared" si="40"/>
        <v>0</v>
      </c>
      <c r="BA64" s="176">
        <f t="shared" si="40"/>
        <v>0</v>
      </c>
      <c r="BB64" s="156">
        <f t="shared" si="40"/>
        <v>0</v>
      </c>
      <c r="BC64" s="177">
        <f t="shared" si="40"/>
        <v>0</v>
      </c>
      <c r="BD64" s="176">
        <f t="shared" si="40"/>
        <v>0</v>
      </c>
      <c r="BE64" s="176">
        <f t="shared" si="40"/>
        <v>0</v>
      </c>
      <c r="BF64" s="176">
        <f>SUM(BF51:BF63)-BF53</f>
        <v>0</v>
      </c>
      <c r="BG64" s="156">
        <f>SUM(BG51:BG63)-BG53</f>
        <v>0</v>
      </c>
      <c r="BH64" s="177">
        <f t="shared" ref="BH64:BQ64" si="41">SUM(BH51:BH63)-BH53</f>
        <v>0</v>
      </c>
      <c r="BI64" s="176">
        <f t="shared" si="41"/>
        <v>0</v>
      </c>
      <c r="BJ64" s="176">
        <f t="shared" si="41"/>
        <v>0</v>
      </c>
      <c r="BK64" s="176">
        <f t="shared" si="41"/>
        <v>0</v>
      </c>
      <c r="BL64" s="156">
        <f t="shared" si="41"/>
        <v>0</v>
      </c>
      <c r="BM64" s="177">
        <f t="shared" si="41"/>
        <v>0</v>
      </c>
      <c r="BN64" s="176">
        <f t="shared" si="41"/>
        <v>0</v>
      </c>
      <c r="BO64" s="176">
        <f t="shared" si="41"/>
        <v>0</v>
      </c>
      <c r="BP64" s="176">
        <f t="shared" si="41"/>
        <v>0</v>
      </c>
      <c r="BQ64" s="156">
        <f t="shared" si="41"/>
        <v>0</v>
      </c>
      <c r="BR64" s="177">
        <f>SUM(BR51:BR63)-BR53</f>
        <v>6504898.557</v>
      </c>
      <c r="BS64" s="176">
        <f>SUM(BS51:BS63)-BS53</f>
        <v>92950798</v>
      </c>
      <c r="BT64" s="176">
        <f>SUM(BT51:BT63)-BT53</f>
        <v>0</v>
      </c>
      <c r="BU64" s="176">
        <f>SUM(BU51:BU63)-BU53</f>
        <v>111352</v>
      </c>
      <c r="BV64" s="153">
        <f>SUM(BV51:BV63)-BV53-1</f>
        <v>99567047.556999996</v>
      </c>
      <c r="BW64" s="149"/>
      <c r="BX64" s="393"/>
    </row>
    <row r="65" spans="1:76" x14ac:dyDescent="0.2">
      <c r="A65" s="407" t="s">
        <v>281</v>
      </c>
      <c r="B65" s="389"/>
      <c r="D65" s="408"/>
      <c r="E65" s="185">
        <v>7020587</v>
      </c>
      <c r="F65" s="185">
        <v>0</v>
      </c>
      <c r="G65" s="185">
        <v>0</v>
      </c>
      <c r="H65" s="185">
        <v>0</v>
      </c>
      <c r="I65" s="181">
        <f t="shared" si="37"/>
        <v>7020587</v>
      </c>
      <c r="J65" s="183">
        <v>0</v>
      </c>
      <c r="K65" s="185">
        <v>0</v>
      </c>
      <c r="L65" s="185">
        <v>0</v>
      </c>
      <c r="M65" s="185">
        <v>0</v>
      </c>
      <c r="N65" s="181">
        <v>0</v>
      </c>
      <c r="O65" s="185">
        <v>0</v>
      </c>
      <c r="P65" s="185">
        <v>0</v>
      </c>
      <c r="Q65" s="185">
        <v>0</v>
      </c>
      <c r="R65" s="185">
        <v>0</v>
      </c>
      <c r="S65" s="181">
        <v>0</v>
      </c>
      <c r="T65" s="185">
        <v>0</v>
      </c>
      <c r="U65" s="185">
        <v>0</v>
      </c>
      <c r="V65" s="185">
        <v>0</v>
      </c>
      <c r="W65" s="185">
        <v>0</v>
      </c>
      <c r="X65" s="181">
        <v>0</v>
      </c>
      <c r="Y65" s="185">
        <v>0</v>
      </c>
      <c r="Z65" s="185">
        <v>0</v>
      </c>
      <c r="AA65" s="185">
        <v>0</v>
      </c>
      <c r="AB65" s="185">
        <v>0</v>
      </c>
      <c r="AC65" s="181">
        <v>0</v>
      </c>
      <c r="AD65" s="185">
        <v>0</v>
      </c>
      <c r="AE65" s="185">
        <v>0</v>
      </c>
      <c r="AF65" s="185">
        <v>0</v>
      </c>
      <c r="AG65" s="185">
        <v>0</v>
      </c>
      <c r="AH65" s="181">
        <v>0</v>
      </c>
      <c r="AI65" s="185">
        <v>0</v>
      </c>
      <c r="AJ65" s="185">
        <v>0</v>
      </c>
      <c r="AK65" s="185">
        <v>0</v>
      </c>
      <c r="AL65" s="185">
        <v>0</v>
      </c>
      <c r="AM65" s="181">
        <v>0</v>
      </c>
      <c r="AN65" s="185">
        <v>0</v>
      </c>
      <c r="AO65" s="185">
        <v>0</v>
      </c>
      <c r="AP65" s="185">
        <v>0</v>
      </c>
      <c r="AQ65" s="185">
        <v>0</v>
      </c>
      <c r="AR65" s="181">
        <v>0</v>
      </c>
      <c r="AS65" s="185">
        <v>0</v>
      </c>
      <c r="AT65" s="185">
        <v>0</v>
      </c>
      <c r="AU65" s="185">
        <v>0</v>
      </c>
      <c r="AV65" s="185">
        <v>0</v>
      </c>
      <c r="AW65" s="181">
        <v>0</v>
      </c>
      <c r="AX65" s="185">
        <v>0</v>
      </c>
      <c r="AY65" s="185">
        <v>0</v>
      </c>
      <c r="AZ65" s="185">
        <v>0</v>
      </c>
      <c r="BA65" s="185">
        <v>0</v>
      </c>
      <c r="BB65" s="181">
        <v>0</v>
      </c>
      <c r="BC65" s="185">
        <v>0</v>
      </c>
      <c r="BD65" s="185">
        <v>0</v>
      </c>
      <c r="BE65" s="185">
        <v>0</v>
      </c>
      <c r="BF65" s="185">
        <v>0</v>
      </c>
      <c r="BG65" s="181">
        <v>0</v>
      </c>
      <c r="BH65" s="185">
        <v>0</v>
      </c>
      <c r="BI65" s="185">
        <v>0</v>
      </c>
      <c r="BJ65" s="185">
        <v>0</v>
      </c>
      <c r="BK65" s="185">
        <v>0</v>
      </c>
      <c r="BL65" s="181">
        <v>0</v>
      </c>
      <c r="BM65" s="185">
        <v>0</v>
      </c>
      <c r="BN65" s="185">
        <v>0</v>
      </c>
      <c r="BO65" s="185">
        <v>0</v>
      </c>
      <c r="BP65" s="185">
        <v>0</v>
      </c>
      <c r="BQ65" s="181">
        <v>0</v>
      </c>
      <c r="BR65" s="185">
        <v>0</v>
      </c>
      <c r="BS65" s="185">
        <v>0</v>
      </c>
      <c r="BT65" s="185">
        <v>0</v>
      </c>
      <c r="BU65" s="185">
        <v>0</v>
      </c>
      <c r="BV65" s="182">
        <v>0</v>
      </c>
      <c r="BW65" s="137"/>
      <c r="BX65" s="393"/>
    </row>
    <row r="66" spans="1:76" x14ac:dyDescent="0.2">
      <c r="A66" s="407" t="s">
        <v>282</v>
      </c>
      <c r="B66" s="389"/>
      <c r="D66" s="408"/>
      <c r="E66" s="185">
        <v>23000000</v>
      </c>
      <c r="F66" s="185">
        <v>0</v>
      </c>
      <c r="G66" s="185">
        <v>0</v>
      </c>
      <c r="H66" s="185">
        <v>0</v>
      </c>
      <c r="I66" s="181">
        <f t="shared" si="37"/>
        <v>23000000</v>
      </c>
      <c r="J66" s="183">
        <v>0</v>
      </c>
      <c r="K66" s="185">
        <v>0</v>
      </c>
      <c r="L66" s="185">
        <v>0</v>
      </c>
      <c r="M66" s="185">
        <v>0</v>
      </c>
      <c r="N66" s="181">
        <f>SUM(J66:M66)</f>
        <v>0</v>
      </c>
      <c r="O66" s="185">
        <v>0</v>
      </c>
      <c r="P66" s="185">
        <v>0</v>
      </c>
      <c r="Q66" s="185">
        <v>0</v>
      </c>
      <c r="R66" s="185">
        <v>0</v>
      </c>
      <c r="S66" s="181">
        <v>0</v>
      </c>
      <c r="T66" s="185">
        <v>0</v>
      </c>
      <c r="U66" s="185">
        <v>0</v>
      </c>
      <c r="V66" s="185">
        <v>0</v>
      </c>
      <c r="W66" s="185">
        <v>0</v>
      </c>
      <c r="X66" s="181">
        <v>0</v>
      </c>
      <c r="Y66" s="185">
        <v>0</v>
      </c>
      <c r="Z66" s="185">
        <v>0</v>
      </c>
      <c r="AA66" s="185">
        <v>0</v>
      </c>
      <c r="AB66" s="185">
        <v>0</v>
      </c>
      <c r="AC66" s="181">
        <v>0</v>
      </c>
      <c r="AD66" s="185">
        <v>0</v>
      </c>
      <c r="AE66" s="185">
        <v>0</v>
      </c>
      <c r="AF66" s="185">
        <v>0</v>
      </c>
      <c r="AG66" s="185">
        <v>0</v>
      </c>
      <c r="AH66" s="181">
        <v>0</v>
      </c>
      <c r="AI66" s="185">
        <v>0</v>
      </c>
      <c r="AJ66" s="185">
        <v>0</v>
      </c>
      <c r="AK66" s="185">
        <v>0</v>
      </c>
      <c r="AL66" s="185">
        <v>0</v>
      </c>
      <c r="AM66" s="181">
        <v>0</v>
      </c>
      <c r="AN66" s="185">
        <v>0</v>
      </c>
      <c r="AO66" s="185">
        <v>0</v>
      </c>
      <c r="AP66" s="185">
        <v>0</v>
      </c>
      <c r="AQ66" s="185">
        <v>0</v>
      </c>
      <c r="AR66" s="181">
        <v>0</v>
      </c>
      <c r="AS66" s="185">
        <v>0</v>
      </c>
      <c r="AT66" s="185">
        <v>0</v>
      </c>
      <c r="AU66" s="185">
        <v>0</v>
      </c>
      <c r="AV66" s="185">
        <v>0</v>
      </c>
      <c r="AW66" s="181">
        <v>0</v>
      </c>
      <c r="AX66" s="185"/>
      <c r="AY66" s="185"/>
      <c r="AZ66" s="185"/>
      <c r="BA66" s="185"/>
      <c r="BB66" s="181"/>
      <c r="BC66" s="185"/>
      <c r="BD66" s="185"/>
      <c r="BE66" s="185"/>
      <c r="BF66" s="185"/>
      <c r="BG66" s="181"/>
      <c r="BH66" s="185"/>
      <c r="BI66" s="185"/>
      <c r="BJ66" s="185"/>
      <c r="BK66" s="185"/>
      <c r="BL66" s="181"/>
      <c r="BM66" s="185"/>
      <c r="BN66" s="185"/>
      <c r="BO66" s="185"/>
      <c r="BP66" s="185"/>
      <c r="BQ66" s="181"/>
      <c r="BR66" s="185">
        <f>+J66+O66+T66+Y66+AD66+AI66+AN66+AS66+AX66+BC66+BH66+BM66</f>
        <v>0</v>
      </c>
      <c r="BS66" s="185">
        <f>+K66+P66+U66+Z66+AE66+AJ66+AO66+AT66+AY66+BD66+BI66+BN66</f>
        <v>0</v>
      </c>
      <c r="BT66" s="185">
        <f>+L66+Q66+V66+AA66+AF66+AK66+AP66+AU66+AZ66+BE66+BJ66+BO66</f>
        <v>0</v>
      </c>
      <c r="BU66" s="185">
        <f>+M66+R66+W66+AB66+AG66+AL66+AQ66+AV66+BA66+BF66+BK66+BP66</f>
        <v>0</v>
      </c>
      <c r="BV66" s="182">
        <f>SUM(BR66:BU66)</f>
        <v>0</v>
      </c>
      <c r="BW66" s="137"/>
      <c r="BX66" s="393"/>
    </row>
    <row r="67" spans="1:76" x14ac:dyDescent="0.2">
      <c r="A67" s="407" t="s">
        <v>283</v>
      </c>
      <c r="B67" s="389"/>
      <c r="D67" s="408"/>
      <c r="E67" s="185">
        <v>-37806696</v>
      </c>
      <c r="F67" s="185">
        <v>0</v>
      </c>
      <c r="G67" s="185">
        <v>0</v>
      </c>
      <c r="H67" s="185">
        <v>0</v>
      </c>
      <c r="I67" s="181">
        <f>SUM(E67:H67)</f>
        <v>-37806696</v>
      </c>
      <c r="J67" s="183">
        <v>0</v>
      </c>
      <c r="K67" s="185">
        <v>0</v>
      </c>
      <c r="L67" s="185">
        <v>0</v>
      </c>
      <c r="M67" s="185">
        <v>0</v>
      </c>
      <c r="N67" s="181">
        <v>0</v>
      </c>
      <c r="O67" s="185">
        <v>0</v>
      </c>
      <c r="P67" s="185">
        <v>0</v>
      </c>
      <c r="Q67" s="185">
        <v>0</v>
      </c>
      <c r="R67" s="185">
        <v>0</v>
      </c>
      <c r="S67" s="181">
        <v>0</v>
      </c>
      <c r="T67" s="185">
        <v>0</v>
      </c>
      <c r="U67" s="185">
        <v>0</v>
      </c>
      <c r="V67" s="185">
        <v>0</v>
      </c>
      <c r="W67" s="185">
        <v>0</v>
      </c>
      <c r="X67" s="181">
        <v>0</v>
      </c>
      <c r="Y67" s="185">
        <v>0</v>
      </c>
      <c r="Z67" s="185">
        <v>0</v>
      </c>
      <c r="AA67" s="185">
        <v>0</v>
      </c>
      <c r="AB67" s="185">
        <v>0</v>
      </c>
      <c r="AC67" s="181">
        <v>0</v>
      </c>
      <c r="AD67" s="185">
        <v>0</v>
      </c>
      <c r="AE67" s="185">
        <v>0</v>
      </c>
      <c r="AF67" s="185">
        <v>0</v>
      </c>
      <c r="AG67" s="185">
        <v>0</v>
      </c>
      <c r="AH67" s="181">
        <v>0</v>
      </c>
      <c r="AI67" s="185">
        <v>0</v>
      </c>
      <c r="AJ67" s="185">
        <v>0</v>
      </c>
      <c r="AK67" s="185">
        <v>0</v>
      </c>
      <c r="AL67" s="185">
        <v>0</v>
      </c>
      <c r="AM67" s="181">
        <v>0</v>
      </c>
      <c r="AN67" s="185">
        <v>0</v>
      </c>
      <c r="AO67" s="185">
        <v>0</v>
      </c>
      <c r="AP67" s="185">
        <v>0</v>
      </c>
      <c r="AQ67" s="185">
        <v>0</v>
      </c>
      <c r="AR67" s="181">
        <v>0</v>
      </c>
      <c r="AS67" s="185">
        <v>0</v>
      </c>
      <c r="AT67" s="185">
        <v>0</v>
      </c>
      <c r="AU67" s="185">
        <v>0</v>
      </c>
      <c r="AV67" s="185">
        <v>0</v>
      </c>
      <c r="AW67" s="181">
        <v>0</v>
      </c>
      <c r="AX67" s="185"/>
      <c r="AY67" s="185"/>
      <c r="AZ67" s="185"/>
      <c r="BA67" s="185"/>
      <c r="BB67" s="181"/>
      <c r="BC67" s="185"/>
      <c r="BD67" s="185"/>
      <c r="BE67" s="185"/>
      <c r="BF67" s="185"/>
      <c r="BG67" s="181"/>
      <c r="BH67" s="185"/>
      <c r="BI67" s="185"/>
      <c r="BJ67" s="185"/>
      <c r="BK67" s="185"/>
      <c r="BL67" s="181"/>
      <c r="BM67" s="185"/>
      <c r="BN67" s="185"/>
      <c r="BO67" s="185"/>
      <c r="BP67" s="185"/>
      <c r="BQ67" s="181"/>
      <c r="BR67" s="185">
        <v>0</v>
      </c>
      <c r="BS67" s="185">
        <v>0</v>
      </c>
      <c r="BT67" s="185">
        <v>0</v>
      </c>
      <c r="BU67" s="185">
        <v>0</v>
      </c>
      <c r="BV67" s="182">
        <v>0</v>
      </c>
      <c r="BW67" s="137"/>
      <c r="BX67" s="393"/>
    </row>
    <row r="68" spans="1:76" ht="13.5" customHeight="1" x14ac:dyDescent="0.2">
      <c r="A68" s="422" t="s">
        <v>219</v>
      </c>
      <c r="B68" s="423"/>
      <c r="C68" s="423"/>
      <c r="D68" s="424"/>
      <c r="E68" s="425">
        <f>+E48+E64+E65+E66+E67</f>
        <v>487203865</v>
      </c>
      <c r="F68" s="426">
        <f>+F48+F64+F65+F66+F67</f>
        <v>1215936106</v>
      </c>
      <c r="G68" s="426">
        <f>+G48+G64+G65+G66+G67</f>
        <v>15302808</v>
      </c>
      <c r="H68" s="426">
        <f>+H48+H64+H65+H66+H67</f>
        <v>42551631</v>
      </c>
      <c r="I68" s="427">
        <f>+I48+I64+I65+I66+I67</f>
        <v>1760994410</v>
      </c>
      <c r="J68" s="425">
        <f t="shared" ref="J68:BQ68" si="42">+J48+J64+J65+J66+J67</f>
        <v>22081532.426999997</v>
      </c>
      <c r="K68" s="426">
        <f t="shared" si="42"/>
        <v>91841244</v>
      </c>
      <c r="L68" s="426">
        <f t="shared" si="42"/>
        <v>324568</v>
      </c>
      <c r="M68" s="426">
        <f t="shared" si="42"/>
        <v>4853</v>
      </c>
      <c r="N68" s="427">
        <f t="shared" si="42"/>
        <v>114252197.427</v>
      </c>
      <c r="O68" s="426">
        <f t="shared" si="42"/>
        <v>21313327.129999999</v>
      </c>
      <c r="P68" s="426">
        <f t="shared" si="42"/>
        <v>97185042</v>
      </c>
      <c r="Q68" s="426">
        <f t="shared" si="42"/>
        <v>861947</v>
      </c>
      <c r="R68" s="426">
        <f t="shared" si="42"/>
        <v>1115210</v>
      </c>
      <c r="S68" s="427">
        <f t="shared" si="42"/>
        <v>120475526.13</v>
      </c>
      <c r="T68" s="425">
        <f t="shared" si="42"/>
        <v>0</v>
      </c>
      <c r="U68" s="426">
        <f t="shared" si="42"/>
        <v>0</v>
      </c>
      <c r="V68" s="426">
        <f t="shared" si="42"/>
        <v>0</v>
      </c>
      <c r="W68" s="426">
        <f t="shared" si="42"/>
        <v>0</v>
      </c>
      <c r="X68" s="427">
        <f t="shared" si="42"/>
        <v>0</v>
      </c>
      <c r="Y68" s="425">
        <f t="shared" si="42"/>
        <v>0</v>
      </c>
      <c r="Z68" s="426">
        <f t="shared" si="42"/>
        <v>0</v>
      </c>
      <c r="AA68" s="426">
        <f t="shared" si="42"/>
        <v>0</v>
      </c>
      <c r="AB68" s="426">
        <f t="shared" si="42"/>
        <v>0</v>
      </c>
      <c r="AC68" s="427">
        <f t="shared" si="42"/>
        <v>0</v>
      </c>
      <c r="AD68" s="425">
        <f t="shared" si="42"/>
        <v>0</v>
      </c>
      <c r="AE68" s="426">
        <f t="shared" si="42"/>
        <v>0</v>
      </c>
      <c r="AF68" s="426">
        <f t="shared" si="42"/>
        <v>0</v>
      </c>
      <c r="AG68" s="426">
        <f t="shared" si="42"/>
        <v>0</v>
      </c>
      <c r="AH68" s="427">
        <f t="shared" si="42"/>
        <v>0</v>
      </c>
      <c r="AI68" s="425">
        <f t="shared" si="42"/>
        <v>0</v>
      </c>
      <c r="AJ68" s="426">
        <f t="shared" si="42"/>
        <v>0</v>
      </c>
      <c r="AK68" s="426">
        <f t="shared" si="42"/>
        <v>0</v>
      </c>
      <c r="AL68" s="426">
        <f t="shared" si="42"/>
        <v>0</v>
      </c>
      <c r="AM68" s="427">
        <f t="shared" si="42"/>
        <v>0</v>
      </c>
      <c r="AN68" s="425">
        <f t="shared" si="42"/>
        <v>0</v>
      </c>
      <c r="AO68" s="426">
        <f t="shared" si="42"/>
        <v>0</v>
      </c>
      <c r="AP68" s="426">
        <f t="shared" si="42"/>
        <v>0</v>
      </c>
      <c r="AQ68" s="426">
        <f t="shared" si="42"/>
        <v>0</v>
      </c>
      <c r="AR68" s="427">
        <f t="shared" si="42"/>
        <v>0</v>
      </c>
      <c r="AS68" s="425">
        <f t="shared" si="42"/>
        <v>0</v>
      </c>
      <c r="AT68" s="426">
        <f t="shared" si="42"/>
        <v>0</v>
      </c>
      <c r="AU68" s="426">
        <f t="shared" si="42"/>
        <v>0</v>
      </c>
      <c r="AV68" s="426">
        <f t="shared" si="42"/>
        <v>0</v>
      </c>
      <c r="AW68" s="427">
        <f t="shared" si="42"/>
        <v>0</v>
      </c>
      <c r="AX68" s="425">
        <f t="shared" si="42"/>
        <v>0</v>
      </c>
      <c r="AY68" s="426">
        <f t="shared" si="42"/>
        <v>0</v>
      </c>
      <c r="AZ68" s="426">
        <f t="shared" si="42"/>
        <v>0</v>
      </c>
      <c r="BA68" s="426">
        <f t="shared" si="42"/>
        <v>0</v>
      </c>
      <c r="BB68" s="427">
        <f t="shared" si="42"/>
        <v>0</v>
      </c>
      <c r="BC68" s="425">
        <f t="shared" si="42"/>
        <v>0</v>
      </c>
      <c r="BD68" s="426">
        <f t="shared" si="42"/>
        <v>0</v>
      </c>
      <c r="BE68" s="426">
        <f t="shared" si="42"/>
        <v>0</v>
      </c>
      <c r="BF68" s="426">
        <f t="shared" si="42"/>
        <v>0</v>
      </c>
      <c r="BG68" s="427">
        <f t="shared" si="42"/>
        <v>0</v>
      </c>
      <c r="BH68" s="425">
        <f t="shared" si="42"/>
        <v>0</v>
      </c>
      <c r="BI68" s="426">
        <f t="shared" si="42"/>
        <v>0</v>
      </c>
      <c r="BJ68" s="426">
        <f t="shared" si="42"/>
        <v>0</v>
      </c>
      <c r="BK68" s="426">
        <f t="shared" si="42"/>
        <v>0</v>
      </c>
      <c r="BL68" s="427">
        <f t="shared" si="42"/>
        <v>0</v>
      </c>
      <c r="BM68" s="425">
        <f t="shared" si="42"/>
        <v>0</v>
      </c>
      <c r="BN68" s="426">
        <f t="shared" si="42"/>
        <v>0</v>
      </c>
      <c r="BO68" s="426">
        <f t="shared" si="42"/>
        <v>0</v>
      </c>
      <c r="BP68" s="426">
        <f t="shared" si="42"/>
        <v>0</v>
      </c>
      <c r="BQ68" s="427">
        <f t="shared" si="42"/>
        <v>0</v>
      </c>
      <c r="BR68" s="425">
        <f>+BR48+BR64+BR65+BR66+BR67</f>
        <v>43394859.556999996</v>
      </c>
      <c r="BS68" s="426">
        <f>+BS48+BS64+BS65+BS66+BS67</f>
        <v>189026286</v>
      </c>
      <c r="BT68" s="426">
        <f>+BT48+BT64+BT65+BT66+BT67</f>
        <v>1186515</v>
      </c>
      <c r="BU68" s="426">
        <f>+BU48+BU64+BU65+BU66+BU67</f>
        <v>1120063</v>
      </c>
      <c r="BV68" s="428">
        <f>+BV48+BV64+BV65+BV66+BV67</f>
        <v>234727722.55699998</v>
      </c>
      <c r="BW68" s="137"/>
      <c r="BX68" s="393"/>
    </row>
    <row r="69" spans="1:76" ht="13.5" customHeight="1" x14ac:dyDescent="0.2">
      <c r="A69" s="407" t="s">
        <v>284</v>
      </c>
      <c r="B69" s="358"/>
      <c r="D69" s="406" t="s">
        <v>157</v>
      </c>
      <c r="E69" s="391">
        <v>5000000</v>
      </c>
      <c r="F69" s="88">
        <v>0</v>
      </c>
      <c r="G69" s="88">
        <v>0</v>
      </c>
      <c r="H69" s="87">
        <v>0</v>
      </c>
      <c r="I69" s="180">
        <f t="shared" si="37"/>
        <v>5000000</v>
      </c>
      <c r="J69" s="391">
        <v>0</v>
      </c>
      <c r="K69" s="88">
        <v>0</v>
      </c>
      <c r="L69" s="88">
        <v>0</v>
      </c>
      <c r="M69" s="87">
        <v>0</v>
      </c>
      <c r="N69" s="181">
        <v>0</v>
      </c>
      <c r="O69" s="88">
        <v>0</v>
      </c>
      <c r="P69" s="88">
        <v>0</v>
      </c>
      <c r="Q69" s="88">
        <v>0</v>
      </c>
      <c r="R69" s="87">
        <v>0</v>
      </c>
      <c r="S69" s="180">
        <v>0</v>
      </c>
      <c r="T69" s="391">
        <v>0</v>
      </c>
      <c r="U69" s="88">
        <v>0</v>
      </c>
      <c r="V69" s="88">
        <v>0</v>
      </c>
      <c r="W69" s="87">
        <v>0</v>
      </c>
      <c r="X69" s="180">
        <v>0</v>
      </c>
      <c r="Y69" s="391">
        <v>0</v>
      </c>
      <c r="Z69" s="88">
        <v>0</v>
      </c>
      <c r="AA69" s="88">
        <v>0</v>
      </c>
      <c r="AB69" s="88">
        <v>0</v>
      </c>
      <c r="AC69" s="305">
        <f>SUM(Y69:AB69)</f>
        <v>0</v>
      </c>
      <c r="AD69" s="391">
        <v>0</v>
      </c>
      <c r="AE69" s="88">
        <v>0</v>
      </c>
      <c r="AF69" s="88">
        <v>0</v>
      </c>
      <c r="AG69" s="87">
        <v>0</v>
      </c>
      <c r="AH69" s="180">
        <f>SUM(AD69:AG69)</f>
        <v>0</v>
      </c>
      <c r="AI69" s="391">
        <v>0</v>
      </c>
      <c r="AJ69" s="88">
        <v>0</v>
      </c>
      <c r="AK69" s="88">
        <v>0</v>
      </c>
      <c r="AL69" s="87">
        <v>0</v>
      </c>
      <c r="AM69" s="180">
        <f>SUM(AI69:AL69)</f>
        <v>0</v>
      </c>
      <c r="AN69" s="391">
        <v>0</v>
      </c>
      <c r="AO69" s="88">
        <v>0</v>
      </c>
      <c r="AP69" s="88">
        <v>0</v>
      </c>
      <c r="AQ69" s="87">
        <v>0</v>
      </c>
      <c r="AR69" s="180">
        <f>SUM(AN69:AQ69)</f>
        <v>0</v>
      </c>
      <c r="AS69" s="391">
        <v>0</v>
      </c>
      <c r="AT69" s="88">
        <v>0</v>
      </c>
      <c r="AU69" s="88">
        <v>0</v>
      </c>
      <c r="AV69" s="87">
        <v>0</v>
      </c>
      <c r="AW69" s="180">
        <f>SUM(AS69:AV69)</f>
        <v>0</v>
      </c>
      <c r="AX69" s="391">
        <v>0</v>
      </c>
      <c r="AY69" s="88">
        <v>0</v>
      </c>
      <c r="AZ69" s="88">
        <v>0</v>
      </c>
      <c r="BA69" s="87">
        <v>0</v>
      </c>
      <c r="BB69" s="180">
        <f>SUM(AX69:BA69)</f>
        <v>0</v>
      </c>
      <c r="BC69" s="391">
        <v>0</v>
      </c>
      <c r="BD69" s="88">
        <v>0</v>
      </c>
      <c r="BE69" s="88">
        <v>0</v>
      </c>
      <c r="BF69" s="87">
        <v>0</v>
      </c>
      <c r="BG69" s="180">
        <f>SUM(BC69:BF69)</f>
        <v>0</v>
      </c>
      <c r="BH69" s="391">
        <v>0</v>
      </c>
      <c r="BI69" s="88">
        <v>0</v>
      </c>
      <c r="BJ69" s="88">
        <v>0</v>
      </c>
      <c r="BK69" s="87">
        <v>0</v>
      </c>
      <c r="BL69" s="180">
        <f>SUM(BH69:BK69)</f>
        <v>0</v>
      </c>
      <c r="BM69" s="391">
        <v>0</v>
      </c>
      <c r="BN69" s="88">
        <v>0</v>
      </c>
      <c r="BO69" s="88">
        <v>0</v>
      </c>
      <c r="BP69" s="87">
        <v>0</v>
      </c>
      <c r="BQ69" s="180">
        <f>SUM(BM69:BP69)</f>
        <v>0</v>
      </c>
      <c r="BR69" s="391">
        <v>0</v>
      </c>
      <c r="BS69" s="88">
        <v>0</v>
      </c>
      <c r="BT69" s="88">
        <v>0</v>
      </c>
      <c r="BU69" s="87">
        <v>0</v>
      </c>
      <c r="BV69" s="182">
        <f>SUM(BR69:BU69)</f>
        <v>0</v>
      </c>
      <c r="BW69" s="137"/>
      <c r="BX69" s="393"/>
    </row>
    <row r="70" spans="1:76" ht="13.5" hidden="1" customHeight="1" x14ac:dyDescent="0.2">
      <c r="A70" s="407" t="s">
        <v>285</v>
      </c>
      <c r="B70" s="358"/>
      <c r="D70" s="408"/>
      <c r="E70" s="88">
        <v>0</v>
      </c>
      <c r="F70" s="88">
        <v>0</v>
      </c>
      <c r="G70" s="88">
        <v>0</v>
      </c>
      <c r="H70" s="88">
        <v>0</v>
      </c>
      <c r="I70" s="181">
        <v>0</v>
      </c>
      <c r="J70" s="391">
        <v>0</v>
      </c>
      <c r="K70" s="88">
        <v>0</v>
      </c>
      <c r="L70" s="88">
        <v>0</v>
      </c>
      <c r="M70" s="88">
        <v>0</v>
      </c>
      <c r="N70" s="181">
        <v>0</v>
      </c>
      <c r="O70" s="88">
        <v>0</v>
      </c>
      <c r="P70" s="88">
        <v>0</v>
      </c>
      <c r="Q70" s="88">
        <v>0</v>
      </c>
      <c r="R70" s="88">
        <v>0</v>
      </c>
      <c r="S70" s="181">
        <v>0</v>
      </c>
      <c r="T70" s="88">
        <v>0</v>
      </c>
      <c r="U70" s="88">
        <v>0</v>
      </c>
      <c r="V70" s="88">
        <v>0</v>
      </c>
      <c r="W70" s="88">
        <v>0</v>
      </c>
      <c r="X70" s="181">
        <v>0</v>
      </c>
      <c r="Y70" s="88">
        <v>0</v>
      </c>
      <c r="Z70" s="88">
        <v>0</v>
      </c>
      <c r="AA70" s="88">
        <v>0</v>
      </c>
      <c r="AB70" s="88">
        <v>0</v>
      </c>
      <c r="AC70" s="181">
        <f>SUM(Y70:AB70)</f>
        <v>0</v>
      </c>
      <c r="AD70" s="88">
        <v>0</v>
      </c>
      <c r="AE70" s="88">
        <v>0</v>
      </c>
      <c r="AF70" s="88">
        <v>0</v>
      </c>
      <c r="AG70" s="88">
        <v>0</v>
      </c>
      <c r="AH70" s="181">
        <f>SUM(AD70:AG70)</f>
        <v>0</v>
      </c>
      <c r="AI70" s="88">
        <v>0</v>
      </c>
      <c r="AJ70" s="88">
        <v>0</v>
      </c>
      <c r="AK70" s="88">
        <v>0</v>
      </c>
      <c r="AL70" s="88">
        <v>0</v>
      </c>
      <c r="AM70" s="181">
        <f>SUM(AI70:AL70)</f>
        <v>0</v>
      </c>
      <c r="AN70" s="88">
        <v>0</v>
      </c>
      <c r="AO70" s="88">
        <v>0</v>
      </c>
      <c r="AP70" s="88">
        <v>0</v>
      </c>
      <c r="AQ70" s="88">
        <v>0</v>
      </c>
      <c r="AR70" s="181">
        <f>SUM(AN70:AQ70)</f>
        <v>0</v>
      </c>
      <c r="AS70" s="88">
        <v>0</v>
      </c>
      <c r="AT70" s="88">
        <v>0</v>
      </c>
      <c r="AU70" s="88">
        <v>0</v>
      </c>
      <c r="AV70" s="88">
        <v>0</v>
      </c>
      <c r="AW70" s="181">
        <f>SUM(AS70:AV70)</f>
        <v>0</v>
      </c>
      <c r="AX70" s="88">
        <v>0</v>
      </c>
      <c r="AY70" s="88">
        <v>0</v>
      </c>
      <c r="AZ70" s="88">
        <v>0</v>
      </c>
      <c r="BA70" s="88">
        <v>0</v>
      </c>
      <c r="BB70" s="181">
        <f>SUM(AX70:BA70)</f>
        <v>0</v>
      </c>
      <c r="BC70" s="88">
        <v>0</v>
      </c>
      <c r="BD70" s="88">
        <v>0</v>
      </c>
      <c r="BE70" s="88">
        <v>0</v>
      </c>
      <c r="BF70" s="88">
        <v>0</v>
      </c>
      <c r="BG70" s="181">
        <f>SUM(BC70:BF70)</f>
        <v>0</v>
      </c>
      <c r="BH70" s="88">
        <v>0</v>
      </c>
      <c r="BI70" s="88">
        <v>0</v>
      </c>
      <c r="BJ70" s="88">
        <v>0</v>
      </c>
      <c r="BK70" s="88">
        <v>0</v>
      </c>
      <c r="BL70" s="181">
        <f>SUM(BH70:BK70)</f>
        <v>0</v>
      </c>
      <c r="BM70" s="88">
        <v>0</v>
      </c>
      <c r="BN70" s="88">
        <v>0</v>
      </c>
      <c r="BO70" s="88">
        <v>0</v>
      </c>
      <c r="BP70" s="88">
        <v>0</v>
      </c>
      <c r="BQ70" s="181">
        <f>SUM(BM70:BP70)</f>
        <v>0</v>
      </c>
      <c r="BR70" s="88">
        <v>0</v>
      </c>
      <c r="BS70" s="88">
        <v>0</v>
      </c>
      <c r="BT70" s="88">
        <v>0</v>
      </c>
      <c r="BU70" s="88">
        <v>0</v>
      </c>
      <c r="BV70" s="182">
        <f>SUM(BR70:BU70)</f>
        <v>0</v>
      </c>
      <c r="BW70" s="137"/>
      <c r="BX70" s="393"/>
    </row>
    <row r="71" spans="1:76" ht="13.5" hidden="1" customHeight="1" x14ac:dyDescent="0.2">
      <c r="A71" s="407"/>
      <c r="B71" s="358"/>
      <c r="D71" s="408"/>
      <c r="E71" s="88">
        <v>0</v>
      </c>
      <c r="F71" s="88">
        <v>0</v>
      </c>
      <c r="G71" s="88">
        <v>0</v>
      </c>
      <c r="H71" s="88">
        <v>0</v>
      </c>
      <c r="I71" s="181">
        <v>0</v>
      </c>
      <c r="J71" s="391">
        <v>0</v>
      </c>
      <c r="K71" s="88">
        <v>0</v>
      </c>
      <c r="L71" s="88">
        <v>0</v>
      </c>
      <c r="M71" s="88">
        <v>0</v>
      </c>
      <c r="N71" s="181">
        <v>0</v>
      </c>
      <c r="O71" s="88">
        <v>0</v>
      </c>
      <c r="P71" s="88">
        <v>0</v>
      </c>
      <c r="Q71" s="88">
        <v>0</v>
      </c>
      <c r="R71" s="88">
        <v>0</v>
      </c>
      <c r="S71" s="181">
        <v>0</v>
      </c>
      <c r="T71" s="88">
        <v>0</v>
      </c>
      <c r="U71" s="88">
        <v>0</v>
      </c>
      <c r="V71" s="88">
        <v>0</v>
      </c>
      <c r="W71" s="88">
        <v>0</v>
      </c>
      <c r="X71" s="181">
        <v>0</v>
      </c>
      <c r="Y71" s="88">
        <v>0</v>
      </c>
      <c r="Z71" s="88">
        <v>0</v>
      </c>
      <c r="AA71" s="88">
        <v>0</v>
      </c>
      <c r="AB71" s="88">
        <v>0</v>
      </c>
      <c r="AC71" s="334">
        <f>SUM(Y71:AB71)</f>
        <v>0</v>
      </c>
      <c r="AD71" s="88">
        <v>0</v>
      </c>
      <c r="AE71" s="88">
        <v>0</v>
      </c>
      <c r="AF71" s="88">
        <v>0</v>
      </c>
      <c r="AG71" s="88">
        <v>0</v>
      </c>
      <c r="AH71" s="181">
        <f>SUM(AD71:AG71)</f>
        <v>0</v>
      </c>
      <c r="AI71" s="88">
        <v>0</v>
      </c>
      <c r="AJ71" s="88">
        <v>0</v>
      </c>
      <c r="AK71" s="88">
        <v>0</v>
      </c>
      <c r="AL71" s="88">
        <v>0</v>
      </c>
      <c r="AM71" s="181">
        <f>SUM(AI71:AL71)</f>
        <v>0</v>
      </c>
      <c r="AN71" s="88">
        <v>0</v>
      </c>
      <c r="AO71" s="88">
        <v>0</v>
      </c>
      <c r="AP71" s="88">
        <v>0</v>
      </c>
      <c r="AQ71" s="88">
        <v>0</v>
      </c>
      <c r="AR71" s="181">
        <f>SUM(AN71:AQ71)</f>
        <v>0</v>
      </c>
      <c r="AS71" s="88">
        <v>0</v>
      </c>
      <c r="AT71" s="88">
        <v>0</v>
      </c>
      <c r="AU71" s="88">
        <v>0</v>
      </c>
      <c r="AV71" s="88">
        <v>0</v>
      </c>
      <c r="AW71" s="181">
        <f>SUM(AS71:AV71)</f>
        <v>0</v>
      </c>
      <c r="AX71" s="88">
        <v>0</v>
      </c>
      <c r="AY71" s="88">
        <v>0</v>
      </c>
      <c r="AZ71" s="88">
        <v>0</v>
      </c>
      <c r="BA71" s="88">
        <v>0</v>
      </c>
      <c r="BB71" s="181">
        <f>SUM(AX71:BA71)</f>
        <v>0</v>
      </c>
      <c r="BC71" s="88">
        <v>0</v>
      </c>
      <c r="BD71" s="88">
        <v>0</v>
      </c>
      <c r="BE71" s="88">
        <v>0</v>
      </c>
      <c r="BF71" s="88">
        <v>0</v>
      </c>
      <c r="BG71" s="181">
        <f>SUM(BC71:BF71)</f>
        <v>0</v>
      </c>
      <c r="BH71" s="88">
        <v>0</v>
      </c>
      <c r="BI71" s="88">
        <v>0</v>
      </c>
      <c r="BJ71" s="88">
        <v>0</v>
      </c>
      <c r="BK71" s="88">
        <v>0</v>
      </c>
      <c r="BL71" s="181">
        <f>SUM(BH71:BK71)</f>
        <v>0</v>
      </c>
      <c r="BM71" s="88">
        <v>0</v>
      </c>
      <c r="BN71" s="88">
        <v>0</v>
      </c>
      <c r="BO71" s="88">
        <v>0</v>
      </c>
      <c r="BP71" s="88">
        <v>0</v>
      </c>
      <c r="BQ71" s="181">
        <f>SUM(BM71:BP71)</f>
        <v>0</v>
      </c>
      <c r="BR71" s="88">
        <v>0</v>
      </c>
      <c r="BS71" s="88">
        <v>0</v>
      </c>
      <c r="BT71" s="88">
        <v>0</v>
      </c>
      <c r="BU71" s="88">
        <v>0</v>
      </c>
      <c r="BV71" s="182">
        <f>SUM(BR71:BU71)</f>
        <v>0</v>
      </c>
      <c r="BW71" s="137"/>
      <c r="BX71" s="393"/>
    </row>
    <row r="72" spans="1:76" x14ac:dyDescent="0.2">
      <c r="A72" s="422" t="s">
        <v>286</v>
      </c>
      <c r="B72" s="429"/>
      <c r="C72" s="423"/>
      <c r="D72" s="430"/>
      <c r="E72" s="431">
        <f>+E68+E69+E70</f>
        <v>492203865</v>
      </c>
      <c r="F72" s="431">
        <f>+F68+F69+F70</f>
        <v>1215936106</v>
      </c>
      <c r="G72" s="431">
        <f>+G68+G69+G70</f>
        <v>15302808</v>
      </c>
      <c r="H72" s="431">
        <f>+H68+H69+H70</f>
        <v>42551631</v>
      </c>
      <c r="I72" s="432">
        <f>+I68+I69+I70</f>
        <v>1765994410</v>
      </c>
      <c r="J72" s="433">
        <f t="shared" ref="J72:BU72" si="43">+J68+J69+J70</f>
        <v>22081532.426999997</v>
      </c>
      <c r="K72" s="431">
        <f t="shared" si="43"/>
        <v>91841244</v>
      </c>
      <c r="L72" s="431">
        <f t="shared" si="43"/>
        <v>324568</v>
      </c>
      <c r="M72" s="431">
        <f t="shared" si="43"/>
        <v>4853</v>
      </c>
      <c r="N72" s="432">
        <f t="shared" si="43"/>
        <v>114252197.427</v>
      </c>
      <c r="O72" s="431">
        <f t="shared" si="43"/>
        <v>21313327.129999999</v>
      </c>
      <c r="P72" s="431">
        <f t="shared" si="43"/>
        <v>97185042</v>
      </c>
      <c r="Q72" s="431">
        <f t="shared" si="43"/>
        <v>861947</v>
      </c>
      <c r="R72" s="431">
        <f t="shared" si="43"/>
        <v>1115210</v>
      </c>
      <c r="S72" s="432">
        <f t="shared" si="43"/>
        <v>120475526.13</v>
      </c>
      <c r="T72" s="431">
        <f t="shared" si="43"/>
        <v>0</v>
      </c>
      <c r="U72" s="431">
        <f t="shared" si="43"/>
        <v>0</v>
      </c>
      <c r="V72" s="431">
        <f t="shared" si="43"/>
        <v>0</v>
      </c>
      <c r="W72" s="431">
        <f t="shared" si="43"/>
        <v>0</v>
      </c>
      <c r="X72" s="432">
        <f t="shared" si="43"/>
        <v>0</v>
      </c>
      <c r="Y72" s="431">
        <f t="shared" si="43"/>
        <v>0</v>
      </c>
      <c r="Z72" s="431">
        <f t="shared" si="43"/>
        <v>0</v>
      </c>
      <c r="AA72" s="431">
        <f t="shared" si="43"/>
        <v>0</v>
      </c>
      <c r="AB72" s="431">
        <f t="shared" si="43"/>
        <v>0</v>
      </c>
      <c r="AC72" s="432">
        <f t="shared" si="43"/>
        <v>0</v>
      </c>
      <c r="AD72" s="431">
        <f t="shared" si="43"/>
        <v>0</v>
      </c>
      <c r="AE72" s="431">
        <f t="shared" si="43"/>
        <v>0</v>
      </c>
      <c r="AF72" s="431">
        <f t="shared" si="43"/>
        <v>0</v>
      </c>
      <c r="AG72" s="431">
        <f t="shared" si="43"/>
        <v>0</v>
      </c>
      <c r="AH72" s="432">
        <f t="shared" si="43"/>
        <v>0</v>
      </c>
      <c r="AI72" s="431">
        <f t="shared" si="43"/>
        <v>0</v>
      </c>
      <c r="AJ72" s="431">
        <f t="shared" si="43"/>
        <v>0</v>
      </c>
      <c r="AK72" s="431">
        <f t="shared" si="43"/>
        <v>0</v>
      </c>
      <c r="AL72" s="431">
        <f t="shared" si="43"/>
        <v>0</v>
      </c>
      <c r="AM72" s="432">
        <f t="shared" si="43"/>
        <v>0</v>
      </c>
      <c r="AN72" s="431">
        <f t="shared" si="43"/>
        <v>0</v>
      </c>
      <c r="AO72" s="431">
        <f t="shared" si="43"/>
        <v>0</v>
      </c>
      <c r="AP72" s="431">
        <f t="shared" si="43"/>
        <v>0</v>
      </c>
      <c r="AQ72" s="431">
        <f t="shared" si="43"/>
        <v>0</v>
      </c>
      <c r="AR72" s="432">
        <f t="shared" si="43"/>
        <v>0</v>
      </c>
      <c r="AS72" s="431">
        <f t="shared" si="43"/>
        <v>0</v>
      </c>
      <c r="AT72" s="431">
        <f t="shared" si="43"/>
        <v>0</v>
      </c>
      <c r="AU72" s="431">
        <f t="shared" si="43"/>
        <v>0</v>
      </c>
      <c r="AV72" s="431">
        <f t="shared" si="43"/>
        <v>0</v>
      </c>
      <c r="AW72" s="432">
        <f t="shared" si="43"/>
        <v>0</v>
      </c>
      <c r="AX72" s="431">
        <f t="shared" si="43"/>
        <v>0</v>
      </c>
      <c r="AY72" s="431">
        <f t="shared" si="43"/>
        <v>0</v>
      </c>
      <c r="AZ72" s="431">
        <f t="shared" si="43"/>
        <v>0</v>
      </c>
      <c r="BA72" s="431">
        <f t="shared" si="43"/>
        <v>0</v>
      </c>
      <c r="BB72" s="432">
        <f t="shared" si="43"/>
        <v>0</v>
      </c>
      <c r="BC72" s="431">
        <f t="shared" si="43"/>
        <v>0</v>
      </c>
      <c r="BD72" s="431">
        <f t="shared" si="43"/>
        <v>0</v>
      </c>
      <c r="BE72" s="431">
        <f t="shared" si="43"/>
        <v>0</v>
      </c>
      <c r="BF72" s="431">
        <f t="shared" si="43"/>
        <v>0</v>
      </c>
      <c r="BG72" s="432">
        <f t="shared" si="43"/>
        <v>0</v>
      </c>
      <c r="BH72" s="431">
        <f t="shared" si="43"/>
        <v>0</v>
      </c>
      <c r="BI72" s="431">
        <f t="shared" si="43"/>
        <v>0</v>
      </c>
      <c r="BJ72" s="431">
        <f t="shared" si="43"/>
        <v>0</v>
      </c>
      <c r="BK72" s="431">
        <f t="shared" si="43"/>
        <v>0</v>
      </c>
      <c r="BL72" s="432">
        <f t="shared" si="43"/>
        <v>0</v>
      </c>
      <c r="BM72" s="431">
        <f t="shared" si="43"/>
        <v>0</v>
      </c>
      <c r="BN72" s="431">
        <f t="shared" si="43"/>
        <v>0</v>
      </c>
      <c r="BO72" s="431">
        <f t="shared" si="43"/>
        <v>0</v>
      </c>
      <c r="BP72" s="431">
        <f t="shared" si="43"/>
        <v>0</v>
      </c>
      <c r="BQ72" s="432">
        <f t="shared" si="43"/>
        <v>0</v>
      </c>
      <c r="BR72" s="431">
        <f t="shared" si="43"/>
        <v>43394859.556999996</v>
      </c>
      <c r="BS72" s="431">
        <f t="shared" si="43"/>
        <v>189026286</v>
      </c>
      <c r="BT72" s="431">
        <f t="shared" si="43"/>
        <v>1186515</v>
      </c>
      <c r="BU72" s="431">
        <f t="shared" si="43"/>
        <v>1120063</v>
      </c>
      <c r="BV72" s="434">
        <f t="shared" ref="BV72:DB72" si="44">+BV68+BV69+BV70</f>
        <v>234727722.55699998</v>
      </c>
      <c r="BW72" s="435"/>
      <c r="BX72" s="393"/>
    </row>
    <row r="73" spans="1:76" ht="12" customHeight="1" x14ac:dyDescent="0.2">
      <c r="A73" s="436" t="s">
        <v>287</v>
      </c>
      <c r="B73" s="437"/>
      <c r="C73" s="437"/>
      <c r="D73" s="389"/>
      <c r="E73" s="438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39"/>
      <c r="AL73" s="439"/>
      <c r="AM73" s="439"/>
      <c r="AN73" s="439"/>
      <c r="AO73" s="439"/>
      <c r="AP73" s="439"/>
      <c r="AQ73" s="439"/>
      <c r="AR73" s="439"/>
      <c r="AS73" s="439"/>
      <c r="AT73" s="439"/>
      <c r="AU73" s="439"/>
      <c r="AV73" s="439"/>
      <c r="AW73" s="439"/>
      <c r="AX73" s="439"/>
      <c r="AY73" s="439"/>
      <c r="AZ73" s="439"/>
      <c r="BA73" s="439"/>
      <c r="BB73" s="439"/>
      <c r="BC73" s="439"/>
      <c r="BD73" s="439"/>
      <c r="BE73" s="439"/>
      <c r="BF73" s="439"/>
      <c r="BG73" s="439"/>
      <c r="BH73" s="439"/>
      <c r="BI73" s="439"/>
      <c r="BJ73" s="439"/>
      <c r="BK73" s="439"/>
      <c r="BL73" s="439"/>
      <c r="BM73" s="439"/>
      <c r="BN73" s="439"/>
      <c r="BO73" s="439"/>
      <c r="BP73" s="439"/>
      <c r="BQ73" s="439"/>
      <c r="BR73" s="439"/>
      <c r="BS73" s="439"/>
      <c r="BT73" s="439"/>
      <c r="BU73" s="439"/>
      <c r="BV73" s="439"/>
      <c r="BX73" s="393"/>
    </row>
    <row r="74" spans="1:76" x14ac:dyDescent="0.2">
      <c r="A74" s="414" t="s">
        <v>288</v>
      </c>
      <c r="B74" s="440"/>
      <c r="C74" s="440"/>
      <c r="D74" s="440"/>
      <c r="E74" s="440"/>
      <c r="F74" s="440"/>
      <c r="G74" s="440"/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39"/>
      <c r="Z74" s="439"/>
      <c r="AA74" s="439"/>
      <c r="AB74" s="439"/>
      <c r="AC74" s="439"/>
      <c r="AD74" s="439"/>
      <c r="AE74" s="439"/>
      <c r="AF74" s="439"/>
      <c r="AG74" s="439"/>
      <c r="AH74" s="439"/>
      <c r="AI74" s="439"/>
      <c r="AJ74" s="439"/>
      <c r="AK74" s="439"/>
      <c r="AL74" s="439"/>
      <c r="AM74" s="439"/>
      <c r="AN74" s="439"/>
      <c r="AO74" s="439"/>
      <c r="AP74" s="439"/>
      <c r="AQ74" s="439"/>
      <c r="AR74" s="439"/>
      <c r="AS74" s="439"/>
      <c r="AT74" s="439"/>
      <c r="AU74" s="439"/>
      <c r="AV74" s="439"/>
      <c r="AW74" s="439"/>
      <c r="AX74" s="439"/>
      <c r="AY74" s="439"/>
      <c r="AZ74" s="439"/>
      <c r="BA74" s="439"/>
      <c r="BB74" s="439"/>
      <c r="BC74" s="439"/>
      <c r="BD74" s="439"/>
      <c r="BE74" s="439"/>
      <c r="BF74" s="439"/>
      <c r="BG74" s="439"/>
      <c r="BH74" s="439"/>
      <c r="BI74" s="439"/>
      <c r="BJ74" s="439"/>
      <c r="BK74" s="439"/>
      <c r="BL74" s="439"/>
      <c r="BM74" s="439"/>
      <c r="BN74" s="439"/>
      <c r="BO74" s="439"/>
      <c r="BP74" s="439"/>
      <c r="BQ74" s="439"/>
      <c r="BR74" s="439"/>
      <c r="BS74" s="439"/>
      <c r="BT74" s="439"/>
      <c r="BU74" s="439"/>
      <c r="BV74" s="439"/>
      <c r="BX74" s="393"/>
    </row>
    <row r="75" spans="1:76" x14ac:dyDescent="0.2">
      <c r="A75" s="414" t="s">
        <v>289</v>
      </c>
      <c r="B75" s="440"/>
      <c r="C75" s="440"/>
      <c r="D75" s="440"/>
      <c r="E75" s="440"/>
      <c r="F75" s="440"/>
      <c r="G75" s="440"/>
      <c r="H75" s="440"/>
      <c r="I75" s="21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  <c r="AA75" s="439"/>
      <c r="AB75" s="439"/>
      <c r="AC75" s="439"/>
      <c r="AD75" s="439"/>
      <c r="AE75" s="439"/>
      <c r="AF75" s="439"/>
      <c r="AG75" s="439"/>
      <c r="AH75" s="439"/>
      <c r="AI75" s="439"/>
      <c r="AK75" s="439"/>
      <c r="AL75" s="439"/>
      <c r="AM75" s="439"/>
      <c r="AN75" s="439"/>
      <c r="AO75" s="439"/>
      <c r="AP75" s="439"/>
      <c r="AQ75" s="439"/>
      <c r="AR75" s="439"/>
      <c r="AS75" s="439"/>
      <c r="AT75" s="439"/>
      <c r="AU75" s="439"/>
      <c r="AV75" s="439"/>
      <c r="AW75" s="439"/>
      <c r="AX75" s="439"/>
      <c r="AY75" s="439"/>
      <c r="AZ75" s="439"/>
      <c r="BA75" s="439"/>
      <c r="BB75" s="439"/>
      <c r="BC75" s="439"/>
      <c r="BD75" s="439"/>
      <c r="BE75" s="439"/>
      <c r="BF75" s="439"/>
      <c r="BG75" s="439"/>
      <c r="BH75" s="439"/>
      <c r="BI75" s="439"/>
      <c r="BJ75" s="439"/>
      <c r="BK75" s="439"/>
      <c r="BL75" s="439"/>
      <c r="BM75" s="439"/>
      <c r="BN75" s="439"/>
      <c r="BO75" s="439"/>
      <c r="BP75" s="439"/>
      <c r="BQ75" s="439"/>
      <c r="BR75" s="439"/>
      <c r="BS75" s="439"/>
      <c r="BT75" s="439"/>
      <c r="BU75" s="439"/>
      <c r="BV75" s="439"/>
      <c r="BX75" s="393"/>
    </row>
    <row r="76" spans="1:76" x14ac:dyDescent="0.2">
      <c r="A76" s="415" t="s">
        <v>290</v>
      </c>
      <c r="B76" s="415"/>
      <c r="C76" s="415"/>
      <c r="D76" s="415"/>
      <c r="E76" s="415"/>
      <c r="F76" s="415"/>
      <c r="G76" s="415"/>
      <c r="H76" s="415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39"/>
      <c r="Z76" s="439"/>
      <c r="AA76" s="439"/>
      <c r="AB76" s="439"/>
      <c r="AC76" s="439"/>
      <c r="AD76" s="439"/>
      <c r="AE76" s="439"/>
      <c r="AF76" s="439"/>
      <c r="AG76" s="439"/>
      <c r="AH76" s="439"/>
      <c r="AI76" s="439"/>
      <c r="AJ76" s="439"/>
      <c r="AK76" s="439"/>
      <c r="AL76" s="439"/>
      <c r="AM76" s="439"/>
      <c r="AN76" s="439"/>
      <c r="AO76" s="439"/>
      <c r="AP76" s="439"/>
      <c r="AQ76" s="439"/>
      <c r="AR76" s="439"/>
      <c r="AS76" s="439"/>
      <c r="AT76" s="439"/>
      <c r="AU76" s="439"/>
      <c r="AV76" s="439"/>
      <c r="AW76" s="439"/>
      <c r="AX76" s="439"/>
      <c r="AY76" s="439"/>
      <c r="AZ76" s="439"/>
      <c r="BA76" s="439"/>
      <c r="BB76" s="439"/>
      <c r="BC76" s="439"/>
      <c r="BD76" s="439"/>
      <c r="BE76" s="439"/>
      <c r="BF76" s="439"/>
      <c r="BG76" s="439"/>
      <c r="BH76" s="439"/>
      <c r="BI76" s="439"/>
      <c r="BJ76" s="439"/>
      <c r="BK76" s="439"/>
      <c r="BL76" s="439"/>
      <c r="BM76" s="439"/>
      <c r="BN76" s="439"/>
      <c r="BO76" s="439"/>
      <c r="BP76" s="439"/>
      <c r="BQ76" s="439"/>
      <c r="BR76" s="439"/>
      <c r="BS76" s="439"/>
      <c r="BT76" s="439"/>
      <c r="BU76" s="439"/>
      <c r="BV76" s="439"/>
      <c r="BX76" s="393"/>
    </row>
    <row r="77" spans="1:76" x14ac:dyDescent="0.2">
      <c r="A77" s="414"/>
      <c r="B77" s="440"/>
      <c r="C77" s="440"/>
      <c r="D77" s="440"/>
      <c r="E77" s="440"/>
      <c r="F77" s="440"/>
      <c r="G77" s="440"/>
      <c r="H77" s="440"/>
      <c r="I77" s="21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39"/>
      <c r="Z77" s="439"/>
      <c r="AA77" s="439"/>
      <c r="AB77" s="439"/>
      <c r="AC77" s="439"/>
      <c r="AD77" s="439"/>
      <c r="AE77" s="439"/>
      <c r="AF77" s="439"/>
      <c r="AG77" s="439"/>
      <c r="AH77" s="439"/>
      <c r="AI77" s="439"/>
      <c r="AK77" s="439"/>
      <c r="AL77" s="439"/>
      <c r="AM77" s="439"/>
      <c r="AN77" s="439"/>
      <c r="AO77" s="439"/>
      <c r="AP77" s="439"/>
      <c r="AQ77" s="439"/>
      <c r="AR77" s="439"/>
      <c r="AS77" s="439"/>
      <c r="AT77" s="439"/>
      <c r="AU77" s="439"/>
      <c r="AV77" s="439"/>
      <c r="AW77" s="439"/>
      <c r="AX77" s="439"/>
      <c r="AY77" s="439"/>
      <c r="AZ77" s="439"/>
      <c r="BA77" s="439"/>
      <c r="BB77" s="439"/>
      <c r="BC77" s="439"/>
      <c r="BD77" s="439"/>
      <c r="BE77" s="439"/>
      <c r="BF77" s="439"/>
      <c r="BG77" s="439"/>
      <c r="BH77" s="439"/>
      <c r="BI77" s="439"/>
      <c r="BJ77" s="439"/>
      <c r="BK77" s="439"/>
      <c r="BL77" s="439"/>
      <c r="BM77" s="439"/>
      <c r="BN77" s="439"/>
      <c r="BO77" s="439"/>
      <c r="BP77" s="439"/>
      <c r="BQ77" s="439"/>
      <c r="BR77" s="439"/>
      <c r="BS77" s="439"/>
      <c r="BT77" s="439"/>
      <c r="BU77" s="439"/>
      <c r="BV77" s="439"/>
      <c r="BX77" s="393"/>
    </row>
    <row r="78" spans="1:76" x14ac:dyDescent="0.2">
      <c r="BX78" s="393"/>
    </row>
    <row r="79" spans="1:76" x14ac:dyDescent="0.2">
      <c r="BX79" s="393"/>
    </row>
    <row r="80" spans="1:76" x14ac:dyDescent="0.2">
      <c r="B80" s="91"/>
      <c r="C80" s="389"/>
      <c r="D80" s="389"/>
      <c r="E80" s="438"/>
      <c r="F80" s="439"/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39"/>
      <c r="Z80" s="439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39"/>
      <c r="AL80" s="439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39"/>
      <c r="AX80" s="439"/>
      <c r="AY80" s="439"/>
      <c r="AZ80" s="439"/>
      <c r="BA80" s="439"/>
      <c r="BB80" s="439"/>
      <c r="BC80" s="439"/>
      <c r="BD80" s="439"/>
      <c r="BE80" s="439"/>
      <c r="BF80" s="439"/>
      <c r="BG80" s="439"/>
      <c r="BH80" s="439"/>
      <c r="BI80" s="439"/>
      <c r="BJ80" s="439"/>
      <c r="BK80" s="439"/>
      <c r="BL80" s="439"/>
      <c r="BM80" s="439"/>
      <c r="BN80" s="439"/>
      <c r="BO80" s="439"/>
      <c r="BP80" s="439"/>
      <c r="BQ80" s="439"/>
      <c r="BR80" s="439"/>
      <c r="BS80" s="439"/>
      <c r="BT80" s="439"/>
      <c r="BU80" s="439"/>
      <c r="BV80" s="439"/>
      <c r="BW80" s="358"/>
      <c r="BX80" s="393"/>
    </row>
    <row r="81" spans="2:76" x14ac:dyDescent="0.2">
      <c r="B81" s="91"/>
      <c r="C81" s="389"/>
      <c r="D81" s="389"/>
      <c r="E81" s="438"/>
      <c r="F81" s="439"/>
      <c r="G81" s="439"/>
      <c r="H81" s="439"/>
      <c r="I81" s="439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39"/>
      <c r="Z81" s="439"/>
      <c r="AA81" s="439"/>
      <c r="AB81" s="439"/>
      <c r="AC81" s="439"/>
      <c r="AD81" s="439"/>
      <c r="AE81" s="439"/>
      <c r="AF81" s="439"/>
      <c r="AG81" s="439"/>
      <c r="AH81" s="439"/>
      <c r="AI81" s="439"/>
      <c r="AJ81" s="439"/>
      <c r="AK81" s="439"/>
      <c r="AL81" s="439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39"/>
      <c r="AX81" s="439"/>
      <c r="AY81" s="439"/>
      <c r="AZ81" s="439"/>
      <c r="BA81" s="439"/>
      <c r="BB81" s="439"/>
      <c r="BC81" s="439"/>
      <c r="BD81" s="439"/>
      <c r="BE81" s="439"/>
      <c r="BF81" s="439"/>
      <c r="BG81" s="439"/>
      <c r="BH81" s="439"/>
      <c r="BI81" s="439"/>
      <c r="BJ81" s="439"/>
      <c r="BK81" s="439"/>
      <c r="BL81" s="439"/>
      <c r="BM81" s="439"/>
      <c r="BN81" s="439"/>
      <c r="BO81" s="439"/>
      <c r="BP81" s="439"/>
      <c r="BQ81" s="439"/>
      <c r="BR81" s="439"/>
      <c r="BS81" s="439"/>
      <c r="BT81" s="439"/>
      <c r="BU81" s="439"/>
      <c r="BV81" s="439"/>
      <c r="BW81" s="358"/>
      <c r="BX81" s="393"/>
    </row>
    <row r="82" spans="2:76" x14ac:dyDescent="0.2">
      <c r="B82" s="91"/>
      <c r="C82" s="389"/>
      <c r="D82" s="389"/>
      <c r="E82" s="438"/>
      <c r="F82" s="439"/>
      <c r="G82" s="439"/>
      <c r="H82" s="439"/>
      <c r="I82" s="439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39"/>
      <c r="Z82" s="439"/>
      <c r="AA82" s="439"/>
      <c r="AB82" s="439"/>
      <c r="AC82" s="439"/>
      <c r="AD82" s="439"/>
      <c r="AE82" s="439"/>
      <c r="AF82" s="439"/>
      <c r="AG82" s="439"/>
      <c r="AH82" s="439"/>
      <c r="AI82" s="439"/>
      <c r="AJ82" s="439"/>
      <c r="AK82" s="439"/>
      <c r="AL82" s="439"/>
      <c r="AM82" s="439"/>
      <c r="AN82" s="439"/>
      <c r="AO82" s="439"/>
      <c r="AP82" s="439"/>
      <c r="AQ82" s="439"/>
      <c r="AR82" s="439"/>
      <c r="AS82" s="439"/>
      <c r="AT82" s="439"/>
      <c r="AU82" s="439"/>
      <c r="AV82" s="439"/>
      <c r="AW82" s="439"/>
      <c r="AX82" s="439"/>
      <c r="AY82" s="439"/>
      <c r="AZ82" s="439"/>
      <c r="BA82" s="439"/>
      <c r="BB82" s="439"/>
      <c r="BC82" s="439"/>
      <c r="BD82" s="439"/>
      <c r="BE82" s="439"/>
      <c r="BF82" s="439"/>
      <c r="BG82" s="439"/>
      <c r="BH82" s="439"/>
      <c r="BI82" s="439"/>
      <c r="BJ82" s="439"/>
      <c r="BK82" s="439"/>
      <c r="BL82" s="439"/>
      <c r="BM82" s="439"/>
      <c r="BN82" s="439"/>
      <c r="BO82" s="439"/>
      <c r="BP82" s="439"/>
      <c r="BQ82" s="439"/>
      <c r="BR82" s="439"/>
      <c r="BS82" s="439"/>
      <c r="BT82" s="439"/>
      <c r="BU82" s="439"/>
      <c r="BV82" s="439"/>
      <c r="BW82" s="358"/>
      <c r="BX82" s="393"/>
    </row>
    <row r="83" spans="2:76" x14ac:dyDescent="0.2">
      <c r="B83" s="91"/>
      <c r="C83" s="389"/>
      <c r="D83" s="389"/>
      <c r="E83" s="438"/>
      <c r="F83" s="439"/>
      <c r="G83" s="439"/>
      <c r="H83" s="439"/>
      <c r="I83" s="439"/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39"/>
      <c r="Z83" s="439"/>
      <c r="AA83" s="439"/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39"/>
      <c r="AY83" s="439"/>
      <c r="AZ83" s="439"/>
      <c r="BA83" s="439"/>
      <c r="BB83" s="439"/>
      <c r="BC83" s="439"/>
      <c r="BD83" s="439"/>
      <c r="BE83" s="439"/>
      <c r="BF83" s="439"/>
      <c r="BG83" s="439"/>
      <c r="BH83" s="439"/>
      <c r="BI83" s="439"/>
      <c r="BJ83" s="439"/>
      <c r="BK83" s="439"/>
      <c r="BL83" s="439"/>
      <c r="BM83" s="439"/>
      <c r="BN83" s="439"/>
      <c r="BO83" s="439"/>
      <c r="BP83" s="439"/>
      <c r="BQ83" s="439"/>
      <c r="BR83" s="439"/>
      <c r="BS83" s="439"/>
      <c r="BT83" s="439"/>
      <c r="BU83" s="439"/>
      <c r="BV83" s="439"/>
      <c r="BW83" s="358"/>
      <c r="BX83" s="393"/>
    </row>
    <row r="84" spans="2:76" x14ac:dyDescent="0.2">
      <c r="B84" s="91"/>
      <c r="C84" s="389"/>
      <c r="D84" s="389"/>
      <c r="E84" s="438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39"/>
      <c r="BB84" s="439"/>
      <c r="BC84" s="439"/>
      <c r="BD84" s="439"/>
      <c r="BE84" s="439"/>
      <c r="BF84" s="439"/>
      <c r="BG84" s="439"/>
      <c r="BH84" s="439"/>
      <c r="BI84" s="439"/>
      <c r="BJ84" s="439"/>
      <c r="BK84" s="439"/>
      <c r="BL84" s="439"/>
      <c r="BM84" s="439"/>
      <c r="BN84" s="439"/>
      <c r="BO84" s="439"/>
      <c r="BP84" s="439"/>
      <c r="BQ84" s="439"/>
      <c r="BR84" s="439"/>
      <c r="BS84" s="439"/>
      <c r="BT84" s="439"/>
      <c r="BU84" s="439"/>
      <c r="BV84" s="439"/>
      <c r="BW84" s="358"/>
      <c r="BX84" s="393"/>
    </row>
    <row r="85" spans="2:76" x14ac:dyDescent="0.2">
      <c r="B85" s="91"/>
      <c r="C85" s="389"/>
      <c r="D85" s="389"/>
      <c r="E85" s="438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39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39"/>
      <c r="BB85" s="439"/>
      <c r="BC85" s="439"/>
      <c r="BD85" s="439"/>
      <c r="BE85" s="439"/>
      <c r="BF85" s="439"/>
      <c r="BG85" s="439"/>
      <c r="BH85" s="439"/>
      <c r="BI85" s="439"/>
      <c r="BJ85" s="439"/>
      <c r="BK85" s="439"/>
      <c r="BL85" s="439"/>
      <c r="BM85" s="439"/>
      <c r="BN85" s="439"/>
      <c r="BO85" s="439"/>
      <c r="BP85" s="439"/>
      <c r="BQ85" s="439"/>
      <c r="BR85" s="439"/>
      <c r="BS85" s="439"/>
      <c r="BT85" s="439"/>
      <c r="BU85" s="439"/>
      <c r="BV85" s="439"/>
      <c r="BW85" s="358"/>
      <c r="BX85" s="393"/>
    </row>
    <row r="86" spans="2:76" x14ac:dyDescent="0.2">
      <c r="B86" s="91"/>
      <c r="C86" s="389"/>
      <c r="D86" s="389"/>
      <c r="E86" s="438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439"/>
      <c r="AK86" s="4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39"/>
      <c r="BB86" s="439"/>
      <c r="BC86" s="439"/>
      <c r="BD86" s="439"/>
      <c r="BE86" s="439"/>
      <c r="BF86" s="439"/>
      <c r="BG86" s="439"/>
      <c r="BH86" s="439"/>
      <c r="BI86" s="439"/>
      <c r="BJ86" s="439"/>
      <c r="BK86" s="439"/>
      <c r="BL86" s="439"/>
      <c r="BM86" s="439"/>
      <c r="BN86" s="439"/>
      <c r="BO86" s="439"/>
      <c r="BP86" s="439"/>
      <c r="BQ86" s="439"/>
      <c r="BR86" s="439"/>
      <c r="BS86" s="439"/>
      <c r="BT86" s="439"/>
      <c r="BU86" s="439"/>
      <c r="BV86" s="439"/>
      <c r="BX86" s="393"/>
    </row>
    <row r="87" spans="2:76" x14ac:dyDescent="0.2">
      <c r="B87" s="91"/>
      <c r="C87" s="389"/>
      <c r="D87" s="389"/>
      <c r="E87" s="438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  <c r="AA87" s="439"/>
      <c r="AB87" s="439"/>
      <c r="AC87" s="439"/>
      <c r="AD87" s="439"/>
      <c r="AE87" s="439"/>
      <c r="AF87" s="439"/>
      <c r="AG87" s="439"/>
      <c r="AH87" s="439"/>
      <c r="AI87" s="439"/>
      <c r="AJ87" s="439"/>
      <c r="AK87" s="439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39"/>
      <c r="BB87" s="439"/>
      <c r="BC87" s="439"/>
      <c r="BD87" s="439"/>
      <c r="BE87" s="439"/>
      <c r="BF87" s="439"/>
      <c r="BG87" s="439"/>
      <c r="BH87" s="439"/>
      <c r="BI87" s="439"/>
      <c r="BJ87" s="439"/>
      <c r="BK87" s="439"/>
      <c r="BL87" s="439"/>
      <c r="BM87" s="439"/>
      <c r="BN87" s="439"/>
      <c r="BO87" s="439"/>
      <c r="BP87" s="439"/>
      <c r="BQ87" s="439"/>
      <c r="BR87" s="439"/>
      <c r="BS87" s="439"/>
      <c r="BT87" s="439"/>
      <c r="BU87" s="439"/>
      <c r="BV87" s="439"/>
      <c r="BX87" s="393"/>
    </row>
    <row r="88" spans="2:76" x14ac:dyDescent="0.2">
      <c r="B88" s="91"/>
      <c r="C88" s="389"/>
      <c r="D88" s="389"/>
      <c r="E88" s="438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  <c r="AA88" s="439"/>
      <c r="AB88" s="439"/>
      <c r="AC88" s="439"/>
      <c r="AD88" s="439"/>
      <c r="AE88" s="439"/>
      <c r="AF88" s="439"/>
      <c r="AG88" s="439"/>
      <c r="AH88" s="439"/>
      <c r="AI88" s="439"/>
      <c r="AJ88" s="439"/>
      <c r="AK88" s="439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439"/>
      <c r="BA88" s="439"/>
      <c r="BB88" s="439"/>
      <c r="BC88" s="439"/>
      <c r="BD88" s="439"/>
      <c r="BE88" s="439"/>
      <c r="BF88" s="439"/>
      <c r="BG88" s="439"/>
      <c r="BH88" s="439"/>
      <c r="BI88" s="439"/>
      <c r="BJ88" s="439"/>
      <c r="BK88" s="439"/>
      <c r="BL88" s="439"/>
      <c r="BM88" s="439"/>
      <c r="BN88" s="439"/>
      <c r="BO88" s="439"/>
      <c r="BP88" s="439"/>
      <c r="BQ88" s="439"/>
      <c r="BR88" s="439"/>
      <c r="BS88" s="439"/>
      <c r="BT88" s="439"/>
      <c r="BU88" s="439"/>
      <c r="BV88" s="439"/>
      <c r="BX88" s="393"/>
    </row>
    <row r="89" spans="2:76" x14ac:dyDescent="0.2">
      <c r="B89" s="91"/>
      <c r="C89" s="389"/>
      <c r="D89" s="389"/>
      <c r="E89" s="438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X89" s="393"/>
    </row>
    <row r="90" spans="2:76" x14ac:dyDescent="0.2">
      <c r="B90" s="91"/>
      <c r="C90" s="389"/>
      <c r="D90" s="389"/>
      <c r="E90" s="438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  <c r="AA90" s="439"/>
      <c r="AB90" s="439"/>
      <c r="AC90" s="439"/>
      <c r="AD90" s="439"/>
      <c r="AE90" s="439"/>
      <c r="AF90" s="439"/>
      <c r="AG90" s="439"/>
      <c r="AH90" s="439"/>
      <c r="AI90" s="439"/>
      <c r="AJ90" s="439"/>
      <c r="AK90" s="439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439"/>
      <c r="BC90" s="439"/>
      <c r="BD90" s="439"/>
      <c r="BE90" s="439"/>
      <c r="BF90" s="439"/>
      <c r="BG90" s="439"/>
      <c r="BH90" s="439"/>
      <c r="BI90" s="439"/>
      <c r="BJ90" s="439"/>
      <c r="BK90" s="439"/>
      <c r="BL90" s="439"/>
      <c r="BM90" s="439"/>
      <c r="BN90" s="439"/>
      <c r="BO90" s="439"/>
      <c r="BP90" s="439"/>
      <c r="BQ90" s="439"/>
      <c r="BR90" s="439"/>
      <c r="BS90" s="439"/>
      <c r="BT90" s="439"/>
      <c r="BU90" s="439"/>
      <c r="BV90" s="439"/>
      <c r="BX90" s="393"/>
    </row>
    <row r="91" spans="2:76" x14ac:dyDescent="0.2">
      <c r="B91" s="91"/>
      <c r="C91" s="389"/>
      <c r="D91" s="389"/>
      <c r="E91" s="438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X91" s="393"/>
    </row>
    <row r="92" spans="2:76" x14ac:dyDescent="0.2">
      <c r="B92" s="91"/>
      <c r="C92" s="389"/>
      <c r="D92" s="389"/>
      <c r="E92" s="438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X92" s="393"/>
    </row>
    <row r="93" spans="2:76" x14ac:dyDescent="0.2">
      <c r="B93" s="91"/>
      <c r="C93" s="389"/>
      <c r="D93" s="389"/>
      <c r="E93" s="438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  <c r="AA93" s="439"/>
      <c r="AB93" s="439"/>
      <c r="AC93" s="439"/>
      <c r="AD93" s="439"/>
      <c r="AE93" s="439"/>
      <c r="AF93" s="439"/>
      <c r="AG93" s="439"/>
      <c r="AH93" s="439"/>
      <c r="AI93" s="439"/>
      <c r="AJ93" s="439"/>
      <c r="AK93" s="439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439"/>
      <c r="BA93" s="439"/>
      <c r="BB93" s="439"/>
      <c r="BC93" s="439"/>
      <c r="BD93" s="439"/>
      <c r="BE93" s="439"/>
      <c r="BF93" s="439"/>
      <c r="BG93" s="439"/>
      <c r="BH93" s="439"/>
      <c r="BI93" s="439"/>
      <c r="BJ93" s="439"/>
      <c r="BK93" s="439"/>
      <c r="BL93" s="439"/>
      <c r="BM93" s="439"/>
      <c r="BN93" s="439"/>
      <c r="BO93" s="439"/>
      <c r="BP93" s="439"/>
      <c r="BQ93" s="439"/>
      <c r="BR93" s="439"/>
      <c r="BS93" s="439"/>
      <c r="BT93" s="439"/>
      <c r="BU93" s="439"/>
      <c r="BV93" s="439"/>
      <c r="BX93" s="393"/>
    </row>
    <row r="94" spans="2:76" x14ac:dyDescent="0.2">
      <c r="B94" s="91"/>
      <c r="C94" s="389"/>
      <c r="D94" s="389"/>
      <c r="E94" s="438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39"/>
      <c r="Y94" s="439"/>
      <c r="Z94" s="439"/>
      <c r="AA94" s="439"/>
      <c r="AB94" s="439"/>
      <c r="AC94" s="439"/>
      <c r="AD94" s="439"/>
      <c r="AE94" s="439"/>
      <c r="AF94" s="439"/>
      <c r="AG94" s="439"/>
      <c r="AH94" s="439"/>
      <c r="AI94" s="439"/>
      <c r="AJ94" s="439"/>
      <c r="AK94" s="439"/>
      <c r="AL94" s="439"/>
      <c r="AM94" s="439"/>
      <c r="AN94" s="439"/>
      <c r="AO94" s="439"/>
      <c r="AP94" s="439"/>
      <c r="AQ94" s="439"/>
      <c r="AR94" s="439"/>
      <c r="AS94" s="439"/>
      <c r="AT94" s="439"/>
      <c r="AU94" s="439"/>
      <c r="AV94" s="439"/>
      <c r="AW94" s="439"/>
      <c r="AX94" s="439"/>
      <c r="AY94" s="439"/>
      <c r="AZ94" s="439"/>
      <c r="BA94" s="439"/>
      <c r="BB94" s="439"/>
      <c r="BC94" s="439"/>
      <c r="BD94" s="439"/>
      <c r="BE94" s="439"/>
      <c r="BF94" s="439"/>
      <c r="BG94" s="439"/>
      <c r="BH94" s="439"/>
      <c r="BI94" s="439"/>
      <c r="BJ94" s="439"/>
      <c r="BK94" s="439"/>
      <c r="BL94" s="439"/>
      <c r="BM94" s="439"/>
      <c r="BN94" s="439"/>
      <c r="BO94" s="439"/>
      <c r="BP94" s="439"/>
      <c r="BQ94" s="439"/>
      <c r="BR94" s="439"/>
      <c r="BS94" s="439"/>
      <c r="BT94" s="439"/>
      <c r="BU94" s="439"/>
      <c r="BV94" s="439"/>
      <c r="BX94" s="393"/>
    </row>
    <row r="95" spans="2:76" x14ac:dyDescent="0.2">
      <c r="B95" s="91"/>
      <c r="C95" s="389"/>
      <c r="D95" s="389"/>
      <c r="E95" s="438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  <c r="AA95" s="439"/>
      <c r="AB95" s="439"/>
      <c r="AC95" s="439"/>
      <c r="AD95" s="439"/>
      <c r="AE95" s="439"/>
      <c r="AF95" s="439"/>
      <c r="AG95" s="439"/>
      <c r="AH95" s="439"/>
      <c r="AI95" s="439"/>
      <c r="AJ95" s="439"/>
      <c r="AK95" s="439"/>
      <c r="AL95" s="439"/>
      <c r="AM95" s="439"/>
      <c r="AN95" s="439"/>
      <c r="AO95" s="439"/>
      <c r="AP95" s="439"/>
      <c r="AQ95" s="439"/>
      <c r="AR95" s="439"/>
      <c r="AS95" s="439"/>
      <c r="AT95" s="439"/>
      <c r="AU95" s="439"/>
      <c r="AV95" s="439"/>
      <c r="AW95" s="439"/>
      <c r="AX95" s="439"/>
      <c r="AY95" s="439"/>
      <c r="AZ95" s="439"/>
      <c r="BA95" s="439"/>
      <c r="BB95" s="439"/>
      <c r="BC95" s="439"/>
      <c r="BD95" s="439"/>
      <c r="BE95" s="439"/>
      <c r="BF95" s="439"/>
      <c r="BG95" s="439"/>
      <c r="BH95" s="439"/>
      <c r="BI95" s="439"/>
      <c r="BJ95" s="439"/>
      <c r="BK95" s="439"/>
      <c r="BL95" s="439"/>
      <c r="BM95" s="439"/>
      <c r="BN95" s="439"/>
      <c r="BO95" s="439"/>
      <c r="BP95" s="439"/>
      <c r="BQ95" s="439"/>
      <c r="BR95" s="439"/>
      <c r="BS95" s="439"/>
      <c r="BT95" s="439"/>
      <c r="BU95" s="439"/>
      <c r="BV95" s="439"/>
      <c r="BX95" s="393"/>
    </row>
    <row r="96" spans="2:76" x14ac:dyDescent="0.2">
      <c r="B96" s="91"/>
      <c r="C96" s="389"/>
      <c r="D96" s="389"/>
      <c r="E96" s="438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  <c r="AA96" s="439"/>
      <c r="AB96" s="439"/>
      <c r="AC96" s="439"/>
      <c r="AD96" s="439"/>
      <c r="AE96" s="439"/>
      <c r="AF96" s="439"/>
      <c r="AG96" s="439"/>
      <c r="AH96" s="439"/>
      <c r="AI96" s="439"/>
      <c r="AJ96" s="439"/>
      <c r="AK96" s="439"/>
      <c r="AL96" s="439"/>
      <c r="AM96" s="439"/>
      <c r="AN96" s="439"/>
      <c r="AO96" s="439"/>
      <c r="AP96" s="439"/>
      <c r="AQ96" s="439"/>
      <c r="AR96" s="439"/>
      <c r="AS96" s="439"/>
      <c r="AT96" s="439"/>
      <c r="AU96" s="439"/>
      <c r="AV96" s="439"/>
      <c r="AW96" s="439"/>
      <c r="AX96" s="439"/>
      <c r="AY96" s="439"/>
      <c r="AZ96" s="439"/>
      <c r="BA96" s="439"/>
      <c r="BB96" s="439"/>
      <c r="BC96" s="439"/>
      <c r="BD96" s="439"/>
      <c r="BE96" s="439"/>
      <c r="BF96" s="439"/>
      <c r="BG96" s="439"/>
      <c r="BH96" s="439"/>
      <c r="BI96" s="439"/>
      <c r="BJ96" s="439"/>
      <c r="BK96" s="439"/>
      <c r="BL96" s="439"/>
      <c r="BM96" s="439"/>
      <c r="BN96" s="439"/>
      <c r="BO96" s="439"/>
      <c r="BP96" s="439"/>
      <c r="BQ96" s="439"/>
      <c r="BR96" s="439"/>
      <c r="BS96" s="439"/>
      <c r="BT96" s="439"/>
      <c r="BU96" s="439"/>
      <c r="BV96" s="439"/>
      <c r="BX96" s="393"/>
    </row>
    <row r="97" spans="2:76" x14ac:dyDescent="0.2">
      <c r="B97" s="91"/>
      <c r="C97" s="389"/>
      <c r="D97" s="389"/>
      <c r="E97" s="438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  <c r="BX97" s="393"/>
    </row>
    <row r="98" spans="2:76" x14ac:dyDescent="0.2">
      <c r="B98" s="91"/>
      <c r="C98" s="389"/>
      <c r="D98" s="389"/>
      <c r="E98" s="438"/>
      <c r="F98" s="439"/>
      <c r="G98" s="439"/>
      <c r="H98" s="439"/>
      <c r="I98" s="439"/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9"/>
      <c r="U98" s="439"/>
      <c r="V98" s="439"/>
      <c r="W98" s="439"/>
      <c r="X98" s="439"/>
      <c r="Y98" s="439"/>
      <c r="Z98" s="439"/>
      <c r="AA98" s="439"/>
      <c r="AB98" s="439"/>
      <c r="AC98" s="439"/>
      <c r="AD98" s="439"/>
      <c r="AE98" s="439"/>
      <c r="AF98" s="439"/>
      <c r="AG98" s="439"/>
      <c r="AH98" s="439"/>
      <c r="AI98" s="439"/>
      <c r="AJ98" s="439"/>
      <c r="AK98" s="439"/>
      <c r="AL98" s="439"/>
      <c r="AM98" s="439"/>
      <c r="AN98" s="439"/>
      <c r="AO98" s="439"/>
      <c r="AP98" s="439"/>
      <c r="AQ98" s="439"/>
      <c r="AR98" s="439"/>
      <c r="AS98" s="439"/>
      <c r="AT98" s="439"/>
      <c r="AU98" s="439"/>
      <c r="AV98" s="439"/>
      <c r="AW98" s="439"/>
      <c r="AX98" s="439"/>
      <c r="AY98" s="439"/>
      <c r="AZ98" s="439"/>
      <c r="BA98" s="439"/>
      <c r="BB98" s="439"/>
      <c r="BC98" s="439"/>
      <c r="BD98" s="439"/>
      <c r="BE98" s="439"/>
      <c r="BF98" s="439"/>
      <c r="BG98" s="439"/>
      <c r="BH98" s="439"/>
      <c r="BI98" s="439"/>
      <c r="BJ98" s="439"/>
      <c r="BK98" s="439"/>
      <c r="BL98" s="439"/>
      <c r="BM98" s="439"/>
      <c r="BN98" s="439"/>
      <c r="BO98" s="439"/>
      <c r="BP98" s="439"/>
      <c r="BQ98" s="439"/>
      <c r="BR98" s="439"/>
      <c r="BS98" s="439"/>
      <c r="BT98" s="439"/>
      <c r="BU98" s="439"/>
      <c r="BV98" s="439"/>
      <c r="BX98" s="393"/>
    </row>
    <row r="99" spans="2:76" x14ac:dyDescent="0.2">
      <c r="B99" s="91"/>
      <c r="C99" s="389"/>
      <c r="D99" s="389"/>
      <c r="E99" s="438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9"/>
      <c r="U99" s="439"/>
      <c r="V99" s="439"/>
      <c r="W99" s="439"/>
      <c r="X99" s="439"/>
      <c r="Y99" s="439"/>
      <c r="Z99" s="439"/>
      <c r="AA99" s="439"/>
      <c r="AB99" s="439"/>
      <c r="AC99" s="439"/>
      <c r="AD99" s="439"/>
      <c r="AE99" s="439"/>
      <c r="AF99" s="439"/>
      <c r="AG99" s="439"/>
      <c r="AH99" s="439"/>
      <c r="AI99" s="439"/>
      <c r="AJ99" s="439"/>
      <c r="AK99" s="439"/>
      <c r="AL99" s="439"/>
      <c r="AM99" s="439"/>
      <c r="AN99" s="439"/>
      <c r="AO99" s="439"/>
      <c r="AP99" s="439"/>
      <c r="AQ99" s="439"/>
      <c r="AR99" s="439"/>
      <c r="AS99" s="439"/>
      <c r="AT99" s="439"/>
      <c r="AU99" s="439"/>
      <c r="AV99" s="439"/>
      <c r="AW99" s="439"/>
      <c r="AX99" s="439"/>
      <c r="AY99" s="439"/>
      <c r="AZ99" s="439"/>
      <c r="BA99" s="439"/>
      <c r="BB99" s="439"/>
      <c r="BC99" s="439"/>
      <c r="BD99" s="439"/>
      <c r="BE99" s="439"/>
      <c r="BF99" s="439"/>
      <c r="BG99" s="439"/>
      <c r="BH99" s="439"/>
      <c r="BI99" s="439"/>
      <c r="BJ99" s="439"/>
      <c r="BK99" s="439"/>
      <c r="BL99" s="439"/>
      <c r="BM99" s="439"/>
      <c r="BN99" s="439"/>
      <c r="BO99" s="439"/>
      <c r="BP99" s="439"/>
      <c r="BQ99" s="439"/>
      <c r="BR99" s="439"/>
      <c r="BS99" s="439"/>
      <c r="BT99" s="439"/>
      <c r="BU99" s="439"/>
      <c r="BV99" s="439"/>
      <c r="BX99" s="393"/>
    </row>
    <row r="100" spans="2:76" x14ac:dyDescent="0.2">
      <c r="B100" s="91"/>
      <c r="C100" s="389"/>
      <c r="D100" s="389"/>
      <c r="E100" s="438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  <c r="AA100" s="439"/>
      <c r="AB100" s="439"/>
      <c r="AC100" s="439"/>
      <c r="AD100" s="439"/>
      <c r="AE100" s="439"/>
      <c r="AF100" s="439"/>
      <c r="AG100" s="439"/>
      <c r="AH100" s="439"/>
      <c r="AI100" s="439"/>
      <c r="AJ100" s="439"/>
      <c r="AK100" s="439"/>
      <c r="AL100" s="439"/>
      <c r="AM100" s="439"/>
      <c r="AN100" s="439"/>
      <c r="AO100" s="439"/>
      <c r="AP100" s="439"/>
      <c r="AQ100" s="439"/>
      <c r="AR100" s="439"/>
      <c r="AS100" s="439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439"/>
      <c r="BD100" s="439"/>
      <c r="BE100" s="439"/>
      <c r="BF100" s="439"/>
      <c r="BG100" s="439"/>
      <c r="BH100" s="439"/>
      <c r="BI100" s="439"/>
      <c r="BJ100" s="439"/>
      <c r="BK100" s="439"/>
      <c r="BL100" s="439"/>
      <c r="BM100" s="439"/>
      <c r="BN100" s="439"/>
      <c r="BO100" s="439"/>
      <c r="BP100" s="439"/>
      <c r="BQ100" s="439"/>
      <c r="BR100" s="439"/>
      <c r="BS100" s="439"/>
      <c r="BT100" s="439"/>
      <c r="BU100" s="439"/>
      <c r="BV100" s="439"/>
      <c r="BX100" s="393"/>
    </row>
    <row r="101" spans="2:76" x14ac:dyDescent="0.2">
      <c r="B101" s="91"/>
      <c r="C101" s="389"/>
      <c r="D101" s="389"/>
      <c r="E101" s="438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  <c r="AA101" s="439"/>
      <c r="AB101" s="439"/>
      <c r="AC101" s="439"/>
      <c r="AD101" s="439"/>
      <c r="AE101" s="439"/>
      <c r="AF101" s="439"/>
      <c r="AG101" s="439"/>
      <c r="AH101" s="439"/>
      <c r="AI101" s="439"/>
      <c r="AJ101" s="439"/>
      <c r="AK101" s="439"/>
      <c r="AL101" s="439"/>
      <c r="AM101" s="439"/>
      <c r="AN101" s="439"/>
      <c r="AO101" s="439"/>
      <c r="AP101" s="439"/>
      <c r="AQ101" s="439"/>
      <c r="AR101" s="439"/>
      <c r="AS101" s="439"/>
      <c r="AT101" s="439"/>
      <c r="AU101" s="439"/>
      <c r="AV101" s="439"/>
      <c r="AW101" s="439"/>
      <c r="AX101" s="439"/>
      <c r="AY101" s="439"/>
      <c r="AZ101" s="439"/>
      <c r="BA101" s="439"/>
      <c r="BB101" s="439"/>
      <c r="BC101" s="439"/>
      <c r="BD101" s="439"/>
      <c r="BE101" s="439"/>
      <c r="BF101" s="439"/>
      <c r="BG101" s="439"/>
      <c r="BH101" s="439"/>
      <c r="BI101" s="439"/>
      <c r="BJ101" s="439"/>
      <c r="BK101" s="439"/>
      <c r="BL101" s="439"/>
      <c r="BM101" s="439"/>
      <c r="BN101" s="439"/>
      <c r="BO101" s="439"/>
      <c r="BP101" s="439"/>
      <c r="BQ101" s="439"/>
      <c r="BR101" s="439"/>
      <c r="BS101" s="439"/>
      <c r="BT101" s="439"/>
      <c r="BU101" s="439"/>
      <c r="BV101" s="439"/>
      <c r="BX101" s="393"/>
    </row>
    <row r="102" spans="2:76" x14ac:dyDescent="0.2">
      <c r="B102" s="91"/>
      <c r="C102" s="389"/>
      <c r="D102" s="389"/>
      <c r="E102" s="438"/>
      <c r="F102" s="439"/>
      <c r="G102" s="439"/>
      <c r="H102" s="439"/>
      <c r="I102" s="439"/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9"/>
      <c r="U102" s="439"/>
      <c r="V102" s="439"/>
      <c r="W102" s="439"/>
      <c r="X102" s="439"/>
      <c r="Y102" s="439"/>
      <c r="Z102" s="439"/>
      <c r="AA102" s="439"/>
      <c r="AB102" s="439"/>
      <c r="AC102" s="439"/>
      <c r="AD102" s="439"/>
      <c r="AE102" s="439"/>
      <c r="AF102" s="439"/>
      <c r="AG102" s="439"/>
      <c r="AH102" s="439"/>
      <c r="AI102" s="439"/>
      <c r="AJ102" s="439"/>
      <c r="AK102" s="439"/>
      <c r="AL102" s="439"/>
      <c r="AM102" s="439"/>
      <c r="AN102" s="439"/>
      <c r="AO102" s="439"/>
      <c r="AP102" s="439"/>
      <c r="AQ102" s="439"/>
      <c r="AR102" s="439"/>
      <c r="AS102" s="439"/>
      <c r="AT102" s="439"/>
      <c r="AU102" s="439"/>
      <c r="AV102" s="439"/>
      <c r="AW102" s="439"/>
      <c r="AX102" s="439"/>
      <c r="AY102" s="439"/>
      <c r="AZ102" s="439"/>
      <c r="BA102" s="439"/>
      <c r="BB102" s="439"/>
      <c r="BC102" s="439"/>
      <c r="BD102" s="439"/>
      <c r="BE102" s="439"/>
      <c r="BF102" s="439"/>
      <c r="BG102" s="439"/>
      <c r="BH102" s="439"/>
      <c r="BI102" s="439"/>
      <c r="BJ102" s="439"/>
      <c r="BK102" s="439"/>
      <c r="BL102" s="439"/>
      <c r="BM102" s="439"/>
      <c r="BN102" s="439"/>
      <c r="BO102" s="439"/>
      <c r="BP102" s="439"/>
      <c r="BQ102" s="439"/>
      <c r="BR102" s="439"/>
      <c r="BS102" s="439"/>
      <c r="BT102" s="439"/>
      <c r="BU102" s="439"/>
      <c r="BV102" s="439"/>
      <c r="BX102" s="393"/>
    </row>
    <row r="103" spans="2:76" x14ac:dyDescent="0.2">
      <c r="B103" s="91"/>
      <c r="C103" s="389"/>
      <c r="D103" s="389"/>
      <c r="E103" s="438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39"/>
      <c r="Y103" s="439"/>
      <c r="Z103" s="439"/>
      <c r="AA103" s="439"/>
      <c r="AB103" s="439"/>
      <c r="AC103" s="439"/>
      <c r="AD103" s="439"/>
      <c r="AE103" s="439"/>
      <c r="AF103" s="439"/>
      <c r="AG103" s="439"/>
      <c r="AH103" s="439"/>
      <c r="AI103" s="439"/>
      <c r="AJ103" s="439"/>
      <c r="AK103" s="439"/>
      <c r="AL103" s="439"/>
      <c r="AM103" s="439"/>
      <c r="AN103" s="439"/>
      <c r="AO103" s="439"/>
      <c r="AP103" s="439"/>
      <c r="AQ103" s="439"/>
      <c r="AR103" s="439"/>
      <c r="AS103" s="439"/>
      <c r="AT103" s="439"/>
      <c r="AU103" s="439"/>
      <c r="AV103" s="439"/>
      <c r="AW103" s="439"/>
      <c r="AX103" s="439"/>
      <c r="AY103" s="439"/>
      <c r="AZ103" s="439"/>
      <c r="BA103" s="439"/>
      <c r="BB103" s="439"/>
      <c r="BC103" s="439"/>
      <c r="BD103" s="439"/>
      <c r="BE103" s="439"/>
      <c r="BF103" s="439"/>
      <c r="BG103" s="439"/>
      <c r="BH103" s="439"/>
      <c r="BI103" s="439"/>
      <c r="BJ103" s="439"/>
      <c r="BK103" s="439"/>
      <c r="BL103" s="439"/>
      <c r="BM103" s="439"/>
      <c r="BN103" s="439"/>
      <c r="BO103" s="439"/>
      <c r="BP103" s="439"/>
      <c r="BQ103" s="439"/>
      <c r="BR103" s="439"/>
      <c r="BS103" s="439"/>
      <c r="BT103" s="439"/>
      <c r="BU103" s="439"/>
      <c r="BV103" s="439"/>
      <c r="BX103" s="393"/>
    </row>
    <row r="104" spans="2:76" x14ac:dyDescent="0.2">
      <c r="B104" s="91"/>
      <c r="C104" s="389"/>
      <c r="D104" s="389"/>
      <c r="E104" s="438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39"/>
      <c r="Y104" s="439"/>
      <c r="Z104" s="439"/>
      <c r="AA104" s="439"/>
      <c r="AB104" s="439"/>
      <c r="AC104" s="439"/>
      <c r="AD104" s="439"/>
      <c r="AE104" s="439"/>
      <c r="AF104" s="439"/>
      <c r="AG104" s="439"/>
      <c r="AH104" s="439"/>
      <c r="AI104" s="439"/>
      <c r="AJ104" s="439"/>
      <c r="AK104" s="439"/>
      <c r="AL104" s="439"/>
      <c r="AM104" s="439"/>
      <c r="AN104" s="439"/>
      <c r="AO104" s="439"/>
      <c r="AP104" s="439"/>
      <c r="AQ104" s="439"/>
      <c r="AR104" s="439"/>
      <c r="AS104" s="439"/>
      <c r="AT104" s="439"/>
      <c r="AU104" s="439"/>
      <c r="AV104" s="439"/>
      <c r="AW104" s="439"/>
      <c r="AX104" s="439"/>
      <c r="AY104" s="439"/>
      <c r="AZ104" s="439"/>
      <c r="BA104" s="439"/>
      <c r="BB104" s="439"/>
      <c r="BC104" s="439"/>
      <c r="BD104" s="439"/>
      <c r="BE104" s="439"/>
      <c r="BF104" s="439"/>
      <c r="BG104" s="439"/>
      <c r="BH104" s="439"/>
      <c r="BI104" s="439"/>
      <c r="BJ104" s="439"/>
      <c r="BK104" s="439"/>
      <c r="BL104" s="439"/>
      <c r="BM104" s="439"/>
      <c r="BN104" s="439"/>
      <c r="BO104" s="439"/>
      <c r="BP104" s="439"/>
      <c r="BQ104" s="439"/>
      <c r="BR104" s="439"/>
      <c r="BS104" s="439"/>
      <c r="BT104" s="439"/>
      <c r="BU104" s="439"/>
      <c r="BV104" s="439"/>
      <c r="BX104" s="393"/>
    </row>
    <row r="105" spans="2:76" x14ac:dyDescent="0.2">
      <c r="B105" s="91"/>
      <c r="C105" s="389"/>
      <c r="D105" s="389"/>
      <c r="E105" s="438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  <c r="AA105" s="439"/>
      <c r="AB105" s="439"/>
      <c r="AC105" s="439"/>
      <c r="AD105" s="439"/>
      <c r="AE105" s="439"/>
      <c r="AF105" s="439"/>
      <c r="AG105" s="439"/>
      <c r="AH105" s="439"/>
      <c r="AI105" s="439"/>
      <c r="AJ105" s="439"/>
      <c r="AK105" s="439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439"/>
      <c r="AV105" s="439"/>
      <c r="AW105" s="439"/>
      <c r="AX105" s="439"/>
      <c r="AY105" s="439"/>
      <c r="AZ105" s="439"/>
      <c r="BA105" s="439"/>
      <c r="BB105" s="439"/>
      <c r="BC105" s="439"/>
      <c r="BD105" s="439"/>
      <c r="BE105" s="439"/>
      <c r="BF105" s="439"/>
      <c r="BG105" s="439"/>
      <c r="BH105" s="439"/>
      <c r="BI105" s="439"/>
      <c r="BJ105" s="439"/>
      <c r="BK105" s="439"/>
      <c r="BL105" s="439"/>
      <c r="BM105" s="439"/>
      <c r="BN105" s="439"/>
      <c r="BO105" s="439"/>
      <c r="BP105" s="439"/>
      <c r="BQ105" s="439"/>
      <c r="BR105" s="439"/>
      <c r="BS105" s="439"/>
      <c r="BT105" s="439"/>
      <c r="BU105" s="439"/>
      <c r="BV105" s="439"/>
      <c r="BX105" s="393"/>
    </row>
    <row r="106" spans="2:76" x14ac:dyDescent="0.2">
      <c r="B106" s="358"/>
      <c r="D106" s="358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X106" s="393"/>
    </row>
    <row r="107" spans="2:76" x14ac:dyDescent="0.2">
      <c r="B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8"/>
      <c r="AL107" s="358"/>
      <c r="AM107" s="358"/>
      <c r="AN107" s="358"/>
      <c r="AO107" s="358"/>
      <c r="AP107" s="358"/>
      <c r="AQ107" s="358"/>
      <c r="AR107" s="358"/>
      <c r="AS107" s="358"/>
      <c r="AT107" s="358"/>
      <c r="AU107" s="358"/>
      <c r="AV107" s="358"/>
      <c r="AW107" s="358"/>
      <c r="AX107" s="358"/>
      <c r="AY107" s="358"/>
      <c r="AZ107" s="358"/>
      <c r="BA107" s="358"/>
      <c r="BB107" s="358"/>
      <c r="BC107" s="358"/>
      <c r="BD107" s="358"/>
      <c r="BE107" s="358"/>
      <c r="BF107" s="358"/>
      <c r="BG107" s="358"/>
      <c r="BH107" s="358"/>
      <c r="BI107" s="358"/>
      <c r="BJ107" s="358"/>
      <c r="BK107" s="358"/>
      <c r="BL107" s="358"/>
      <c r="BM107" s="358"/>
      <c r="BN107" s="358"/>
      <c r="BO107" s="358"/>
      <c r="BP107" s="358"/>
      <c r="BQ107" s="358"/>
      <c r="BR107" s="358"/>
      <c r="BS107" s="358"/>
      <c r="BT107" s="358"/>
      <c r="BU107" s="358"/>
      <c r="BV107" s="358"/>
      <c r="BX107" s="393"/>
    </row>
    <row r="108" spans="2:76" x14ac:dyDescent="0.2">
      <c r="B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358"/>
      <c r="AH108" s="358"/>
      <c r="AI108" s="358"/>
      <c r="AJ108" s="358"/>
      <c r="AK108" s="358"/>
      <c r="AL108" s="358"/>
      <c r="AM108" s="358"/>
      <c r="AN108" s="358"/>
      <c r="AO108" s="358"/>
      <c r="AP108" s="358"/>
      <c r="AQ108" s="358"/>
      <c r="AR108" s="358"/>
      <c r="AS108" s="358"/>
      <c r="AT108" s="358"/>
      <c r="AU108" s="358"/>
      <c r="AV108" s="358"/>
      <c r="AW108" s="358"/>
      <c r="AX108" s="358"/>
      <c r="AY108" s="358"/>
      <c r="AZ108" s="358"/>
      <c r="BA108" s="358"/>
      <c r="BB108" s="358"/>
      <c r="BC108" s="358"/>
      <c r="BD108" s="358"/>
      <c r="BE108" s="358"/>
      <c r="BF108" s="358"/>
      <c r="BG108" s="358"/>
      <c r="BH108" s="358"/>
      <c r="BI108" s="358"/>
      <c r="BJ108" s="358"/>
      <c r="BK108" s="358"/>
      <c r="BL108" s="358"/>
      <c r="BM108" s="358"/>
      <c r="BN108" s="358"/>
      <c r="BO108" s="358"/>
      <c r="BP108" s="358"/>
      <c r="BQ108" s="358"/>
      <c r="BR108" s="358"/>
      <c r="BS108" s="358"/>
      <c r="BT108" s="358"/>
      <c r="BU108" s="358"/>
      <c r="BV108" s="358"/>
      <c r="BX108" s="393"/>
    </row>
    <row r="109" spans="2:76" x14ac:dyDescent="0.2">
      <c r="B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  <c r="AN109" s="358"/>
      <c r="AO109" s="358"/>
      <c r="AP109" s="358"/>
      <c r="AQ109" s="358"/>
      <c r="AR109" s="358"/>
      <c r="AS109" s="358"/>
      <c r="AT109" s="358"/>
      <c r="AU109" s="358"/>
      <c r="AV109" s="358"/>
      <c r="AW109" s="358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358"/>
      <c r="BH109" s="358"/>
      <c r="BI109" s="358"/>
      <c r="BJ109" s="358"/>
      <c r="BK109" s="358"/>
      <c r="BL109" s="358"/>
      <c r="BM109" s="358"/>
      <c r="BN109" s="358"/>
      <c r="BO109" s="358"/>
      <c r="BP109" s="358"/>
      <c r="BQ109" s="358"/>
      <c r="BR109" s="358"/>
      <c r="BS109" s="358"/>
      <c r="BT109" s="358"/>
      <c r="BU109" s="358"/>
      <c r="BV109" s="358"/>
      <c r="BX109" s="393"/>
    </row>
    <row r="110" spans="2:76" x14ac:dyDescent="0.2">
      <c r="B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  <c r="AA110" s="358"/>
      <c r="AB110" s="358"/>
      <c r="AC110" s="358"/>
      <c r="AD110" s="358"/>
      <c r="AE110" s="358"/>
      <c r="AF110" s="358"/>
      <c r="AG110" s="358"/>
      <c r="AH110" s="358"/>
      <c r="AI110" s="358"/>
      <c r="AJ110" s="358"/>
      <c r="AK110" s="358"/>
      <c r="AL110" s="358"/>
      <c r="AM110" s="358"/>
      <c r="AN110" s="358"/>
      <c r="AO110" s="358"/>
      <c r="AP110" s="358"/>
      <c r="AQ110" s="358"/>
      <c r="AR110" s="358"/>
      <c r="AS110" s="358"/>
      <c r="AT110" s="358"/>
      <c r="AU110" s="358"/>
      <c r="AV110" s="358"/>
      <c r="AW110" s="358"/>
      <c r="AX110" s="358"/>
      <c r="AY110" s="358"/>
      <c r="AZ110" s="358"/>
      <c r="BA110" s="358"/>
      <c r="BB110" s="358"/>
      <c r="BC110" s="358"/>
      <c r="BD110" s="358"/>
      <c r="BE110" s="358"/>
      <c r="BF110" s="358"/>
      <c r="BG110" s="358"/>
      <c r="BH110" s="358"/>
      <c r="BI110" s="358"/>
      <c r="BJ110" s="358"/>
      <c r="BK110" s="358"/>
      <c r="BL110" s="358"/>
      <c r="BM110" s="358"/>
      <c r="BN110" s="358"/>
      <c r="BO110" s="358"/>
      <c r="BP110" s="358"/>
      <c r="BQ110" s="358"/>
      <c r="BR110" s="358"/>
      <c r="BS110" s="358"/>
      <c r="BT110" s="358"/>
      <c r="BU110" s="358"/>
      <c r="BV110" s="358"/>
      <c r="BX110" s="393"/>
    </row>
    <row r="111" spans="2:76" x14ac:dyDescent="0.2">
      <c r="B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  <c r="AB111" s="358"/>
      <c r="AC111" s="358"/>
      <c r="AD111" s="358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358"/>
      <c r="BH111" s="358"/>
      <c r="BI111" s="358"/>
      <c r="BJ111" s="358"/>
      <c r="BK111" s="358"/>
      <c r="BL111" s="358"/>
      <c r="BM111" s="358"/>
      <c r="BN111" s="358"/>
      <c r="BO111" s="358"/>
      <c r="BP111" s="358"/>
      <c r="BQ111" s="358"/>
      <c r="BR111" s="358"/>
      <c r="BS111" s="358"/>
      <c r="BT111" s="358"/>
      <c r="BU111" s="358"/>
      <c r="BV111" s="358"/>
      <c r="BX111" s="393"/>
    </row>
    <row r="112" spans="2:76" x14ac:dyDescent="0.2">
      <c r="B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358"/>
      <c r="AX112" s="358"/>
      <c r="AY112" s="358"/>
      <c r="AZ112" s="358"/>
      <c r="BA112" s="358"/>
      <c r="BB112" s="358"/>
      <c r="BC112" s="358"/>
      <c r="BD112" s="358"/>
      <c r="BE112" s="358"/>
      <c r="BF112" s="358"/>
      <c r="BG112" s="358"/>
      <c r="BH112" s="358"/>
      <c r="BI112" s="358"/>
      <c r="BJ112" s="358"/>
      <c r="BK112" s="358"/>
      <c r="BL112" s="358"/>
      <c r="BM112" s="358"/>
      <c r="BN112" s="358"/>
      <c r="BO112" s="358"/>
      <c r="BP112" s="358"/>
      <c r="BQ112" s="358"/>
      <c r="BR112" s="358"/>
      <c r="BS112" s="358"/>
      <c r="BT112" s="358"/>
      <c r="BU112" s="358"/>
      <c r="BV112" s="358"/>
      <c r="BX112" s="393"/>
    </row>
    <row r="113" spans="2:76" x14ac:dyDescent="0.2">
      <c r="B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  <c r="AN113" s="358"/>
      <c r="AO113" s="358"/>
      <c r="AP113" s="358"/>
      <c r="AQ113" s="358"/>
      <c r="AR113" s="358"/>
      <c r="AS113" s="358"/>
      <c r="AT113" s="358"/>
      <c r="AU113" s="358"/>
      <c r="AV113" s="358"/>
      <c r="AW113" s="358"/>
      <c r="AX113" s="358"/>
      <c r="AY113" s="358"/>
      <c r="AZ113" s="358"/>
      <c r="BA113" s="358"/>
      <c r="BB113" s="358"/>
      <c r="BC113" s="358"/>
      <c r="BD113" s="358"/>
      <c r="BE113" s="358"/>
      <c r="BF113" s="358"/>
      <c r="BG113" s="358"/>
      <c r="BH113" s="358"/>
      <c r="BI113" s="358"/>
      <c r="BJ113" s="358"/>
      <c r="BK113" s="358"/>
      <c r="BL113" s="358"/>
      <c r="BM113" s="358"/>
      <c r="BN113" s="358"/>
      <c r="BO113" s="358"/>
      <c r="BP113" s="358"/>
      <c r="BQ113" s="358"/>
      <c r="BR113" s="358"/>
      <c r="BS113" s="358"/>
      <c r="BT113" s="358"/>
      <c r="BU113" s="358"/>
      <c r="BV113" s="358"/>
      <c r="BX113" s="393"/>
    </row>
    <row r="114" spans="2:76" x14ac:dyDescent="0.2">
      <c r="B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8"/>
      <c r="BH114" s="358"/>
      <c r="BI114" s="358"/>
      <c r="BJ114" s="358"/>
      <c r="BK114" s="358"/>
      <c r="BL114" s="358"/>
      <c r="BM114" s="358"/>
      <c r="BN114" s="358"/>
      <c r="BO114" s="358"/>
      <c r="BP114" s="358"/>
      <c r="BQ114" s="358"/>
      <c r="BR114" s="358"/>
      <c r="BS114" s="358"/>
      <c r="BT114" s="358"/>
      <c r="BU114" s="358"/>
      <c r="BV114" s="358"/>
      <c r="BX114" s="393"/>
    </row>
    <row r="115" spans="2:76" x14ac:dyDescent="0.2">
      <c r="B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  <c r="AN115" s="358"/>
      <c r="AO115" s="358"/>
      <c r="AP115" s="358"/>
      <c r="AQ115" s="358"/>
      <c r="AR115" s="358"/>
      <c r="AS115" s="358"/>
      <c r="AT115" s="358"/>
      <c r="AU115" s="358"/>
      <c r="AV115" s="358"/>
      <c r="AW115" s="358"/>
      <c r="AX115" s="358"/>
      <c r="AY115" s="358"/>
      <c r="AZ115" s="358"/>
      <c r="BA115" s="358"/>
      <c r="BB115" s="358"/>
      <c r="BC115" s="358"/>
      <c r="BD115" s="358"/>
      <c r="BE115" s="358"/>
      <c r="BF115" s="358"/>
      <c r="BG115" s="358"/>
      <c r="BH115" s="358"/>
      <c r="BI115" s="358"/>
      <c r="BJ115" s="358"/>
      <c r="BK115" s="358"/>
      <c r="BL115" s="358"/>
      <c r="BM115" s="358"/>
      <c r="BN115" s="358"/>
      <c r="BO115" s="358"/>
      <c r="BP115" s="358"/>
      <c r="BQ115" s="358"/>
      <c r="BR115" s="358"/>
      <c r="BS115" s="358"/>
      <c r="BT115" s="358"/>
      <c r="BU115" s="358"/>
      <c r="BV115" s="358"/>
      <c r="BX115" s="393"/>
    </row>
    <row r="116" spans="2:76" x14ac:dyDescent="0.2">
      <c r="B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  <c r="AS116" s="358"/>
      <c r="AT116" s="358"/>
      <c r="AU116" s="358"/>
      <c r="AV116" s="358"/>
      <c r="AW116" s="358"/>
      <c r="AX116" s="358"/>
      <c r="AY116" s="358"/>
      <c r="AZ116" s="358"/>
      <c r="BA116" s="358"/>
      <c r="BB116" s="358"/>
      <c r="BC116" s="358"/>
      <c r="BD116" s="358"/>
      <c r="BE116" s="358"/>
      <c r="BF116" s="358"/>
      <c r="BG116" s="358"/>
      <c r="BH116" s="358"/>
      <c r="BI116" s="358"/>
      <c r="BJ116" s="358"/>
      <c r="BK116" s="358"/>
      <c r="BL116" s="358"/>
      <c r="BM116" s="358"/>
      <c r="BN116" s="358"/>
      <c r="BO116" s="358"/>
      <c r="BP116" s="358"/>
      <c r="BQ116" s="358"/>
      <c r="BR116" s="358"/>
      <c r="BS116" s="358"/>
      <c r="BT116" s="358"/>
      <c r="BU116" s="358"/>
      <c r="BV116" s="358"/>
      <c r="BX116" s="393"/>
    </row>
    <row r="117" spans="2:76" x14ac:dyDescent="0.2">
      <c r="B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  <c r="AN117" s="358"/>
      <c r="AO117" s="358"/>
      <c r="AP117" s="358"/>
      <c r="AQ117" s="358"/>
      <c r="AR117" s="358"/>
      <c r="AS117" s="358"/>
      <c r="AT117" s="358"/>
      <c r="AU117" s="358"/>
      <c r="AV117" s="358"/>
      <c r="AW117" s="358"/>
      <c r="AX117" s="358"/>
      <c r="AY117" s="358"/>
      <c r="AZ117" s="358"/>
      <c r="BA117" s="358"/>
      <c r="BB117" s="358"/>
      <c r="BC117" s="358"/>
      <c r="BD117" s="358"/>
      <c r="BE117" s="358"/>
      <c r="BF117" s="358"/>
      <c r="BG117" s="358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58"/>
      <c r="BS117" s="358"/>
      <c r="BT117" s="358"/>
      <c r="BU117" s="358"/>
      <c r="BV117" s="358"/>
      <c r="BX117" s="393"/>
    </row>
    <row r="118" spans="2:76" x14ac:dyDescent="0.2">
      <c r="B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358"/>
      <c r="AO118" s="358"/>
      <c r="AP118" s="358"/>
      <c r="AQ118" s="358"/>
      <c r="AR118" s="358"/>
      <c r="AS118" s="358"/>
      <c r="AT118" s="358"/>
      <c r="AU118" s="358"/>
      <c r="AV118" s="358"/>
      <c r="AW118" s="358"/>
      <c r="AX118" s="358"/>
      <c r="AY118" s="358"/>
      <c r="AZ118" s="358"/>
      <c r="BA118" s="358"/>
      <c r="BB118" s="358"/>
      <c r="BC118" s="358"/>
      <c r="BD118" s="358"/>
      <c r="BE118" s="358"/>
      <c r="BF118" s="358"/>
      <c r="BG118" s="358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58"/>
      <c r="BS118" s="358"/>
      <c r="BT118" s="358"/>
      <c r="BU118" s="358"/>
      <c r="BV118" s="358"/>
      <c r="BX118" s="393"/>
    </row>
    <row r="119" spans="2:76" x14ac:dyDescent="0.2">
      <c r="B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358"/>
      <c r="AO119" s="358"/>
      <c r="AP119" s="358"/>
      <c r="AQ119" s="358"/>
      <c r="AR119" s="358"/>
      <c r="AS119" s="358"/>
      <c r="AT119" s="358"/>
      <c r="AU119" s="358"/>
      <c r="AV119" s="358"/>
      <c r="AW119" s="358"/>
      <c r="AX119" s="358"/>
      <c r="AY119" s="358"/>
      <c r="AZ119" s="358"/>
      <c r="BA119" s="358"/>
      <c r="BB119" s="358"/>
      <c r="BC119" s="358"/>
      <c r="BD119" s="358"/>
      <c r="BE119" s="358"/>
      <c r="BF119" s="358"/>
      <c r="BG119" s="358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58"/>
      <c r="BS119" s="358"/>
      <c r="BT119" s="358"/>
      <c r="BU119" s="358"/>
      <c r="BV119" s="358"/>
      <c r="BX119" s="393"/>
    </row>
    <row r="120" spans="2:76" x14ac:dyDescent="0.2">
      <c r="B120" s="358"/>
      <c r="D120" s="35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X120" s="393"/>
    </row>
    <row r="121" spans="2:76" x14ac:dyDescent="0.2">
      <c r="B121" s="358"/>
      <c r="D121" s="35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X121" s="393"/>
    </row>
    <row r="122" spans="2:76" x14ac:dyDescent="0.2">
      <c r="B122" s="91"/>
      <c r="C122" s="389"/>
      <c r="D122" s="389"/>
      <c r="E122" s="438"/>
      <c r="F122" s="439"/>
      <c r="G122" s="439"/>
      <c r="H122" s="439"/>
      <c r="I122" s="439"/>
      <c r="J122" s="439"/>
      <c r="K122" s="439"/>
      <c r="L122" s="439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439"/>
      <c r="AA122" s="439"/>
      <c r="AB122" s="439"/>
      <c r="AC122" s="439"/>
      <c r="AD122" s="439"/>
      <c r="AE122" s="439"/>
      <c r="AF122" s="439"/>
      <c r="AG122" s="439"/>
      <c r="AH122" s="439"/>
      <c r="AI122" s="439"/>
      <c r="AJ122" s="439"/>
      <c r="AK122" s="439"/>
      <c r="AL122" s="439"/>
      <c r="AM122" s="439"/>
      <c r="AN122" s="439"/>
      <c r="AO122" s="439"/>
      <c r="AP122" s="439"/>
      <c r="AQ122" s="439"/>
      <c r="AR122" s="439"/>
      <c r="AS122" s="439"/>
      <c r="AT122" s="439"/>
      <c r="AU122" s="439"/>
      <c r="AV122" s="439"/>
      <c r="AW122" s="439"/>
      <c r="AX122" s="439"/>
      <c r="AY122" s="439"/>
      <c r="AZ122" s="439"/>
      <c r="BA122" s="439"/>
      <c r="BB122" s="439"/>
      <c r="BC122" s="439"/>
      <c r="BD122" s="439"/>
      <c r="BE122" s="439"/>
      <c r="BF122" s="439"/>
      <c r="BG122" s="439"/>
      <c r="BH122" s="439"/>
      <c r="BI122" s="439"/>
      <c r="BJ122" s="439"/>
      <c r="BK122" s="439"/>
      <c r="BL122" s="439"/>
      <c r="BM122" s="439"/>
      <c r="BN122" s="439"/>
      <c r="BO122" s="439"/>
      <c r="BP122" s="439"/>
      <c r="BQ122" s="439"/>
      <c r="BR122" s="439"/>
      <c r="BS122" s="439"/>
      <c r="BT122" s="439"/>
      <c r="BU122" s="439"/>
      <c r="BV122" s="439"/>
      <c r="BX122" s="393"/>
    </row>
    <row r="123" spans="2:76" x14ac:dyDescent="0.2">
      <c r="B123" s="91"/>
      <c r="C123" s="91"/>
      <c r="D123" s="91"/>
      <c r="E123" s="438"/>
      <c r="F123" s="439"/>
      <c r="G123" s="439"/>
      <c r="H123" s="439"/>
      <c r="I123" s="439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439"/>
      <c r="AA123" s="439"/>
      <c r="AB123" s="439"/>
      <c r="AC123" s="439"/>
      <c r="AD123" s="439"/>
      <c r="AE123" s="439"/>
      <c r="AF123" s="439"/>
      <c r="AG123" s="439"/>
      <c r="AH123" s="439"/>
      <c r="AI123" s="439"/>
      <c r="AJ123" s="439"/>
      <c r="AK123" s="439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39"/>
      <c r="BA123" s="439"/>
      <c r="BB123" s="439"/>
      <c r="BC123" s="439"/>
      <c r="BD123" s="439"/>
      <c r="BE123" s="439"/>
      <c r="BF123" s="439"/>
      <c r="BG123" s="439"/>
      <c r="BH123" s="439"/>
      <c r="BI123" s="439"/>
      <c r="BJ123" s="439"/>
      <c r="BK123" s="439"/>
      <c r="BL123" s="439"/>
      <c r="BM123" s="439"/>
      <c r="BN123" s="439"/>
      <c r="BO123" s="439"/>
      <c r="BP123" s="439"/>
      <c r="BQ123" s="439"/>
      <c r="BR123" s="439"/>
      <c r="BS123" s="439"/>
      <c r="BT123" s="439"/>
      <c r="BU123" s="439"/>
      <c r="BV123" s="439"/>
      <c r="BX123" s="393"/>
    </row>
    <row r="124" spans="2:76" x14ac:dyDescent="0.2">
      <c r="B124" s="91"/>
      <c r="C124" s="389"/>
      <c r="D124" s="389"/>
      <c r="E124" s="438"/>
      <c r="F124" s="439"/>
      <c r="G124" s="439"/>
      <c r="H124" s="439"/>
      <c r="I124" s="439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9"/>
      <c r="U124" s="439"/>
      <c r="V124" s="439"/>
      <c r="W124" s="439"/>
      <c r="X124" s="439"/>
      <c r="Y124" s="439"/>
      <c r="Z124" s="439"/>
      <c r="AA124" s="439"/>
      <c r="AB124" s="439"/>
      <c r="AC124" s="439"/>
      <c r="AD124" s="439"/>
      <c r="AE124" s="439"/>
      <c r="AF124" s="439"/>
      <c r="AG124" s="439"/>
      <c r="AH124" s="439"/>
      <c r="AI124" s="439"/>
      <c r="AJ124" s="439"/>
      <c r="AK124" s="439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439"/>
      <c r="AW124" s="439"/>
      <c r="AX124" s="439"/>
      <c r="AY124" s="439"/>
      <c r="AZ124" s="439"/>
      <c r="BA124" s="439"/>
      <c r="BB124" s="439"/>
      <c r="BC124" s="439"/>
      <c r="BD124" s="439"/>
      <c r="BE124" s="439"/>
      <c r="BF124" s="439"/>
      <c r="BG124" s="439"/>
      <c r="BH124" s="439"/>
      <c r="BI124" s="439"/>
      <c r="BJ124" s="439"/>
      <c r="BK124" s="439"/>
      <c r="BL124" s="439"/>
      <c r="BM124" s="439"/>
      <c r="BN124" s="439"/>
      <c r="BO124" s="439"/>
      <c r="BP124" s="439"/>
      <c r="BQ124" s="439"/>
      <c r="BR124" s="439"/>
      <c r="BS124" s="439"/>
      <c r="BT124" s="439"/>
      <c r="BU124" s="439"/>
      <c r="BV124" s="439"/>
      <c r="BX124" s="393"/>
    </row>
    <row r="125" spans="2:76" x14ac:dyDescent="0.2">
      <c r="B125" s="441"/>
      <c r="C125" s="389"/>
      <c r="D125" s="389"/>
      <c r="E125" s="438"/>
      <c r="F125" s="439"/>
      <c r="G125" s="439"/>
      <c r="H125" s="439"/>
      <c r="I125" s="439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39"/>
      <c r="Y125" s="439"/>
      <c r="Z125" s="439"/>
      <c r="AA125" s="439"/>
      <c r="AB125" s="439"/>
      <c r="AC125" s="439"/>
      <c r="AD125" s="439"/>
      <c r="AE125" s="439"/>
      <c r="AF125" s="439"/>
      <c r="AG125" s="439"/>
      <c r="AH125" s="439"/>
      <c r="AI125" s="439"/>
      <c r="AJ125" s="439"/>
      <c r="AK125" s="439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439"/>
      <c r="AW125" s="439"/>
      <c r="AX125" s="439"/>
      <c r="AY125" s="439"/>
      <c r="AZ125" s="439"/>
      <c r="BA125" s="439"/>
      <c r="BB125" s="439"/>
      <c r="BC125" s="439"/>
      <c r="BD125" s="439"/>
      <c r="BE125" s="439"/>
      <c r="BF125" s="439"/>
      <c r="BG125" s="439"/>
      <c r="BH125" s="439"/>
      <c r="BI125" s="439"/>
      <c r="BJ125" s="439"/>
      <c r="BK125" s="439"/>
      <c r="BL125" s="439"/>
      <c r="BM125" s="439"/>
      <c r="BN125" s="439"/>
      <c r="BO125" s="439"/>
      <c r="BP125" s="439"/>
      <c r="BQ125" s="439"/>
      <c r="BR125" s="439"/>
      <c r="BS125" s="439"/>
      <c r="BT125" s="439"/>
      <c r="BU125" s="439"/>
      <c r="BV125" s="439"/>
      <c r="BX125" s="393"/>
    </row>
    <row r="126" spans="2:76" x14ac:dyDescent="0.2">
      <c r="B126" s="91"/>
      <c r="C126" s="389"/>
      <c r="D126" s="389"/>
      <c r="E126" s="438"/>
      <c r="F126" s="439"/>
      <c r="G126" s="439"/>
      <c r="H126" s="439"/>
      <c r="I126" s="439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39"/>
      <c r="Y126" s="439"/>
      <c r="Z126" s="439"/>
      <c r="AA126" s="439"/>
      <c r="AB126" s="439"/>
      <c r="AC126" s="439"/>
      <c r="AD126" s="439"/>
      <c r="AE126" s="439"/>
      <c r="AF126" s="439"/>
      <c r="AG126" s="439"/>
      <c r="AH126" s="439"/>
      <c r="AI126" s="439"/>
      <c r="AJ126" s="439"/>
      <c r="AK126" s="439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439"/>
      <c r="AW126" s="439"/>
      <c r="AX126" s="439"/>
      <c r="AY126" s="439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439"/>
      <c r="BN126" s="439"/>
      <c r="BO126" s="439"/>
      <c r="BP126" s="439"/>
      <c r="BQ126" s="439"/>
      <c r="BR126" s="439"/>
      <c r="BS126" s="439"/>
      <c r="BT126" s="439"/>
      <c r="BU126" s="439"/>
      <c r="BV126" s="439"/>
      <c r="BX126" s="393"/>
    </row>
    <row r="127" spans="2:76" x14ac:dyDescent="0.2">
      <c r="B127" s="91"/>
      <c r="C127" s="389"/>
      <c r="D127" s="389"/>
      <c r="E127" s="438"/>
      <c r="F127" s="439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39"/>
      <c r="Y127" s="439"/>
      <c r="Z127" s="439"/>
      <c r="AA127" s="439"/>
      <c r="AB127" s="439"/>
      <c r="AC127" s="439"/>
      <c r="AD127" s="439"/>
      <c r="AE127" s="439"/>
      <c r="AF127" s="439"/>
      <c r="AG127" s="439"/>
      <c r="AH127" s="439"/>
      <c r="AI127" s="439"/>
      <c r="AJ127" s="439"/>
      <c r="AK127" s="439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439"/>
      <c r="AW127" s="439"/>
      <c r="AX127" s="439"/>
      <c r="AY127" s="439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439"/>
      <c r="BN127" s="439"/>
      <c r="BO127" s="439"/>
      <c r="BP127" s="439"/>
      <c r="BQ127" s="439"/>
      <c r="BR127" s="439"/>
      <c r="BS127" s="439"/>
      <c r="BT127" s="439"/>
      <c r="BU127" s="439"/>
      <c r="BV127" s="439"/>
      <c r="BX127" s="393"/>
    </row>
    <row r="128" spans="2:76" x14ac:dyDescent="0.2">
      <c r="B128" s="91"/>
      <c r="C128" s="389"/>
      <c r="D128" s="389"/>
      <c r="E128" s="438"/>
      <c r="F128" s="439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  <c r="AA128" s="439"/>
      <c r="AB128" s="439"/>
      <c r="AC128" s="439"/>
      <c r="AD128" s="439"/>
      <c r="AE128" s="439"/>
      <c r="AF128" s="439"/>
      <c r="AG128" s="439"/>
      <c r="AH128" s="439"/>
      <c r="AI128" s="439"/>
      <c r="AJ128" s="439"/>
      <c r="AK128" s="439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39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439"/>
      <c r="BN128" s="439"/>
      <c r="BO128" s="439"/>
      <c r="BP128" s="439"/>
      <c r="BQ128" s="439"/>
      <c r="BR128" s="439"/>
      <c r="BS128" s="439"/>
      <c r="BT128" s="439"/>
      <c r="BU128" s="439"/>
      <c r="BV128" s="439"/>
      <c r="BX128" s="393"/>
    </row>
    <row r="129" spans="2:76" x14ac:dyDescent="0.2">
      <c r="B129" s="91"/>
      <c r="C129" s="389"/>
      <c r="D129" s="389"/>
      <c r="E129" s="438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  <c r="AA129" s="439"/>
      <c r="AB129" s="439"/>
      <c r="AC129" s="439"/>
      <c r="AD129" s="439"/>
      <c r="AE129" s="439"/>
      <c r="AF129" s="439"/>
      <c r="AG129" s="439"/>
      <c r="AH129" s="439"/>
      <c r="AI129" s="439"/>
      <c r="AJ129" s="439"/>
      <c r="AK129" s="439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39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439"/>
      <c r="BN129" s="439"/>
      <c r="BO129" s="439"/>
      <c r="BP129" s="439"/>
      <c r="BQ129" s="439"/>
      <c r="BR129" s="439"/>
      <c r="BS129" s="439"/>
      <c r="BT129" s="439"/>
      <c r="BU129" s="439"/>
      <c r="BV129" s="439"/>
      <c r="BX129" s="393"/>
    </row>
    <row r="130" spans="2:76" x14ac:dyDescent="0.2">
      <c r="B130" s="91"/>
      <c r="C130" s="389"/>
      <c r="D130" s="389"/>
      <c r="E130" s="438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  <c r="AA130" s="439"/>
      <c r="AB130" s="439"/>
      <c r="AC130" s="439"/>
      <c r="AD130" s="439"/>
      <c r="AE130" s="439"/>
      <c r="AF130" s="439"/>
      <c r="AG130" s="439"/>
      <c r="AH130" s="439"/>
      <c r="AI130" s="439"/>
      <c r="AJ130" s="439"/>
      <c r="AK130" s="439"/>
      <c r="AL130" s="439"/>
      <c r="AM130" s="439"/>
      <c r="AN130" s="439"/>
      <c r="AO130" s="439"/>
      <c r="AP130" s="439"/>
      <c r="AQ130" s="439"/>
      <c r="AR130" s="439"/>
      <c r="AS130" s="439"/>
      <c r="AT130" s="439"/>
      <c r="AU130" s="439"/>
      <c r="AV130" s="439"/>
      <c r="AW130" s="439"/>
      <c r="AX130" s="439"/>
      <c r="AY130" s="439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439"/>
      <c r="BN130" s="439"/>
      <c r="BO130" s="439"/>
      <c r="BP130" s="439"/>
      <c r="BQ130" s="439"/>
      <c r="BR130" s="439"/>
      <c r="BS130" s="439"/>
      <c r="BT130" s="439"/>
      <c r="BU130" s="439"/>
      <c r="BV130" s="439"/>
      <c r="BX130" s="393"/>
    </row>
    <row r="131" spans="2:76" x14ac:dyDescent="0.2">
      <c r="B131" s="91"/>
      <c r="C131" s="389"/>
      <c r="D131" s="389"/>
      <c r="E131" s="438"/>
      <c r="F131" s="439"/>
      <c r="G131" s="439"/>
      <c r="H131" s="439"/>
      <c r="I131" s="439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39"/>
      <c r="Y131" s="439"/>
      <c r="Z131" s="439"/>
      <c r="AA131" s="439"/>
      <c r="AB131" s="439"/>
      <c r="AC131" s="439"/>
      <c r="AD131" s="439"/>
      <c r="AE131" s="439"/>
      <c r="AF131" s="439"/>
      <c r="AG131" s="439"/>
      <c r="AH131" s="439"/>
      <c r="AI131" s="439"/>
      <c r="AJ131" s="439"/>
      <c r="AK131" s="439"/>
      <c r="AL131" s="439"/>
      <c r="AM131" s="439"/>
      <c r="AN131" s="439"/>
      <c r="AO131" s="439"/>
      <c r="AP131" s="439"/>
      <c r="AQ131" s="439"/>
      <c r="AR131" s="439"/>
      <c r="AS131" s="439"/>
      <c r="AT131" s="439"/>
      <c r="AU131" s="439"/>
      <c r="AV131" s="439"/>
      <c r="AW131" s="439"/>
      <c r="AX131" s="439"/>
      <c r="AY131" s="439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439"/>
      <c r="BN131" s="439"/>
      <c r="BO131" s="439"/>
      <c r="BP131" s="439"/>
      <c r="BQ131" s="439"/>
      <c r="BR131" s="439"/>
      <c r="BS131" s="439"/>
      <c r="BT131" s="439"/>
      <c r="BU131" s="439"/>
      <c r="BV131" s="439"/>
      <c r="BX131" s="393"/>
    </row>
    <row r="132" spans="2:76" x14ac:dyDescent="0.2">
      <c r="B132" s="91"/>
      <c r="C132" s="389"/>
      <c r="D132" s="389"/>
      <c r="E132" s="438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39"/>
      <c r="AB132" s="439"/>
      <c r="AC132" s="439"/>
      <c r="AD132" s="439"/>
      <c r="AE132" s="439"/>
      <c r="AF132" s="439"/>
      <c r="AG132" s="439"/>
      <c r="AH132" s="439"/>
      <c r="AI132" s="439"/>
      <c r="AJ132" s="439"/>
      <c r="AK132" s="439"/>
      <c r="AL132" s="439"/>
      <c r="AM132" s="439"/>
      <c r="AN132" s="439"/>
      <c r="AO132" s="439"/>
      <c r="AP132" s="439"/>
      <c r="AQ132" s="439"/>
      <c r="AR132" s="439"/>
      <c r="AS132" s="439"/>
      <c r="AT132" s="439"/>
      <c r="AU132" s="439"/>
      <c r="AV132" s="439"/>
      <c r="AW132" s="439"/>
      <c r="AX132" s="439"/>
      <c r="AY132" s="439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439"/>
      <c r="BN132" s="439"/>
      <c r="BO132" s="439"/>
      <c r="BP132" s="439"/>
      <c r="BQ132" s="439"/>
      <c r="BR132" s="439"/>
      <c r="BS132" s="439"/>
      <c r="BT132" s="439"/>
      <c r="BU132" s="439"/>
      <c r="BV132" s="439"/>
      <c r="BX132" s="393"/>
    </row>
    <row r="133" spans="2:76" x14ac:dyDescent="0.2">
      <c r="B133" s="91"/>
      <c r="C133" s="389"/>
      <c r="D133" s="389"/>
      <c r="E133" s="438"/>
      <c r="F133" s="439"/>
      <c r="G133" s="439"/>
      <c r="H133" s="439"/>
      <c r="I133" s="439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39"/>
      <c r="Y133" s="439"/>
      <c r="Z133" s="439"/>
      <c r="AA133" s="439"/>
      <c r="AB133" s="439"/>
      <c r="AC133" s="439"/>
      <c r="AD133" s="439"/>
      <c r="AE133" s="439"/>
      <c r="AF133" s="439"/>
      <c r="AG133" s="439"/>
      <c r="AH133" s="439"/>
      <c r="AI133" s="439"/>
      <c r="AJ133" s="439"/>
      <c r="AK133" s="439"/>
      <c r="AL133" s="439"/>
      <c r="AM133" s="439"/>
      <c r="AN133" s="439"/>
      <c r="AO133" s="439"/>
      <c r="AP133" s="439"/>
      <c r="AQ133" s="439"/>
      <c r="AR133" s="439"/>
      <c r="AS133" s="439"/>
      <c r="AT133" s="439"/>
      <c r="AU133" s="439"/>
      <c r="AV133" s="439"/>
      <c r="AW133" s="439"/>
      <c r="AX133" s="439"/>
      <c r="AY133" s="439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439"/>
      <c r="BN133" s="439"/>
      <c r="BO133" s="439"/>
      <c r="BP133" s="439"/>
      <c r="BQ133" s="439"/>
      <c r="BR133" s="439"/>
      <c r="BS133" s="439"/>
      <c r="BT133" s="439"/>
      <c r="BU133" s="439"/>
      <c r="BV133" s="439"/>
      <c r="BX133" s="393"/>
    </row>
    <row r="134" spans="2:76" x14ac:dyDescent="0.2">
      <c r="B134" s="91"/>
      <c r="C134" s="389"/>
      <c r="D134" s="389"/>
      <c r="E134" s="438"/>
      <c r="F134" s="439"/>
      <c r="G134" s="439"/>
      <c r="H134" s="439"/>
      <c r="I134" s="439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9"/>
      <c r="U134" s="439"/>
      <c r="V134" s="439"/>
      <c r="W134" s="439"/>
      <c r="X134" s="439"/>
      <c r="Y134" s="439"/>
      <c r="Z134" s="439"/>
      <c r="AA134" s="439"/>
      <c r="AB134" s="439"/>
      <c r="AC134" s="439"/>
      <c r="AD134" s="439"/>
      <c r="AE134" s="439"/>
      <c r="AF134" s="439"/>
      <c r="AG134" s="439"/>
      <c r="AH134" s="439"/>
      <c r="AI134" s="439"/>
      <c r="AJ134" s="439"/>
      <c r="AK134" s="439"/>
      <c r="AL134" s="439"/>
      <c r="AM134" s="439"/>
      <c r="AN134" s="439"/>
      <c r="AO134" s="439"/>
      <c r="AP134" s="439"/>
      <c r="AQ134" s="439"/>
      <c r="AR134" s="439"/>
      <c r="AS134" s="439"/>
      <c r="AT134" s="439"/>
      <c r="AU134" s="439"/>
      <c r="AV134" s="439"/>
      <c r="AW134" s="439"/>
      <c r="AX134" s="439"/>
      <c r="AY134" s="439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439"/>
      <c r="BN134" s="439"/>
      <c r="BO134" s="439"/>
      <c r="BP134" s="439"/>
      <c r="BQ134" s="439"/>
      <c r="BR134" s="439"/>
      <c r="BS134" s="439"/>
      <c r="BT134" s="439"/>
      <c r="BU134" s="439"/>
      <c r="BV134" s="439"/>
      <c r="BX134" s="393"/>
    </row>
    <row r="135" spans="2:76" x14ac:dyDescent="0.2">
      <c r="B135" s="91"/>
      <c r="C135" s="91"/>
      <c r="D135" s="91"/>
      <c r="E135" s="438"/>
      <c r="F135" s="439"/>
      <c r="G135" s="439"/>
      <c r="H135" s="439"/>
      <c r="I135" s="439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39"/>
      <c r="Y135" s="439"/>
      <c r="Z135" s="439"/>
      <c r="AA135" s="439"/>
      <c r="AB135" s="439"/>
      <c r="AC135" s="439"/>
      <c r="AD135" s="439"/>
      <c r="AE135" s="439"/>
      <c r="AF135" s="439"/>
      <c r="AG135" s="439"/>
      <c r="AH135" s="439"/>
      <c r="AI135" s="439"/>
      <c r="AJ135" s="439"/>
      <c r="AK135" s="439"/>
      <c r="AL135" s="439"/>
      <c r="AM135" s="439"/>
      <c r="AN135" s="439"/>
      <c r="AO135" s="439"/>
      <c r="AP135" s="439"/>
      <c r="AQ135" s="439"/>
      <c r="AR135" s="439"/>
      <c r="AS135" s="439"/>
      <c r="AT135" s="439"/>
      <c r="AU135" s="439"/>
      <c r="AV135" s="439"/>
      <c r="AW135" s="439"/>
      <c r="AX135" s="439"/>
      <c r="AY135" s="439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439"/>
      <c r="BN135" s="439"/>
      <c r="BO135" s="439"/>
      <c r="BP135" s="439"/>
      <c r="BQ135" s="439"/>
      <c r="BR135" s="439"/>
      <c r="BS135" s="439"/>
      <c r="BT135" s="439"/>
      <c r="BU135" s="439"/>
      <c r="BV135" s="439"/>
      <c r="BX135" s="393"/>
    </row>
    <row r="136" spans="2:76" x14ac:dyDescent="0.2">
      <c r="B136" s="91"/>
      <c r="C136" s="389"/>
      <c r="D136" s="389"/>
      <c r="E136" s="438"/>
      <c r="F136" s="439"/>
      <c r="G136" s="439"/>
      <c r="H136" s="439"/>
      <c r="I136" s="439"/>
      <c r="J136" s="439"/>
      <c r="K136" s="439"/>
      <c r="L136" s="439"/>
      <c r="M136" s="439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  <c r="AA136" s="439"/>
      <c r="AB136" s="439"/>
      <c r="AC136" s="439"/>
      <c r="AD136" s="439"/>
      <c r="AE136" s="439"/>
      <c r="AF136" s="439"/>
      <c r="AG136" s="439"/>
      <c r="AH136" s="439"/>
      <c r="AI136" s="439"/>
      <c r="AJ136" s="439"/>
      <c r="AK136" s="439"/>
      <c r="AL136" s="439"/>
      <c r="AM136" s="439"/>
      <c r="AN136" s="439"/>
      <c r="AO136" s="439"/>
      <c r="AP136" s="439"/>
      <c r="AQ136" s="439"/>
      <c r="AR136" s="439"/>
      <c r="AS136" s="439"/>
      <c r="AT136" s="439"/>
      <c r="AU136" s="439"/>
      <c r="AV136" s="439"/>
      <c r="AW136" s="439"/>
      <c r="AX136" s="439"/>
      <c r="AY136" s="439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439"/>
      <c r="BN136" s="439"/>
      <c r="BO136" s="439"/>
      <c r="BP136" s="439"/>
      <c r="BQ136" s="439"/>
      <c r="BR136" s="439"/>
      <c r="BS136" s="439"/>
      <c r="BT136" s="439"/>
      <c r="BU136" s="439"/>
      <c r="BV136" s="439"/>
      <c r="BX136" s="393"/>
    </row>
    <row r="137" spans="2:76" x14ac:dyDescent="0.2">
      <c r="B137" s="91"/>
      <c r="C137" s="389"/>
      <c r="D137" s="389"/>
      <c r="E137" s="438"/>
      <c r="F137" s="439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  <c r="AA137" s="439"/>
      <c r="AB137" s="439"/>
      <c r="AC137" s="439"/>
      <c r="AD137" s="439"/>
      <c r="AE137" s="439"/>
      <c r="AF137" s="439"/>
      <c r="AG137" s="439"/>
      <c r="AH137" s="439"/>
      <c r="AI137" s="439"/>
      <c r="AJ137" s="439"/>
      <c r="AK137" s="439"/>
      <c r="AL137" s="439"/>
      <c r="AM137" s="439"/>
      <c r="AN137" s="439"/>
      <c r="AO137" s="439"/>
      <c r="AP137" s="439"/>
      <c r="AQ137" s="439"/>
      <c r="AR137" s="439"/>
      <c r="AS137" s="439"/>
      <c r="AT137" s="439"/>
      <c r="AU137" s="439"/>
      <c r="AV137" s="439"/>
      <c r="AW137" s="439"/>
      <c r="AX137" s="439"/>
      <c r="AY137" s="439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439"/>
      <c r="BN137" s="439"/>
      <c r="BO137" s="439"/>
      <c r="BP137" s="439"/>
      <c r="BQ137" s="439"/>
      <c r="BR137" s="439"/>
      <c r="BS137" s="439"/>
      <c r="BT137" s="439"/>
      <c r="BU137" s="439"/>
      <c r="BV137" s="439"/>
      <c r="BX137" s="393"/>
    </row>
    <row r="138" spans="2:76" x14ac:dyDescent="0.2">
      <c r="B138" s="91"/>
      <c r="C138" s="389"/>
      <c r="D138" s="389"/>
      <c r="E138" s="438"/>
      <c r="F138" s="439"/>
      <c r="G138" s="439"/>
      <c r="H138" s="439"/>
      <c r="I138" s="439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  <c r="AA138" s="439"/>
      <c r="AB138" s="439"/>
      <c r="AC138" s="439"/>
      <c r="AD138" s="439"/>
      <c r="AE138" s="439"/>
      <c r="AF138" s="439"/>
      <c r="AG138" s="439"/>
      <c r="AH138" s="439"/>
      <c r="AI138" s="439"/>
      <c r="AJ138" s="439"/>
      <c r="AK138" s="439"/>
      <c r="AL138" s="439"/>
      <c r="AM138" s="439"/>
      <c r="AN138" s="439"/>
      <c r="AO138" s="439"/>
      <c r="AP138" s="439"/>
      <c r="AQ138" s="439"/>
      <c r="AR138" s="439"/>
      <c r="AS138" s="439"/>
      <c r="AT138" s="439"/>
      <c r="AU138" s="439"/>
      <c r="AV138" s="439"/>
      <c r="AW138" s="439"/>
      <c r="AX138" s="439"/>
      <c r="AY138" s="439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439"/>
      <c r="BN138" s="439"/>
      <c r="BO138" s="439"/>
      <c r="BP138" s="439"/>
      <c r="BQ138" s="439"/>
      <c r="BR138" s="439"/>
      <c r="BS138" s="439"/>
      <c r="BT138" s="439"/>
      <c r="BU138" s="439"/>
      <c r="BV138" s="439"/>
      <c r="BX138" s="393"/>
    </row>
    <row r="139" spans="2:76" x14ac:dyDescent="0.2">
      <c r="B139" s="91"/>
      <c r="C139" s="389"/>
      <c r="D139" s="389"/>
      <c r="E139" s="438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439"/>
      <c r="AV139" s="439"/>
      <c r="AW139" s="439"/>
      <c r="AX139" s="439"/>
      <c r="AY139" s="439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439"/>
      <c r="BN139" s="439"/>
      <c r="BO139" s="439"/>
      <c r="BP139" s="439"/>
      <c r="BQ139" s="439"/>
      <c r="BR139" s="439"/>
      <c r="BS139" s="439"/>
      <c r="BT139" s="439"/>
      <c r="BU139" s="439"/>
      <c r="BV139" s="439"/>
      <c r="BX139" s="393"/>
    </row>
    <row r="140" spans="2:76" x14ac:dyDescent="0.2">
      <c r="B140" s="91"/>
      <c r="C140" s="389"/>
      <c r="D140" s="389"/>
      <c r="E140" s="438"/>
      <c r="F140" s="439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  <c r="AA140" s="439"/>
      <c r="AB140" s="439"/>
      <c r="AC140" s="439"/>
      <c r="AD140" s="439"/>
      <c r="AE140" s="439"/>
      <c r="AF140" s="439"/>
      <c r="AG140" s="439"/>
      <c r="AH140" s="439"/>
      <c r="AI140" s="439"/>
      <c r="AJ140" s="439"/>
      <c r="AK140" s="439"/>
      <c r="AL140" s="439"/>
      <c r="AM140" s="439"/>
      <c r="AN140" s="439"/>
      <c r="AO140" s="439"/>
      <c r="AP140" s="439"/>
      <c r="AQ140" s="439"/>
      <c r="AR140" s="439"/>
      <c r="AS140" s="439"/>
      <c r="AT140" s="439"/>
      <c r="AU140" s="439"/>
      <c r="AV140" s="439"/>
      <c r="AW140" s="439"/>
      <c r="AX140" s="439"/>
      <c r="AY140" s="439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439"/>
      <c r="BN140" s="439"/>
      <c r="BO140" s="439"/>
      <c r="BP140" s="439"/>
      <c r="BQ140" s="439"/>
      <c r="BR140" s="439"/>
      <c r="BS140" s="439"/>
      <c r="BT140" s="439"/>
      <c r="BU140" s="439"/>
      <c r="BV140" s="439"/>
      <c r="BX140" s="393"/>
    </row>
    <row r="141" spans="2:76" x14ac:dyDescent="0.2">
      <c r="B141" s="91"/>
      <c r="C141" s="389"/>
      <c r="D141" s="389"/>
      <c r="E141" s="438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  <c r="AA141" s="439"/>
      <c r="AB141" s="439"/>
      <c r="AC141" s="439"/>
      <c r="AD141" s="439"/>
      <c r="AE141" s="439"/>
      <c r="AF141" s="439"/>
      <c r="AG141" s="439"/>
      <c r="AH141" s="439"/>
      <c r="AI141" s="439"/>
      <c r="AJ141" s="439"/>
      <c r="AK141" s="439"/>
      <c r="AL141" s="439"/>
      <c r="AM141" s="439"/>
      <c r="AN141" s="439"/>
      <c r="AO141" s="439"/>
      <c r="AP141" s="439"/>
      <c r="AQ141" s="439"/>
      <c r="AR141" s="439"/>
      <c r="AS141" s="439"/>
      <c r="AT141" s="439"/>
      <c r="AU141" s="439"/>
      <c r="AV141" s="439"/>
      <c r="AW141" s="439"/>
      <c r="AX141" s="439"/>
      <c r="AY141" s="439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439"/>
      <c r="BN141" s="439"/>
      <c r="BO141" s="439"/>
      <c r="BP141" s="439"/>
      <c r="BQ141" s="439"/>
      <c r="BR141" s="439"/>
      <c r="BS141" s="439"/>
      <c r="BT141" s="439"/>
      <c r="BU141" s="439"/>
      <c r="BV141" s="439"/>
      <c r="BX141" s="393"/>
    </row>
    <row r="142" spans="2:76" x14ac:dyDescent="0.2">
      <c r="B142" s="91"/>
      <c r="C142" s="389"/>
      <c r="D142" s="389"/>
      <c r="E142" s="438"/>
      <c r="F142" s="439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  <c r="AJ142" s="439"/>
      <c r="AK142" s="439"/>
      <c r="AL142" s="439"/>
      <c r="AM142" s="439"/>
      <c r="AN142" s="439"/>
      <c r="AO142" s="439"/>
      <c r="AP142" s="439"/>
      <c r="AQ142" s="439"/>
      <c r="AR142" s="439"/>
      <c r="AS142" s="439"/>
      <c r="AT142" s="439"/>
      <c r="AU142" s="439"/>
      <c r="AV142" s="439"/>
      <c r="AW142" s="439"/>
      <c r="AX142" s="439"/>
      <c r="AY142" s="439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439"/>
      <c r="BN142" s="439"/>
      <c r="BO142" s="439"/>
      <c r="BP142" s="439"/>
      <c r="BQ142" s="439"/>
      <c r="BR142" s="439"/>
      <c r="BS142" s="439"/>
      <c r="BT142" s="439"/>
      <c r="BU142" s="439"/>
      <c r="BV142" s="439"/>
      <c r="BX142" s="393"/>
    </row>
    <row r="143" spans="2:76" x14ac:dyDescent="0.2">
      <c r="B143" s="91"/>
      <c r="C143" s="389"/>
      <c r="D143" s="389"/>
      <c r="E143" s="438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  <c r="AA143" s="439"/>
      <c r="AB143" s="439"/>
      <c r="AC143" s="439"/>
      <c r="AD143" s="439"/>
      <c r="AE143" s="439"/>
      <c r="AF143" s="439"/>
      <c r="AG143" s="439"/>
      <c r="AH143" s="439"/>
      <c r="AI143" s="439"/>
      <c r="AJ143" s="439"/>
      <c r="AK143" s="439"/>
      <c r="AL143" s="439"/>
      <c r="AM143" s="439"/>
      <c r="AN143" s="439"/>
      <c r="AO143" s="439"/>
      <c r="AP143" s="439"/>
      <c r="AQ143" s="439"/>
      <c r="AR143" s="439"/>
      <c r="AS143" s="439"/>
      <c r="AT143" s="439"/>
      <c r="AU143" s="439"/>
      <c r="AV143" s="439"/>
      <c r="AW143" s="439"/>
      <c r="AX143" s="439"/>
      <c r="AY143" s="439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X143" s="393"/>
    </row>
    <row r="144" spans="2:76" x14ac:dyDescent="0.2">
      <c r="B144" s="91"/>
      <c r="C144" s="389"/>
      <c r="D144" s="389"/>
      <c r="E144" s="438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  <c r="AA144" s="439"/>
      <c r="AB144" s="439"/>
      <c r="AC144" s="439"/>
      <c r="AD144" s="439"/>
      <c r="AE144" s="439"/>
      <c r="AF144" s="439"/>
      <c r="AG144" s="439"/>
      <c r="AH144" s="439"/>
      <c r="AI144" s="439"/>
      <c r="AJ144" s="439"/>
      <c r="AK144" s="439"/>
      <c r="AL144" s="439"/>
      <c r="AM144" s="439"/>
      <c r="AN144" s="439"/>
      <c r="AO144" s="439"/>
      <c r="AP144" s="439"/>
      <c r="AQ144" s="439"/>
      <c r="AR144" s="439"/>
      <c r="AS144" s="439"/>
      <c r="AT144" s="439"/>
      <c r="AU144" s="439"/>
      <c r="AV144" s="439"/>
      <c r="AW144" s="439"/>
      <c r="AX144" s="439"/>
      <c r="AY144" s="439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X144" s="393"/>
    </row>
    <row r="145" spans="2:76" x14ac:dyDescent="0.2">
      <c r="B145" s="91"/>
      <c r="C145" s="389"/>
      <c r="D145" s="389"/>
      <c r="E145" s="438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  <c r="AA145" s="439"/>
      <c r="AB145" s="439"/>
      <c r="AC145" s="439"/>
      <c r="AD145" s="439"/>
      <c r="AE145" s="439"/>
      <c r="AF145" s="439"/>
      <c r="AG145" s="439"/>
      <c r="AH145" s="439"/>
      <c r="AI145" s="439"/>
      <c r="AJ145" s="439"/>
      <c r="AK145" s="439"/>
      <c r="AL145" s="439"/>
      <c r="AM145" s="439"/>
      <c r="AN145" s="439"/>
      <c r="AO145" s="439"/>
      <c r="AP145" s="439"/>
      <c r="AQ145" s="439"/>
      <c r="AR145" s="439"/>
      <c r="AS145" s="439"/>
      <c r="AT145" s="439"/>
      <c r="AU145" s="439"/>
      <c r="AV145" s="439"/>
      <c r="AW145" s="439"/>
      <c r="AX145" s="439"/>
      <c r="AY145" s="439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X145" s="393"/>
    </row>
    <row r="146" spans="2:76" x14ac:dyDescent="0.2">
      <c r="B146" s="91"/>
      <c r="C146" s="389"/>
      <c r="D146" s="389"/>
      <c r="E146" s="438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  <c r="AA146" s="439"/>
      <c r="AB146" s="439"/>
      <c r="AC146" s="439"/>
      <c r="AD146" s="439"/>
      <c r="AE146" s="439"/>
      <c r="AF146" s="439"/>
      <c r="AG146" s="439"/>
      <c r="AH146" s="439"/>
      <c r="AI146" s="439"/>
      <c r="AJ146" s="439"/>
      <c r="AK146" s="439"/>
      <c r="AL146" s="439"/>
      <c r="AM146" s="439"/>
      <c r="AN146" s="439"/>
      <c r="AO146" s="439"/>
      <c r="AP146" s="439"/>
      <c r="AQ146" s="439"/>
      <c r="AR146" s="439"/>
      <c r="AS146" s="439"/>
      <c r="AT146" s="439"/>
      <c r="AU146" s="439"/>
      <c r="AV146" s="439"/>
      <c r="AW146" s="439"/>
      <c r="AX146" s="439"/>
      <c r="AY146" s="439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X146" s="393"/>
    </row>
    <row r="147" spans="2:76" x14ac:dyDescent="0.2">
      <c r="B147" s="91"/>
      <c r="C147" s="389"/>
      <c r="D147" s="389"/>
      <c r="E147" s="438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  <c r="AA147" s="439"/>
      <c r="AB147" s="439"/>
      <c r="AC147" s="439"/>
      <c r="AD147" s="439"/>
      <c r="AE147" s="439"/>
      <c r="AF147" s="439"/>
      <c r="AG147" s="439"/>
      <c r="AH147" s="439"/>
      <c r="AI147" s="439"/>
      <c r="AJ147" s="439"/>
      <c r="AK147" s="439"/>
      <c r="AL147" s="439"/>
      <c r="AM147" s="439"/>
      <c r="AN147" s="439"/>
      <c r="AO147" s="439"/>
      <c r="AP147" s="439"/>
      <c r="AQ147" s="439"/>
      <c r="AR147" s="439"/>
      <c r="AS147" s="439"/>
      <c r="AT147" s="439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X147" s="393"/>
    </row>
    <row r="148" spans="2:76" x14ac:dyDescent="0.2">
      <c r="B148" s="91"/>
      <c r="C148" s="91"/>
      <c r="D148" s="91"/>
      <c r="E148" s="438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  <c r="AA148" s="439"/>
      <c r="AB148" s="439"/>
      <c r="AC148" s="439"/>
      <c r="AD148" s="439"/>
      <c r="AE148" s="439"/>
      <c r="AF148" s="439"/>
      <c r="AG148" s="439"/>
      <c r="AH148" s="439"/>
      <c r="AI148" s="439"/>
      <c r="AJ148" s="439"/>
      <c r="AK148" s="439"/>
      <c r="AL148" s="439"/>
      <c r="AM148" s="439"/>
      <c r="AN148" s="439"/>
      <c r="AO148" s="439"/>
      <c r="AP148" s="439"/>
      <c r="AQ148" s="439"/>
      <c r="AR148" s="439"/>
      <c r="AS148" s="439"/>
      <c r="AT148" s="439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X148" s="393"/>
    </row>
    <row r="149" spans="2:76" x14ac:dyDescent="0.2">
      <c r="B149" s="91"/>
      <c r="C149" s="389"/>
      <c r="D149" s="389"/>
      <c r="E149" s="438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  <c r="AA149" s="439"/>
      <c r="AB149" s="439"/>
      <c r="AC149" s="439"/>
      <c r="AD149" s="439"/>
      <c r="AE149" s="439"/>
      <c r="AF149" s="439"/>
      <c r="AG149" s="439"/>
      <c r="AH149" s="439"/>
      <c r="AI149" s="439"/>
      <c r="AJ149" s="439"/>
      <c r="AK149" s="439"/>
      <c r="AL149" s="439"/>
      <c r="AM149" s="439"/>
      <c r="AN149" s="439"/>
      <c r="AO149" s="439"/>
      <c r="AP149" s="439"/>
      <c r="AQ149" s="439"/>
      <c r="AR149" s="439"/>
      <c r="AS149" s="439"/>
      <c r="AT149" s="439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X149" s="393"/>
    </row>
    <row r="150" spans="2:76" x14ac:dyDescent="0.2">
      <c r="B150" s="91"/>
      <c r="C150" s="389"/>
      <c r="D150" s="389"/>
      <c r="E150" s="438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  <c r="AA150" s="439"/>
      <c r="AB150" s="439"/>
      <c r="AC150" s="439"/>
      <c r="AD150" s="439"/>
      <c r="AE150" s="439"/>
      <c r="AF150" s="439"/>
      <c r="AG150" s="439"/>
      <c r="AH150" s="439"/>
      <c r="AI150" s="439"/>
      <c r="AJ150" s="439"/>
      <c r="AK150" s="439"/>
      <c r="AL150" s="439"/>
      <c r="AM150" s="439"/>
      <c r="AN150" s="439"/>
      <c r="AO150" s="439"/>
      <c r="AP150" s="439"/>
      <c r="AQ150" s="439"/>
      <c r="AR150" s="439"/>
      <c r="AS150" s="439"/>
      <c r="AT150" s="439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X150" s="393"/>
    </row>
    <row r="151" spans="2:76" x14ac:dyDescent="0.2">
      <c r="B151" s="358"/>
      <c r="D151" s="358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X151" s="393"/>
    </row>
    <row r="152" spans="2:76" x14ac:dyDescent="0.2">
      <c r="B152" s="91"/>
      <c r="C152" s="389"/>
      <c r="D152" s="389"/>
      <c r="E152" s="438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X152" s="393"/>
    </row>
    <row r="153" spans="2:76" x14ac:dyDescent="0.2">
      <c r="B153" s="91"/>
      <c r="C153" s="389"/>
      <c r="D153" s="389"/>
      <c r="E153" s="438"/>
      <c r="F153" s="439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  <c r="AA153" s="439"/>
      <c r="AB153" s="439"/>
      <c r="AC153" s="439"/>
      <c r="AD153" s="439"/>
      <c r="AE153" s="439"/>
      <c r="AF153" s="439"/>
      <c r="AG153" s="439"/>
      <c r="AH153" s="439"/>
      <c r="AI153" s="439"/>
      <c r="AJ153" s="439"/>
      <c r="AK153" s="439"/>
      <c r="AL153" s="439"/>
      <c r="AM153" s="439"/>
      <c r="AN153" s="439"/>
      <c r="AO153" s="439"/>
      <c r="AP153" s="439"/>
      <c r="AQ153" s="439"/>
      <c r="AR153" s="439"/>
      <c r="AS153" s="439"/>
      <c r="AT153" s="439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X153" s="393"/>
    </row>
    <row r="154" spans="2:76" x14ac:dyDescent="0.2">
      <c r="B154" s="91"/>
      <c r="C154" s="389"/>
      <c r="D154" s="389"/>
      <c r="E154" s="438"/>
      <c r="F154" s="439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  <c r="AA154" s="439"/>
      <c r="AB154" s="439"/>
      <c r="AC154" s="439"/>
      <c r="AD154" s="439"/>
      <c r="AE154" s="439"/>
      <c r="AF154" s="439"/>
      <c r="AG154" s="439"/>
      <c r="AH154" s="439"/>
      <c r="AI154" s="439"/>
      <c r="AJ154" s="439"/>
      <c r="AK154" s="439"/>
      <c r="AL154" s="439"/>
      <c r="AM154" s="439"/>
      <c r="AN154" s="439"/>
      <c r="AO154" s="439"/>
      <c r="AP154" s="439"/>
      <c r="AQ154" s="439"/>
      <c r="AR154" s="439"/>
      <c r="AS154" s="439"/>
      <c r="AT154" s="439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X154" s="393"/>
    </row>
    <row r="155" spans="2:76" x14ac:dyDescent="0.2">
      <c r="B155" s="91"/>
      <c r="C155" s="389"/>
      <c r="D155" s="389"/>
      <c r="E155" s="438"/>
      <c r="F155" s="439"/>
      <c r="G155" s="439"/>
      <c r="H155" s="439"/>
      <c r="I155" s="439"/>
      <c r="J155" s="439"/>
      <c r="K155" s="439"/>
      <c r="L155" s="439"/>
      <c r="M155" s="439"/>
      <c r="N155" s="439"/>
      <c r="O155" s="439"/>
      <c r="P155" s="439"/>
      <c r="Q155" s="439"/>
      <c r="R155" s="439"/>
      <c r="S155" s="439"/>
      <c r="T155" s="439"/>
      <c r="U155" s="439"/>
      <c r="V155" s="439"/>
      <c r="W155" s="439"/>
      <c r="X155" s="439"/>
      <c r="Y155" s="439"/>
      <c r="Z155" s="439"/>
      <c r="AA155" s="439"/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X155" s="393"/>
    </row>
    <row r="156" spans="2:76" x14ac:dyDescent="0.2">
      <c r="B156" s="91"/>
      <c r="C156" s="389"/>
      <c r="D156" s="389"/>
      <c r="E156" s="438"/>
      <c r="F156" s="439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  <c r="AA156" s="439"/>
      <c r="AB156" s="439"/>
      <c r="AC156" s="439"/>
      <c r="AD156" s="439"/>
      <c r="AE156" s="439"/>
      <c r="AF156" s="439"/>
      <c r="AG156" s="439"/>
      <c r="AH156" s="439"/>
      <c r="AI156" s="439"/>
      <c r="AJ156" s="439"/>
      <c r="AK156" s="439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X156" s="393"/>
    </row>
    <row r="157" spans="2:76" x14ac:dyDescent="0.2">
      <c r="B157" s="91"/>
      <c r="C157" s="389"/>
      <c r="D157" s="389"/>
      <c r="E157" s="438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  <c r="AA157" s="439"/>
      <c r="AB157" s="439"/>
      <c r="AC157" s="439"/>
      <c r="AD157" s="439"/>
      <c r="AE157" s="439"/>
      <c r="AF157" s="439"/>
      <c r="AG157" s="439"/>
      <c r="AH157" s="439"/>
      <c r="AI157" s="439"/>
      <c r="AJ157" s="439"/>
      <c r="AK157" s="439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X157" s="393"/>
    </row>
    <row r="158" spans="2:76" x14ac:dyDescent="0.2">
      <c r="B158" s="91"/>
      <c r="C158" s="389"/>
      <c r="D158" s="389"/>
      <c r="E158" s="438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  <c r="AA158" s="439"/>
      <c r="AB158" s="439"/>
      <c r="AC158" s="439"/>
      <c r="AD158" s="439"/>
      <c r="AE158" s="439"/>
      <c r="AF158" s="439"/>
      <c r="AG158" s="439"/>
      <c r="AH158" s="439"/>
      <c r="AI158" s="439"/>
      <c r="AJ158" s="439"/>
      <c r="AK158" s="4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X158" s="393"/>
    </row>
    <row r="159" spans="2:76" x14ac:dyDescent="0.2">
      <c r="B159" s="91"/>
      <c r="C159" s="389"/>
      <c r="D159" s="389"/>
      <c r="E159" s="438"/>
      <c r="F159" s="439"/>
      <c r="G159" s="439"/>
      <c r="H159" s="439"/>
      <c r="I159" s="439"/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  <c r="AA159" s="439"/>
      <c r="AB159" s="439"/>
      <c r="AC159" s="439"/>
      <c r="AD159" s="439"/>
      <c r="AE159" s="439"/>
      <c r="AF159" s="439"/>
      <c r="AG159" s="439"/>
      <c r="AH159" s="439"/>
      <c r="AI159" s="439"/>
      <c r="AJ159" s="439"/>
      <c r="AK159" s="439"/>
      <c r="AL159" s="439"/>
      <c r="AM159" s="439"/>
      <c r="AN159" s="439"/>
      <c r="AO159" s="439"/>
      <c r="AP159" s="439"/>
      <c r="AQ159" s="439"/>
      <c r="AR159" s="439"/>
      <c r="AS159" s="439"/>
      <c r="AT159" s="439"/>
      <c r="AU159" s="439"/>
      <c r="AV159" s="439"/>
      <c r="AW159" s="439"/>
      <c r="AX159" s="439"/>
      <c r="AY159" s="439"/>
      <c r="AZ159" s="439"/>
      <c r="BA159" s="439"/>
      <c r="BB159" s="439"/>
      <c r="BC159" s="439"/>
      <c r="BD159" s="439"/>
      <c r="BE159" s="439"/>
      <c r="BF159" s="439"/>
      <c r="BG159" s="439"/>
      <c r="BH159" s="439"/>
      <c r="BI159" s="439"/>
      <c r="BJ159" s="439"/>
      <c r="BK159" s="439"/>
      <c r="BL159" s="439"/>
      <c r="BM159" s="439"/>
      <c r="BN159" s="439"/>
      <c r="BO159" s="439"/>
      <c r="BP159" s="439"/>
      <c r="BQ159" s="439"/>
      <c r="BR159" s="439"/>
      <c r="BS159" s="439"/>
      <c r="BT159" s="439"/>
      <c r="BU159" s="439"/>
      <c r="BV159" s="439"/>
      <c r="BX159" s="393"/>
    </row>
    <row r="160" spans="2:76" x14ac:dyDescent="0.2">
      <c r="B160" s="91"/>
      <c r="C160" s="389"/>
      <c r="D160" s="389"/>
      <c r="E160" s="438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  <c r="AA160" s="439"/>
      <c r="AB160" s="439"/>
      <c r="AC160" s="439"/>
      <c r="AD160" s="439"/>
      <c r="AE160" s="439"/>
      <c r="AF160" s="439"/>
      <c r="AG160" s="439"/>
      <c r="AH160" s="439"/>
      <c r="AI160" s="439"/>
      <c r="AJ160" s="439"/>
      <c r="AK160" s="439"/>
      <c r="AL160" s="439"/>
      <c r="AM160" s="439"/>
      <c r="AN160" s="439"/>
      <c r="AO160" s="439"/>
      <c r="AP160" s="439"/>
      <c r="AQ160" s="439"/>
      <c r="AR160" s="439"/>
      <c r="AS160" s="439"/>
      <c r="AT160" s="439"/>
      <c r="AU160" s="439"/>
      <c r="AV160" s="439"/>
      <c r="AW160" s="439"/>
      <c r="AX160" s="439"/>
      <c r="AY160" s="439"/>
      <c r="AZ160" s="439"/>
      <c r="BA160" s="439"/>
      <c r="BB160" s="439"/>
      <c r="BC160" s="439"/>
      <c r="BD160" s="439"/>
      <c r="BE160" s="439"/>
      <c r="BF160" s="439"/>
      <c r="BG160" s="439"/>
      <c r="BH160" s="439"/>
      <c r="BI160" s="439"/>
      <c r="BJ160" s="439"/>
      <c r="BK160" s="439"/>
      <c r="BL160" s="439"/>
      <c r="BM160" s="439"/>
      <c r="BN160" s="439"/>
      <c r="BO160" s="439"/>
      <c r="BP160" s="439"/>
      <c r="BQ160" s="439"/>
      <c r="BR160" s="439"/>
      <c r="BS160" s="439"/>
      <c r="BT160" s="439"/>
      <c r="BU160" s="439"/>
      <c r="BV160" s="439"/>
      <c r="BX160" s="393"/>
    </row>
    <row r="161" spans="2:76" x14ac:dyDescent="0.2">
      <c r="B161" s="91"/>
      <c r="C161" s="389"/>
      <c r="D161" s="389"/>
      <c r="E161" s="438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  <c r="AA161" s="439"/>
      <c r="AB161" s="439"/>
      <c r="AC161" s="439"/>
      <c r="AD161" s="439"/>
      <c r="AE161" s="439"/>
      <c r="AF161" s="439"/>
      <c r="AG161" s="439"/>
      <c r="AH161" s="439"/>
      <c r="AI161" s="439"/>
      <c r="AJ161" s="439"/>
      <c r="AK161" s="439"/>
      <c r="AL161" s="439"/>
      <c r="AM161" s="439"/>
      <c r="AN161" s="439"/>
      <c r="AO161" s="439"/>
      <c r="AP161" s="439"/>
      <c r="AQ161" s="439"/>
      <c r="AR161" s="439"/>
      <c r="AS161" s="439"/>
      <c r="AT161" s="439"/>
      <c r="AU161" s="439"/>
      <c r="AV161" s="439"/>
      <c r="AW161" s="439"/>
      <c r="AX161" s="439"/>
      <c r="AY161" s="439"/>
      <c r="AZ161" s="439"/>
      <c r="BA161" s="439"/>
      <c r="BB161" s="439"/>
      <c r="BC161" s="439"/>
      <c r="BD161" s="439"/>
      <c r="BE161" s="439"/>
      <c r="BF161" s="439"/>
      <c r="BG161" s="439"/>
      <c r="BH161" s="439"/>
      <c r="BI161" s="439"/>
      <c r="BJ161" s="439"/>
      <c r="BK161" s="439"/>
      <c r="BL161" s="439"/>
      <c r="BM161" s="439"/>
      <c r="BN161" s="439"/>
      <c r="BO161" s="439"/>
      <c r="BP161" s="439"/>
      <c r="BQ161" s="439"/>
      <c r="BR161" s="439"/>
      <c r="BS161" s="439"/>
      <c r="BT161" s="439"/>
      <c r="BU161" s="439"/>
      <c r="BV161" s="439"/>
      <c r="BX161" s="393"/>
    </row>
    <row r="162" spans="2:76" x14ac:dyDescent="0.2">
      <c r="B162" s="91"/>
      <c r="C162" s="389"/>
      <c r="D162" s="389"/>
      <c r="E162" s="438"/>
      <c r="F162" s="439"/>
      <c r="G162" s="439"/>
      <c r="H162" s="439"/>
      <c r="I162" s="439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  <c r="AA162" s="439"/>
      <c r="AB162" s="439"/>
      <c r="AC162" s="439"/>
      <c r="AD162" s="439"/>
      <c r="AE162" s="439"/>
      <c r="AF162" s="439"/>
      <c r="AG162" s="439"/>
      <c r="AH162" s="439"/>
      <c r="AI162" s="439"/>
      <c r="AJ162" s="439"/>
      <c r="AK162" s="439"/>
      <c r="AL162" s="439"/>
      <c r="AM162" s="439"/>
      <c r="AN162" s="439"/>
      <c r="AO162" s="439"/>
      <c r="AP162" s="439"/>
      <c r="AQ162" s="439"/>
      <c r="AR162" s="439"/>
      <c r="AS162" s="439"/>
      <c r="AT162" s="439"/>
      <c r="AU162" s="439"/>
      <c r="AV162" s="439"/>
      <c r="AW162" s="439"/>
      <c r="AX162" s="439"/>
      <c r="AY162" s="439"/>
      <c r="AZ162" s="439"/>
      <c r="BA162" s="439"/>
      <c r="BB162" s="439"/>
      <c r="BC162" s="439"/>
      <c r="BD162" s="439"/>
      <c r="BE162" s="439"/>
      <c r="BF162" s="439"/>
      <c r="BG162" s="439"/>
      <c r="BH162" s="439"/>
      <c r="BI162" s="439"/>
      <c r="BJ162" s="439"/>
      <c r="BK162" s="439"/>
      <c r="BL162" s="439"/>
      <c r="BM162" s="439"/>
      <c r="BN162" s="439"/>
      <c r="BO162" s="439"/>
      <c r="BP162" s="439"/>
      <c r="BQ162" s="439"/>
      <c r="BR162" s="439"/>
      <c r="BS162" s="439"/>
      <c r="BT162" s="439"/>
      <c r="BU162" s="439"/>
      <c r="BV162" s="439"/>
      <c r="BX162" s="393"/>
    </row>
    <row r="163" spans="2:76" x14ac:dyDescent="0.2">
      <c r="B163" s="91"/>
      <c r="C163" s="389"/>
      <c r="D163" s="389"/>
      <c r="E163" s="438"/>
      <c r="F163" s="439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  <c r="AA163" s="439"/>
      <c r="AB163" s="439"/>
      <c r="AC163" s="439"/>
      <c r="AD163" s="439"/>
      <c r="AE163" s="439"/>
      <c r="AF163" s="439"/>
      <c r="AG163" s="439"/>
      <c r="AH163" s="439"/>
      <c r="AI163" s="439"/>
      <c r="AJ163" s="439"/>
      <c r="AK163" s="439"/>
      <c r="AL163" s="439"/>
      <c r="AM163" s="439"/>
      <c r="AN163" s="439"/>
      <c r="AO163" s="439"/>
      <c r="AP163" s="439"/>
      <c r="AQ163" s="439"/>
      <c r="AR163" s="439"/>
      <c r="AS163" s="439"/>
      <c r="AT163" s="439"/>
      <c r="AU163" s="439"/>
      <c r="AV163" s="439"/>
      <c r="AW163" s="439"/>
      <c r="AX163" s="439"/>
      <c r="AY163" s="439"/>
      <c r="AZ163" s="439"/>
      <c r="BA163" s="439"/>
      <c r="BB163" s="439"/>
      <c r="BC163" s="439"/>
      <c r="BD163" s="439"/>
      <c r="BE163" s="439"/>
      <c r="BF163" s="439"/>
      <c r="BG163" s="439"/>
      <c r="BH163" s="439"/>
      <c r="BI163" s="439"/>
      <c r="BJ163" s="439"/>
      <c r="BK163" s="439"/>
      <c r="BL163" s="439"/>
      <c r="BM163" s="439"/>
      <c r="BN163" s="439"/>
      <c r="BO163" s="439"/>
      <c r="BP163" s="439"/>
      <c r="BQ163" s="439"/>
      <c r="BR163" s="439"/>
      <c r="BS163" s="439"/>
      <c r="BT163" s="439"/>
      <c r="BU163" s="439"/>
      <c r="BV163" s="439"/>
      <c r="BX163" s="393"/>
    </row>
    <row r="164" spans="2:76" x14ac:dyDescent="0.2">
      <c r="B164" s="91"/>
      <c r="C164" s="389"/>
      <c r="D164" s="389"/>
      <c r="E164" s="438"/>
      <c r="F164" s="439"/>
      <c r="G164" s="439"/>
      <c r="H164" s="439"/>
      <c r="I164" s="439"/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  <c r="AA164" s="439"/>
      <c r="AB164" s="439"/>
      <c r="AC164" s="439"/>
      <c r="AD164" s="439"/>
      <c r="AE164" s="439"/>
      <c r="AF164" s="439"/>
      <c r="AG164" s="439"/>
      <c r="AH164" s="439"/>
      <c r="AI164" s="439"/>
      <c r="AJ164" s="439"/>
      <c r="AK164" s="439"/>
      <c r="AL164" s="439"/>
      <c r="AM164" s="439"/>
      <c r="AN164" s="439"/>
      <c r="AO164" s="439"/>
      <c r="AP164" s="439"/>
      <c r="AQ164" s="439"/>
      <c r="AR164" s="439"/>
      <c r="AS164" s="439"/>
      <c r="AT164" s="439"/>
      <c r="AU164" s="439"/>
      <c r="AV164" s="439"/>
      <c r="AW164" s="439"/>
      <c r="AX164" s="439"/>
      <c r="AY164" s="439"/>
      <c r="AZ164" s="439"/>
      <c r="BA164" s="439"/>
      <c r="BB164" s="439"/>
      <c r="BC164" s="439"/>
      <c r="BD164" s="439"/>
      <c r="BE164" s="439"/>
      <c r="BF164" s="439"/>
      <c r="BG164" s="439"/>
      <c r="BH164" s="439"/>
      <c r="BI164" s="439"/>
      <c r="BJ164" s="439"/>
      <c r="BK164" s="439"/>
      <c r="BL164" s="439"/>
      <c r="BM164" s="439"/>
      <c r="BN164" s="439"/>
      <c r="BO164" s="439"/>
      <c r="BP164" s="439"/>
      <c r="BQ164" s="439"/>
      <c r="BR164" s="439"/>
      <c r="BS164" s="439"/>
      <c r="BT164" s="439"/>
      <c r="BU164" s="439"/>
      <c r="BV164" s="439"/>
      <c r="BX164" s="393"/>
    </row>
    <row r="165" spans="2:76" x14ac:dyDescent="0.2">
      <c r="B165" s="91"/>
      <c r="C165" s="389"/>
      <c r="D165" s="389"/>
      <c r="E165" s="438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  <c r="AV165" s="439"/>
      <c r="AW165" s="439"/>
      <c r="AX165" s="439"/>
      <c r="AY165" s="439"/>
      <c r="AZ165" s="439"/>
      <c r="BA165" s="439"/>
      <c r="BB165" s="439"/>
      <c r="BC165" s="439"/>
      <c r="BD165" s="439"/>
      <c r="BE165" s="439"/>
      <c r="BF165" s="439"/>
      <c r="BG165" s="439"/>
      <c r="BH165" s="439"/>
      <c r="BI165" s="439"/>
      <c r="BJ165" s="439"/>
      <c r="BK165" s="439"/>
      <c r="BL165" s="439"/>
      <c r="BM165" s="439"/>
      <c r="BN165" s="439"/>
      <c r="BO165" s="439"/>
      <c r="BP165" s="439"/>
      <c r="BQ165" s="439"/>
      <c r="BR165" s="439"/>
      <c r="BS165" s="439"/>
      <c r="BT165" s="439"/>
      <c r="BU165" s="439"/>
      <c r="BV165" s="439"/>
    </row>
    <row r="166" spans="2:76" x14ac:dyDescent="0.2">
      <c r="B166" s="91"/>
      <c r="C166" s="389"/>
      <c r="D166" s="389"/>
      <c r="E166" s="438"/>
      <c r="F166" s="439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  <c r="AA166" s="439"/>
      <c r="AB166" s="439"/>
      <c r="AC166" s="439"/>
      <c r="AD166" s="439"/>
      <c r="AE166" s="439"/>
      <c r="AF166" s="439"/>
      <c r="AG166" s="439"/>
      <c r="AH166" s="439"/>
      <c r="AI166" s="439"/>
      <c r="AJ166" s="439"/>
      <c r="AK166" s="439"/>
      <c r="AL166" s="439"/>
      <c r="AM166" s="439"/>
      <c r="AN166" s="439"/>
      <c r="AO166" s="439"/>
      <c r="AP166" s="439"/>
      <c r="AQ166" s="439"/>
      <c r="AR166" s="439"/>
      <c r="AS166" s="439"/>
      <c r="AT166" s="439"/>
      <c r="AU166" s="439"/>
      <c r="AV166" s="439"/>
      <c r="AW166" s="439"/>
      <c r="AX166" s="439"/>
      <c r="AY166" s="439"/>
      <c r="AZ166" s="439"/>
      <c r="BA166" s="439"/>
      <c r="BB166" s="439"/>
      <c r="BC166" s="439"/>
      <c r="BD166" s="439"/>
      <c r="BE166" s="439"/>
      <c r="BF166" s="439"/>
      <c r="BG166" s="439"/>
      <c r="BH166" s="439"/>
      <c r="BI166" s="439"/>
      <c r="BJ166" s="439"/>
      <c r="BK166" s="439"/>
      <c r="BL166" s="439"/>
      <c r="BM166" s="439"/>
      <c r="BN166" s="439"/>
      <c r="BO166" s="439"/>
      <c r="BP166" s="439"/>
      <c r="BQ166" s="439"/>
      <c r="BR166" s="439"/>
      <c r="BS166" s="439"/>
      <c r="BT166" s="439"/>
      <c r="BU166" s="439"/>
      <c r="BV166" s="439"/>
    </row>
    <row r="167" spans="2:76" x14ac:dyDescent="0.2">
      <c r="B167" s="91"/>
      <c r="C167" s="389"/>
      <c r="D167" s="389"/>
      <c r="E167" s="438"/>
      <c r="F167" s="439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  <c r="AA167" s="439"/>
      <c r="AB167" s="439"/>
      <c r="AC167" s="439"/>
      <c r="AD167" s="439"/>
      <c r="AE167" s="439"/>
      <c r="AF167" s="439"/>
      <c r="AG167" s="439"/>
      <c r="AH167" s="439"/>
      <c r="AI167" s="439"/>
      <c r="AJ167" s="439"/>
      <c r="AK167" s="439"/>
      <c r="AL167" s="439"/>
      <c r="AM167" s="439"/>
      <c r="AN167" s="439"/>
      <c r="AO167" s="439"/>
      <c r="AP167" s="439"/>
      <c r="AQ167" s="439"/>
      <c r="AR167" s="439"/>
      <c r="AS167" s="439"/>
      <c r="AT167" s="439"/>
      <c r="AU167" s="439"/>
      <c r="AV167" s="439"/>
      <c r="AW167" s="439"/>
      <c r="AX167" s="439"/>
      <c r="AY167" s="439"/>
      <c r="AZ167" s="439"/>
      <c r="BA167" s="439"/>
      <c r="BB167" s="439"/>
      <c r="BC167" s="439"/>
      <c r="BD167" s="439"/>
      <c r="BE167" s="439"/>
      <c r="BF167" s="439"/>
      <c r="BG167" s="439"/>
      <c r="BH167" s="439"/>
      <c r="BI167" s="439"/>
      <c r="BJ167" s="439"/>
      <c r="BK167" s="439"/>
      <c r="BL167" s="439"/>
      <c r="BM167" s="439"/>
      <c r="BN167" s="439"/>
      <c r="BO167" s="439"/>
      <c r="BP167" s="439"/>
      <c r="BQ167" s="439"/>
      <c r="BR167" s="439"/>
      <c r="BS167" s="439"/>
      <c r="BT167" s="439"/>
      <c r="BU167" s="439"/>
      <c r="BV167" s="439"/>
    </row>
    <row r="168" spans="2:76" x14ac:dyDescent="0.2">
      <c r="B168" s="91"/>
      <c r="C168" s="389"/>
      <c r="D168" s="389"/>
      <c r="E168" s="438"/>
      <c r="F168" s="439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  <c r="AA168" s="439"/>
      <c r="AB168" s="439"/>
      <c r="AC168" s="439"/>
      <c r="AD168" s="439"/>
      <c r="AE168" s="439"/>
      <c r="AF168" s="439"/>
      <c r="AG168" s="439"/>
      <c r="AH168" s="439"/>
      <c r="AI168" s="439"/>
      <c r="AJ168" s="439"/>
      <c r="AK168" s="439"/>
      <c r="AL168" s="439"/>
      <c r="AM168" s="439"/>
      <c r="AN168" s="439"/>
      <c r="AO168" s="439"/>
      <c r="AP168" s="439"/>
      <c r="AQ168" s="439"/>
      <c r="AR168" s="439"/>
      <c r="AS168" s="439"/>
      <c r="AT168" s="439"/>
      <c r="AU168" s="439"/>
      <c r="AV168" s="439"/>
      <c r="AW168" s="439"/>
      <c r="AX168" s="439"/>
      <c r="AY168" s="439"/>
      <c r="AZ168" s="439"/>
      <c r="BA168" s="439"/>
      <c r="BB168" s="439"/>
      <c r="BC168" s="439"/>
      <c r="BD168" s="439"/>
      <c r="BE168" s="439"/>
      <c r="BF168" s="439"/>
      <c r="BG168" s="439"/>
      <c r="BH168" s="439"/>
      <c r="BI168" s="439"/>
      <c r="BJ168" s="439"/>
      <c r="BK168" s="439"/>
      <c r="BL168" s="439"/>
      <c r="BM168" s="439"/>
      <c r="BN168" s="439"/>
      <c r="BO168" s="439"/>
      <c r="BP168" s="439"/>
      <c r="BQ168" s="439"/>
      <c r="BR168" s="439"/>
      <c r="BS168" s="439"/>
      <c r="BT168" s="439"/>
      <c r="BU168" s="439"/>
      <c r="BV168" s="439"/>
    </row>
    <row r="169" spans="2:76" x14ac:dyDescent="0.2">
      <c r="B169" s="91"/>
      <c r="C169" s="389"/>
      <c r="D169" s="389"/>
      <c r="E169" s="438"/>
      <c r="F169" s="439"/>
      <c r="G169" s="439"/>
      <c r="H169" s="439"/>
      <c r="I169" s="439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  <c r="AA169" s="439"/>
      <c r="AB169" s="439"/>
      <c r="AC169" s="439"/>
      <c r="AD169" s="439"/>
      <c r="AE169" s="439"/>
      <c r="AF169" s="439"/>
      <c r="AG169" s="439"/>
      <c r="AH169" s="439"/>
      <c r="AI169" s="439"/>
      <c r="AJ169" s="439"/>
      <c r="AK169" s="439"/>
      <c r="AL169" s="439"/>
      <c r="AM169" s="439"/>
      <c r="AN169" s="439"/>
      <c r="AO169" s="439"/>
      <c r="AP169" s="439"/>
      <c r="AQ169" s="439"/>
      <c r="AR169" s="439"/>
      <c r="AS169" s="439"/>
      <c r="AT169" s="439"/>
      <c r="AU169" s="439"/>
      <c r="AV169" s="439"/>
      <c r="AW169" s="439"/>
      <c r="AX169" s="439"/>
      <c r="AY169" s="439"/>
      <c r="AZ169" s="439"/>
      <c r="BA169" s="439"/>
      <c r="BB169" s="439"/>
      <c r="BC169" s="439"/>
      <c r="BD169" s="439"/>
      <c r="BE169" s="439"/>
      <c r="BF169" s="439"/>
      <c r="BG169" s="439"/>
      <c r="BH169" s="439"/>
      <c r="BI169" s="439"/>
      <c r="BJ169" s="439"/>
      <c r="BK169" s="439"/>
      <c r="BL169" s="439"/>
      <c r="BM169" s="439"/>
      <c r="BN169" s="439"/>
      <c r="BO169" s="439"/>
      <c r="BP169" s="439"/>
      <c r="BQ169" s="439"/>
      <c r="BR169" s="439"/>
      <c r="BS169" s="439"/>
      <c r="BT169" s="439"/>
      <c r="BU169" s="439"/>
      <c r="BV169" s="439"/>
    </row>
    <row r="170" spans="2:76" x14ac:dyDescent="0.2">
      <c r="B170" s="91"/>
      <c r="C170" s="389"/>
      <c r="D170" s="389"/>
      <c r="E170" s="438"/>
      <c r="F170" s="439"/>
      <c r="G170" s="439"/>
      <c r="H170" s="439"/>
      <c r="I170" s="439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  <c r="AA170" s="439"/>
      <c r="AB170" s="439"/>
      <c r="AC170" s="439"/>
      <c r="AD170" s="439"/>
      <c r="AE170" s="439"/>
      <c r="AF170" s="439"/>
      <c r="AG170" s="439"/>
      <c r="AH170" s="439"/>
      <c r="AI170" s="439"/>
      <c r="AJ170" s="439"/>
      <c r="AK170" s="439"/>
      <c r="AL170" s="439"/>
      <c r="AM170" s="439"/>
      <c r="AN170" s="439"/>
      <c r="AO170" s="439"/>
      <c r="AP170" s="439"/>
      <c r="AQ170" s="439"/>
      <c r="AR170" s="439"/>
      <c r="AS170" s="439"/>
      <c r="AT170" s="439"/>
      <c r="AU170" s="439"/>
      <c r="AV170" s="439"/>
      <c r="AW170" s="439"/>
      <c r="AX170" s="439"/>
      <c r="AY170" s="439"/>
      <c r="AZ170" s="439"/>
      <c r="BA170" s="439"/>
      <c r="BB170" s="439"/>
      <c r="BC170" s="439"/>
      <c r="BD170" s="439"/>
      <c r="BE170" s="439"/>
      <c r="BF170" s="439"/>
      <c r="BG170" s="439"/>
      <c r="BH170" s="439"/>
      <c r="BI170" s="439"/>
      <c r="BJ170" s="439"/>
      <c r="BK170" s="439"/>
      <c r="BL170" s="439"/>
      <c r="BM170" s="439"/>
      <c r="BN170" s="439"/>
      <c r="BO170" s="439"/>
      <c r="BP170" s="439"/>
      <c r="BQ170" s="439"/>
      <c r="BR170" s="439"/>
      <c r="BS170" s="439"/>
      <c r="BT170" s="439"/>
      <c r="BU170" s="439"/>
      <c r="BV170" s="439"/>
    </row>
    <row r="171" spans="2:76" x14ac:dyDescent="0.2">
      <c r="B171" s="91"/>
      <c r="C171" s="91"/>
      <c r="D171" s="91"/>
      <c r="E171" s="438"/>
      <c r="F171" s="439"/>
      <c r="G171" s="439"/>
      <c r="H171" s="439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  <c r="AA171" s="439"/>
      <c r="AB171" s="439"/>
      <c r="AC171" s="439"/>
      <c r="AD171" s="439"/>
      <c r="AE171" s="439"/>
      <c r="AF171" s="439"/>
      <c r="AG171" s="439"/>
      <c r="AH171" s="439"/>
      <c r="AI171" s="439"/>
      <c r="AJ171" s="439"/>
      <c r="AK171" s="439"/>
      <c r="AL171" s="439"/>
      <c r="AM171" s="439"/>
      <c r="AN171" s="439"/>
      <c r="AO171" s="439"/>
      <c r="AP171" s="439"/>
      <c r="AQ171" s="439"/>
      <c r="AR171" s="439"/>
      <c r="AS171" s="439"/>
      <c r="AT171" s="439"/>
      <c r="AU171" s="439"/>
      <c r="AV171" s="439"/>
      <c r="AW171" s="439"/>
      <c r="AX171" s="439"/>
      <c r="AY171" s="439"/>
      <c r="AZ171" s="439"/>
      <c r="BA171" s="439"/>
      <c r="BB171" s="439"/>
      <c r="BC171" s="439"/>
      <c r="BD171" s="439"/>
      <c r="BE171" s="439"/>
      <c r="BF171" s="439"/>
      <c r="BG171" s="439"/>
      <c r="BH171" s="439"/>
      <c r="BI171" s="439"/>
      <c r="BJ171" s="439"/>
      <c r="BK171" s="439"/>
      <c r="BL171" s="439"/>
      <c r="BM171" s="439"/>
      <c r="BN171" s="439"/>
      <c r="BO171" s="439"/>
      <c r="BP171" s="439"/>
      <c r="BQ171" s="439"/>
      <c r="BR171" s="439"/>
      <c r="BS171" s="439"/>
      <c r="BT171" s="439"/>
      <c r="BU171" s="439"/>
      <c r="BV171" s="439"/>
    </row>
    <row r="172" spans="2:76" x14ac:dyDescent="0.2">
      <c r="B172" s="91"/>
      <c r="C172" s="389"/>
      <c r="D172" s="389"/>
      <c r="E172" s="438"/>
      <c r="F172" s="439"/>
      <c r="G172" s="439"/>
      <c r="H172" s="439"/>
      <c r="I172" s="439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  <c r="AJ172" s="439"/>
      <c r="AK172" s="439"/>
      <c r="AL172" s="439"/>
      <c r="AM172" s="439"/>
      <c r="AN172" s="439"/>
      <c r="AO172" s="439"/>
      <c r="AP172" s="439"/>
      <c r="AQ172" s="439"/>
      <c r="AR172" s="439"/>
      <c r="AS172" s="439"/>
      <c r="AT172" s="439"/>
      <c r="AU172" s="439"/>
      <c r="AV172" s="439"/>
      <c r="AW172" s="439"/>
      <c r="AX172" s="439"/>
      <c r="AY172" s="439"/>
      <c r="AZ172" s="439"/>
      <c r="BA172" s="439"/>
      <c r="BB172" s="439"/>
      <c r="BC172" s="439"/>
      <c r="BD172" s="439"/>
      <c r="BE172" s="439"/>
      <c r="BF172" s="439"/>
      <c r="BG172" s="439"/>
      <c r="BH172" s="439"/>
      <c r="BI172" s="439"/>
      <c r="BJ172" s="439"/>
      <c r="BK172" s="439"/>
      <c r="BL172" s="439"/>
      <c r="BM172" s="439"/>
      <c r="BN172" s="439"/>
      <c r="BO172" s="439"/>
      <c r="BP172" s="439"/>
      <c r="BQ172" s="439"/>
      <c r="BR172" s="439"/>
      <c r="BS172" s="439"/>
      <c r="BT172" s="439"/>
      <c r="BU172" s="439"/>
      <c r="BV172" s="439"/>
    </row>
    <row r="173" spans="2:76" x14ac:dyDescent="0.2">
      <c r="B173" s="441"/>
      <c r="C173" s="389"/>
      <c r="D173" s="389"/>
      <c r="E173" s="438"/>
      <c r="F173" s="439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  <c r="AJ173" s="439"/>
      <c r="AK173" s="439"/>
      <c r="AL173" s="439"/>
      <c r="AM173" s="439"/>
      <c r="AN173" s="439"/>
      <c r="AO173" s="439"/>
      <c r="AP173" s="439"/>
      <c r="AQ173" s="439"/>
      <c r="AR173" s="439"/>
      <c r="AS173" s="439"/>
      <c r="AT173" s="439"/>
      <c r="AU173" s="439"/>
      <c r="AV173" s="439"/>
      <c r="AW173" s="439"/>
      <c r="AX173" s="439"/>
      <c r="AY173" s="439"/>
      <c r="AZ173" s="439"/>
      <c r="BA173" s="439"/>
      <c r="BB173" s="439"/>
      <c r="BC173" s="439"/>
      <c r="BD173" s="439"/>
      <c r="BE173" s="439"/>
      <c r="BF173" s="439"/>
      <c r="BG173" s="439"/>
      <c r="BH173" s="439"/>
      <c r="BI173" s="439"/>
      <c r="BJ173" s="439"/>
      <c r="BK173" s="439"/>
      <c r="BL173" s="439"/>
      <c r="BM173" s="439"/>
      <c r="BN173" s="439"/>
      <c r="BO173" s="439"/>
      <c r="BP173" s="439"/>
      <c r="BQ173" s="439"/>
      <c r="BR173" s="439"/>
      <c r="BS173" s="439"/>
      <c r="BT173" s="439"/>
      <c r="BU173" s="439"/>
      <c r="BV173" s="439"/>
    </row>
    <row r="174" spans="2:76" x14ac:dyDescent="0.2">
      <c r="B174" s="91"/>
      <c r="C174" s="389"/>
      <c r="D174" s="389"/>
      <c r="E174" s="438"/>
      <c r="F174" s="439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  <c r="AA174" s="439"/>
      <c r="AB174" s="439"/>
      <c r="AC174" s="439"/>
      <c r="AD174" s="439"/>
      <c r="AE174" s="439"/>
      <c r="AF174" s="439"/>
      <c r="AG174" s="439"/>
      <c r="AH174" s="439"/>
      <c r="AI174" s="439"/>
      <c r="AJ174" s="439"/>
      <c r="AK174" s="439"/>
      <c r="AL174" s="439"/>
      <c r="AM174" s="439"/>
      <c r="AN174" s="439"/>
      <c r="AO174" s="439"/>
      <c r="AP174" s="439"/>
      <c r="AQ174" s="439"/>
      <c r="AR174" s="439"/>
      <c r="AS174" s="439"/>
      <c r="AT174" s="439"/>
      <c r="AU174" s="439"/>
      <c r="AV174" s="439"/>
      <c r="AW174" s="439"/>
      <c r="AX174" s="439"/>
      <c r="AY174" s="439"/>
      <c r="AZ174" s="439"/>
      <c r="BA174" s="439"/>
      <c r="BB174" s="439"/>
      <c r="BC174" s="439"/>
      <c r="BD174" s="439"/>
      <c r="BE174" s="439"/>
      <c r="BF174" s="439"/>
      <c r="BG174" s="439"/>
      <c r="BH174" s="439"/>
      <c r="BI174" s="439"/>
      <c r="BJ174" s="439"/>
      <c r="BK174" s="439"/>
      <c r="BL174" s="439"/>
      <c r="BM174" s="439"/>
      <c r="BN174" s="439"/>
      <c r="BO174" s="439"/>
      <c r="BP174" s="439"/>
      <c r="BQ174" s="439"/>
      <c r="BR174" s="439"/>
      <c r="BS174" s="439"/>
      <c r="BT174" s="439"/>
      <c r="BU174" s="439"/>
      <c r="BV174" s="439"/>
    </row>
    <row r="175" spans="2:76" x14ac:dyDescent="0.2">
      <c r="B175" s="91"/>
      <c r="C175" s="389"/>
      <c r="D175" s="389"/>
      <c r="E175" s="438"/>
      <c r="F175" s="439"/>
      <c r="G175" s="439"/>
      <c r="H175" s="439"/>
      <c r="I175" s="439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  <c r="AA175" s="439"/>
      <c r="AB175" s="439"/>
      <c r="AC175" s="439"/>
      <c r="AD175" s="439"/>
      <c r="AE175" s="439"/>
      <c r="AF175" s="439"/>
      <c r="AG175" s="439"/>
      <c r="AH175" s="439"/>
      <c r="AI175" s="439"/>
      <c r="AJ175" s="439"/>
      <c r="AK175" s="439"/>
      <c r="AL175" s="439"/>
      <c r="AM175" s="439"/>
      <c r="AN175" s="439"/>
      <c r="AO175" s="439"/>
      <c r="AP175" s="439"/>
      <c r="AQ175" s="439"/>
      <c r="AR175" s="439"/>
      <c r="AS175" s="439"/>
      <c r="AT175" s="439"/>
      <c r="AU175" s="439"/>
      <c r="AV175" s="439"/>
      <c r="AW175" s="439"/>
      <c r="AX175" s="439"/>
      <c r="AY175" s="439"/>
      <c r="AZ175" s="439"/>
      <c r="BA175" s="439"/>
      <c r="BB175" s="439"/>
      <c r="BC175" s="439"/>
      <c r="BD175" s="439"/>
      <c r="BE175" s="439"/>
      <c r="BF175" s="439"/>
      <c r="BG175" s="439"/>
      <c r="BH175" s="439"/>
      <c r="BI175" s="439"/>
      <c r="BJ175" s="439"/>
      <c r="BK175" s="439"/>
      <c r="BL175" s="439"/>
      <c r="BM175" s="439"/>
      <c r="BN175" s="439"/>
      <c r="BO175" s="439"/>
      <c r="BP175" s="439"/>
      <c r="BQ175" s="439"/>
      <c r="BR175" s="439"/>
      <c r="BS175" s="439"/>
      <c r="BT175" s="439"/>
      <c r="BU175" s="439"/>
      <c r="BV175" s="439"/>
    </row>
    <row r="176" spans="2:76" x14ac:dyDescent="0.2">
      <c r="B176" s="91"/>
      <c r="C176" s="389"/>
      <c r="D176" s="389"/>
      <c r="E176" s="438"/>
      <c r="F176" s="439"/>
      <c r="G176" s="439"/>
      <c r="H176" s="439"/>
      <c r="I176" s="439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  <c r="AA176" s="439"/>
      <c r="AB176" s="439"/>
      <c r="AC176" s="439"/>
      <c r="AD176" s="439"/>
      <c r="AE176" s="439"/>
      <c r="AF176" s="439"/>
      <c r="AG176" s="439"/>
      <c r="AH176" s="439"/>
      <c r="AI176" s="439"/>
      <c r="AJ176" s="439"/>
      <c r="AK176" s="439"/>
      <c r="AL176" s="439"/>
      <c r="AM176" s="439"/>
      <c r="AN176" s="439"/>
      <c r="AO176" s="439"/>
      <c r="AP176" s="439"/>
      <c r="AQ176" s="439"/>
      <c r="AR176" s="439"/>
      <c r="AS176" s="439"/>
      <c r="AT176" s="439"/>
      <c r="AU176" s="439"/>
      <c r="AV176" s="439"/>
      <c r="AW176" s="439"/>
      <c r="AX176" s="439"/>
      <c r="AY176" s="439"/>
      <c r="AZ176" s="439"/>
      <c r="BA176" s="439"/>
      <c r="BB176" s="439"/>
      <c r="BC176" s="439"/>
      <c r="BD176" s="439"/>
      <c r="BE176" s="439"/>
      <c r="BF176" s="439"/>
      <c r="BG176" s="439"/>
      <c r="BH176" s="439"/>
      <c r="BI176" s="439"/>
      <c r="BJ176" s="439"/>
      <c r="BK176" s="439"/>
      <c r="BL176" s="439"/>
      <c r="BM176" s="439"/>
      <c r="BN176" s="439"/>
      <c r="BO176" s="439"/>
      <c r="BP176" s="439"/>
      <c r="BQ176" s="439"/>
      <c r="BR176" s="439"/>
      <c r="BS176" s="439"/>
      <c r="BT176" s="439"/>
      <c r="BU176" s="439"/>
      <c r="BV176" s="439"/>
    </row>
    <row r="177" spans="2:74" x14ac:dyDescent="0.2">
      <c r="B177" s="91"/>
      <c r="C177" s="389"/>
      <c r="D177" s="389"/>
      <c r="E177" s="438"/>
      <c r="F177" s="439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  <c r="AA177" s="439"/>
      <c r="AB177" s="439"/>
      <c r="AC177" s="439"/>
      <c r="AD177" s="439"/>
      <c r="AE177" s="439"/>
      <c r="AF177" s="439"/>
      <c r="AG177" s="439"/>
      <c r="AH177" s="439"/>
      <c r="AI177" s="439"/>
      <c r="AJ177" s="439"/>
      <c r="AK177" s="439"/>
      <c r="AL177" s="439"/>
      <c r="AM177" s="439"/>
      <c r="AN177" s="439"/>
      <c r="AO177" s="439"/>
      <c r="AP177" s="439"/>
      <c r="AQ177" s="439"/>
      <c r="AR177" s="439"/>
      <c r="AS177" s="439"/>
      <c r="AT177" s="439"/>
      <c r="AU177" s="439"/>
      <c r="AV177" s="439"/>
      <c r="AW177" s="439"/>
      <c r="AX177" s="439"/>
      <c r="AY177" s="439"/>
      <c r="AZ177" s="439"/>
      <c r="BA177" s="439"/>
      <c r="BB177" s="439"/>
      <c r="BC177" s="439"/>
      <c r="BD177" s="439"/>
      <c r="BE177" s="439"/>
      <c r="BF177" s="439"/>
      <c r="BG177" s="439"/>
      <c r="BH177" s="439"/>
      <c r="BI177" s="439"/>
      <c r="BJ177" s="439"/>
      <c r="BK177" s="439"/>
      <c r="BL177" s="439"/>
      <c r="BM177" s="439"/>
      <c r="BN177" s="439"/>
      <c r="BO177" s="439"/>
      <c r="BP177" s="439"/>
      <c r="BQ177" s="439"/>
      <c r="BR177" s="439"/>
      <c r="BS177" s="439"/>
      <c r="BT177" s="439"/>
      <c r="BU177" s="439"/>
      <c r="BV177" s="439"/>
    </row>
    <row r="178" spans="2:74" x14ac:dyDescent="0.2">
      <c r="B178" s="91"/>
      <c r="C178" s="389"/>
      <c r="D178" s="389"/>
      <c r="E178" s="438"/>
      <c r="F178" s="439"/>
      <c r="G178" s="439"/>
      <c r="H178" s="439"/>
      <c r="I178" s="439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39"/>
      <c r="AC178" s="439"/>
      <c r="AD178" s="439"/>
      <c r="AE178" s="439"/>
      <c r="AF178" s="439"/>
      <c r="AG178" s="439"/>
      <c r="AH178" s="439"/>
      <c r="AI178" s="439"/>
      <c r="AJ178" s="439"/>
      <c r="AK178" s="439"/>
      <c r="AL178" s="439"/>
      <c r="AM178" s="439"/>
      <c r="AN178" s="439"/>
      <c r="AO178" s="439"/>
      <c r="AP178" s="439"/>
      <c r="AQ178" s="439"/>
      <c r="AR178" s="439"/>
      <c r="AS178" s="439"/>
      <c r="AT178" s="439"/>
      <c r="AU178" s="439"/>
      <c r="AV178" s="439"/>
      <c r="AW178" s="439"/>
      <c r="AX178" s="439"/>
      <c r="AY178" s="439"/>
      <c r="AZ178" s="439"/>
      <c r="BA178" s="439"/>
      <c r="BB178" s="439"/>
      <c r="BC178" s="439"/>
      <c r="BD178" s="439"/>
      <c r="BE178" s="439"/>
      <c r="BF178" s="439"/>
      <c r="BG178" s="439"/>
      <c r="BH178" s="439"/>
      <c r="BI178" s="439"/>
      <c r="BJ178" s="439"/>
      <c r="BK178" s="439"/>
      <c r="BL178" s="439"/>
      <c r="BM178" s="439"/>
      <c r="BN178" s="439"/>
      <c r="BO178" s="439"/>
      <c r="BP178" s="439"/>
      <c r="BQ178" s="439"/>
      <c r="BR178" s="439"/>
      <c r="BS178" s="439"/>
      <c r="BT178" s="439"/>
      <c r="BU178" s="439"/>
      <c r="BV178" s="439"/>
    </row>
    <row r="179" spans="2:74" x14ac:dyDescent="0.2">
      <c r="B179" s="91"/>
      <c r="C179" s="389"/>
      <c r="D179" s="389"/>
      <c r="E179" s="438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</row>
    <row r="180" spans="2:74" x14ac:dyDescent="0.2">
      <c r="B180" s="91"/>
      <c r="C180" s="389"/>
      <c r="D180" s="389"/>
      <c r="E180" s="438"/>
      <c r="F180" s="439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  <c r="AA180" s="439"/>
      <c r="AB180" s="439"/>
      <c r="AC180" s="439"/>
      <c r="AD180" s="439"/>
      <c r="AE180" s="439"/>
      <c r="AF180" s="439"/>
      <c r="AG180" s="439"/>
      <c r="AH180" s="439"/>
      <c r="AI180" s="439"/>
      <c r="AJ180" s="439"/>
      <c r="AK180" s="439"/>
      <c r="AL180" s="439"/>
      <c r="AM180" s="439"/>
      <c r="AN180" s="439"/>
      <c r="AO180" s="439"/>
      <c r="AP180" s="439"/>
      <c r="AQ180" s="439"/>
      <c r="AR180" s="439"/>
      <c r="AS180" s="439"/>
      <c r="AT180" s="439"/>
      <c r="AU180" s="439"/>
      <c r="AV180" s="439"/>
      <c r="AW180" s="439"/>
      <c r="AX180" s="439"/>
      <c r="AY180" s="439"/>
      <c r="AZ180" s="439"/>
      <c r="BA180" s="439"/>
      <c r="BB180" s="439"/>
      <c r="BC180" s="439"/>
      <c r="BD180" s="439"/>
      <c r="BE180" s="439"/>
      <c r="BF180" s="439"/>
      <c r="BG180" s="439"/>
      <c r="BH180" s="439"/>
      <c r="BI180" s="439"/>
      <c r="BJ180" s="439"/>
      <c r="BK180" s="439"/>
      <c r="BL180" s="439"/>
      <c r="BM180" s="439"/>
      <c r="BN180" s="439"/>
      <c r="BO180" s="439"/>
      <c r="BP180" s="439"/>
      <c r="BQ180" s="439"/>
      <c r="BR180" s="439"/>
      <c r="BS180" s="439"/>
      <c r="BT180" s="439"/>
      <c r="BU180" s="439"/>
      <c r="BV180" s="439"/>
    </row>
    <row r="181" spans="2:74" x14ac:dyDescent="0.2">
      <c r="B181" s="91"/>
      <c r="C181" s="389"/>
      <c r="D181" s="389"/>
      <c r="E181" s="438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  <c r="AA181" s="439"/>
      <c r="AB181" s="439"/>
      <c r="AC181" s="439"/>
      <c r="AD181" s="439"/>
      <c r="AE181" s="439"/>
      <c r="AF181" s="439"/>
      <c r="AG181" s="439"/>
      <c r="AH181" s="439"/>
      <c r="AI181" s="439"/>
      <c r="AJ181" s="439"/>
      <c r="AK181" s="439"/>
      <c r="AL181" s="439"/>
      <c r="AM181" s="439"/>
      <c r="AN181" s="439"/>
      <c r="AO181" s="439"/>
      <c r="AP181" s="439"/>
      <c r="AQ181" s="439"/>
      <c r="AR181" s="439"/>
      <c r="AS181" s="439"/>
      <c r="AT181" s="439"/>
      <c r="AU181" s="439"/>
      <c r="AV181" s="439"/>
      <c r="AW181" s="439"/>
      <c r="AX181" s="439"/>
      <c r="AY181" s="439"/>
      <c r="AZ181" s="439"/>
      <c r="BA181" s="439"/>
      <c r="BB181" s="439"/>
      <c r="BC181" s="439"/>
      <c r="BD181" s="439"/>
      <c r="BE181" s="439"/>
      <c r="BF181" s="439"/>
      <c r="BG181" s="439"/>
      <c r="BH181" s="439"/>
      <c r="BI181" s="439"/>
      <c r="BJ181" s="439"/>
      <c r="BK181" s="439"/>
      <c r="BL181" s="439"/>
      <c r="BM181" s="439"/>
      <c r="BN181" s="439"/>
      <c r="BO181" s="439"/>
      <c r="BP181" s="439"/>
      <c r="BQ181" s="439"/>
      <c r="BR181" s="439"/>
      <c r="BS181" s="439"/>
      <c r="BT181" s="439"/>
      <c r="BU181" s="439"/>
      <c r="BV181" s="439"/>
    </row>
    <row r="182" spans="2:74" x14ac:dyDescent="0.2">
      <c r="B182" s="91"/>
      <c r="C182" s="389"/>
      <c r="D182" s="389"/>
      <c r="E182" s="438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  <c r="AA182" s="439"/>
      <c r="AB182" s="439"/>
      <c r="AC182" s="439"/>
      <c r="AD182" s="439"/>
      <c r="AE182" s="439"/>
      <c r="AF182" s="439"/>
      <c r="AG182" s="439"/>
      <c r="AH182" s="439"/>
      <c r="AI182" s="439"/>
      <c r="AJ182" s="439"/>
      <c r="AK182" s="439"/>
      <c r="AL182" s="439"/>
      <c r="AM182" s="439"/>
      <c r="AN182" s="439"/>
      <c r="AO182" s="439"/>
      <c r="AP182" s="439"/>
      <c r="AQ182" s="439"/>
      <c r="AR182" s="439"/>
      <c r="AS182" s="439"/>
      <c r="AT182" s="439"/>
      <c r="AU182" s="439"/>
      <c r="AV182" s="439"/>
      <c r="AW182" s="439"/>
      <c r="AX182" s="439"/>
      <c r="AY182" s="439"/>
      <c r="AZ182" s="439"/>
      <c r="BA182" s="439"/>
      <c r="BB182" s="439"/>
      <c r="BC182" s="439"/>
      <c r="BD182" s="439"/>
      <c r="BE182" s="439"/>
      <c r="BF182" s="439"/>
      <c r="BG182" s="439"/>
      <c r="BH182" s="439"/>
      <c r="BI182" s="439"/>
      <c r="BJ182" s="439"/>
      <c r="BK182" s="439"/>
      <c r="BL182" s="439"/>
      <c r="BM182" s="439"/>
      <c r="BN182" s="439"/>
      <c r="BO182" s="439"/>
      <c r="BP182" s="439"/>
      <c r="BQ182" s="439"/>
      <c r="BR182" s="439"/>
      <c r="BS182" s="439"/>
      <c r="BT182" s="439"/>
      <c r="BU182" s="439"/>
      <c r="BV182" s="439"/>
    </row>
    <row r="183" spans="2:74" x14ac:dyDescent="0.2">
      <c r="B183" s="91"/>
      <c r="C183" s="91"/>
      <c r="D183" s="91"/>
      <c r="E183" s="438"/>
      <c r="F183" s="439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  <c r="AA183" s="439"/>
      <c r="AB183" s="439"/>
      <c r="AC183" s="439"/>
      <c r="AD183" s="439"/>
      <c r="AE183" s="439"/>
      <c r="AF183" s="439"/>
      <c r="AG183" s="439"/>
      <c r="AH183" s="439"/>
      <c r="AI183" s="439"/>
      <c r="AJ183" s="439"/>
      <c r="AK183" s="439"/>
      <c r="AL183" s="439"/>
      <c r="AM183" s="439"/>
      <c r="AN183" s="439"/>
      <c r="AO183" s="439"/>
      <c r="AP183" s="439"/>
      <c r="AQ183" s="439"/>
      <c r="AR183" s="439"/>
      <c r="AS183" s="439"/>
      <c r="AT183" s="439"/>
      <c r="AU183" s="439"/>
      <c r="AV183" s="439"/>
      <c r="AW183" s="439"/>
      <c r="AX183" s="439"/>
      <c r="AY183" s="439"/>
      <c r="AZ183" s="439"/>
      <c r="BA183" s="439"/>
      <c r="BB183" s="439"/>
      <c r="BC183" s="439"/>
      <c r="BD183" s="439"/>
      <c r="BE183" s="439"/>
      <c r="BF183" s="439"/>
      <c r="BG183" s="439"/>
      <c r="BH183" s="439"/>
      <c r="BI183" s="439"/>
      <c r="BJ183" s="439"/>
      <c r="BK183" s="439"/>
      <c r="BL183" s="439"/>
      <c r="BM183" s="439"/>
      <c r="BN183" s="439"/>
      <c r="BO183" s="439"/>
      <c r="BP183" s="439"/>
      <c r="BQ183" s="439"/>
      <c r="BR183" s="439"/>
      <c r="BS183" s="439"/>
      <c r="BT183" s="439"/>
      <c r="BU183" s="439"/>
      <c r="BV183" s="439"/>
    </row>
    <row r="184" spans="2:74" x14ac:dyDescent="0.2">
      <c r="B184" s="91"/>
      <c r="C184" s="389"/>
      <c r="D184" s="389"/>
      <c r="E184" s="438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  <c r="AA184" s="439"/>
      <c r="AB184" s="439"/>
      <c r="AC184" s="439"/>
      <c r="AD184" s="439"/>
      <c r="AE184" s="439"/>
      <c r="AF184" s="439"/>
      <c r="AG184" s="439"/>
      <c r="AH184" s="439"/>
      <c r="AI184" s="439"/>
      <c r="AJ184" s="439"/>
      <c r="AK184" s="439"/>
      <c r="AL184" s="439"/>
      <c r="AM184" s="439"/>
      <c r="AN184" s="439"/>
      <c r="AO184" s="439"/>
      <c r="AP184" s="439"/>
      <c r="AQ184" s="439"/>
      <c r="AR184" s="439"/>
      <c r="AS184" s="439"/>
      <c r="AT184" s="439"/>
      <c r="AU184" s="439"/>
      <c r="AV184" s="439"/>
      <c r="AW184" s="439"/>
      <c r="AX184" s="439"/>
      <c r="AY184" s="439"/>
      <c r="AZ184" s="439"/>
      <c r="BA184" s="439"/>
      <c r="BB184" s="439"/>
      <c r="BC184" s="439"/>
      <c r="BD184" s="439"/>
      <c r="BE184" s="439"/>
      <c r="BF184" s="439"/>
      <c r="BG184" s="439"/>
      <c r="BH184" s="439"/>
      <c r="BI184" s="439"/>
      <c r="BJ184" s="439"/>
      <c r="BK184" s="439"/>
      <c r="BL184" s="439"/>
      <c r="BM184" s="439"/>
      <c r="BN184" s="439"/>
      <c r="BO184" s="439"/>
      <c r="BP184" s="439"/>
      <c r="BQ184" s="439"/>
      <c r="BR184" s="439"/>
      <c r="BS184" s="439"/>
      <c r="BT184" s="439"/>
      <c r="BU184" s="439"/>
      <c r="BV184" s="439"/>
    </row>
    <row r="185" spans="2:74" x14ac:dyDescent="0.2">
      <c r="B185" s="91"/>
      <c r="C185" s="389"/>
      <c r="D185" s="389"/>
      <c r="E185" s="438"/>
      <c r="F185" s="439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  <c r="AA185" s="439"/>
      <c r="AB185" s="439"/>
      <c r="AC185" s="439"/>
      <c r="AD185" s="439"/>
      <c r="AE185" s="439"/>
      <c r="AF185" s="439"/>
      <c r="AG185" s="439"/>
      <c r="AH185" s="439"/>
      <c r="AI185" s="439"/>
      <c r="AJ185" s="439"/>
      <c r="AK185" s="439"/>
      <c r="AL185" s="439"/>
      <c r="AM185" s="439"/>
      <c r="AN185" s="439"/>
      <c r="AO185" s="439"/>
      <c r="AP185" s="439"/>
      <c r="AQ185" s="439"/>
      <c r="AR185" s="439"/>
      <c r="AS185" s="439"/>
      <c r="AT185" s="439"/>
      <c r="AU185" s="439"/>
      <c r="AV185" s="439"/>
      <c r="AW185" s="439"/>
      <c r="AX185" s="439"/>
      <c r="AY185" s="439"/>
      <c r="AZ185" s="439"/>
      <c r="BA185" s="439"/>
      <c r="BB185" s="439"/>
      <c r="BC185" s="439"/>
      <c r="BD185" s="439"/>
      <c r="BE185" s="439"/>
      <c r="BF185" s="439"/>
      <c r="BG185" s="439"/>
      <c r="BH185" s="439"/>
      <c r="BI185" s="439"/>
      <c r="BJ185" s="439"/>
      <c r="BK185" s="439"/>
      <c r="BL185" s="439"/>
      <c r="BM185" s="439"/>
      <c r="BN185" s="439"/>
      <c r="BO185" s="439"/>
      <c r="BP185" s="439"/>
      <c r="BQ185" s="439"/>
      <c r="BR185" s="439"/>
      <c r="BS185" s="439"/>
      <c r="BT185" s="439"/>
      <c r="BU185" s="439"/>
      <c r="BV185" s="439"/>
    </row>
    <row r="186" spans="2:74" x14ac:dyDescent="0.2">
      <c r="B186" s="91"/>
      <c r="C186" s="389"/>
      <c r="D186" s="389"/>
      <c r="E186" s="438"/>
      <c r="F186" s="439"/>
      <c r="G186" s="439"/>
      <c r="H186" s="439"/>
      <c r="I186" s="439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  <c r="AA186" s="439"/>
      <c r="AB186" s="439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39"/>
      <c r="AN186" s="439"/>
      <c r="AO186" s="439"/>
      <c r="AP186" s="439"/>
      <c r="AQ186" s="439"/>
      <c r="AR186" s="439"/>
      <c r="AS186" s="439"/>
      <c r="AT186" s="439"/>
      <c r="AU186" s="439"/>
      <c r="AV186" s="439"/>
      <c r="AW186" s="439"/>
      <c r="AX186" s="439"/>
      <c r="AY186" s="439"/>
      <c r="AZ186" s="439"/>
      <c r="BA186" s="439"/>
      <c r="BB186" s="439"/>
      <c r="BC186" s="439"/>
      <c r="BD186" s="439"/>
      <c r="BE186" s="439"/>
      <c r="BF186" s="439"/>
      <c r="BG186" s="439"/>
      <c r="BH186" s="439"/>
      <c r="BI186" s="439"/>
      <c r="BJ186" s="439"/>
      <c r="BK186" s="439"/>
      <c r="BL186" s="439"/>
      <c r="BM186" s="439"/>
      <c r="BN186" s="439"/>
      <c r="BO186" s="439"/>
      <c r="BP186" s="439"/>
      <c r="BQ186" s="439"/>
      <c r="BR186" s="439"/>
      <c r="BS186" s="439"/>
      <c r="BT186" s="439"/>
      <c r="BU186" s="439"/>
      <c r="BV186" s="439"/>
    </row>
    <row r="187" spans="2:74" x14ac:dyDescent="0.2">
      <c r="B187" s="91"/>
      <c r="C187" s="389"/>
      <c r="D187" s="389"/>
      <c r="E187" s="438"/>
      <c r="F187" s="439"/>
      <c r="G187" s="439"/>
      <c r="H187" s="439"/>
      <c r="I187" s="439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  <c r="AA187" s="439"/>
      <c r="AB187" s="439"/>
      <c r="AC187" s="439"/>
      <c r="AD187" s="439"/>
      <c r="AE187" s="439"/>
      <c r="AF187" s="439"/>
      <c r="AG187" s="439"/>
      <c r="AH187" s="439"/>
      <c r="AI187" s="439"/>
      <c r="AJ187" s="439"/>
      <c r="AK187" s="439"/>
      <c r="AL187" s="439"/>
      <c r="AM187" s="439"/>
      <c r="AN187" s="439"/>
      <c r="AO187" s="439"/>
      <c r="AP187" s="439"/>
      <c r="AQ187" s="439"/>
      <c r="AR187" s="439"/>
      <c r="AS187" s="439"/>
      <c r="AT187" s="439"/>
      <c r="AU187" s="439"/>
      <c r="AV187" s="439"/>
      <c r="AW187" s="439"/>
      <c r="AX187" s="439"/>
      <c r="AY187" s="439"/>
      <c r="AZ187" s="439"/>
      <c r="BA187" s="439"/>
      <c r="BB187" s="439"/>
      <c r="BC187" s="439"/>
      <c r="BD187" s="439"/>
      <c r="BE187" s="439"/>
      <c r="BF187" s="439"/>
      <c r="BG187" s="439"/>
      <c r="BH187" s="439"/>
      <c r="BI187" s="439"/>
      <c r="BJ187" s="439"/>
      <c r="BK187" s="439"/>
      <c r="BL187" s="439"/>
      <c r="BM187" s="439"/>
      <c r="BN187" s="439"/>
      <c r="BO187" s="439"/>
      <c r="BP187" s="439"/>
      <c r="BQ187" s="439"/>
      <c r="BR187" s="439"/>
      <c r="BS187" s="439"/>
      <c r="BT187" s="439"/>
      <c r="BU187" s="439"/>
      <c r="BV187" s="439"/>
    </row>
    <row r="188" spans="2:74" x14ac:dyDescent="0.2">
      <c r="B188" s="91"/>
      <c r="C188" s="389"/>
      <c r="D188" s="389"/>
      <c r="E188" s="438"/>
      <c r="F188" s="439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  <c r="AA188" s="439"/>
      <c r="AB188" s="439"/>
      <c r="AC188" s="439"/>
      <c r="AD188" s="439"/>
      <c r="AE188" s="439"/>
      <c r="AF188" s="439"/>
      <c r="AG188" s="439"/>
      <c r="AH188" s="439"/>
      <c r="AI188" s="439"/>
      <c r="AJ188" s="439"/>
      <c r="AK188" s="439"/>
      <c r="AL188" s="439"/>
      <c r="AM188" s="439"/>
      <c r="AN188" s="439"/>
      <c r="AO188" s="439"/>
      <c r="AP188" s="439"/>
      <c r="AQ188" s="439"/>
      <c r="AR188" s="439"/>
      <c r="AS188" s="439"/>
      <c r="AT188" s="439"/>
      <c r="AU188" s="439"/>
      <c r="AV188" s="439"/>
      <c r="AW188" s="439"/>
      <c r="AX188" s="439"/>
      <c r="AY188" s="439"/>
      <c r="AZ188" s="439"/>
      <c r="BA188" s="439"/>
      <c r="BB188" s="439"/>
      <c r="BC188" s="439"/>
      <c r="BD188" s="439"/>
      <c r="BE188" s="439"/>
      <c r="BF188" s="439"/>
      <c r="BG188" s="439"/>
      <c r="BH188" s="439"/>
      <c r="BI188" s="439"/>
      <c r="BJ188" s="439"/>
      <c r="BK188" s="439"/>
      <c r="BL188" s="439"/>
      <c r="BM188" s="439"/>
      <c r="BN188" s="439"/>
      <c r="BO188" s="439"/>
      <c r="BP188" s="439"/>
      <c r="BQ188" s="439"/>
      <c r="BR188" s="439"/>
      <c r="BS188" s="439"/>
      <c r="BT188" s="439"/>
      <c r="BU188" s="439"/>
      <c r="BV188" s="439"/>
    </row>
    <row r="189" spans="2:74" x14ac:dyDescent="0.2">
      <c r="B189" s="91"/>
      <c r="C189" s="389"/>
      <c r="D189" s="389"/>
      <c r="E189" s="438"/>
      <c r="F189" s="439"/>
      <c r="G189" s="439"/>
      <c r="H189" s="439"/>
      <c r="I189" s="439"/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  <c r="AA189" s="439"/>
      <c r="AB189" s="439"/>
      <c r="AC189" s="439"/>
      <c r="AD189" s="439"/>
      <c r="AE189" s="439"/>
      <c r="AF189" s="439"/>
      <c r="AG189" s="439"/>
      <c r="AH189" s="439"/>
      <c r="AI189" s="439"/>
      <c r="AJ189" s="439"/>
      <c r="AK189" s="439"/>
      <c r="AL189" s="439"/>
      <c r="AM189" s="439"/>
      <c r="AN189" s="439"/>
      <c r="AO189" s="439"/>
      <c r="AP189" s="439"/>
      <c r="AQ189" s="439"/>
      <c r="AR189" s="439"/>
      <c r="AS189" s="439"/>
      <c r="AT189" s="439"/>
      <c r="AU189" s="439"/>
      <c r="AV189" s="439"/>
      <c r="AW189" s="439"/>
      <c r="AX189" s="439"/>
      <c r="AY189" s="439"/>
      <c r="AZ189" s="439"/>
      <c r="BA189" s="439"/>
      <c r="BB189" s="439"/>
      <c r="BC189" s="439"/>
      <c r="BD189" s="439"/>
      <c r="BE189" s="439"/>
      <c r="BF189" s="439"/>
      <c r="BG189" s="439"/>
      <c r="BH189" s="439"/>
      <c r="BI189" s="439"/>
      <c r="BJ189" s="439"/>
      <c r="BK189" s="439"/>
      <c r="BL189" s="439"/>
      <c r="BM189" s="439"/>
      <c r="BN189" s="439"/>
      <c r="BO189" s="439"/>
      <c r="BP189" s="439"/>
      <c r="BQ189" s="439"/>
      <c r="BR189" s="439"/>
      <c r="BS189" s="439"/>
      <c r="BT189" s="439"/>
      <c r="BU189" s="439"/>
      <c r="BV189" s="439"/>
    </row>
    <row r="190" spans="2:74" x14ac:dyDescent="0.2">
      <c r="B190" s="91"/>
      <c r="C190" s="389"/>
      <c r="D190" s="389"/>
      <c r="E190" s="438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  <c r="AA190" s="439"/>
      <c r="AB190" s="439"/>
      <c r="AC190" s="439"/>
      <c r="AD190" s="439"/>
      <c r="AE190" s="439"/>
      <c r="AF190" s="439"/>
      <c r="AG190" s="439"/>
      <c r="AH190" s="439"/>
      <c r="AI190" s="439"/>
      <c r="AJ190" s="439"/>
      <c r="AK190" s="439"/>
      <c r="AL190" s="439"/>
      <c r="AM190" s="439"/>
      <c r="AN190" s="439"/>
      <c r="AO190" s="439"/>
      <c r="AP190" s="439"/>
      <c r="AQ190" s="439"/>
      <c r="AR190" s="439"/>
      <c r="AS190" s="439"/>
      <c r="AT190" s="439"/>
      <c r="AU190" s="439"/>
      <c r="AV190" s="439"/>
      <c r="AW190" s="439"/>
      <c r="AX190" s="439"/>
      <c r="AY190" s="439"/>
      <c r="AZ190" s="439"/>
      <c r="BA190" s="439"/>
      <c r="BB190" s="439"/>
      <c r="BC190" s="439"/>
      <c r="BD190" s="439"/>
      <c r="BE190" s="439"/>
      <c r="BF190" s="439"/>
      <c r="BG190" s="439"/>
      <c r="BH190" s="439"/>
      <c r="BI190" s="439"/>
      <c r="BJ190" s="439"/>
      <c r="BK190" s="439"/>
      <c r="BL190" s="439"/>
      <c r="BM190" s="439"/>
      <c r="BN190" s="439"/>
      <c r="BO190" s="439"/>
      <c r="BP190" s="439"/>
      <c r="BQ190" s="439"/>
      <c r="BR190" s="439"/>
      <c r="BS190" s="439"/>
      <c r="BT190" s="439"/>
      <c r="BU190" s="439"/>
      <c r="BV190" s="439"/>
    </row>
    <row r="191" spans="2:74" x14ac:dyDescent="0.2">
      <c r="B191" s="91"/>
      <c r="C191" s="389"/>
      <c r="D191" s="389"/>
      <c r="E191" s="438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  <c r="AA191" s="439"/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39"/>
      <c r="AY191" s="439"/>
      <c r="AZ191" s="439"/>
      <c r="BA191" s="439"/>
      <c r="BB191" s="439"/>
      <c r="BC191" s="439"/>
      <c r="BD191" s="439"/>
      <c r="BE191" s="439"/>
      <c r="BF191" s="439"/>
      <c r="BG191" s="439"/>
      <c r="BH191" s="439"/>
      <c r="BI191" s="439"/>
      <c r="BJ191" s="439"/>
      <c r="BK191" s="439"/>
      <c r="BL191" s="439"/>
      <c r="BM191" s="439"/>
      <c r="BN191" s="439"/>
      <c r="BO191" s="439"/>
      <c r="BP191" s="439"/>
      <c r="BQ191" s="439"/>
      <c r="BR191" s="439"/>
      <c r="BS191" s="439"/>
      <c r="BT191" s="439"/>
      <c r="BU191" s="439"/>
      <c r="BV191" s="439"/>
    </row>
    <row r="192" spans="2:74" x14ac:dyDescent="0.2">
      <c r="B192" s="91"/>
      <c r="C192" s="389"/>
      <c r="D192" s="389"/>
      <c r="E192" s="438"/>
      <c r="F192" s="439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  <c r="AA192" s="439"/>
      <c r="AB192" s="439"/>
      <c r="AC192" s="439"/>
      <c r="AD192" s="439"/>
      <c r="AE192" s="439"/>
      <c r="AF192" s="439"/>
      <c r="AG192" s="439"/>
      <c r="AH192" s="439"/>
      <c r="AI192" s="439"/>
      <c r="AJ192" s="439"/>
      <c r="AK192" s="439"/>
      <c r="AL192" s="439"/>
      <c r="AM192" s="439"/>
      <c r="AN192" s="439"/>
      <c r="AO192" s="439"/>
      <c r="AP192" s="439"/>
      <c r="AQ192" s="439"/>
      <c r="AR192" s="439"/>
      <c r="AS192" s="439"/>
      <c r="AT192" s="439"/>
      <c r="AU192" s="439"/>
      <c r="AV192" s="439"/>
      <c r="AW192" s="439"/>
      <c r="AX192" s="439"/>
      <c r="AY192" s="439"/>
      <c r="AZ192" s="439"/>
      <c r="BA192" s="439"/>
      <c r="BB192" s="439"/>
      <c r="BC192" s="439"/>
      <c r="BD192" s="439"/>
      <c r="BE192" s="439"/>
      <c r="BF192" s="439"/>
      <c r="BG192" s="439"/>
      <c r="BH192" s="439"/>
      <c r="BI192" s="439"/>
      <c r="BJ192" s="439"/>
      <c r="BK192" s="439"/>
      <c r="BL192" s="439"/>
      <c r="BM192" s="439"/>
      <c r="BN192" s="439"/>
      <c r="BO192" s="439"/>
      <c r="BP192" s="439"/>
      <c r="BQ192" s="439"/>
      <c r="BR192" s="439"/>
      <c r="BS192" s="439"/>
      <c r="BT192" s="439"/>
      <c r="BU192" s="439"/>
      <c r="BV192" s="439"/>
    </row>
    <row r="193" spans="2:74" x14ac:dyDescent="0.2">
      <c r="B193" s="91"/>
      <c r="C193" s="389"/>
      <c r="D193" s="389"/>
      <c r="E193" s="438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  <c r="AA193" s="439"/>
      <c r="AB193" s="439"/>
      <c r="AC193" s="439"/>
      <c r="AD193" s="439"/>
      <c r="AE193" s="439"/>
      <c r="AF193" s="439"/>
      <c r="AG193" s="439"/>
      <c r="AH193" s="439"/>
      <c r="AI193" s="439"/>
      <c r="AJ193" s="439"/>
      <c r="AK193" s="439"/>
      <c r="AL193" s="439"/>
      <c r="AM193" s="439"/>
      <c r="AN193" s="439"/>
      <c r="AO193" s="439"/>
      <c r="AP193" s="439"/>
      <c r="AQ193" s="439"/>
      <c r="AR193" s="439"/>
      <c r="AS193" s="439"/>
      <c r="AT193" s="439"/>
      <c r="AU193" s="439"/>
      <c r="AV193" s="439"/>
      <c r="AW193" s="439"/>
      <c r="AX193" s="439"/>
      <c r="AY193" s="439"/>
      <c r="AZ193" s="439"/>
      <c r="BA193" s="439"/>
      <c r="BB193" s="439"/>
      <c r="BC193" s="439"/>
      <c r="BD193" s="439"/>
      <c r="BE193" s="439"/>
      <c r="BF193" s="439"/>
      <c r="BG193" s="439"/>
      <c r="BH193" s="439"/>
      <c r="BI193" s="439"/>
      <c r="BJ193" s="439"/>
      <c r="BK193" s="439"/>
      <c r="BL193" s="439"/>
      <c r="BM193" s="439"/>
      <c r="BN193" s="439"/>
      <c r="BO193" s="439"/>
      <c r="BP193" s="439"/>
      <c r="BQ193" s="439"/>
      <c r="BR193" s="439"/>
      <c r="BS193" s="439"/>
      <c r="BT193" s="439"/>
      <c r="BU193" s="439"/>
      <c r="BV193" s="439"/>
    </row>
    <row r="194" spans="2:74" x14ac:dyDescent="0.2">
      <c r="B194" s="91"/>
      <c r="C194" s="389"/>
      <c r="D194" s="389"/>
      <c r="E194" s="438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  <c r="AA194" s="439"/>
      <c r="AB194" s="439"/>
      <c r="AC194" s="439"/>
      <c r="AD194" s="439"/>
      <c r="AE194" s="439"/>
      <c r="AF194" s="439"/>
      <c r="AG194" s="439"/>
      <c r="AH194" s="439"/>
      <c r="AI194" s="439"/>
      <c r="AJ194" s="439"/>
      <c r="AK194" s="439"/>
      <c r="AL194" s="439"/>
      <c r="AM194" s="439"/>
      <c r="AN194" s="439"/>
      <c r="AO194" s="439"/>
      <c r="AP194" s="439"/>
      <c r="AQ194" s="439"/>
      <c r="AR194" s="439"/>
      <c r="AS194" s="439"/>
      <c r="AT194" s="439"/>
      <c r="AU194" s="439"/>
      <c r="AV194" s="439"/>
      <c r="AW194" s="439"/>
      <c r="AX194" s="439"/>
      <c r="AY194" s="439"/>
      <c r="AZ194" s="439"/>
      <c r="BA194" s="439"/>
      <c r="BB194" s="439"/>
      <c r="BC194" s="439"/>
      <c r="BD194" s="439"/>
      <c r="BE194" s="439"/>
      <c r="BF194" s="439"/>
      <c r="BG194" s="439"/>
      <c r="BH194" s="439"/>
      <c r="BI194" s="439"/>
      <c r="BJ194" s="439"/>
      <c r="BK194" s="439"/>
      <c r="BL194" s="439"/>
      <c r="BM194" s="439"/>
      <c r="BN194" s="439"/>
      <c r="BO194" s="439"/>
      <c r="BP194" s="439"/>
      <c r="BQ194" s="439"/>
      <c r="BR194" s="439"/>
      <c r="BS194" s="439"/>
      <c r="BT194" s="439"/>
      <c r="BU194" s="439"/>
      <c r="BV194" s="439"/>
    </row>
    <row r="195" spans="2:74" x14ac:dyDescent="0.2">
      <c r="B195" s="91"/>
      <c r="C195" s="389"/>
      <c r="D195" s="389"/>
      <c r="E195" s="438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  <c r="AA195" s="439"/>
      <c r="AB195" s="439"/>
      <c r="AC195" s="439"/>
      <c r="AD195" s="439"/>
      <c r="AE195" s="439"/>
      <c r="AF195" s="439"/>
      <c r="AG195" s="439"/>
      <c r="AH195" s="439"/>
      <c r="AI195" s="439"/>
      <c r="AJ195" s="439"/>
      <c r="AK195" s="439"/>
      <c r="AL195" s="439"/>
      <c r="AM195" s="439"/>
      <c r="AN195" s="439"/>
      <c r="AO195" s="439"/>
      <c r="AP195" s="439"/>
      <c r="AQ195" s="439"/>
      <c r="AR195" s="439"/>
      <c r="AS195" s="439"/>
      <c r="AT195" s="439"/>
      <c r="AU195" s="439"/>
      <c r="AV195" s="439"/>
      <c r="AW195" s="439"/>
      <c r="AX195" s="439"/>
      <c r="AY195" s="439"/>
      <c r="AZ195" s="439"/>
      <c r="BA195" s="439"/>
      <c r="BB195" s="439"/>
      <c r="BC195" s="439"/>
      <c r="BD195" s="439"/>
      <c r="BE195" s="439"/>
      <c r="BF195" s="439"/>
      <c r="BG195" s="439"/>
      <c r="BH195" s="439"/>
      <c r="BI195" s="439"/>
      <c r="BJ195" s="439"/>
      <c r="BK195" s="439"/>
      <c r="BL195" s="439"/>
      <c r="BM195" s="439"/>
      <c r="BN195" s="439"/>
      <c r="BO195" s="439"/>
      <c r="BP195" s="439"/>
      <c r="BQ195" s="439"/>
      <c r="BR195" s="439"/>
      <c r="BS195" s="439"/>
      <c r="BT195" s="439"/>
      <c r="BU195" s="439"/>
      <c r="BV195" s="439"/>
    </row>
    <row r="196" spans="2:74" x14ac:dyDescent="0.2">
      <c r="B196" s="91"/>
      <c r="C196" s="91"/>
      <c r="D196" s="91"/>
      <c r="E196" s="438"/>
      <c r="F196" s="439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  <c r="AA196" s="439"/>
      <c r="AB196" s="439"/>
      <c r="AC196" s="439"/>
      <c r="AD196" s="439"/>
      <c r="AE196" s="439"/>
      <c r="AF196" s="439"/>
      <c r="AG196" s="439"/>
      <c r="AH196" s="439"/>
      <c r="AI196" s="439"/>
      <c r="AJ196" s="439"/>
      <c r="AK196" s="439"/>
      <c r="AL196" s="439"/>
      <c r="AM196" s="439"/>
      <c r="AN196" s="439"/>
      <c r="AO196" s="439"/>
      <c r="AP196" s="439"/>
      <c r="AQ196" s="439"/>
      <c r="AR196" s="439"/>
      <c r="AS196" s="439"/>
      <c r="AT196" s="439"/>
      <c r="AU196" s="439"/>
      <c r="AV196" s="439"/>
      <c r="AW196" s="439"/>
      <c r="AX196" s="439"/>
      <c r="AY196" s="439"/>
      <c r="AZ196" s="439"/>
      <c r="BA196" s="439"/>
      <c r="BB196" s="439"/>
      <c r="BC196" s="439"/>
      <c r="BD196" s="439"/>
      <c r="BE196" s="439"/>
      <c r="BF196" s="439"/>
      <c r="BG196" s="439"/>
      <c r="BH196" s="439"/>
      <c r="BI196" s="439"/>
      <c r="BJ196" s="439"/>
      <c r="BK196" s="439"/>
      <c r="BL196" s="439"/>
      <c r="BM196" s="439"/>
      <c r="BN196" s="439"/>
      <c r="BO196" s="439"/>
      <c r="BP196" s="439"/>
      <c r="BQ196" s="439"/>
      <c r="BR196" s="439"/>
      <c r="BS196" s="439"/>
      <c r="BT196" s="439"/>
      <c r="BU196" s="439"/>
      <c r="BV196" s="439"/>
    </row>
    <row r="197" spans="2:74" x14ac:dyDescent="0.2">
      <c r="B197" s="91"/>
      <c r="C197" s="91"/>
      <c r="D197" s="91"/>
      <c r="E197" s="438"/>
      <c r="F197" s="439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  <c r="AA197" s="439"/>
      <c r="AB197" s="439"/>
      <c r="AC197" s="439"/>
      <c r="AD197" s="439"/>
      <c r="AE197" s="439"/>
      <c r="AF197" s="439"/>
      <c r="AG197" s="439"/>
      <c r="AH197" s="439"/>
      <c r="AI197" s="439"/>
      <c r="AJ197" s="439"/>
      <c r="AK197" s="439"/>
      <c r="AL197" s="439"/>
      <c r="AM197" s="439"/>
      <c r="AN197" s="439"/>
      <c r="AO197" s="439"/>
      <c r="AP197" s="439"/>
      <c r="AQ197" s="439"/>
      <c r="AR197" s="439"/>
      <c r="AS197" s="439"/>
      <c r="AT197" s="439"/>
      <c r="AU197" s="439"/>
      <c r="AV197" s="439"/>
      <c r="AW197" s="439"/>
      <c r="AX197" s="439"/>
      <c r="AY197" s="439"/>
      <c r="AZ197" s="439"/>
      <c r="BA197" s="439"/>
      <c r="BB197" s="439"/>
      <c r="BC197" s="439"/>
      <c r="BD197" s="439"/>
      <c r="BE197" s="439"/>
      <c r="BF197" s="439"/>
      <c r="BG197" s="439"/>
      <c r="BH197" s="439"/>
      <c r="BI197" s="439"/>
      <c r="BJ197" s="439"/>
      <c r="BK197" s="439"/>
      <c r="BL197" s="439"/>
      <c r="BM197" s="439"/>
      <c r="BN197" s="439"/>
      <c r="BO197" s="439"/>
      <c r="BP197" s="439"/>
      <c r="BQ197" s="439"/>
      <c r="BR197" s="439"/>
      <c r="BS197" s="439"/>
      <c r="BT197" s="439"/>
      <c r="BU197" s="439"/>
      <c r="BV197" s="439"/>
    </row>
    <row r="198" spans="2:74" x14ac:dyDescent="0.2">
      <c r="B198" s="91"/>
      <c r="C198" s="389"/>
      <c r="D198" s="389"/>
      <c r="E198" s="438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  <c r="AA198" s="439"/>
      <c r="AB198" s="439"/>
      <c r="AC198" s="439"/>
      <c r="AD198" s="439"/>
      <c r="AE198" s="439"/>
      <c r="AF198" s="439"/>
      <c r="AG198" s="439"/>
      <c r="AH198" s="439"/>
      <c r="AI198" s="439"/>
      <c r="AJ198" s="439"/>
      <c r="AK198" s="439"/>
      <c r="AL198" s="439"/>
      <c r="AM198" s="439"/>
      <c r="AN198" s="439"/>
      <c r="AO198" s="439"/>
      <c r="AP198" s="439"/>
      <c r="AQ198" s="439"/>
      <c r="AR198" s="439"/>
      <c r="AS198" s="439"/>
      <c r="AT198" s="439"/>
      <c r="AU198" s="439"/>
      <c r="AV198" s="439"/>
      <c r="AW198" s="439"/>
      <c r="AX198" s="439"/>
      <c r="AY198" s="439"/>
      <c r="AZ198" s="439"/>
      <c r="BA198" s="439"/>
      <c r="BB198" s="439"/>
      <c r="BC198" s="439"/>
      <c r="BD198" s="439"/>
      <c r="BE198" s="439"/>
      <c r="BF198" s="439"/>
      <c r="BG198" s="439"/>
      <c r="BH198" s="439"/>
      <c r="BI198" s="439"/>
      <c r="BJ198" s="439"/>
      <c r="BK198" s="439"/>
      <c r="BL198" s="439"/>
      <c r="BM198" s="439"/>
      <c r="BN198" s="439"/>
      <c r="BO198" s="439"/>
      <c r="BP198" s="439"/>
      <c r="BQ198" s="439"/>
      <c r="BR198" s="439"/>
      <c r="BS198" s="439"/>
      <c r="BT198" s="439"/>
      <c r="BU198" s="439"/>
      <c r="BV198" s="439"/>
    </row>
    <row r="199" spans="2:74" x14ac:dyDescent="0.2">
      <c r="B199" s="91"/>
      <c r="C199" s="389"/>
      <c r="D199" s="389"/>
      <c r="E199" s="438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D199" s="439"/>
      <c r="AE199" s="439"/>
      <c r="AF199" s="439"/>
      <c r="AG199" s="439"/>
      <c r="AH199" s="439"/>
      <c r="AI199" s="439"/>
      <c r="AJ199" s="439"/>
      <c r="AK199" s="439"/>
      <c r="AL199" s="439"/>
      <c r="AM199" s="439"/>
      <c r="AN199" s="439"/>
      <c r="AO199" s="439"/>
      <c r="AP199" s="439"/>
      <c r="AQ199" s="439"/>
      <c r="AR199" s="439"/>
      <c r="AS199" s="439"/>
      <c r="AT199" s="439"/>
      <c r="AU199" s="439"/>
      <c r="AV199" s="439"/>
      <c r="AW199" s="439"/>
      <c r="AX199" s="439"/>
      <c r="AY199" s="439"/>
      <c r="AZ199" s="439"/>
      <c r="BA199" s="439"/>
      <c r="BB199" s="439"/>
      <c r="BC199" s="439"/>
      <c r="BD199" s="439"/>
      <c r="BE199" s="439"/>
      <c r="BF199" s="439"/>
      <c r="BG199" s="439"/>
      <c r="BH199" s="439"/>
      <c r="BI199" s="439"/>
      <c r="BJ199" s="439"/>
      <c r="BK199" s="439"/>
      <c r="BL199" s="439"/>
      <c r="BM199" s="439"/>
      <c r="BN199" s="439"/>
      <c r="BO199" s="439"/>
      <c r="BP199" s="439"/>
      <c r="BQ199" s="439"/>
      <c r="BR199" s="439"/>
      <c r="BS199" s="439"/>
      <c r="BT199" s="439"/>
      <c r="BU199" s="439"/>
      <c r="BV199" s="439"/>
    </row>
    <row r="200" spans="2:74" x14ac:dyDescent="0.2">
      <c r="B200" s="91"/>
      <c r="C200" s="389"/>
      <c r="D200" s="389"/>
      <c r="E200" s="438"/>
      <c r="F200" s="439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  <c r="AA200" s="439"/>
      <c r="AB200" s="439"/>
      <c r="AC200" s="439"/>
      <c r="AD200" s="439"/>
      <c r="AE200" s="439"/>
      <c r="AF200" s="439"/>
      <c r="AG200" s="439"/>
      <c r="AH200" s="439"/>
      <c r="AI200" s="439"/>
      <c r="AJ200" s="439"/>
      <c r="AK200" s="439"/>
      <c r="AL200" s="439"/>
      <c r="AM200" s="439"/>
      <c r="AN200" s="439"/>
      <c r="AO200" s="439"/>
      <c r="AP200" s="439"/>
      <c r="AQ200" s="439"/>
      <c r="AR200" s="439"/>
      <c r="AS200" s="439"/>
      <c r="AT200" s="439"/>
      <c r="AU200" s="439"/>
      <c r="AV200" s="439"/>
      <c r="AW200" s="439"/>
      <c r="AX200" s="439"/>
      <c r="AY200" s="439"/>
      <c r="AZ200" s="439"/>
      <c r="BA200" s="439"/>
      <c r="BB200" s="439"/>
      <c r="BC200" s="439"/>
      <c r="BD200" s="439"/>
      <c r="BE200" s="439"/>
      <c r="BF200" s="439"/>
      <c r="BG200" s="439"/>
      <c r="BH200" s="439"/>
      <c r="BI200" s="439"/>
      <c r="BJ200" s="439"/>
      <c r="BK200" s="439"/>
      <c r="BL200" s="439"/>
      <c r="BM200" s="439"/>
      <c r="BN200" s="439"/>
      <c r="BO200" s="439"/>
      <c r="BP200" s="439"/>
      <c r="BQ200" s="439"/>
      <c r="BR200" s="439"/>
      <c r="BS200" s="439"/>
      <c r="BT200" s="439"/>
      <c r="BU200" s="439"/>
      <c r="BV200" s="439"/>
    </row>
    <row r="201" spans="2:74" x14ac:dyDescent="0.2">
      <c r="B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  <c r="AA201" s="358"/>
      <c r="AB201" s="358"/>
      <c r="AC201" s="358"/>
      <c r="AD201" s="358"/>
      <c r="AE201" s="358"/>
      <c r="AF201" s="358"/>
      <c r="AG201" s="358"/>
      <c r="AH201" s="358"/>
      <c r="AI201" s="358"/>
      <c r="AJ201" s="358"/>
      <c r="AK201" s="358"/>
      <c r="AL201" s="358"/>
      <c r="AM201" s="358"/>
      <c r="AN201" s="358"/>
      <c r="AO201" s="358"/>
      <c r="AP201" s="358"/>
      <c r="AQ201" s="358"/>
      <c r="AR201" s="358"/>
      <c r="AS201" s="358"/>
      <c r="AT201" s="358"/>
      <c r="AU201" s="358"/>
      <c r="AV201" s="358"/>
      <c r="AW201" s="358"/>
      <c r="AX201" s="358"/>
      <c r="AY201" s="358"/>
      <c r="AZ201" s="358"/>
      <c r="BA201" s="358"/>
      <c r="BB201" s="358"/>
      <c r="BC201" s="358"/>
      <c r="BD201" s="358"/>
      <c r="BE201" s="358"/>
      <c r="BF201" s="358"/>
      <c r="BG201" s="358"/>
      <c r="BH201" s="358"/>
      <c r="BI201" s="358"/>
      <c r="BJ201" s="358"/>
      <c r="BK201" s="358"/>
      <c r="BL201" s="358"/>
      <c r="BM201" s="358"/>
      <c r="BN201" s="358"/>
      <c r="BO201" s="358"/>
      <c r="BP201" s="358"/>
      <c r="BQ201" s="358"/>
      <c r="BR201" s="358"/>
      <c r="BS201" s="358"/>
      <c r="BT201" s="358"/>
      <c r="BU201" s="358"/>
      <c r="BV201" s="358"/>
    </row>
    <row r="202" spans="2:74" x14ac:dyDescent="0.2">
      <c r="B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  <c r="AA202" s="358"/>
      <c r="AB202" s="358"/>
      <c r="AC202" s="358"/>
      <c r="AD202" s="358"/>
      <c r="AE202" s="358"/>
      <c r="AF202" s="358"/>
      <c r="AG202" s="358"/>
      <c r="AH202" s="358"/>
      <c r="AI202" s="358"/>
      <c r="AJ202" s="358"/>
      <c r="AK202" s="358"/>
      <c r="AL202" s="358"/>
      <c r="AM202" s="358"/>
      <c r="AN202" s="358"/>
      <c r="AO202" s="358"/>
      <c r="AP202" s="358"/>
      <c r="AQ202" s="358"/>
      <c r="AR202" s="358"/>
      <c r="AS202" s="358"/>
      <c r="AT202" s="358"/>
      <c r="AU202" s="358"/>
      <c r="AV202" s="358"/>
      <c r="AW202" s="358"/>
      <c r="AX202" s="358"/>
      <c r="AY202" s="358"/>
      <c r="AZ202" s="358"/>
      <c r="BA202" s="358"/>
      <c r="BB202" s="358"/>
      <c r="BC202" s="358"/>
      <c r="BD202" s="358"/>
      <c r="BE202" s="358"/>
      <c r="BF202" s="358"/>
      <c r="BG202" s="358"/>
      <c r="BH202" s="358"/>
      <c r="BI202" s="358"/>
      <c r="BJ202" s="358"/>
      <c r="BK202" s="358"/>
      <c r="BL202" s="358"/>
      <c r="BM202" s="358"/>
      <c r="BN202" s="358"/>
      <c r="BO202" s="358"/>
      <c r="BP202" s="358"/>
      <c r="BQ202" s="358"/>
      <c r="BR202" s="358"/>
      <c r="BS202" s="358"/>
      <c r="BT202" s="358"/>
      <c r="BU202" s="358"/>
      <c r="BV202" s="358"/>
    </row>
    <row r="203" spans="2:74" x14ac:dyDescent="0.2">
      <c r="B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  <c r="AA203" s="358"/>
      <c r="AB203" s="358"/>
      <c r="AC203" s="358"/>
      <c r="AD203" s="358"/>
      <c r="AE203" s="358"/>
      <c r="AF203" s="358"/>
      <c r="AG203" s="358"/>
      <c r="AH203" s="358"/>
      <c r="AI203" s="358"/>
      <c r="AJ203" s="358"/>
      <c r="AK203" s="358"/>
      <c r="AL203" s="358"/>
      <c r="AM203" s="358"/>
      <c r="AN203" s="358"/>
      <c r="AO203" s="358"/>
      <c r="AP203" s="358"/>
      <c r="AQ203" s="358"/>
      <c r="AR203" s="358"/>
      <c r="AS203" s="358"/>
      <c r="AT203" s="358"/>
      <c r="AU203" s="358"/>
      <c r="AV203" s="358"/>
      <c r="AW203" s="358"/>
      <c r="AX203" s="358"/>
      <c r="AY203" s="358"/>
      <c r="AZ203" s="358"/>
      <c r="BA203" s="358"/>
      <c r="BB203" s="358"/>
      <c r="BC203" s="358"/>
      <c r="BD203" s="358"/>
      <c r="BE203" s="358"/>
      <c r="BF203" s="358"/>
      <c r="BG203" s="358"/>
      <c r="BH203" s="358"/>
      <c r="BI203" s="358"/>
      <c r="BJ203" s="358"/>
      <c r="BK203" s="358"/>
      <c r="BL203" s="358"/>
      <c r="BM203" s="358"/>
      <c r="BN203" s="358"/>
      <c r="BO203" s="358"/>
      <c r="BP203" s="358"/>
      <c r="BQ203" s="358"/>
      <c r="BR203" s="358"/>
      <c r="BS203" s="358"/>
      <c r="BT203" s="358"/>
      <c r="BU203" s="358"/>
      <c r="BV203" s="358"/>
    </row>
    <row r="204" spans="2:74" x14ac:dyDescent="0.2">
      <c r="B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  <c r="AA204" s="358"/>
      <c r="AB204" s="358"/>
      <c r="AC204" s="358"/>
      <c r="AD204" s="358"/>
      <c r="AE204" s="358"/>
      <c r="AF204" s="358"/>
      <c r="AG204" s="358"/>
      <c r="AH204" s="358"/>
      <c r="AI204" s="358"/>
      <c r="AJ204" s="358"/>
      <c r="AK204" s="358"/>
      <c r="AL204" s="358"/>
      <c r="AM204" s="358"/>
      <c r="AN204" s="358"/>
      <c r="AO204" s="358"/>
      <c r="AP204" s="358"/>
      <c r="AQ204" s="358"/>
      <c r="AR204" s="358"/>
      <c r="AS204" s="358"/>
      <c r="AT204" s="358"/>
      <c r="AU204" s="358"/>
      <c r="AV204" s="358"/>
      <c r="AW204" s="358"/>
      <c r="AX204" s="358"/>
      <c r="AY204" s="358"/>
      <c r="AZ204" s="358"/>
      <c r="BA204" s="358"/>
      <c r="BB204" s="358"/>
      <c r="BC204" s="358"/>
      <c r="BD204" s="358"/>
      <c r="BE204" s="358"/>
      <c r="BF204" s="358"/>
      <c r="BG204" s="358"/>
      <c r="BH204" s="358"/>
      <c r="BI204" s="358"/>
      <c r="BJ204" s="358"/>
      <c r="BK204" s="358"/>
      <c r="BL204" s="358"/>
      <c r="BM204" s="358"/>
      <c r="BN204" s="358"/>
      <c r="BO204" s="358"/>
      <c r="BP204" s="358"/>
      <c r="BQ204" s="358"/>
      <c r="BR204" s="358"/>
      <c r="BS204" s="358"/>
      <c r="BT204" s="358"/>
      <c r="BU204" s="358"/>
      <c r="BV204" s="358"/>
    </row>
    <row r="205" spans="2:74" x14ac:dyDescent="0.2">
      <c r="B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  <c r="AN205" s="358"/>
      <c r="AO205" s="358"/>
      <c r="AP205" s="358"/>
      <c r="AQ205" s="358"/>
      <c r="AR205" s="358"/>
      <c r="AS205" s="358"/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</row>
    <row r="206" spans="2:74" x14ac:dyDescent="0.2">
      <c r="B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  <c r="AI206" s="358"/>
      <c r="AJ206" s="358"/>
      <c r="AK206" s="358"/>
      <c r="AL206" s="358"/>
      <c r="AM206" s="358"/>
      <c r="AN206" s="358"/>
      <c r="AO206" s="358"/>
      <c r="AP206" s="358"/>
      <c r="AQ206" s="358"/>
      <c r="AR206" s="358"/>
      <c r="AS206" s="358"/>
      <c r="AT206" s="358"/>
      <c r="AU206" s="358"/>
      <c r="AV206" s="358"/>
      <c r="AW206" s="358"/>
      <c r="AX206" s="358"/>
      <c r="AY206" s="358"/>
      <c r="AZ206" s="358"/>
      <c r="BA206" s="358"/>
      <c r="BB206" s="358"/>
      <c r="BC206" s="358"/>
      <c r="BD206" s="358"/>
      <c r="BE206" s="358"/>
      <c r="BF206" s="358"/>
      <c r="BG206" s="358"/>
      <c r="BH206" s="358"/>
      <c r="BI206" s="358"/>
      <c r="BJ206" s="358"/>
      <c r="BK206" s="358"/>
      <c r="BL206" s="358"/>
      <c r="BM206" s="358"/>
      <c r="BN206" s="358"/>
      <c r="BO206" s="358"/>
      <c r="BP206" s="358"/>
      <c r="BQ206" s="358"/>
      <c r="BR206" s="358"/>
      <c r="BS206" s="358"/>
      <c r="BT206" s="358"/>
      <c r="BU206" s="358"/>
      <c r="BV206" s="358"/>
    </row>
    <row r="207" spans="2:74" x14ac:dyDescent="0.2">
      <c r="B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  <c r="AA207" s="358"/>
      <c r="AB207" s="358"/>
      <c r="AC207" s="358"/>
      <c r="AD207" s="358"/>
      <c r="AE207" s="358"/>
      <c r="AF207" s="358"/>
      <c r="AG207" s="358"/>
      <c r="AH207" s="358"/>
      <c r="AI207" s="358"/>
      <c r="AJ207" s="358"/>
      <c r="AK207" s="358"/>
      <c r="AL207" s="358"/>
      <c r="AM207" s="358"/>
      <c r="AN207" s="358"/>
      <c r="AO207" s="358"/>
      <c r="AP207" s="358"/>
      <c r="AQ207" s="358"/>
      <c r="AR207" s="358"/>
      <c r="AS207" s="358"/>
      <c r="AT207" s="358"/>
      <c r="AU207" s="358"/>
      <c r="AV207" s="358"/>
      <c r="AW207" s="358"/>
      <c r="AX207" s="358"/>
      <c r="AY207" s="358"/>
      <c r="AZ207" s="358"/>
      <c r="BA207" s="358"/>
      <c r="BB207" s="358"/>
      <c r="BC207" s="358"/>
      <c r="BD207" s="358"/>
      <c r="BE207" s="358"/>
      <c r="BF207" s="358"/>
      <c r="BG207" s="358"/>
      <c r="BH207" s="358"/>
      <c r="BI207" s="358"/>
      <c r="BJ207" s="358"/>
      <c r="BK207" s="358"/>
      <c r="BL207" s="358"/>
      <c r="BM207" s="358"/>
      <c r="BN207" s="358"/>
      <c r="BO207" s="358"/>
      <c r="BP207" s="358"/>
      <c r="BQ207" s="358"/>
      <c r="BR207" s="358"/>
      <c r="BS207" s="358"/>
      <c r="BT207" s="358"/>
      <c r="BU207" s="358"/>
      <c r="BV207" s="358"/>
    </row>
    <row r="208" spans="2:74" x14ac:dyDescent="0.2">
      <c r="B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  <c r="AI208" s="358"/>
      <c r="AJ208" s="358"/>
      <c r="AK208" s="358"/>
      <c r="AL208" s="358"/>
      <c r="AM208" s="358"/>
      <c r="AN208" s="358"/>
      <c r="AO208" s="358"/>
      <c r="AP208" s="358"/>
      <c r="AQ208" s="358"/>
      <c r="AR208" s="358"/>
      <c r="AS208" s="358"/>
      <c r="AT208" s="358"/>
      <c r="AU208" s="358"/>
      <c r="AV208" s="358"/>
      <c r="AW208" s="358"/>
      <c r="AX208" s="358"/>
      <c r="AY208" s="358"/>
      <c r="AZ208" s="358"/>
      <c r="BA208" s="358"/>
      <c r="BB208" s="358"/>
      <c r="BC208" s="358"/>
      <c r="BD208" s="358"/>
      <c r="BE208" s="358"/>
      <c r="BF208" s="358"/>
      <c r="BG208" s="358"/>
      <c r="BH208" s="358"/>
      <c r="BI208" s="358"/>
      <c r="BJ208" s="358"/>
      <c r="BK208" s="358"/>
      <c r="BL208" s="358"/>
      <c r="BM208" s="358"/>
      <c r="BN208" s="358"/>
      <c r="BO208" s="358"/>
      <c r="BP208" s="358"/>
      <c r="BQ208" s="358"/>
      <c r="BR208" s="358"/>
      <c r="BS208" s="358"/>
      <c r="BT208" s="358"/>
      <c r="BU208" s="358"/>
      <c r="BV208" s="358"/>
    </row>
    <row r="209" spans="2:74" x14ac:dyDescent="0.2">
      <c r="B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L209" s="358"/>
      <c r="AM209" s="358"/>
      <c r="AN209" s="358"/>
      <c r="AO209" s="358"/>
      <c r="AP209" s="358"/>
      <c r="AQ209" s="358"/>
      <c r="AR209" s="358"/>
      <c r="AS209" s="358"/>
      <c r="AT209" s="358"/>
      <c r="AU209" s="358"/>
      <c r="AV209" s="358"/>
      <c r="AW209" s="358"/>
      <c r="AX209" s="358"/>
      <c r="AY209" s="358"/>
      <c r="AZ209" s="358"/>
      <c r="BA209" s="358"/>
      <c r="BB209" s="358"/>
      <c r="BC209" s="358"/>
      <c r="BD209" s="358"/>
      <c r="BE209" s="358"/>
      <c r="BF209" s="358"/>
      <c r="BG209" s="358"/>
      <c r="BH209" s="358"/>
      <c r="BI209" s="358"/>
      <c r="BJ209" s="358"/>
      <c r="BK209" s="358"/>
      <c r="BL209" s="358"/>
      <c r="BM209" s="358"/>
      <c r="BN209" s="358"/>
      <c r="BO209" s="358"/>
      <c r="BP209" s="358"/>
      <c r="BQ209" s="358"/>
      <c r="BR209" s="358"/>
      <c r="BS209" s="358"/>
      <c r="BT209" s="358"/>
      <c r="BU209" s="358"/>
      <c r="BV209" s="358"/>
    </row>
    <row r="210" spans="2:74" x14ac:dyDescent="0.2">
      <c r="B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  <c r="AN210" s="358"/>
      <c r="AO210" s="358"/>
      <c r="AP210" s="358"/>
      <c r="AQ210" s="358"/>
      <c r="AR210" s="358"/>
      <c r="AS210" s="358"/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</row>
    <row r="211" spans="2:74" x14ac:dyDescent="0.2">
      <c r="B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  <c r="AA211" s="358"/>
      <c r="AB211" s="358"/>
      <c r="AC211" s="358"/>
      <c r="AD211" s="358"/>
      <c r="AE211" s="358"/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  <c r="AS211" s="358"/>
      <c r="AT211" s="358"/>
      <c r="AU211" s="358"/>
      <c r="AV211" s="358"/>
      <c r="AW211" s="358"/>
      <c r="AX211" s="358"/>
      <c r="AY211" s="358"/>
      <c r="AZ211" s="358"/>
      <c r="BA211" s="358"/>
      <c r="BB211" s="358"/>
      <c r="BC211" s="358"/>
      <c r="BD211" s="358"/>
      <c r="BE211" s="358"/>
      <c r="BF211" s="358"/>
      <c r="BG211" s="358"/>
      <c r="BH211" s="358"/>
      <c r="BI211" s="358"/>
      <c r="BJ211" s="358"/>
      <c r="BK211" s="358"/>
      <c r="BL211" s="358"/>
      <c r="BM211" s="358"/>
      <c r="BN211" s="358"/>
      <c r="BO211" s="358"/>
      <c r="BP211" s="358"/>
      <c r="BQ211" s="358"/>
      <c r="BR211" s="358"/>
      <c r="BS211" s="358"/>
      <c r="BT211" s="358"/>
      <c r="BU211" s="358"/>
      <c r="BV211" s="358"/>
    </row>
    <row r="212" spans="2:74" x14ac:dyDescent="0.2">
      <c r="B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  <c r="AI212" s="358"/>
      <c r="AJ212" s="358"/>
      <c r="AK212" s="358"/>
      <c r="AL212" s="358"/>
      <c r="AM212" s="358"/>
      <c r="AN212" s="358"/>
      <c r="AO212" s="358"/>
      <c r="AP212" s="358"/>
      <c r="AQ212" s="358"/>
      <c r="AR212" s="358"/>
      <c r="AS212" s="358"/>
      <c r="AT212" s="358"/>
      <c r="AU212" s="358"/>
      <c r="AV212" s="358"/>
      <c r="AW212" s="358"/>
      <c r="AX212" s="358"/>
      <c r="AY212" s="358"/>
      <c r="AZ212" s="358"/>
      <c r="BA212" s="358"/>
      <c r="BB212" s="358"/>
      <c r="BC212" s="358"/>
      <c r="BD212" s="358"/>
      <c r="BE212" s="358"/>
      <c r="BF212" s="358"/>
      <c r="BG212" s="358"/>
      <c r="BH212" s="358"/>
      <c r="BI212" s="358"/>
      <c r="BJ212" s="358"/>
      <c r="BK212" s="358"/>
      <c r="BL212" s="358"/>
      <c r="BM212" s="358"/>
      <c r="BN212" s="358"/>
      <c r="BO212" s="358"/>
      <c r="BP212" s="358"/>
      <c r="BQ212" s="358"/>
      <c r="BR212" s="358"/>
      <c r="BS212" s="358"/>
      <c r="BT212" s="358"/>
      <c r="BU212" s="358"/>
      <c r="BV212" s="358"/>
    </row>
    <row r="213" spans="2:74" x14ac:dyDescent="0.2">
      <c r="B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L213" s="358"/>
      <c r="AM213" s="358"/>
      <c r="AN213" s="358"/>
      <c r="AO213" s="358"/>
      <c r="AP213" s="358"/>
      <c r="AQ213" s="358"/>
      <c r="AR213" s="358"/>
      <c r="AS213" s="358"/>
      <c r="AT213" s="358"/>
      <c r="AU213" s="358"/>
      <c r="AV213" s="358"/>
      <c r="AW213" s="358"/>
      <c r="AX213" s="358"/>
      <c r="AY213" s="358"/>
      <c r="AZ213" s="358"/>
      <c r="BA213" s="358"/>
      <c r="BB213" s="358"/>
      <c r="BC213" s="358"/>
      <c r="BD213" s="358"/>
      <c r="BE213" s="358"/>
      <c r="BF213" s="358"/>
      <c r="BG213" s="358"/>
      <c r="BH213" s="358"/>
      <c r="BI213" s="358"/>
      <c r="BJ213" s="358"/>
      <c r="BK213" s="358"/>
      <c r="BL213" s="358"/>
      <c r="BM213" s="358"/>
      <c r="BN213" s="358"/>
      <c r="BO213" s="358"/>
      <c r="BP213" s="358"/>
      <c r="BQ213" s="358"/>
      <c r="BR213" s="358"/>
      <c r="BS213" s="358"/>
      <c r="BT213" s="358"/>
      <c r="BU213" s="358"/>
      <c r="BV213" s="358"/>
    </row>
    <row r="214" spans="2:74" x14ac:dyDescent="0.2">
      <c r="B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L214" s="358"/>
      <c r="AM214" s="358"/>
      <c r="AN214" s="358"/>
      <c r="AO214" s="358"/>
      <c r="AP214" s="358"/>
      <c r="AQ214" s="358"/>
      <c r="AR214" s="358"/>
      <c r="AS214" s="358"/>
      <c r="AT214" s="358"/>
      <c r="AU214" s="358"/>
      <c r="AV214" s="358"/>
      <c r="AW214" s="358"/>
      <c r="AX214" s="358"/>
      <c r="AY214" s="358"/>
      <c r="AZ214" s="358"/>
      <c r="BA214" s="358"/>
      <c r="BB214" s="358"/>
      <c r="BC214" s="358"/>
      <c r="BD214" s="358"/>
      <c r="BE214" s="358"/>
      <c r="BF214" s="358"/>
      <c r="BG214" s="358"/>
      <c r="BH214" s="358"/>
      <c r="BI214" s="358"/>
      <c r="BJ214" s="358"/>
      <c r="BK214" s="358"/>
      <c r="BL214" s="358"/>
      <c r="BM214" s="358"/>
      <c r="BN214" s="358"/>
      <c r="BO214" s="358"/>
      <c r="BP214" s="358"/>
      <c r="BQ214" s="358"/>
      <c r="BR214" s="358"/>
      <c r="BS214" s="358"/>
      <c r="BT214" s="358"/>
      <c r="BU214" s="358"/>
      <c r="BV214" s="358"/>
    </row>
    <row r="215" spans="2:74" x14ac:dyDescent="0.2">
      <c r="B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  <c r="AA215" s="358"/>
      <c r="AB215" s="358"/>
      <c r="AC215" s="358"/>
      <c r="AD215" s="358"/>
      <c r="AE215" s="358"/>
      <c r="AF215" s="358"/>
      <c r="AG215" s="358"/>
      <c r="AH215" s="358"/>
      <c r="AI215" s="358"/>
      <c r="AJ215" s="358"/>
      <c r="AK215" s="358"/>
      <c r="AL215" s="358"/>
      <c r="AM215" s="358"/>
      <c r="AN215" s="358"/>
      <c r="AO215" s="358"/>
      <c r="AP215" s="358"/>
      <c r="AQ215" s="358"/>
      <c r="AR215" s="358"/>
      <c r="AS215" s="358"/>
      <c r="AT215" s="358"/>
      <c r="AU215" s="358"/>
      <c r="AV215" s="358"/>
      <c r="AW215" s="358"/>
      <c r="AX215" s="358"/>
      <c r="AY215" s="358"/>
      <c r="AZ215" s="358"/>
      <c r="BA215" s="358"/>
      <c r="BB215" s="358"/>
      <c r="BC215" s="358"/>
      <c r="BD215" s="358"/>
      <c r="BE215" s="358"/>
      <c r="BF215" s="358"/>
      <c r="BG215" s="358"/>
      <c r="BH215" s="358"/>
      <c r="BI215" s="358"/>
      <c r="BJ215" s="358"/>
      <c r="BK215" s="358"/>
      <c r="BL215" s="358"/>
      <c r="BM215" s="358"/>
      <c r="BN215" s="358"/>
      <c r="BO215" s="358"/>
      <c r="BP215" s="358"/>
      <c r="BQ215" s="358"/>
      <c r="BR215" s="358"/>
      <c r="BS215" s="358"/>
      <c r="BT215" s="358"/>
      <c r="BU215" s="358"/>
      <c r="BV215" s="358"/>
    </row>
    <row r="216" spans="2:74" x14ac:dyDescent="0.2">
      <c r="B216" s="358"/>
      <c r="D216" s="35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</row>
    <row r="217" spans="2:74" x14ac:dyDescent="0.2">
      <c r="B217" s="91"/>
      <c r="C217" s="389"/>
      <c r="D217" s="389"/>
      <c r="E217" s="438"/>
      <c r="F217" s="439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  <c r="AA217" s="439"/>
      <c r="AB217" s="439"/>
      <c r="AC217" s="439"/>
      <c r="AD217" s="439"/>
      <c r="AE217" s="439"/>
      <c r="AF217" s="439"/>
      <c r="AG217" s="439"/>
      <c r="AH217" s="439"/>
      <c r="AI217" s="439"/>
      <c r="AJ217" s="439"/>
      <c r="AK217" s="439"/>
      <c r="AL217" s="439"/>
      <c r="AM217" s="439"/>
      <c r="AN217" s="439"/>
      <c r="AO217" s="439"/>
      <c r="AP217" s="439"/>
      <c r="AQ217" s="439"/>
      <c r="AR217" s="439"/>
      <c r="AS217" s="439"/>
      <c r="AT217" s="439"/>
      <c r="AU217" s="439"/>
      <c r="AV217" s="439"/>
      <c r="AW217" s="439"/>
      <c r="AX217" s="439"/>
      <c r="AY217" s="439"/>
      <c r="AZ217" s="439"/>
      <c r="BA217" s="439"/>
      <c r="BB217" s="439"/>
      <c r="BC217" s="439"/>
      <c r="BD217" s="439"/>
      <c r="BE217" s="439"/>
      <c r="BF217" s="439"/>
      <c r="BG217" s="439"/>
      <c r="BH217" s="439"/>
      <c r="BI217" s="439"/>
      <c r="BJ217" s="439"/>
      <c r="BK217" s="439"/>
      <c r="BL217" s="439"/>
      <c r="BM217" s="439"/>
      <c r="BN217" s="439"/>
      <c r="BO217" s="439"/>
      <c r="BP217" s="439"/>
      <c r="BQ217" s="439"/>
      <c r="BR217" s="439"/>
      <c r="BS217" s="439"/>
      <c r="BT217" s="439"/>
      <c r="BU217" s="439"/>
      <c r="BV217" s="439"/>
    </row>
    <row r="218" spans="2:74" x14ac:dyDescent="0.2">
      <c r="B218" s="91"/>
      <c r="C218" s="389"/>
      <c r="D218" s="389"/>
      <c r="E218" s="438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  <c r="AA218" s="439"/>
      <c r="AB218" s="439"/>
      <c r="AC218" s="439"/>
      <c r="AD218" s="439"/>
      <c r="AE218" s="439"/>
      <c r="AF218" s="439"/>
      <c r="AG218" s="439"/>
      <c r="AH218" s="439"/>
      <c r="AI218" s="439"/>
      <c r="AJ218" s="439"/>
      <c r="AK218" s="439"/>
      <c r="AL218" s="439"/>
      <c r="AM218" s="439"/>
      <c r="AN218" s="439"/>
      <c r="AO218" s="439"/>
      <c r="AP218" s="439"/>
      <c r="AQ218" s="439"/>
      <c r="AR218" s="439"/>
      <c r="AS218" s="439"/>
      <c r="AT218" s="439"/>
      <c r="AU218" s="439"/>
      <c r="AV218" s="439"/>
      <c r="AW218" s="439"/>
      <c r="AX218" s="439"/>
      <c r="AY218" s="439"/>
      <c r="AZ218" s="439"/>
      <c r="BA218" s="439"/>
      <c r="BB218" s="439"/>
      <c r="BC218" s="439"/>
      <c r="BD218" s="439"/>
      <c r="BE218" s="439"/>
      <c r="BF218" s="439"/>
      <c r="BG218" s="439"/>
      <c r="BH218" s="439"/>
      <c r="BI218" s="439"/>
      <c r="BJ218" s="439"/>
      <c r="BK218" s="439"/>
      <c r="BL218" s="439"/>
      <c r="BM218" s="439"/>
      <c r="BN218" s="439"/>
      <c r="BO218" s="439"/>
      <c r="BP218" s="439"/>
      <c r="BQ218" s="439"/>
      <c r="BR218" s="439"/>
      <c r="BS218" s="439"/>
      <c r="BT218" s="439"/>
      <c r="BU218" s="439"/>
      <c r="BV218" s="439"/>
    </row>
    <row r="219" spans="2:74" x14ac:dyDescent="0.2">
      <c r="B219" s="91"/>
      <c r="C219" s="389"/>
      <c r="D219" s="389"/>
      <c r="E219" s="438"/>
      <c r="F219" s="439"/>
      <c r="G219" s="439"/>
      <c r="H219" s="439"/>
      <c r="I219" s="439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39"/>
      <c r="Y219" s="439"/>
      <c r="Z219" s="439"/>
      <c r="AA219" s="439"/>
      <c r="AB219" s="439"/>
      <c r="AC219" s="439"/>
      <c r="AD219" s="439"/>
      <c r="AE219" s="439"/>
      <c r="AF219" s="439"/>
      <c r="AG219" s="439"/>
      <c r="AH219" s="439"/>
      <c r="AI219" s="439"/>
      <c r="AJ219" s="439"/>
      <c r="AK219" s="439"/>
      <c r="AL219" s="439"/>
      <c r="AM219" s="439"/>
      <c r="AN219" s="439"/>
      <c r="AO219" s="439"/>
      <c r="AP219" s="439"/>
      <c r="AQ219" s="439"/>
      <c r="AR219" s="439"/>
      <c r="AS219" s="439"/>
      <c r="AT219" s="439"/>
      <c r="AU219" s="439"/>
      <c r="AV219" s="439"/>
      <c r="AW219" s="439"/>
      <c r="AX219" s="439"/>
      <c r="AY219" s="439"/>
      <c r="AZ219" s="439"/>
      <c r="BA219" s="439"/>
      <c r="BB219" s="439"/>
      <c r="BC219" s="439"/>
      <c r="BD219" s="439"/>
      <c r="BE219" s="439"/>
      <c r="BF219" s="439"/>
      <c r="BG219" s="439"/>
      <c r="BH219" s="439"/>
      <c r="BI219" s="439"/>
      <c r="BJ219" s="439"/>
      <c r="BK219" s="439"/>
      <c r="BL219" s="439"/>
      <c r="BM219" s="439"/>
      <c r="BN219" s="439"/>
      <c r="BO219" s="439"/>
      <c r="BP219" s="439"/>
      <c r="BQ219" s="439"/>
      <c r="BR219" s="439"/>
      <c r="BS219" s="439"/>
      <c r="BT219" s="439"/>
      <c r="BU219" s="439"/>
      <c r="BV219" s="439"/>
    </row>
    <row r="220" spans="2:74" x14ac:dyDescent="0.2">
      <c r="B220" s="91"/>
      <c r="C220" s="389"/>
      <c r="D220" s="389"/>
      <c r="E220" s="438"/>
      <c r="F220" s="439"/>
      <c r="G220" s="439"/>
      <c r="H220" s="439"/>
      <c r="I220" s="439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39"/>
      <c r="Y220" s="439"/>
      <c r="Z220" s="439"/>
      <c r="AA220" s="439"/>
      <c r="AB220" s="439"/>
      <c r="AC220" s="439"/>
      <c r="AD220" s="439"/>
      <c r="AE220" s="439"/>
      <c r="AF220" s="439"/>
      <c r="AG220" s="439"/>
      <c r="AH220" s="439"/>
      <c r="AI220" s="439"/>
      <c r="AJ220" s="439"/>
      <c r="AK220" s="439"/>
      <c r="AL220" s="439"/>
      <c r="AM220" s="439"/>
      <c r="AN220" s="439"/>
      <c r="AO220" s="439"/>
      <c r="AP220" s="439"/>
      <c r="AQ220" s="439"/>
      <c r="AR220" s="439"/>
      <c r="AS220" s="439"/>
      <c r="AT220" s="439"/>
      <c r="AU220" s="439"/>
      <c r="AV220" s="439"/>
      <c r="AW220" s="439"/>
      <c r="AX220" s="439"/>
      <c r="AY220" s="439"/>
      <c r="AZ220" s="439"/>
      <c r="BA220" s="439"/>
      <c r="BB220" s="439"/>
      <c r="BC220" s="439"/>
      <c r="BD220" s="439"/>
      <c r="BE220" s="439"/>
      <c r="BF220" s="439"/>
      <c r="BG220" s="439"/>
      <c r="BH220" s="439"/>
      <c r="BI220" s="439"/>
      <c r="BJ220" s="439"/>
      <c r="BK220" s="439"/>
      <c r="BL220" s="439"/>
      <c r="BM220" s="439"/>
      <c r="BN220" s="439"/>
      <c r="BO220" s="439"/>
      <c r="BP220" s="439"/>
      <c r="BQ220" s="439"/>
      <c r="BR220" s="439"/>
      <c r="BS220" s="439"/>
      <c r="BT220" s="439"/>
      <c r="BU220" s="439"/>
      <c r="BV220" s="439"/>
    </row>
    <row r="221" spans="2:74" x14ac:dyDescent="0.2">
      <c r="B221" s="91"/>
      <c r="C221" s="389"/>
      <c r="D221" s="389"/>
      <c r="E221" s="438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  <c r="AA221" s="439"/>
      <c r="AB221" s="439"/>
      <c r="AC221" s="439"/>
      <c r="AD221" s="439"/>
      <c r="AE221" s="439"/>
      <c r="AF221" s="439"/>
      <c r="AG221" s="439"/>
      <c r="AH221" s="439"/>
      <c r="AI221" s="439"/>
      <c r="AJ221" s="439"/>
      <c r="AK221" s="439"/>
      <c r="AL221" s="439"/>
      <c r="AM221" s="439"/>
      <c r="AN221" s="439"/>
      <c r="AO221" s="439"/>
      <c r="AP221" s="439"/>
      <c r="AQ221" s="439"/>
      <c r="AR221" s="439"/>
      <c r="AS221" s="439"/>
      <c r="AT221" s="439"/>
      <c r="AU221" s="439"/>
      <c r="AV221" s="439"/>
      <c r="AW221" s="439"/>
      <c r="AX221" s="439"/>
      <c r="AY221" s="439"/>
      <c r="AZ221" s="439"/>
      <c r="BA221" s="439"/>
      <c r="BB221" s="439"/>
      <c r="BC221" s="439"/>
      <c r="BD221" s="439"/>
      <c r="BE221" s="439"/>
      <c r="BF221" s="439"/>
      <c r="BG221" s="439"/>
      <c r="BH221" s="439"/>
      <c r="BI221" s="439"/>
      <c r="BJ221" s="439"/>
      <c r="BK221" s="439"/>
      <c r="BL221" s="439"/>
      <c r="BM221" s="439"/>
      <c r="BN221" s="439"/>
      <c r="BO221" s="439"/>
      <c r="BP221" s="439"/>
      <c r="BQ221" s="439"/>
      <c r="BR221" s="439"/>
      <c r="BS221" s="439"/>
      <c r="BT221" s="439"/>
      <c r="BU221" s="439"/>
      <c r="BV221" s="439"/>
    </row>
    <row r="222" spans="2:74" x14ac:dyDescent="0.2">
      <c r="B222" s="91"/>
      <c r="C222" s="389"/>
      <c r="D222" s="389"/>
      <c r="E222" s="438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  <c r="AA222" s="439"/>
      <c r="AB222" s="439"/>
      <c r="AC222" s="439"/>
      <c r="AD222" s="439"/>
      <c r="AE222" s="439"/>
      <c r="AF222" s="439"/>
      <c r="AG222" s="439"/>
      <c r="AH222" s="439"/>
      <c r="AI222" s="439"/>
      <c r="AJ222" s="439"/>
      <c r="AK222" s="439"/>
      <c r="AL222" s="439"/>
      <c r="AM222" s="439"/>
      <c r="AN222" s="439"/>
      <c r="AO222" s="439"/>
      <c r="AP222" s="439"/>
      <c r="AQ222" s="439"/>
      <c r="AR222" s="439"/>
      <c r="AS222" s="439"/>
      <c r="AT222" s="439"/>
      <c r="AU222" s="439"/>
      <c r="AV222" s="439"/>
      <c r="AW222" s="439"/>
      <c r="AX222" s="439"/>
      <c r="AY222" s="439"/>
      <c r="AZ222" s="439"/>
      <c r="BA222" s="439"/>
      <c r="BB222" s="439"/>
      <c r="BC222" s="439"/>
      <c r="BD222" s="439"/>
      <c r="BE222" s="439"/>
      <c r="BF222" s="439"/>
      <c r="BG222" s="439"/>
      <c r="BH222" s="439"/>
      <c r="BI222" s="439"/>
      <c r="BJ222" s="439"/>
      <c r="BK222" s="439"/>
      <c r="BL222" s="439"/>
      <c r="BM222" s="439"/>
      <c r="BN222" s="439"/>
      <c r="BO222" s="439"/>
      <c r="BP222" s="439"/>
      <c r="BQ222" s="439"/>
      <c r="BR222" s="439"/>
      <c r="BS222" s="439"/>
      <c r="BT222" s="439"/>
      <c r="BU222" s="439"/>
      <c r="BV222" s="439"/>
    </row>
    <row r="223" spans="2:74" x14ac:dyDescent="0.2">
      <c r="B223" s="91"/>
      <c r="C223" s="389"/>
      <c r="D223" s="389"/>
      <c r="E223" s="438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  <c r="AA223" s="439"/>
      <c r="AB223" s="439"/>
      <c r="AC223" s="439"/>
      <c r="AD223" s="439"/>
      <c r="AE223" s="439"/>
      <c r="AF223" s="439"/>
      <c r="AG223" s="439"/>
      <c r="AH223" s="439"/>
      <c r="AI223" s="439"/>
      <c r="AJ223" s="439"/>
      <c r="AK223" s="439"/>
      <c r="AL223" s="439"/>
      <c r="AM223" s="439"/>
      <c r="AN223" s="439"/>
      <c r="AO223" s="439"/>
      <c r="AP223" s="439"/>
      <c r="AQ223" s="439"/>
      <c r="AR223" s="439"/>
      <c r="AS223" s="439"/>
      <c r="AT223" s="439"/>
      <c r="AU223" s="439"/>
      <c r="AV223" s="439"/>
      <c r="AW223" s="439"/>
      <c r="AX223" s="439"/>
      <c r="AY223" s="439"/>
      <c r="AZ223" s="439"/>
      <c r="BA223" s="439"/>
      <c r="BB223" s="439"/>
      <c r="BC223" s="439"/>
      <c r="BD223" s="439"/>
      <c r="BE223" s="439"/>
      <c r="BF223" s="439"/>
      <c r="BG223" s="439"/>
      <c r="BH223" s="439"/>
      <c r="BI223" s="439"/>
      <c r="BJ223" s="439"/>
      <c r="BK223" s="439"/>
      <c r="BL223" s="439"/>
      <c r="BM223" s="439"/>
      <c r="BN223" s="439"/>
      <c r="BO223" s="439"/>
      <c r="BP223" s="439"/>
      <c r="BQ223" s="439"/>
      <c r="BR223" s="439"/>
      <c r="BS223" s="439"/>
      <c r="BT223" s="439"/>
      <c r="BU223" s="439"/>
      <c r="BV223" s="439"/>
    </row>
    <row r="224" spans="2:74" x14ac:dyDescent="0.2">
      <c r="B224" s="91"/>
      <c r="C224" s="389"/>
      <c r="D224" s="389"/>
      <c r="E224" s="438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  <c r="AA224" s="439"/>
      <c r="AB224" s="439"/>
      <c r="AC224" s="439"/>
      <c r="AD224" s="439"/>
      <c r="AE224" s="439"/>
      <c r="AF224" s="439"/>
      <c r="AG224" s="439"/>
      <c r="AH224" s="439"/>
      <c r="AI224" s="439"/>
      <c r="AJ224" s="439"/>
      <c r="AK224" s="439"/>
      <c r="AL224" s="439"/>
      <c r="AM224" s="439"/>
      <c r="AN224" s="439"/>
      <c r="AO224" s="439"/>
      <c r="AP224" s="439"/>
      <c r="AQ224" s="439"/>
      <c r="AR224" s="439"/>
      <c r="AS224" s="439"/>
      <c r="AT224" s="439"/>
      <c r="AU224" s="439"/>
      <c r="AV224" s="439"/>
      <c r="AW224" s="439"/>
      <c r="AX224" s="439"/>
      <c r="AY224" s="439"/>
      <c r="AZ224" s="439"/>
      <c r="BA224" s="439"/>
      <c r="BB224" s="439"/>
      <c r="BC224" s="439"/>
      <c r="BD224" s="439"/>
      <c r="BE224" s="439"/>
      <c r="BF224" s="439"/>
      <c r="BG224" s="439"/>
      <c r="BH224" s="439"/>
      <c r="BI224" s="439"/>
      <c r="BJ224" s="439"/>
      <c r="BK224" s="439"/>
      <c r="BL224" s="439"/>
      <c r="BM224" s="439"/>
      <c r="BN224" s="439"/>
      <c r="BO224" s="439"/>
      <c r="BP224" s="439"/>
      <c r="BQ224" s="439"/>
      <c r="BR224" s="439"/>
      <c r="BS224" s="439"/>
      <c r="BT224" s="439"/>
      <c r="BU224" s="439"/>
      <c r="BV224" s="439"/>
    </row>
    <row r="225" spans="2:74" x14ac:dyDescent="0.2">
      <c r="B225" s="91"/>
      <c r="C225" s="389"/>
      <c r="D225" s="389"/>
      <c r="E225" s="438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  <c r="AA225" s="439"/>
      <c r="AB225" s="439"/>
      <c r="AC225" s="439"/>
      <c r="AD225" s="439"/>
      <c r="AE225" s="439"/>
      <c r="AF225" s="439"/>
      <c r="AG225" s="439"/>
      <c r="AH225" s="439"/>
      <c r="AI225" s="439"/>
      <c r="AJ225" s="439"/>
      <c r="AK225" s="439"/>
      <c r="AL225" s="439"/>
      <c r="AM225" s="439"/>
      <c r="AN225" s="439"/>
      <c r="AO225" s="439"/>
      <c r="AP225" s="439"/>
      <c r="AQ225" s="439"/>
      <c r="AR225" s="439"/>
      <c r="AS225" s="439"/>
      <c r="AT225" s="439"/>
      <c r="AU225" s="439"/>
      <c r="AV225" s="439"/>
      <c r="AW225" s="439"/>
      <c r="AX225" s="439"/>
      <c r="AY225" s="439"/>
      <c r="AZ225" s="439"/>
      <c r="BA225" s="439"/>
      <c r="BB225" s="439"/>
      <c r="BC225" s="439"/>
      <c r="BD225" s="439"/>
      <c r="BE225" s="439"/>
      <c r="BF225" s="439"/>
      <c r="BG225" s="439"/>
      <c r="BH225" s="439"/>
      <c r="BI225" s="439"/>
      <c r="BJ225" s="439"/>
      <c r="BK225" s="439"/>
      <c r="BL225" s="439"/>
      <c r="BM225" s="439"/>
      <c r="BN225" s="439"/>
      <c r="BO225" s="439"/>
      <c r="BP225" s="439"/>
      <c r="BQ225" s="439"/>
      <c r="BR225" s="439"/>
      <c r="BS225" s="439"/>
      <c r="BT225" s="439"/>
      <c r="BU225" s="439"/>
      <c r="BV225" s="439"/>
    </row>
    <row r="226" spans="2:74" x14ac:dyDescent="0.2">
      <c r="B226" s="91"/>
      <c r="C226" s="389"/>
      <c r="D226" s="389"/>
      <c r="E226" s="438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  <c r="AA226" s="439"/>
      <c r="AB226" s="439"/>
      <c r="AC226" s="439"/>
      <c r="AD226" s="439"/>
      <c r="AE226" s="439"/>
      <c r="AF226" s="439"/>
      <c r="AG226" s="439"/>
      <c r="AH226" s="439"/>
      <c r="AI226" s="439"/>
      <c r="AJ226" s="439"/>
      <c r="AK226" s="439"/>
      <c r="AL226" s="439"/>
      <c r="AM226" s="439"/>
      <c r="AN226" s="439"/>
      <c r="AO226" s="439"/>
      <c r="AP226" s="439"/>
      <c r="AQ226" s="439"/>
      <c r="AR226" s="439"/>
      <c r="AS226" s="439"/>
      <c r="AT226" s="439"/>
      <c r="AU226" s="439"/>
      <c r="AV226" s="439"/>
      <c r="AW226" s="439"/>
      <c r="AX226" s="439"/>
      <c r="AY226" s="439"/>
      <c r="AZ226" s="439"/>
      <c r="BA226" s="439"/>
      <c r="BB226" s="439"/>
      <c r="BC226" s="439"/>
      <c r="BD226" s="439"/>
      <c r="BE226" s="439"/>
      <c r="BF226" s="439"/>
      <c r="BG226" s="439"/>
      <c r="BH226" s="439"/>
      <c r="BI226" s="439"/>
      <c r="BJ226" s="439"/>
      <c r="BK226" s="439"/>
      <c r="BL226" s="439"/>
      <c r="BM226" s="439"/>
      <c r="BN226" s="439"/>
      <c r="BO226" s="439"/>
      <c r="BP226" s="439"/>
      <c r="BQ226" s="439"/>
      <c r="BR226" s="439"/>
      <c r="BS226" s="439"/>
      <c r="BT226" s="439"/>
      <c r="BU226" s="439"/>
      <c r="BV226" s="439"/>
    </row>
    <row r="227" spans="2:74" x14ac:dyDescent="0.2">
      <c r="B227" s="91"/>
      <c r="C227" s="389"/>
      <c r="D227" s="389"/>
      <c r="E227" s="438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  <c r="AA227" s="439"/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39"/>
      <c r="AY227" s="439"/>
      <c r="AZ227" s="439"/>
      <c r="BA227" s="439"/>
      <c r="BB227" s="439"/>
      <c r="BC227" s="439"/>
      <c r="BD227" s="439"/>
      <c r="BE227" s="439"/>
      <c r="BF227" s="439"/>
      <c r="BG227" s="439"/>
      <c r="BH227" s="439"/>
      <c r="BI227" s="439"/>
      <c r="BJ227" s="439"/>
      <c r="BK227" s="439"/>
      <c r="BL227" s="439"/>
      <c r="BM227" s="439"/>
      <c r="BN227" s="439"/>
      <c r="BO227" s="439"/>
      <c r="BP227" s="439"/>
      <c r="BQ227" s="439"/>
      <c r="BR227" s="439"/>
      <c r="BS227" s="439"/>
      <c r="BT227" s="439"/>
      <c r="BU227" s="439"/>
      <c r="BV227" s="439"/>
    </row>
    <row r="228" spans="2:74" x14ac:dyDescent="0.2">
      <c r="B228" s="91"/>
      <c r="C228" s="389"/>
      <c r="D228" s="389"/>
      <c r="E228" s="438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  <c r="AA228" s="439"/>
      <c r="AB228" s="439"/>
      <c r="AC228" s="439"/>
      <c r="AD228" s="439"/>
      <c r="AE228" s="439"/>
      <c r="AF228" s="439"/>
      <c r="AG228" s="439"/>
      <c r="AH228" s="439"/>
      <c r="AI228" s="439"/>
      <c r="AJ228" s="439"/>
      <c r="AK228" s="439"/>
      <c r="AL228" s="439"/>
      <c r="AM228" s="439"/>
      <c r="AN228" s="439"/>
      <c r="AO228" s="439"/>
      <c r="AP228" s="439"/>
      <c r="AQ228" s="439"/>
      <c r="AR228" s="439"/>
      <c r="AS228" s="439"/>
      <c r="AT228" s="439"/>
      <c r="AU228" s="439"/>
      <c r="AV228" s="439"/>
      <c r="AW228" s="439"/>
      <c r="AX228" s="439"/>
      <c r="AY228" s="439"/>
      <c r="AZ228" s="439"/>
      <c r="BA228" s="439"/>
      <c r="BB228" s="439"/>
      <c r="BC228" s="439"/>
      <c r="BD228" s="439"/>
      <c r="BE228" s="439"/>
      <c r="BF228" s="439"/>
      <c r="BG228" s="439"/>
      <c r="BH228" s="439"/>
      <c r="BI228" s="439"/>
      <c r="BJ228" s="439"/>
      <c r="BK228" s="439"/>
      <c r="BL228" s="439"/>
      <c r="BM228" s="439"/>
      <c r="BN228" s="439"/>
      <c r="BO228" s="439"/>
      <c r="BP228" s="439"/>
      <c r="BQ228" s="439"/>
      <c r="BR228" s="439"/>
      <c r="BS228" s="439"/>
      <c r="BT228" s="439"/>
      <c r="BU228" s="439"/>
      <c r="BV228" s="439"/>
    </row>
    <row r="229" spans="2:74" x14ac:dyDescent="0.2">
      <c r="B229" s="91"/>
      <c r="C229" s="389"/>
      <c r="D229" s="389"/>
      <c r="E229" s="438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  <c r="AA229" s="439"/>
      <c r="AB229" s="439"/>
      <c r="AC229" s="439"/>
      <c r="AD229" s="439"/>
      <c r="AE229" s="439"/>
      <c r="AF229" s="439"/>
      <c r="AG229" s="439"/>
      <c r="AH229" s="439"/>
      <c r="AI229" s="439"/>
      <c r="AJ229" s="439"/>
      <c r="AK229" s="439"/>
      <c r="AL229" s="439"/>
      <c r="AM229" s="439"/>
      <c r="AN229" s="439"/>
      <c r="AO229" s="439"/>
      <c r="AP229" s="439"/>
      <c r="AQ229" s="439"/>
      <c r="AR229" s="439"/>
      <c r="AS229" s="439"/>
      <c r="AT229" s="439"/>
      <c r="AU229" s="439"/>
      <c r="AV229" s="439"/>
      <c r="AW229" s="439"/>
      <c r="AX229" s="439"/>
      <c r="AY229" s="439"/>
      <c r="AZ229" s="439"/>
      <c r="BA229" s="439"/>
      <c r="BB229" s="439"/>
      <c r="BC229" s="439"/>
      <c r="BD229" s="439"/>
      <c r="BE229" s="439"/>
      <c r="BF229" s="439"/>
      <c r="BG229" s="439"/>
      <c r="BH229" s="439"/>
      <c r="BI229" s="439"/>
      <c r="BJ229" s="439"/>
      <c r="BK229" s="439"/>
      <c r="BL229" s="439"/>
      <c r="BM229" s="439"/>
      <c r="BN229" s="439"/>
      <c r="BO229" s="439"/>
      <c r="BP229" s="439"/>
      <c r="BQ229" s="439"/>
      <c r="BR229" s="439"/>
      <c r="BS229" s="439"/>
      <c r="BT229" s="439"/>
      <c r="BU229" s="439"/>
      <c r="BV229" s="439"/>
    </row>
    <row r="230" spans="2:74" x14ac:dyDescent="0.2">
      <c r="B230" s="91"/>
      <c r="C230" s="389"/>
      <c r="D230" s="389"/>
      <c r="E230" s="438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  <c r="AA230" s="439"/>
      <c r="AB230" s="439"/>
      <c r="AC230" s="439"/>
      <c r="AD230" s="439"/>
      <c r="AE230" s="439"/>
      <c r="AF230" s="439"/>
      <c r="AG230" s="439"/>
      <c r="AH230" s="439"/>
      <c r="AI230" s="439"/>
      <c r="AJ230" s="439"/>
      <c r="AK230" s="439"/>
      <c r="AL230" s="439"/>
      <c r="AM230" s="439"/>
      <c r="AN230" s="439"/>
      <c r="AO230" s="439"/>
      <c r="AP230" s="439"/>
      <c r="AQ230" s="439"/>
      <c r="AR230" s="439"/>
      <c r="AS230" s="439"/>
      <c r="AT230" s="439"/>
      <c r="AU230" s="439"/>
      <c r="AV230" s="439"/>
      <c r="AW230" s="439"/>
      <c r="AX230" s="439"/>
      <c r="AY230" s="439"/>
      <c r="AZ230" s="439"/>
      <c r="BA230" s="439"/>
      <c r="BB230" s="439"/>
      <c r="BC230" s="439"/>
      <c r="BD230" s="439"/>
      <c r="BE230" s="439"/>
      <c r="BF230" s="439"/>
      <c r="BG230" s="439"/>
      <c r="BH230" s="439"/>
      <c r="BI230" s="439"/>
      <c r="BJ230" s="439"/>
      <c r="BK230" s="439"/>
      <c r="BL230" s="439"/>
      <c r="BM230" s="439"/>
      <c r="BN230" s="439"/>
      <c r="BO230" s="439"/>
      <c r="BP230" s="439"/>
      <c r="BQ230" s="439"/>
      <c r="BR230" s="439"/>
      <c r="BS230" s="439"/>
      <c r="BT230" s="439"/>
      <c r="BU230" s="439"/>
      <c r="BV230" s="439"/>
    </row>
    <row r="231" spans="2:74" x14ac:dyDescent="0.2">
      <c r="B231" s="91"/>
      <c r="C231" s="389"/>
      <c r="D231" s="389"/>
      <c r="E231" s="438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  <c r="AA231" s="439"/>
      <c r="AB231" s="439"/>
      <c r="AC231" s="439"/>
      <c r="AD231" s="439"/>
      <c r="AE231" s="439"/>
      <c r="AF231" s="439"/>
      <c r="AG231" s="439"/>
      <c r="AH231" s="439"/>
      <c r="AI231" s="439"/>
      <c r="AJ231" s="439"/>
      <c r="AK231" s="439"/>
      <c r="AL231" s="439"/>
      <c r="AM231" s="439"/>
      <c r="AN231" s="439"/>
      <c r="AO231" s="439"/>
      <c r="AP231" s="439"/>
      <c r="AQ231" s="439"/>
      <c r="AR231" s="439"/>
      <c r="AS231" s="439"/>
      <c r="AT231" s="439"/>
      <c r="AU231" s="439"/>
      <c r="AV231" s="439"/>
      <c r="AW231" s="439"/>
      <c r="AX231" s="439"/>
      <c r="AY231" s="439"/>
      <c r="AZ231" s="439"/>
      <c r="BA231" s="439"/>
      <c r="BB231" s="439"/>
      <c r="BC231" s="439"/>
      <c r="BD231" s="439"/>
      <c r="BE231" s="439"/>
      <c r="BF231" s="439"/>
      <c r="BG231" s="439"/>
      <c r="BH231" s="439"/>
      <c r="BI231" s="439"/>
      <c r="BJ231" s="439"/>
      <c r="BK231" s="439"/>
      <c r="BL231" s="439"/>
      <c r="BM231" s="439"/>
      <c r="BN231" s="439"/>
      <c r="BO231" s="439"/>
      <c r="BP231" s="439"/>
      <c r="BQ231" s="439"/>
      <c r="BR231" s="439"/>
      <c r="BS231" s="439"/>
      <c r="BT231" s="439"/>
      <c r="BU231" s="439"/>
      <c r="BV231" s="439"/>
    </row>
    <row r="232" spans="2:74" x14ac:dyDescent="0.2">
      <c r="B232" s="91"/>
      <c r="C232" s="389"/>
      <c r="D232" s="389"/>
      <c r="E232" s="438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  <c r="AA232" s="439"/>
      <c r="AB232" s="439"/>
      <c r="AC232" s="439"/>
      <c r="AD232" s="439"/>
      <c r="AE232" s="439"/>
      <c r="AF232" s="439"/>
      <c r="AG232" s="439"/>
      <c r="AH232" s="439"/>
      <c r="AI232" s="439"/>
      <c r="AJ232" s="439"/>
      <c r="AK232" s="439"/>
      <c r="AL232" s="439"/>
      <c r="AM232" s="439"/>
      <c r="AN232" s="439"/>
      <c r="AO232" s="439"/>
      <c r="AP232" s="439"/>
      <c r="AQ232" s="439"/>
      <c r="AR232" s="439"/>
      <c r="AS232" s="439"/>
      <c r="AT232" s="439"/>
      <c r="AU232" s="439"/>
      <c r="AV232" s="439"/>
      <c r="AW232" s="439"/>
      <c r="AX232" s="439"/>
      <c r="AY232" s="439"/>
      <c r="AZ232" s="439"/>
      <c r="BA232" s="439"/>
      <c r="BB232" s="439"/>
      <c r="BC232" s="439"/>
      <c r="BD232" s="439"/>
      <c r="BE232" s="439"/>
      <c r="BF232" s="439"/>
      <c r="BG232" s="439"/>
      <c r="BH232" s="439"/>
      <c r="BI232" s="439"/>
      <c r="BJ232" s="439"/>
      <c r="BK232" s="439"/>
      <c r="BL232" s="439"/>
      <c r="BM232" s="439"/>
      <c r="BN232" s="439"/>
      <c r="BO232" s="439"/>
      <c r="BP232" s="439"/>
      <c r="BQ232" s="439"/>
      <c r="BR232" s="439"/>
      <c r="BS232" s="439"/>
      <c r="BT232" s="439"/>
      <c r="BU232" s="439"/>
      <c r="BV232" s="439"/>
    </row>
    <row r="233" spans="2:74" x14ac:dyDescent="0.2">
      <c r="B233" s="91"/>
      <c r="C233" s="389"/>
      <c r="D233" s="389"/>
      <c r="E233" s="438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  <c r="AA233" s="439"/>
      <c r="AB233" s="439"/>
      <c r="AC233" s="439"/>
      <c r="AD233" s="439"/>
      <c r="AE233" s="439"/>
      <c r="AF233" s="439"/>
      <c r="AG233" s="439"/>
      <c r="AH233" s="439"/>
      <c r="AI233" s="439"/>
      <c r="AJ233" s="439"/>
      <c r="AK233" s="439"/>
      <c r="AL233" s="439"/>
      <c r="AM233" s="439"/>
      <c r="AN233" s="439"/>
      <c r="AO233" s="439"/>
      <c r="AP233" s="439"/>
      <c r="AQ233" s="439"/>
      <c r="AR233" s="439"/>
      <c r="AS233" s="439"/>
      <c r="AT233" s="439"/>
      <c r="AU233" s="439"/>
      <c r="AV233" s="439"/>
      <c r="AW233" s="439"/>
      <c r="AX233" s="439"/>
      <c r="AY233" s="439"/>
      <c r="AZ233" s="439"/>
      <c r="BA233" s="439"/>
      <c r="BB233" s="439"/>
      <c r="BC233" s="439"/>
      <c r="BD233" s="439"/>
      <c r="BE233" s="439"/>
      <c r="BF233" s="439"/>
      <c r="BG233" s="439"/>
      <c r="BH233" s="439"/>
      <c r="BI233" s="439"/>
      <c r="BJ233" s="439"/>
      <c r="BK233" s="439"/>
      <c r="BL233" s="439"/>
      <c r="BM233" s="439"/>
      <c r="BN233" s="439"/>
      <c r="BO233" s="439"/>
      <c r="BP233" s="439"/>
      <c r="BQ233" s="439"/>
      <c r="BR233" s="439"/>
      <c r="BS233" s="439"/>
      <c r="BT233" s="439"/>
      <c r="BU233" s="439"/>
      <c r="BV233" s="439"/>
    </row>
    <row r="234" spans="2:74" x14ac:dyDescent="0.2">
      <c r="B234" s="91"/>
      <c r="C234" s="389"/>
      <c r="D234" s="389"/>
      <c r="E234" s="438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  <c r="AA234" s="439"/>
      <c r="AB234" s="439"/>
      <c r="AC234" s="439"/>
      <c r="AD234" s="439"/>
      <c r="AE234" s="439"/>
      <c r="AF234" s="439"/>
      <c r="AG234" s="439"/>
      <c r="AH234" s="439"/>
      <c r="AI234" s="439"/>
      <c r="AJ234" s="439"/>
      <c r="AK234" s="439"/>
      <c r="AL234" s="439"/>
      <c r="AM234" s="439"/>
      <c r="AN234" s="439"/>
      <c r="AO234" s="439"/>
      <c r="AP234" s="439"/>
      <c r="AQ234" s="439"/>
      <c r="AR234" s="439"/>
      <c r="AS234" s="439"/>
      <c r="AT234" s="439"/>
      <c r="AU234" s="439"/>
      <c r="AV234" s="439"/>
      <c r="AW234" s="439"/>
      <c r="AX234" s="439"/>
      <c r="AY234" s="439"/>
      <c r="AZ234" s="439"/>
      <c r="BA234" s="439"/>
      <c r="BB234" s="439"/>
      <c r="BC234" s="439"/>
      <c r="BD234" s="439"/>
      <c r="BE234" s="439"/>
      <c r="BF234" s="439"/>
      <c r="BG234" s="439"/>
      <c r="BH234" s="439"/>
      <c r="BI234" s="439"/>
      <c r="BJ234" s="439"/>
      <c r="BK234" s="439"/>
      <c r="BL234" s="439"/>
      <c r="BM234" s="439"/>
      <c r="BN234" s="439"/>
      <c r="BO234" s="439"/>
      <c r="BP234" s="439"/>
      <c r="BQ234" s="439"/>
      <c r="BR234" s="439"/>
      <c r="BS234" s="439"/>
      <c r="BT234" s="439"/>
      <c r="BU234" s="439"/>
      <c r="BV234" s="439"/>
    </row>
    <row r="235" spans="2:74" x14ac:dyDescent="0.2">
      <c r="B235" s="91"/>
      <c r="C235" s="389"/>
      <c r="D235" s="389"/>
      <c r="E235" s="438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  <c r="AA235" s="439"/>
      <c r="AB235" s="439"/>
      <c r="AC235" s="439"/>
      <c r="AD235" s="439"/>
      <c r="AE235" s="439"/>
      <c r="AF235" s="439"/>
      <c r="AG235" s="439"/>
      <c r="AH235" s="439"/>
      <c r="AI235" s="439"/>
      <c r="AJ235" s="439"/>
      <c r="AK235" s="439"/>
      <c r="AL235" s="439"/>
      <c r="AM235" s="439"/>
      <c r="AN235" s="439"/>
      <c r="AO235" s="439"/>
      <c r="AP235" s="439"/>
      <c r="AQ235" s="439"/>
      <c r="AR235" s="439"/>
      <c r="AS235" s="439"/>
      <c r="AT235" s="439"/>
      <c r="AU235" s="439"/>
      <c r="AV235" s="439"/>
      <c r="AW235" s="439"/>
      <c r="AX235" s="439"/>
      <c r="AY235" s="439"/>
      <c r="AZ235" s="439"/>
      <c r="BA235" s="439"/>
      <c r="BB235" s="439"/>
      <c r="BC235" s="439"/>
      <c r="BD235" s="439"/>
      <c r="BE235" s="439"/>
      <c r="BF235" s="439"/>
      <c r="BG235" s="439"/>
      <c r="BH235" s="439"/>
      <c r="BI235" s="439"/>
      <c r="BJ235" s="439"/>
      <c r="BK235" s="439"/>
      <c r="BL235" s="439"/>
      <c r="BM235" s="439"/>
      <c r="BN235" s="439"/>
      <c r="BO235" s="439"/>
      <c r="BP235" s="439"/>
      <c r="BQ235" s="439"/>
      <c r="BR235" s="439"/>
      <c r="BS235" s="439"/>
      <c r="BT235" s="439"/>
      <c r="BU235" s="439"/>
      <c r="BV235" s="439"/>
    </row>
    <row r="236" spans="2:74" x14ac:dyDescent="0.2">
      <c r="B236" s="91"/>
      <c r="C236" s="389"/>
      <c r="D236" s="389"/>
      <c r="E236" s="438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  <c r="AA236" s="439"/>
      <c r="AB236" s="439"/>
      <c r="AC236" s="439"/>
      <c r="AD236" s="439"/>
      <c r="AE236" s="439"/>
      <c r="AF236" s="439"/>
      <c r="AG236" s="439"/>
      <c r="AH236" s="439"/>
      <c r="AI236" s="439"/>
      <c r="AJ236" s="439"/>
      <c r="AK236" s="439"/>
      <c r="AL236" s="439"/>
      <c r="AM236" s="439"/>
      <c r="AN236" s="439"/>
      <c r="AO236" s="439"/>
      <c r="AP236" s="439"/>
      <c r="AQ236" s="439"/>
      <c r="AR236" s="439"/>
      <c r="AS236" s="439"/>
      <c r="AT236" s="439"/>
      <c r="AU236" s="439"/>
      <c r="AV236" s="439"/>
      <c r="AW236" s="439"/>
      <c r="AX236" s="439"/>
      <c r="AY236" s="439"/>
      <c r="AZ236" s="439"/>
      <c r="BA236" s="439"/>
      <c r="BB236" s="439"/>
      <c r="BC236" s="439"/>
      <c r="BD236" s="439"/>
      <c r="BE236" s="439"/>
      <c r="BF236" s="439"/>
      <c r="BG236" s="439"/>
      <c r="BH236" s="439"/>
      <c r="BI236" s="439"/>
      <c r="BJ236" s="439"/>
      <c r="BK236" s="439"/>
      <c r="BL236" s="439"/>
      <c r="BM236" s="439"/>
      <c r="BN236" s="439"/>
      <c r="BO236" s="439"/>
      <c r="BP236" s="439"/>
      <c r="BQ236" s="439"/>
      <c r="BR236" s="439"/>
      <c r="BS236" s="439"/>
      <c r="BT236" s="439"/>
      <c r="BU236" s="439"/>
      <c r="BV236" s="439"/>
    </row>
    <row r="237" spans="2:74" x14ac:dyDescent="0.2">
      <c r="B237" s="91"/>
      <c r="C237" s="389"/>
      <c r="D237" s="389"/>
      <c r="E237" s="438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  <c r="AA237" s="439"/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39"/>
      <c r="AY237" s="439"/>
      <c r="AZ237" s="439"/>
      <c r="BA237" s="439"/>
      <c r="BB237" s="439"/>
      <c r="BC237" s="439"/>
      <c r="BD237" s="439"/>
      <c r="BE237" s="439"/>
      <c r="BF237" s="439"/>
      <c r="BG237" s="439"/>
      <c r="BH237" s="439"/>
      <c r="BI237" s="439"/>
      <c r="BJ237" s="439"/>
      <c r="BK237" s="439"/>
      <c r="BL237" s="439"/>
      <c r="BM237" s="439"/>
      <c r="BN237" s="439"/>
      <c r="BO237" s="439"/>
      <c r="BP237" s="439"/>
      <c r="BQ237" s="439"/>
      <c r="BR237" s="439"/>
      <c r="BS237" s="439"/>
      <c r="BT237" s="439"/>
      <c r="BU237" s="439"/>
      <c r="BV237" s="439"/>
    </row>
    <row r="238" spans="2:74" x14ac:dyDescent="0.2">
      <c r="B238" s="91"/>
      <c r="C238" s="389"/>
      <c r="D238" s="389"/>
      <c r="E238" s="438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  <c r="AA238" s="439"/>
      <c r="AB238" s="439"/>
      <c r="AC238" s="439"/>
      <c r="AD238" s="439"/>
      <c r="AE238" s="439"/>
      <c r="AF238" s="439"/>
      <c r="AG238" s="439"/>
      <c r="AH238" s="439"/>
      <c r="AI238" s="439"/>
      <c r="AJ238" s="439"/>
      <c r="AK238" s="439"/>
      <c r="AL238" s="439"/>
      <c r="AM238" s="439"/>
      <c r="AN238" s="439"/>
      <c r="AO238" s="439"/>
      <c r="AP238" s="439"/>
      <c r="AQ238" s="439"/>
      <c r="AR238" s="439"/>
      <c r="AS238" s="439"/>
      <c r="AT238" s="439"/>
      <c r="AU238" s="439"/>
      <c r="AV238" s="439"/>
      <c r="AW238" s="439"/>
      <c r="AX238" s="439"/>
      <c r="AY238" s="439"/>
      <c r="AZ238" s="439"/>
      <c r="BA238" s="439"/>
      <c r="BB238" s="439"/>
      <c r="BC238" s="439"/>
      <c r="BD238" s="439"/>
      <c r="BE238" s="439"/>
      <c r="BF238" s="439"/>
      <c r="BG238" s="439"/>
      <c r="BH238" s="439"/>
      <c r="BI238" s="439"/>
      <c r="BJ238" s="439"/>
      <c r="BK238" s="439"/>
      <c r="BL238" s="439"/>
      <c r="BM238" s="439"/>
      <c r="BN238" s="439"/>
      <c r="BO238" s="439"/>
      <c r="BP238" s="439"/>
      <c r="BQ238" s="439"/>
      <c r="BR238" s="439"/>
      <c r="BS238" s="439"/>
      <c r="BT238" s="439"/>
      <c r="BU238" s="439"/>
      <c r="BV238" s="439"/>
    </row>
    <row r="239" spans="2:74" x14ac:dyDescent="0.2">
      <c r="B239" s="91"/>
      <c r="C239" s="389"/>
      <c r="D239" s="389"/>
      <c r="E239" s="438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  <c r="AA239" s="439"/>
      <c r="AB239" s="439"/>
      <c r="AC239" s="439"/>
      <c r="AD239" s="439"/>
      <c r="AE239" s="439"/>
      <c r="AF239" s="439"/>
      <c r="AG239" s="439"/>
      <c r="AH239" s="439"/>
      <c r="AI239" s="439"/>
      <c r="AJ239" s="439"/>
      <c r="AK239" s="439"/>
      <c r="AL239" s="439"/>
      <c r="AM239" s="439"/>
      <c r="AN239" s="439"/>
      <c r="AO239" s="439"/>
      <c r="AP239" s="439"/>
      <c r="AQ239" s="439"/>
      <c r="AR239" s="439"/>
      <c r="AS239" s="439"/>
      <c r="AT239" s="439"/>
      <c r="AU239" s="439"/>
      <c r="AV239" s="439"/>
      <c r="AW239" s="439"/>
      <c r="AX239" s="439"/>
      <c r="AY239" s="439"/>
      <c r="AZ239" s="439"/>
      <c r="BA239" s="439"/>
      <c r="BB239" s="439"/>
      <c r="BC239" s="439"/>
      <c r="BD239" s="439"/>
      <c r="BE239" s="439"/>
      <c r="BF239" s="439"/>
      <c r="BG239" s="439"/>
      <c r="BH239" s="439"/>
      <c r="BI239" s="439"/>
      <c r="BJ239" s="439"/>
      <c r="BK239" s="439"/>
      <c r="BL239" s="439"/>
      <c r="BM239" s="439"/>
      <c r="BN239" s="439"/>
      <c r="BO239" s="439"/>
      <c r="BP239" s="439"/>
      <c r="BQ239" s="439"/>
      <c r="BR239" s="439"/>
      <c r="BS239" s="439"/>
      <c r="BT239" s="439"/>
      <c r="BU239" s="439"/>
      <c r="BV239" s="439"/>
    </row>
    <row r="240" spans="2:74" x14ac:dyDescent="0.2">
      <c r="B240" s="91"/>
      <c r="C240" s="389"/>
      <c r="D240" s="389"/>
      <c r="E240" s="438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D240" s="439"/>
      <c r="AE240" s="439"/>
      <c r="AF240" s="439"/>
      <c r="AG240" s="439"/>
      <c r="AH240" s="439"/>
      <c r="AI240" s="439"/>
      <c r="AJ240" s="439"/>
      <c r="AK240" s="439"/>
      <c r="AL240" s="439"/>
      <c r="AM240" s="439"/>
      <c r="AN240" s="439"/>
      <c r="AO240" s="439"/>
      <c r="AP240" s="439"/>
      <c r="AQ240" s="439"/>
      <c r="AR240" s="439"/>
      <c r="AS240" s="439"/>
      <c r="AT240" s="439"/>
      <c r="AU240" s="439"/>
      <c r="AV240" s="439"/>
      <c r="AW240" s="439"/>
      <c r="AX240" s="439"/>
      <c r="AY240" s="439"/>
      <c r="AZ240" s="439"/>
      <c r="BA240" s="439"/>
      <c r="BB240" s="439"/>
      <c r="BC240" s="439"/>
      <c r="BD240" s="439"/>
      <c r="BE240" s="439"/>
      <c r="BF240" s="439"/>
      <c r="BG240" s="439"/>
      <c r="BH240" s="439"/>
      <c r="BI240" s="439"/>
      <c r="BJ240" s="439"/>
      <c r="BK240" s="439"/>
      <c r="BL240" s="439"/>
      <c r="BM240" s="439"/>
      <c r="BN240" s="439"/>
      <c r="BO240" s="439"/>
      <c r="BP240" s="439"/>
      <c r="BQ240" s="439"/>
      <c r="BR240" s="439"/>
      <c r="BS240" s="439"/>
      <c r="BT240" s="439"/>
      <c r="BU240" s="439"/>
      <c r="BV240" s="439"/>
    </row>
    <row r="241" spans="2:74" x14ac:dyDescent="0.2">
      <c r="B241" s="91"/>
      <c r="C241" s="389"/>
      <c r="D241" s="389"/>
      <c r="E241" s="438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  <c r="AA241" s="439"/>
      <c r="AB241" s="439"/>
      <c r="AC241" s="439"/>
      <c r="AD241" s="439"/>
      <c r="AE241" s="439"/>
      <c r="AF241" s="439"/>
      <c r="AG241" s="439"/>
      <c r="AH241" s="439"/>
      <c r="AI241" s="439"/>
      <c r="AJ241" s="439"/>
      <c r="AK241" s="439"/>
      <c r="AL241" s="439"/>
      <c r="AM241" s="439"/>
      <c r="AN241" s="439"/>
      <c r="AO241" s="439"/>
      <c r="AP241" s="439"/>
      <c r="AQ241" s="439"/>
      <c r="AR241" s="439"/>
      <c r="AS241" s="439"/>
      <c r="AT241" s="439"/>
      <c r="AU241" s="439"/>
      <c r="AV241" s="439"/>
      <c r="AW241" s="439"/>
      <c r="AX241" s="439"/>
      <c r="AY241" s="439"/>
      <c r="AZ241" s="439"/>
      <c r="BA241" s="439"/>
      <c r="BB241" s="439"/>
      <c r="BC241" s="439"/>
      <c r="BD241" s="439"/>
      <c r="BE241" s="439"/>
      <c r="BF241" s="439"/>
      <c r="BG241" s="439"/>
      <c r="BH241" s="439"/>
      <c r="BI241" s="439"/>
      <c r="BJ241" s="439"/>
      <c r="BK241" s="439"/>
      <c r="BL241" s="439"/>
      <c r="BM241" s="439"/>
      <c r="BN241" s="439"/>
      <c r="BO241" s="439"/>
      <c r="BP241" s="439"/>
      <c r="BQ241" s="439"/>
      <c r="BR241" s="439"/>
      <c r="BS241" s="439"/>
      <c r="BT241" s="439"/>
      <c r="BU241" s="439"/>
      <c r="BV241" s="439"/>
    </row>
    <row r="242" spans="2:74" x14ac:dyDescent="0.2">
      <c r="B242" s="91"/>
      <c r="C242" s="389"/>
      <c r="D242" s="389"/>
      <c r="E242" s="438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  <c r="AA242" s="439"/>
      <c r="AB242" s="439"/>
      <c r="AC242" s="439"/>
      <c r="AD242" s="439"/>
      <c r="AE242" s="439"/>
      <c r="AF242" s="439"/>
      <c r="AG242" s="439"/>
      <c r="AH242" s="439"/>
      <c r="AI242" s="439"/>
      <c r="AJ242" s="439"/>
      <c r="AK242" s="439"/>
      <c r="AL242" s="439"/>
      <c r="AM242" s="439"/>
      <c r="AN242" s="439"/>
      <c r="AO242" s="439"/>
      <c r="AP242" s="439"/>
      <c r="AQ242" s="439"/>
      <c r="AR242" s="439"/>
      <c r="AS242" s="439"/>
      <c r="AT242" s="439"/>
      <c r="AU242" s="439"/>
      <c r="AV242" s="439"/>
      <c r="AW242" s="439"/>
      <c r="AX242" s="439"/>
      <c r="AY242" s="439"/>
      <c r="AZ242" s="439"/>
      <c r="BA242" s="439"/>
      <c r="BB242" s="439"/>
      <c r="BC242" s="439"/>
      <c r="BD242" s="439"/>
      <c r="BE242" s="439"/>
      <c r="BF242" s="439"/>
      <c r="BG242" s="439"/>
      <c r="BH242" s="439"/>
      <c r="BI242" s="439"/>
      <c r="BJ242" s="439"/>
      <c r="BK242" s="439"/>
      <c r="BL242" s="439"/>
      <c r="BM242" s="439"/>
      <c r="BN242" s="439"/>
      <c r="BO242" s="439"/>
      <c r="BP242" s="439"/>
      <c r="BQ242" s="439"/>
      <c r="BR242" s="439"/>
      <c r="BS242" s="439"/>
      <c r="BT242" s="439"/>
      <c r="BU242" s="439"/>
      <c r="BV242" s="439"/>
    </row>
    <row r="243" spans="2:74" x14ac:dyDescent="0.2">
      <c r="B243" s="91"/>
      <c r="C243" s="389"/>
      <c r="D243" s="389"/>
      <c r="E243" s="438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  <c r="AA243" s="439"/>
      <c r="AB243" s="439"/>
      <c r="AC243" s="439"/>
      <c r="AD243" s="439"/>
      <c r="AE243" s="439"/>
      <c r="AF243" s="439"/>
      <c r="AG243" s="439"/>
      <c r="AH243" s="439"/>
      <c r="AI243" s="439"/>
      <c r="AJ243" s="439"/>
      <c r="AK243" s="439"/>
      <c r="AL243" s="439"/>
      <c r="AM243" s="439"/>
      <c r="AN243" s="439"/>
      <c r="AO243" s="439"/>
      <c r="AP243" s="439"/>
      <c r="AQ243" s="439"/>
      <c r="AR243" s="439"/>
      <c r="AS243" s="439"/>
      <c r="AT243" s="439"/>
      <c r="AU243" s="439"/>
      <c r="AV243" s="439"/>
      <c r="AW243" s="439"/>
      <c r="AX243" s="439"/>
      <c r="AY243" s="439"/>
      <c r="AZ243" s="439"/>
      <c r="BA243" s="439"/>
      <c r="BB243" s="439"/>
      <c r="BC243" s="439"/>
      <c r="BD243" s="439"/>
      <c r="BE243" s="439"/>
      <c r="BF243" s="439"/>
      <c r="BG243" s="439"/>
      <c r="BH243" s="439"/>
      <c r="BI243" s="439"/>
      <c r="BJ243" s="439"/>
      <c r="BK243" s="439"/>
      <c r="BL243" s="439"/>
      <c r="BM243" s="439"/>
      <c r="BN243" s="439"/>
      <c r="BO243" s="439"/>
      <c r="BP243" s="439"/>
      <c r="BQ243" s="439"/>
      <c r="BR243" s="439"/>
      <c r="BS243" s="439"/>
      <c r="BT243" s="439"/>
      <c r="BU243" s="439"/>
      <c r="BV243" s="439"/>
    </row>
    <row r="244" spans="2:74" x14ac:dyDescent="0.2">
      <c r="B244" s="91"/>
      <c r="C244" s="389"/>
      <c r="D244" s="389"/>
      <c r="E244" s="438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  <c r="AA244" s="439"/>
      <c r="AB244" s="439"/>
      <c r="AC244" s="439"/>
      <c r="AD244" s="439"/>
      <c r="AE244" s="439"/>
      <c r="AF244" s="439"/>
      <c r="AG244" s="439"/>
      <c r="AH244" s="439"/>
      <c r="AI244" s="439"/>
      <c r="AJ244" s="439"/>
      <c r="AK244" s="439"/>
      <c r="AL244" s="439"/>
      <c r="AM244" s="439"/>
      <c r="AN244" s="439"/>
      <c r="AO244" s="439"/>
      <c r="AP244" s="439"/>
      <c r="AQ244" s="439"/>
      <c r="AR244" s="439"/>
      <c r="AS244" s="439"/>
      <c r="AT244" s="439"/>
      <c r="AU244" s="439"/>
      <c r="AV244" s="439"/>
      <c r="AW244" s="439"/>
      <c r="AX244" s="439"/>
      <c r="AY244" s="439"/>
      <c r="AZ244" s="439"/>
      <c r="BA244" s="439"/>
      <c r="BB244" s="439"/>
      <c r="BC244" s="439"/>
      <c r="BD244" s="439"/>
      <c r="BE244" s="439"/>
      <c r="BF244" s="439"/>
      <c r="BG244" s="439"/>
      <c r="BH244" s="439"/>
      <c r="BI244" s="439"/>
      <c r="BJ244" s="439"/>
      <c r="BK244" s="439"/>
      <c r="BL244" s="439"/>
      <c r="BM244" s="439"/>
      <c r="BN244" s="439"/>
      <c r="BO244" s="439"/>
      <c r="BP244" s="439"/>
      <c r="BQ244" s="439"/>
      <c r="BR244" s="439"/>
      <c r="BS244" s="439"/>
      <c r="BT244" s="439"/>
      <c r="BU244" s="439"/>
      <c r="BV244" s="439"/>
    </row>
    <row r="245" spans="2:74" x14ac:dyDescent="0.2">
      <c r="B245" s="91"/>
      <c r="C245" s="389"/>
      <c r="D245" s="389"/>
      <c r="E245" s="438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  <c r="AA245" s="439"/>
      <c r="AB245" s="439"/>
      <c r="AC245" s="439"/>
      <c r="AD245" s="439"/>
      <c r="AE245" s="439"/>
      <c r="AF245" s="439"/>
      <c r="AG245" s="439"/>
      <c r="AH245" s="439"/>
      <c r="AI245" s="439"/>
      <c r="AJ245" s="439"/>
      <c r="AK245" s="439"/>
      <c r="AL245" s="439"/>
      <c r="AM245" s="439"/>
      <c r="AN245" s="439"/>
      <c r="AO245" s="439"/>
      <c r="AP245" s="439"/>
      <c r="AQ245" s="439"/>
      <c r="AR245" s="439"/>
      <c r="AS245" s="439"/>
      <c r="AT245" s="439"/>
      <c r="AU245" s="439"/>
      <c r="AV245" s="439"/>
      <c r="AW245" s="439"/>
      <c r="AX245" s="439"/>
      <c r="AY245" s="439"/>
      <c r="AZ245" s="439"/>
      <c r="BA245" s="439"/>
      <c r="BB245" s="439"/>
      <c r="BC245" s="439"/>
      <c r="BD245" s="439"/>
      <c r="BE245" s="439"/>
      <c r="BF245" s="439"/>
      <c r="BG245" s="439"/>
      <c r="BH245" s="439"/>
      <c r="BI245" s="439"/>
      <c r="BJ245" s="439"/>
      <c r="BK245" s="439"/>
      <c r="BL245" s="439"/>
      <c r="BM245" s="439"/>
      <c r="BN245" s="439"/>
      <c r="BO245" s="439"/>
      <c r="BP245" s="439"/>
      <c r="BQ245" s="439"/>
      <c r="BR245" s="439"/>
      <c r="BS245" s="439"/>
      <c r="BT245" s="439"/>
      <c r="BU245" s="439"/>
      <c r="BV245" s="439"/>
    </row>
    <row r="246" spans="2:74" x14ac:dyDescent="0.2">
      <c r="B246" s="91"/>
      <c r="C246" s="389"/>
      <c r="D246" s="389"/>
      <c r="E246" s="438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  <c r="AA246" s="439"/>
      <c r="AB246" s="439"/>
      <c r="AC246" s="439"/>
      <c r="AD246" s="439"/>
      <c r="AE246" s="439"/>
      <c r="AF246" s="439"/>
      <c r="AG246" s="439"/>
      <c r="AH246" s="439"/>
      <c r="AI246" s="439"/>
      <c r="AJ246" s="439"/>
      <c r="AK246" s="439"/>
      <c r="AL246" s="439"/>
      <c r="AM246" s="439"/>
      <c r="AN246" s="439"/>
      <c r="AO246" s="439"/>
      <c r="AP246" s="439"/>
      <c r="AQ246" s="439"/>
      <c r="AR246" s="439"/>
      <c r="AS246" s="439"/>
      <c r="AT246" s="439"/>
      <c r="AU246" s="439"/>
      <c r="AV246" s="439"/>
      <c r="AW246" s="439"/>
      <c r="AX246" s="439"/>
      <c r="AY246" s="439"/>
      <c r="AZ246" s="439"/>
      <c r="BA246" s="439"/>
      <c r="BB246" s="439"/>
      <c r="BC246" s="439"/>
      <c r="BD246" s="439"/>
      <c r="BE246" s="439"/>
      <c r="BF246" s="439"/>
      <c r="BG246" s="439"/>
      <c r="BH246" s="439"/>
      <c r="BI246" s="439"/>
      <c r="BJ246" s="439"/>
      <c r="BK246" s="439"/>
      <c r="BL246" s="439"/>
      <c r="BM246" s="439"/>
      <c r="BN246" s="439"/>
      <c r="BO246" s="439"/>
      <c r="BP246" s="439"/>
      <c r="BQ246" s="439"/>
      <c r="BR246" s="439"/>
      <c r="BS246" s="439"/>
      <c r="BT246" s="439"/>
      <c r="BU246" s="439"/>
      <c r="BV246" s="439"/>
    </row>
    <row r="247" spans="2:74" x14ac:dyDescent="0.2">
      <c r="B247" s="91"/>
      <c r="C247" s="389"/>
      <c r="D247" s="389"/>
      <c r="E247" s="438"/>
      <c r="F247" s="439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  <c r="AA247" s="439"/>
      <c r="AB247" s="439"/>
      <c r="AC247" s="439"/>
      <c r="AD247" s="439"/>
      <c r="AE247" s="439"/>
      <c r="AF247" s="439"/>
      <c r="AG247" s="439"/>
      <c r="AH247" s="439"/>
      <c r="AI247" s="439"/>
      <c r="AJ247" s="439"/>
      <c r="AK247" s="439"/>
      <c r="AL247" s="439"/>
      <c r="AM247" s="439"/>
      <c r="AN247" s="439"/>
      <c r="AO247" s="439"/>
      <c r="AP247" s="439"/>
      <c r="AQ247" s="439"/>
      <c r="AR247" s="439"/>
      <c r="AS247" s="439"/>
      <c r="AT247" s="439"/>
      <c r="AU247" s="439"/>
      <c r="AV247" s="439"/>
      <c r="AW247" s="439"/>
      <c r="AX247" s="439"/>
      <c r="AY247" s="439"/>
      <c r="AZ247" s="439"/>
      <c r="BA247" s="439"/>
      <c r="BB247" s="439"/>
      <c r="BC247" s="439"/>
      <c r="BD247" s="439"/>
      <c r="BE247" s="439"/>
      <c r="BF247" s="439"/>
      <c r="BG247" s="439"/>
      <c r="BH247" s="439"/>
      <c r="BI247" s="439"/>
      <c r="BJ247" s="439"/>
      <c r="BK247" s="439"/>
      <c r="BL247" s="439"/>
      <c r="BM247" s="439"/>
      <c r="BN247" s="439"/>
      <c r="BO247" s="439"/>
      <c r="BP247" s="439"/>
      <c r="BQ247" s="439"/>
      <c r="BR247" s="439"/>
      <c r="BS247" s="439"/>
      <c r="BT247" s="439"/>
      <c r="BU247" s="439"/>
      <c r="BV247" s="439"/>
    </row>
    <row r="248" spans="2:74" x14ac:dyDescent="0.2">
      <c r="B248" s="91"/>
      <c r="C248" s="389"/>
      <c r="D248" s="389"/>
      <c r="E248" s="438"/>
      <c r="F248" s="439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  <c r="AA248" s="439"/>
      <c r="AB248" s="439"/>
      <c r="AC248" s="439"/>
      <c r="AD248" s="439"/>
      <c r="AE248" s="439"/>
      <c r="AF248" s="439"/>
      <c r="AG248" s="439"/>
      <c r="AH248" s="439"/>
      <c r="AI248" s="439"/>
      <c r="AJ248" s="439"/>
      <c r="AK248" s="439"/>
      <c r="AL248" s="439"/>
      <c r="AM248" s="439"/>
      <c r="AN248" s="439"/>
      <c r="AO248" s="439"/>
      <c r="AP248" s="439"/>
      <c r="AQ248" s="439"/>
      <c r="AR248" s="439"/>
      <c r="AS248" s="439"/>
      <c r="AT248" s="439"/>
      <c r="AU248" s="439"/>
      <c r="AV248" s="439"/>
      <c r="AW248" s="439"/>
      <c r="AX248" s="439"/>
      <c r="AY248" s="439"/>
      <c r="AZ248" s="439"/>
      <c r="BA248" s="439"/>
      <c r="BB248" s="439"/>
      <c r="BC248" s="439"/>
      <c r="BD248" s="439"/>
      <c r="BE248" s="439"/>
      <c r="BF248" s="439"/>
      <c r="BG248" s="439"/>
      <c r="BH248" s="439"/>
      <c r="BI248" s="439"/>
      <c r="BJ248" s="439"/>
      <c r="BK248" s="439"/>
      <c r="BL248" s="439"/>
      <c r="BM248" s="439"/>
      <c r="BN248" s="439"/>
      <c r="BO248" s="439"/>
      <c r="BP248" s="439"/>
      <c r="BQ248" s="439"/>
      <c r="BR248" s="439"/>
      <c r="BS248" s="439"/>
      <c r="BT248" s="439"/>
      <c r="BU248" s="439"/>
      <c r="BV248" s="439"/>
    </row>
    <row r="249" spans="2:74" x14ac:dyDescent="0.2">
      <c r="B249" s="91"/>
      <c r="C249" s="389"/>
      <c r="D249" s="389"/>
      <c r="E249" s="438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  <c r="AA249" s="439"/>
      <c r="AB249" s="439"/>
      <c r="AC249" s="439"/>
      <c r="AD249" s="439"/>
      <c r="AE249" s="439"/>
      <c r="AF249" s="439"/>
      <c r="AG249" s="439"/>
      <c r="AH249" s="439"/>
      <c r="AI249" s="439"/>
      <c r="AJ249" s="439"/>
      <c r="AK249" s="439"/>
      <c r="AL249" s="439"/>
      <c r="AM249" s="439"/>
      <c r="AN249" s="439"/>
      <c r="AO249" s="439"/>
      <c r="AP249" s="439"/>
      <c r="AQ249" s="439"/>
      <c r="AR249" s="439"/>
      <c r="AS249" s="439"/>
      <c r="AT249" s="439"/>
      <c r="AU249" s="439"/>
      <c r="AV249" s="439"/>
      <c r="AW249" s="439"/>
      <c r="AX249" s="439"/>
      <c r="AY249" s="439"/>
      <c r="AZ249" s="439"/>
      <c r="BA249" s="439"/>
      <c r="BB249" s="439"/>
      <c r="BC249" s="439"/>
      <c r="BD249" s="439"/>
      <c r="BE249" s="439"/>
      <c r="BF249" s="439"/>
      <c r="BG249" s="439"/>
      <c r="BH249" s="439"/>
      <c r="BI249" s="439"/>
      <c r="BJ249" s="439"/>
      <c r="BK249" s="439"/>
      <c r="BL249" s="439"/>
      <c r="BM249" s="439"/>
      <c r="BN249" s="439"/>
      <c r="BO249" s="439"/>
      <c r="BP249" s="439"/>
      <c r="BQ249" s="439"/>
      <c r="BR249" s="439"/>
      <c r="BS249" s="439"/>
      <c r="BT249" s="439"/>
      <c r="BU249" s="439"/>
      <c r="BV249" s="439"/>
    </row>
    <row r="250" spans="2:74" x14ac:dyDescent="0.2">
      <c r="B250" s="91"/>
      <c r="C250" s="389"/>
      <c r="D250" s="389"/>
      <c r="E250" s="438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  <c r="AA250" s="439"/>
      <c r="AB250" s="439"/>
      <c r="AC250" s="439"/>
      <c r="AD250" s="439"/>
      <c r="AE250" s="439"/>
      <c r="AF250" s="439"/>
      <c r="AG250" s="439"/>
      <c r="AH250" s="439"/>
      <c r="AI250" s="439"/>
      <c r="AJ250" s="439"/>
      <c r="AK250" s="439"/>
      <c r="AL250" s="439"/>
      <c r="AM250" s="439"/>
      <c r="AN250" s="439"/>
      <c r="AO250" s="439"/>
      <c r="AP250" s="439"/>
      <c r="AQ250" s="439"/>
      <c r="AR250" s="439"/>
      <c r="AS250" s="439"/>
      <c r="AT250" s="439"/>
      <c r="AU250" s="439"/>
      <c r="AV250" s="439"/>
      <c r="AW250" s="439"/>
      <c r="AX250" s="439"/>
      <c r="AY250" s="439"/>
      <c r="AZ250" s="439"/>
      <c r="BA250" s="439"/>
      <c r="BB250" s="439"/>
      <c r="BC250" s="439"/>
      <c r="BD250" s="439"/>
      <c r="BE250" s="439"/>
      <c r="BF250" s="439"/>
      <c r="BG250" s="439"/>
      <c r="BH250" s="439"/>
      <c r="BI250" s="439"/>
      <c r="BJ250" s="439"/>
      <c r="BK250" s="439"/>
      <c r="BL250" s="439"/>
      <c r="BM250" s="439"/>
      <c r="BN250" s="439"/>
      <c r="BO250" s="439"/>
      <c r="BP250" s="439"/>
      <c r="BQ250" s="439"/>
      <c r="BR250" s="439"/>
      <c r="BS250" s="439"/>
      <c r="BT250" s="439"/>
      <c r="BU250" s="439"/>
      <c r="BV250" s="439"/>
    </row>
    <row r="251" spans="2:74" x14ac:dyDescent="0.2">
      <c r="B251" s="91"/>
      <c r="C251" s="389"/>
      <c r="D251" s="389"/>
      <c r="E251" s="438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  <c r="AA251" s="439"/>
      <c r="AB251" s="439"/>
      <c r="AC251" s="439"/>
      <c r="AD251" s="439"/>
      <c r="AE251" s="439"/>
      <c r="AF251" s="439"/>
      <c r="AG251" s="439"/>
      <c r="AH251" s="439"/>
      <c r="AI251" s="439"/>
      <c r="AJ251" s="439"/>
      <c r="AK251" s="439"/>
      <c r="AL251" s="439"/>
      <c r="AM251" s="439"/>
      <c r="AN251" s="439"/>
      <c r="AO251" s="439"/>
      <c r="AP251" s="439"/>
      <c r="AQ251" s="439"/>
      <c r="AR251" s="439"/>
      <c r="AS251" s="439"/>
      <c r="AT251" s="439"/>
      <c r="AU251" s="439"/>
      <c r="AV251" s="439"/>
      <c r="AW251" s="439"/>
      <c r="AX251" s="439"/>
      <c r="AY251" s="439"/>
      <c r="AZ251" s="439"/>
      <c r="BA251" s="439"/>
      <c r="BB251" s="439"/>
      <c r="BC251" s="439"/>
      <c r="BD251" s="439"/>
      <c r="BE251" s="439"/>
      <c r="BF251" s="439"/>
      <c r="BG251" s="439"/>
      <c r="BH251" s="439"/>
      <c r="BI251" s="439"/>
      <c r="BJ251" s="439"/>
      <c r="BK251" s="439"/>
      <c r="BL251" s="439"/>
      <c r="BM251" s="439"/>
      <c r="BN251" s="439"/>
      <c r="BO251" s="439"/>
      <c r="BP251" s="439"/>
      <c r="BQ251" s="439"/>
      <c r="BR251" s="439"/>
      <c r="BS251" s="439"/>
      <c r="BT251" s="439"/>
      <c r="BU251" s="439"/>
      <c r="BV251" s="439"/>
    </row>
    <row r="252" spans="2:74" x14ac:dyDescent="0.2">
      <c r="B252" s="91"/>
      <c r="C252" s="389"/>
      <c r="D252" s="389"/>
      <c r="E252" s="438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  <c r="AA252" s="439"/>
      <c r="AB252" s="439"/>
      <c r="AC252" s="439"/>
      <c r="AD252" s="439"/>
      <c r="AE252" s="439"/>
      <c r="AF252" s="439"/>
      <c r="AG252" s="439"/>
      <c r="AH252" s="439"/>
      <c r="AI252" s="439"/>
      <c r="AJ252" s="439"/>
      <c r="AK252" s="439"/>
      <c r="AL252" s="439"/>
      <c r="AM252" s="439"/>
      <c r="AN252" s="439"/>
      <c r="AO252" s="439"/>
      <c r="AP252" s="439"/>
      <c r="AQ252" s="439"/>
      <c r="AR252" s="439"/>
      <c r="AS252" s="439"/>
      <c r="AT252" s="439"/>
      <c r="AU252" s="439"/>
      <c r="AV252" s="439"/>
      <c r="AW252" s="439"/>
      <c r="AX252" s="439"/>
      <c r="AY252" s="439"/>
      <c r="AZ252" s="439"/>
      <c r="BA252" s="439"/>
      <c r="BB252" s="439"/>
      <c r="BC252" s="439"/>
      <c r="BD252" s="439"/>
      <c r="BE252" s="439"/>
      <c r="BF252" s="439"/>
      <c r="BG252" s="439"/>
      <c r="BH252" s="439"/>
      <c r="BI252" s="439"/>
      <c r="BJ252" s="439"/>
      <c r="BK252" s="439"/>
      <c r="BL252" s="439"/>
      <c r="BM252" s="439"/>
      <c r="BN252" s="439"/>
      <c r="BO252" s="439"/>
      <c r="BP252" s="439"/>
      <c r="BQ252" s="439"/>
      <c r="BR252" s="439"/>
      <c r="BS252" s="439"/>
      <c r="BT252" s="439"/>
      <c r="BU252" s="439"/>
      <c r="BV252" s="439"/>
    </row>
    <row r="253" spans="2:74" x14ac:dyDescent="0.2">
      <c r="B253" s="91"/>
      <c r="C253" s="389"/>
      <c r="D253" s="389"/>
      <c r="E253" s="438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  <c r="AA253" s="439"/>
      <c r="AB253" s="439"/>
      <c r="AC253" s="439"/>
      <c r="AD253" s="439"/>
      <c r="AE253" s="439"/>
      <c r="AF253" s="439"/>
      <c r="AG253" s="439"/>
      <c r="AH253" s="439"/>
      <c r="AI253" s="439"/>
      <c r="AJ253" s="439"/>
      <c r="AK253" s="439"/>
      <c r="AL253" s="439"/>
      <c r="AM253" s="439"/>
      <c r="AN253" s="439"/>
      <c r="AO253" s="439"/>
      <c r="AP253" s="439"/>
      <c r="AQ253" s="439"/>
      <c r="AR253" s="439"/>
      <c r="AS253" s="439"/>
      <c r="AT253" s="439"/>
      <c r="AU253" s="439"/>
      <c r="AV253" s="439"/>
      <c r="AW253" s="439"/>
      <c r="AX253" s="439"/>
      <c r="AY253" s="439"/>
      <c r="AZ253" s="439"/>
      <c r="BA253" s="439"/>
      <c r="BB253" s="439"/>
      <c r="BC253" s="439"/>
      <c r="BD253" s="439"/>
      <c r="BE253" s="439"/>
      <c r="BF253" s="439"/>
      <c r="BG253" s="439"/>
      <c r="BH253" s="439"/>
      <c r="BI253" s="439"/>
      <c r="BJ253" s="439"/>
      <c r="BK253" s="439"/>
      <c r="BL253" s="439"/>
      <c r="BM253" s="439"/>
      <c r="BN253" s="439"/>
      <c r="BO253" s="439"/>
      <c r="BP253" s="439"/>
      <c r="BQ253" s="439"/>
      <c r="BR253" s="439"/>
      <c r="BS253" s="439"/>
      <c r="BT253" s="439"/>
      <c r="BU253" s="439"/>
      <c r="BV253" s="439"/>
    </row>
    <row r="254" spans="2:74" x14ac:dyDescent="0.2">
      <c r="B254" s="91"/>
      <c r="C254" s="389"/>
      <c r="D254" s="389"/>
      <c r="E254" s="438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  <c r="AA254" s="439"/>
      <c r="AB254" s="439"/>
      <c r="AC254" s="439"/>
      <c r="AD254" s="439"/>
      <c r="AE254" s="439"/>
      <c r="AF254" s="439"/>
      <c r="AG254" s="439"/>
      <c r="AH254" s="439"/>
      <c r="AI254" s="439"/>
      <c r="AJ254" s="439"/>
      <c r="AK254" s="439"/>
      <c r="AL254" s="439"/>
      <c r="AM254" s="439"/>
      <c r="AN254" s="439"/>
      <c r="AO254" s="439"/>
      <c r="AP254" s="439"/>
      <c r="AQ254" s="439"/>
      <c r="AR254" s="439"/>
      <c r="AS254" s="439"/>
      <c r="AT254" s="439"/>
      <c r="AU254" s="439"/>
      <c r="AV254" s="439"/>
      <c r="AW254" s="439"/>
      <c r="AX254" s="439"/>
      <c r="AY254" s="439"/>
      <c r="AZ254" s="439"/>
      <c r="BA254" s="439"/>
      <c r="BB254" s="439"/>
      <c r="BC254" s="439"/>
      <c r="BD254" s="439"/>
      <c r="BE254" s="439"/>
      <c r="BF254" s="439"/>
      <c r="BG254" s="439"/>
      <c r="BH254" s="439"/>
      <c r="BI254" s="439"/>
      <c r="BJ254" s="439"/>
      <c r="BK254" s="439"/>
      <c r="BL254" s="439"/>
      <c r="BM254" s="439"/>
      <c r="BN254" s="439"/>
      <c r="BO254" s="439"/>
      <c r="BP254" s="439"/>
      <c r="BQ254" s="439"/>
      <c r="BR254" s="439"/>
      <c r="BS254" s="439"/>
      <c r="BT254" s="439"/>
      <c r="BU254" s="439"/>
      <c r="BV254" s="439"/>
    </row>
    <row r="255" spans="2:74" x14ac:dyDescent="0.2">
      <c r="B255" s="91"/>
      <c r="C255" s="91"/>
      <c r="D255" s="91"/>
      <c r="E255" s="438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  <c r="AJ255" s="439"/>
      <c r="AK255" s="439"/>
      <c r="AL255" s="439"/>
      <c r="AM255" s="439"/>
      <c r="AN255" s="439"/>
      <c r="AO255" s="439"/>
      <c r="AP255" s="439"/>
      <c r="AQ255" s="439"/>
      <c r="AR255" s="439"/>
      <c r="AS255" s="439"/>
      <c r="AT255" s="439"/>
      <c r="AU255" s="439"/>
      <c r="AV255" s="439"/>
      <c r="AW255" s="439"/>
      <c r="AX255" s="439"/>
      <c r="AY255" s="439"/>
      <c r="AZ255" s="439"/>
      <c r="BA255" s="439"/>
      <c r="BB255" s="439"/>
      <c r="BC255" s="439"/>
      <c r="BD255" s="439"/>
      <c r="BE255" s="439"/>
      <c r="BF255" s="439"/>
      <c r="BG255" s="439"/>
      <c r="BH255" s="439"/>
      <c r="BI255" s="439"/>
      <c r="BJ255" s="439"/>
      <c r="BK255" s="439"/>
      <c r="BL255" s="439"/>
      <c r="BM255" s="439"/>
      <c r="BN255" s="439"/>
      <c r="BO255" s="439"/>
      <c r="BP255" s="439"/>
      <c r="BQ255" s="439"/>
      <c r="BR255" s="439"/>
      <c r="BS255" s="439"/>
      <c r="BT255" s="439"/>
      <c r="BU255" s="439"/>
      <c r="BV255" s="439"/>
    </row>
    <row r="256" spans="2:74" x14ac:dyDescent="0.2">
      <c r="B256" s="91"/>
      <c r="C256" s="389"/>
      <c r="D256" s="389"/>
      <c r="E256" s="438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  <c r="AA256" s="439"/>
      <c r="AB256" s="439"/>
      <c r="AC256" s="439"/>
      <c r="AD256" s="439"/>
      <c r="AE256" s="439"/>
      <c r="AF256" s="439"/>
      <c r="AG256" s="439"/>
      <c r="AH256" s="439"/>
      <c r="AI256" s="439"/>
      <c r="AJ256" s="439"/>
      <c r="AK256" s="439"/>
      <c r="AL256" s="439"/>
      <c r="AM256" s="439"/>
      <c r="AN256" s="439"/>
      <c r="AO256" s="439"/>
      <c r="AP256" s="439"/>
      <c r="AQ256" s="439"/>
      <c r="AR256" s="439"/>
      <c r="AS256" s="439"/>
      <c r="AT256" s="439"/>
      <c r="AU256" s="439"/>
      <c r="AV256" s="439"/>
      <c r="AW256" s="439"/>
      <c r="AX256" s="439"/>
      <c r="AY256" s="439"/>
      <c r="AZ256" s="439"/>
      <c r="BA256" s="439"/>
      <c r="BB256" s="439"/>
      <c r="BC256" s="439"/>
      <c r="BD256" s="439"/>
      <c r="BE256" s="439"/>
      <c r="BF256" s="439"/>
      <c r="BG256" s="439"/>
      <c r="BH256" s="439"/>
      <c r="BI256" s="439"/>
      <c r="BJ256" s="439"/>
      <c r="BK256" s="439"/>
      <c r="BL256" s="439"/>
      <c r="BM256" s="439"/>
      <c r="BN256" s="439"/>
      <c r="BO256" s="439"/>
      <c r="BP256" s="439"/>
      <c r="BQ256" s="439"/>
      <c r="BR256" s="439"/>
      <c r="BS256" s="439"/>
      <c r="BT256" s="439"/>
      <c r="BU256" s="439"/>
      <c r="BV256" s="439"/>
    </row>
    <row r="257" spans="2:74" x14ac:dyDescent="0.2">
      <c r="B257" s="441"/>
      <c r="C257" s="389"/>
      <c r="D257" s="389"/>
      <c r="E257" s="438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  <c r="AA257" s="439"/>
      <c r="AB257" s="439"/>
      <c r="AC257" s="439"/>
      <c r="AD257" s="439"/>
      <c r="AE257" s="439"/>
      <c r="AF257" s="439"/>
      <c r="AG257" s="439"/>
      <c r="AH257" s="439"/>
      <c r="AI257" s="439"/>
      <c r="AJ257" s="439"/>
      <c r="AK257" s="439"/>
      <c r="AL257" s="439"/>
      <c r="AM257" s="439"/>
      <c r="AN257" s="439"/>
      <c r="AO257" s="439"/>
      <c r="AP257" s="439"/>
      <c r="AQ257" s="439"/>
      <c r="AR257" s="439"/>
      <c r="AS257" s="439"/>
      <c r="AT257" s="439"/>
      <c r="AU257" s="439"/>
      <c r="AV257" s="439"/>
      <c r="AW257" s="439"/>
      <c r="AX257" s="439"/>
      <c r="AY257" s="439"/>
      <c r="AZ257" s="439"/>
      <c r="BA257" s="439"/>
      <c r="BB257" s="439"/>
      <c r="BC257" s="439"/>
      <c r="BD257" s="439"/>
      <c r="BE257" s="439"/>
      <c r="BF257" s="439"/>
      <c r="BG257" s="439"/>
      <c r="BH257" s="439"/>
      <c r="BI257" s="439"/>
      <c r="BJ257" s="439"/>
      <c r="BK257" s="439"/>
      <c r="BL257" s="439"/>
      <c r="BM257" s="439"/>
      <c r="BN257" s="439"/>
      <c r="BO257" s="439"/>
      <c r="BP257" s="439"/>
      <c r="BQ257" s="439"/>
      <c r="BR257" s="439"/>
      <c r="BS257" s="439"/>
      <c r="BT257" s="439"/>
      <c r="BU257" s="439"/>
      <c r="BV257" s="439"/>
    </row>
    <row r="258" spans="2:74" x14ac:dyDescent="0.2">
      <c r="B258" s="91"/>
      <c r="C258" s="389"/>
      <c r="D258" s="389"/>
      <c r="E258" s="438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  <c r="AA258" s="439"/>
      <c r="AB258" s="439"/>
      <c r="AC258" s="439"/>
      <c r="AD258" s="439"/>
      <c r="AE258" s="439"/>
      <c r="AF258" s="439"/>
      <c r="AG258" s="439"/>
      <c r="AH258" s="439"/>
      <c r="AI258" s="439"/>
      <c r="AJ258" s="439"/>
      <c r="AK258" s="439"/>
      <c r="AL258" s="439"/>
      <c r="AM258" s="439"/>
      <c r="AN258" s="439"/>
      <c r="AO258" s="439"/>
      <c r="AP258" s="439"/>
      <c r="AQ258" s="439"/>
      <c r="AR258" s="439"/>
      <c r="AS258" s="439"/>
      <c r="AT258" s="439"/>
      <c r="AU258" s="439"/>
      <c r="AV258" s="439"/>
      <c r="AW258" s="439"/>
      <c r="AX258" s="439"/>
      <c r="AY258" s="439"/>
      <c r="AZ258" s="439"/>
      <c r="BA258" s="439"/>
      <c r="BB258" s="439"/>
      <c r="BC258" s="439"/>
      <c r="BD258" s="439"/>
      <c r="BE258" s="439"/>
      <c r="BF258" s="439"/>
      <c r="BG258" s="439"/>
      <c r="BH258" s="439"/>
      <c r="BI258" s="439"/>
      <c r="BJ258" s="439"/>
      <c r="BK258" s="439"/>
      <c r="BL258" s="439"/>
      <c r="BM258" s="439"/>
      <c r="BN258" s="439"/>
      <c r="BO258" s="439"/>
      <c r="BP258" s="439"/>
      <c r="BQ258" s="439"/>
      <c r="BR258" s="439"/>
      <c r="BS258" s="439"/>
      <c r="BT258" s="439"/>
      <c r="BU258" s="439"/>
      <c r="BV258" s="439"/>
    </row>
    <row r="259" spans="2:74" x14ac:dyDescent="0.2">
      <c r="B259" s="91"/>
      <c r="C259" s="389"/>
      <c r="D259" s="389"/>
      <c r="E259" s="438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  <c r="AA259" s="439"/>
      <c r="AB259" s="439"/>
      <c r="AC259" s="439"/>
      <c r="AD259" s="439"/>
      <c r="AE259" s="439"/>
      <c r="AF259" s="439"/>
      <c r="AG259" s="439"/>
      <c r="AH259" s="439"/>
      <c r="AI259" s="439"/>
      <c r="AJ259" s="439"/>
      <c r="AK259" s="439"/>
      <c r="AL259" s="439"/>
      <c r="AM259" s="439"/>
      <c r="AN259" s="439"/>
      <c r="AO259" s="439"/>
      <c r="AP259" s="439"/>
      <c r="AQ259" s="439"/>
      <c r="AR259" s="439"/>
      <c r="AS259" s="439"/>
      <c r="AT259" s="439"/>
      <c r="AU259" s="439"/>
      <c r="AV259" s="439"/>
      <c r="AW259" s="439"/>
      <c r="AX259" s="439"/>
      <c r="AY259" s="439"/>
      <c r="AZ259" s="439"/>
      <c r="BA259" s="439"/>
      <c r="BB259" s="439"/>
      <c r="BC259" s="439"/>
      <c r="BD259" s="439"/>
      <c r="BE259" s="439"/>
      <c r="BF259" s="439"/>
      <c r="BG259" s="439"/>
      <c r="BH259" s="439"/>
      <c r="BI259" s="439"/>
      <c r="BJ259" s="439"/>
      <c r="BK259" s="439"/>
      <c r="BL259" s="439"/>
      <c r="BM259" s="439"/>
      <c r="BN259" s="439"/>
      <c r="BO259" s="439"/>
      <c r="BP259" s="439"/>
      <c r="BQ259" s="439"/>
      <c r="BR259" s="439"/>
      <c r="BS259" s="439"/>
      <c r="BT259" s="439"/>
      <c r="BU259" s="439"/>
      <c r="BV259" s="439"/>
    </row>
    <row r="260" spans="2:74" x14ac:dyDescent="0.2">
      <c r="B260" s="91"/>
      <c r="C260" s="389"/>
      <c r="D260" s="389"/>
      <c r="E260" s="438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  <c r="AA260" s="439"/>
      <c r="AB260" s="439"/>
      <c r="AC260" s="439"/>
      <c r="AD260" s="439"/>
      <c r="AE260" s="439"/>
      <c r="AF260" s="439"/>
      <c r="AG260" s="439"/>
      <c r="AH260" s="439"/>
      <c r="AI260" s="439"/>
      <c r="AJ260" s="439"/>
      <c r="AK260" s="439"/>
      <c r="AL260" s="439"/>
      <c r="AM260" s="439"/>
      <c r="AN260" s="439"/>
      <c r="AO260" s="439"/>
      <c r="AP260" s="439"/>
      <c r="AQ260" s="439"/>
      <c r="AR260" s="439"/>
      <c r="AS260" s="439"/>
      <c r="AT260" s="439"/>
      <c r="AU260" s="439"/>
      <c r="AV260" s="439"/>
      <c r="AW260" s="439"/>
      <c r="AX260" s="439"/>
      <c r="AY260" s="439"/>
      <c r="AZ260" s="439"/>
      <c r="BA260" s="439"/>
      <c r="BB260" s="439"/>
      <c r="BC260" s="439"/>
      <c r="BD260" s="439"/>
      <c r="BE260" s="439"/>
      <c r="BF260" s="439"/>
      <c r="BG260" s="439"/>
      <c r="BH260" s="439"/>
      <c r="BI260" s="439"/>
      <c r="BJ260" s="439"/>
      <c r="BK260" s="439"/>
      <c r="BL260" s="439"/>
      <c r="BM260" s="439"/>
      <c r="BN260" s="439"/>
      <c r="BO260" s="439"/>
      <c r="BP260" s="439"/>
      <c r="BQ260" s="439"/>
      <c r="BR260" s="439"/>
      <c r="BS260" s="439"/>
      <c r="BT260" s="439"/>
      <c r="BU260" s="439"/>
      <c r="BV260" s="439"/>
    </row>
    <row r="261" spans="2:74" x14ac:dyDescent="0.2">
      <c r="B261" s="91"/>
      <c r="C261" s="389"/>
      <c r="D261" s="389"/>
      <c r="E261" s="438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  <c r="AA261" s="439"/>
      <c r="AB261" s="439"/>
      <c r="AC261" s="439"/>
      <c r="AD261" s="439"/>
      <c r="AE261" s="439"/>
      <c r="AF261" s="439"/>
      <c r="AG261" s="439"/>
      <c r="AH261" s="439"/>
      <c r="AI261" s="439"/>
      <c r="AJ261" s="439"/>
      <c r="AK261" s="439"/>
      <c r="AL261" s="439"/>
      <c r="AM261" s="439"/>
      <c r="AN261" s="439"/>
      <c r="AO261" s="439"/>
      <c r="AP261" s="439"/>
      <c r="AQ261" s="439"/>
      <c r="AR261" s="439"/>
      <c r="AS261" s="439"/>
      <c r="AT261" s="439"/>
      <c r="AU261" s="439"/>
      <c r="AV261" s="439"/>
      <c r="AW261" s="439"/>
      <c r="AX261" s="439"/>
      <c r="AY261" s="439"/>
      <c r="AZ261" s="439"/>
      <c r="BA261" s="439"/>
      <c r="BB261" s="439"/>
      <c r="BC261" s="439"/>
      <c r="BD261" s="439"/>
      <c r="BE261" s="439"/>
      <c r="BF261" s="439"/>
      <c r="BG261" s="439"/>
      <c r="BH261" s="439"/>
      <c r="BI261" s="439"/>
      <c r="BJ261" s="439"/>
      <c r="BK261" s="439"/>
      <c r="BL261" s="439"/>
      <c r="BM261" s="439"/>
      <c r="BN261" s="439"/>
      <c r="BO261" s="439"/>
      <c r="BP261" s="439"/>
      <c r="BQ261" s="439"/>
      <c r="BR261" s="439"/>
      <c r="BS261" s="439"/>
      <c r="BT261" s="439"/>
      <c r="BU261" s="439"/>
      <c r="BV261" s="439"/>
    </row>
    <row r="262" spans="2:74" x14ac:dyDescent="0.2">
      <c r="B262" s="91"/>
      <c r="C262" s="389"/>
      <c r="D262" s="389"/>
      <c r="E262" s="438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  <c r="AA262" s="439"/>
      <c r="AB262" s="439"/>
      <c r="AC262" s="439"/>
      <c r="AD262" s="439"/>
      <c r="AE262" s="439"/>
      <c r="AF262" s="439"/>
      <c r="AG262" s="439"/>
      <c r="AH262" s="439"/>
      <c r="AI262" s="439"/>
      <c r="AJ262" s="439"/>
      <c r="AK262" s="439"/>
      <c r="AL262" s="439"/>
      <c r="AM262" s="439"/>
      <c r="AN262" s="439"/>
      <c r="AO262" s="439"/>
      <c r="AP262" s="439"/>
      <c r="AQ262" s="439"/>
      <c r="AR262" s="439"/>
      <c r="AS262" s="439"/>
      <c r="AT262" s="439"/>
      <c r="AU262" s="439"/>
      <c r="AV262" s="439"/>
      <c r="AW262" s="439"/>
      <c r="AX262" s="439"/>
      <c r="AY262" s="439"/>
      <c r="AZ262" s="439"/>
      <c r="BA262" s="439"/>
      <c r="BB262" s="439"/>
      <c r="BC262" s="439"/>
      <c r="BD262" s="439"/>
      <c r="BE262" s="439"/>
      <c r="BF262" s="439"/>
      <c r="BG262" s="439"/>
      <c r="BH262" s="439"/>
      <c r="BI262" s="439"/>
      <c r="BJ262" s="439"/>
      <c r="BK262" s="439"/>
      <c r="BL262" s="439"/>
      <c r="BM262" s="439"/>
      <c r="BN262" s="439"/>
      <c r="BO262" s="439"/>
      <c r="BP262" s="439"/>
      <c r="BQ262" s="439"/>
      <c r="BR262" s="439"/>
      <c r="BS262" s="439"/>
      <c r="BT262" s="439"/>
      <c r="BU262" s="439"/>
      <c r="BV262" s="439"/>
    </row>
    <row r="263" spans="2:74" x14ac:dyDescent="0.2">
      <c r="B263" s="91"/>
      <c r="C263" s="389"/>
      <c r="D263" s="389"/>
      <c r="E263" s="438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  <c r="AA263" s="439"/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39"/>
      <c r="AY263" s="439"/>
      <c r="AZ263" s="439"/>
      <c r="BA263" s="439"/>
      <c r="BB263" s="439"/>
      <c r="BC263" s="439"/>
      <c r="BD263" s="439"/>
      <c r="BE263" s="439"/>
      <c r="BF263" s="439"/>
      <c r="BG263" s="439"/>
      <c r="BH263" s="439"/>
      <c r="BI263" s="439"/>
      <c r="BJ263" s="439"/>
      <c r="BK263" s="439"/>
      <c r="BL263" s="439"/>
      <c r="BM263" s="439"/>
      <c r="BN263" s="439"/>
      <c r="BO263" s="439"/>
      <c r="BP263" s="439"/>
      <c r="BQ263" s="439"/>
      <c r="BR263" s="439"/>
      <c r="BS263" s="439"/>
      <c r="BT263" s="439"/>
      <c r="BU263" s="439"/>
      <c r="BV263" s="439"/>
    </row>
    <row r="264" spans="2:74" x14ac:dyDescent="0.2">
      <c r="B264" s="91"/>
      <c r="C264" s="389"/>
      <c r="D264" s="389"/>
      <c r="E264" s="438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  <c r="AA264" s="439"/>
      <c r="AB264" s="439"/>
      <c r="AC264" s="439"/>
      <c r="AD264" s="439"/>
      <c r="AE264" s="439"/>
      <c r="AF264" s="439"/>
      <c r="AG264" s="439"/>
      <c r="AH264" s="439"/>
      <c r="AI264" s="439"/>
      <c r="AJ264" s="439"/>
      <c r="AK264" s="439"/>
      <c r="AL264" s="439"/>
      <c r="AM264" s="439"/>
      <c r="AN264" s="439"/>
      <c r="AO264" s="439"/>
      <c r="AP264" s="439"/>
      <c r="AQ264" s="439"/>
      <c r="AR264" s="439"/>
      <c r="AS264" s="439"/>
      <c r="AT264" s="439"/>
      <c r="AU264" s="439"/>
      <c r="AV264" s="439"/>
      <c r="AW264" s="439"/>
      <c r="AX264" s="439"/>
      <c r="AY264" s="439"/>
      <c r="AZ264" s="439"/>
      <c r="BA264" s="439"/>
      <c r="BB264" s="439"/>
      <c r="BC264" s="439"/>
      <c r="BD264" s="439"/>
      <c r="BE264" s="439"/>
      <c r="BF264" s="439"/>
      <c r="BG264" s="439"/>
      <c r="BH264" s="439"/>
      <c r="BI264" s="439"/>
      <c r="BJ264" s="439"/>
      <c r="BK264" s="439"/>
      <c r="BL264" s="439"/>
      <c r="BM264" s="439"/>
      <c r="BN264" s="439"/>
      <c r="BO264" s="439"/>
      <c r="BP264" s="439"/>
      <c r="BQ264" s="439"/>
      <c r="BR264" s="439"/>
      <c r="BS264" s="439"/>
      <c r="BT264" s="439"/>
      <c r="BU264" s="439"/>
      <c r="BV264" s="439"/>
    </row>
    <row r="265" spans="2:74" x14ac:dyDescent="0.2">
      <c r="B265" s="91"/>
      <c r="C265" s="389"/>
      <c r="D265" s="389"/>
      <c r="E265" s="438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  <c r="AA265" s="439"/>
      <c r="AB265" s="439"/>
      <c r="AC265" s="439"/>
      <c r="AD265" s="439"/>
      <c r="AE265" s="439"/>
      <c r="AF265" s="439"/>
      <c r="AG265" s="439"/>
      <c r="AH265" s="439"/>
      <c r="AI265" s="439"/>
      <c r="AJ265" s="439"/>
      <c r="AK265" s="439"/>
      <c r="AL265" s="439"/>
      <c r="AM265" s="439"/>
      <c r="AN265" s="439"/>
      <c r="AO265" s="439"/>
      <c r="AP265" s="439"/>
      <c r="AQ265" s="439"/>
      <c r="AR265" s="439"/>
      <c r="AS265" s="439"/>
      <c r="AT265" s="439"/>
      <c r="AU265" s="439"/>
      <c r="AV265" s="439"/>
      <c r="AW265" s="439"/>
      <c r="AX265" s="439"/>
      <c r="AY265" s="439"/>
      <c r="AZ265" s="439"/>
      <c r="BA265" s="439"/>
      <c r="BB265" s="439"/>
      <c r="BC265" s="439"/>
      <c r="BD265" s="439"/>
      <c r="BE265" s="439"/>
      <c r="BF265" s="439"/>
      <c r="BG265" s="439"/>
      <c r="BH265" s="439"/>
      <c r="BI265" s="439"/>
      <c r="BJ265" s="439"/>
      <c r="BK265" s="439"/>
      <c r="BL265" s="439"/>
      <c r="BM265" s="439"/>
      <c r="BN265" s="439"/>
      <c r="BO265" s="439"/>
      <c r="BP265" s="439"/>
      <c r="BQ265" s="439"/>
      <c r="BR265" s="439"/>
      <c r="BS265" s="439"/>
      <c r="BT265" s="439"/>
      <c r="BU265" s="439"/>
      <c r="BV265" s="439"/>
    </row>
    <row r="266" spans="2:74" x14ac:dyDescent="0.2">
      <c r="B266" s="91"/>
      <c r="C266" s="389"/>
      <c r="D266" s="389"/>
      <c r="E266" s="438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  <c r="AJ266" s="439"/>
      <c r="AK266" s="439"/>
      <c r="AL266" s="439"/>
      <c r="AM266" s="439"/>
      <c r="AN266" s="439"/>
      <c r="AO266" s="439"/>
      <c r="AP266" s="439"/>
      <c r="AQ266" s="439"/>
      <c r="AR266" s="439"/>
      <c r="AS266" s="439"/>
      <c r="AT266" s="439"/>
      <c r="AU266" s="439"/>
      <c r="AV266" s="439"/>
      <c r="AW266" s="439"/>
      <c r="AX266" s="439"/>
      <c r="AY266" s="439"/>
      <c r="AZ266" s="439"/>
      <c r="BA266" s="439"/>
      <c r="BB266" s="439"/>
      <c r="BC266" s="439"/>
      <c r="BD266" s="439"/>
      <c r="BE266" s="439"/>
      <c r="BF266" s="439"/>
      <c r="BG266" s="439"/>
      <c r="BH266" s="439"/>
      <c r="BI266" s="439"/>
      <c r="BJ266" s="439"/>
      <c r="BK266" s="439"/>
      <c r="BL266" s="439"/>
      <c r="BM266" s="439"/>
      <c r="BN266" s="439"/>
      <c r="BO266" s="439"/>
      <c r="BP266" s="439"/>
      <c r="BQ266" s="439"/>
      <c r="BR266" s="439"/>
      <c r="BS266" s="439"/>
      <c r="BT266" s="439"/>
      <c r="BU266" s="439"/>
      <c r="BV266" s="439"/>
    </row>
    <row r="267" spans="2:74" x14ac:dyDescent="0.2">
      <c r="B267" s="91"/>
      <c r="C267" s="91"/>
      <c r="D267" s="91"/>
      <c r="E267" s="438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  <c r="AA267" s="439"/>
      <c r="AB267" s="439"/>
      <c r="AC267" s="439"/>
      <c r="AD267" s="439"/>
      <c r="AE267" s="439"/>
      <c r="AF267" s="439"/>
      <c r="AG267" s="439"/>
      <c r="AH267" s="439"/>
      <c r="AI267" s="439"/>
      <c r="AJ267" s="439"/>
      <c r="AK267" s="439"/>
      <c r="AL267" s="439"/>
      <c r="AM267" s="439"/>
      <c r="AN267" s="439"/>
      <c r="AO267" s="439"/>
      <c r="AP267" s="439"/>
      <c r="AQ267" s="439"/>
      <c r="AR267" s="439"/>
      <c r="AS267" s="439"/>
      <c r="AT267" s="439"/>
      <c r="AU267" s="439"/>
      <c r="AV267" s="439"/>
      <c r="AW267" s="439"/>
      <c r="AX267" s="439"/>
      <c r="AY267" s="439"/>
      <c r="AZ267" s="439"/>
      <c r="BA267" s="439"/>
      <c r="BB267" s="439"/>
      <c r="BC267" s="439"/>
      <c r="BD267" s="439"/>
      <c r="BE267" s="439"/>
      <c r="BF267" s="439"/>
      <c r="BG267" s="439"/>
      <c r="BH267" s="439"/>
      <c r="BI267" s="439"/>
      <c r="BJ267" s="439"/>
      <c r="BK267" s="439"/>
      <c r="BL267" s="439"/>
      <c r="BM267" s="439"/>
      <c r="BN267" s="439"/>
      <c r="BO267" s="439"/>
      <c r="BP267" s="439"/>
      <c r="BQ267" s="439"/>
      <c r="BR267" s="439"/>
      <c r="BS267" s="439"/>
      <c r="BT267" s="439"/>
      <c r="BU267" s="439"/>
      <c r="BV267" s="439"/>
    </row>
    <row r="268" spans="2:74" x14ac:dyDescent="0.2">
      <c r="B268" s="91"/>
      <c r="C268" s="389"/>
      <c r="D268" s="389"/>
      <c r="E268" s="438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  <c r="AA268" s="439"/>
      <c r="AB268" s="439"/>
      <c r="AC268" s="439"/>
      <c r="AD268" s="439"/>
      <c r="AE268" s="439"/>
      <c r="AF268" s="439"/>
      <c r="AG268" s="439"/>
      <c r="AH268" s="439"/>
      <c r="AI268" s="439"/>
      <c r="AJ268" s="439"/>
      <c r="AK268" s="439"/>
      <c r="AL268" s="439"/>
      <c r="AM268" s="439"/>
      <c r="AN268" s="439"/>
      <c r="AO268" s="439"/>
      <c r="AP268" s="439"/>
      <c r="AQ268" s="439"/>
      <c r="AR268" s="439"/>
      <c r="AS268" s="439"/>
      <c r="AT268" s="439"/>
      <c r="AU268" s="439"/>
      <c r="AV268" s="439"/>
      <c r="AW268" s="439"/>
      <c r="AX268" s="439"/>
      <c r="AY268" s="439"/>
      <c r="AZ268" s="439"/>
      <c r="BA268" s="439"/>
      <c r="BB268" s="439"/>
      <c r="BC268" s="439"/>
      <c r="BD268" s="439"/>
      <c r="BE268" s="439"/>
      <c r="BF268" s="439"/>
      <c r="BG268" s="439"/>
      <c r="BH268" s="439"/>
      <c r="BI268" s="439"/>
      <c r="BJ268" s="439"/>
      <c r="BK268" s="439"/>
      <c r="BL268" s="439"/>
      <c r="BM268" s="439"/>
      <c r="BN268" s="439"/>
      <c r="BO268" s="439"/>
      <c r="BP268" s="439"/>
      <c r="BQ268" s="439"/>
      <c r="BR268" s="439"/>
      <c r="BS268" s="439"/>
      <c r="BT268" s="439"/>
      <c r="BU268" s="439"/>
      <c r="BV268" s="439"/>
    </row>
    <row r="269" spans="2:74" x14ac:dyDescent="0.2">
      <c r="B269" s="91"/>
      <c r="C269" s="389"/>
      <c r="D269" s="389"/>
      <c r="E269" s="438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  <c r="AJ269" s="439"/>
      <c r="AK269" s="439"/>
      <c r="AL269" s="439"/>
      <c r="AM269" s="439"/>
      <c r="AN269" s="439"/>
      <c r="AO269" s="439"/>
      <c r="AP269" s="439"/>
      <c r="AQ269" s="439"/>
      <c r="AR269" s="439"/>
      <c r="AS269" s="439"/>
      <c r="AT269" s="439"/>
      <c r="AU269" s="439"/>
      <c r="AV269" s="439"/>
      <c r="AW269" s="439"/>
      <c r="AX269" s="439"/>
      <c r="AY269" s="439"/>
      <c r="AZ269" s="439"/>
      <c r="BA269" s="439"/>
      <c r="BB269" s="439"/>
      <c r="BC269" s="439"/>
      <c r="BD269" s="439"/>
      <c r="BE269" s="439"/>
      <c r="BF269" s="439"/>
      <c r="BG269" s="439"/>
      <c r="BH269" s="439"/>
      <c r="BI269" s="439"/>
      <c r="BJ269" s="439"/>
      <c r="BK269" s="439"/>
      <c r="BL269" s="439"/>
      <c r="BM269" s="439"/>
      <c r="BN269" s="439"/>
      <c r="BO269" s="439"/>
      <c r="BP269" s="439"/>
      <c r="BQ269" s="439"/>
      <c r="BR269" s="439"/>
      <c r="BS269" s="439"/>
      <c r="BT269" s="439"/>
      <c r="BU269" s="439"/>
      <c r="BV269" s="439"/>
    </row>
    <row r="270" spans="2:74" x14ac:dyDescent="0.2">
      <c r="B270" s="91"/>
      <c r="C270" s="389"/>
      <c r="D270" s="389"/>
      <c r="E270" s="438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  <c r="AJ270" s="439"/>
      <c r="AK270" s="439"/>
      <c r="AL270" s="439"/>
      <c r="AM270" s="439"/>
      <c r="AN270" s="439"/>
      <c r="AO270" s="439"/>
      <c r="AP270" s="439"/>
      <c r="AQ270" s="439"/>
      <c r="AR270" s="439"/>
      <c r="AS270" s="439"/>
      <c r="AT270" s="439"/>
      <c r="AU270" s="439"/>
      <c r="AV270" s="439"/>
      <c r="AW270" s="439"/>
      <c r="AX270" s="439"/>
      <c r="AY270" s="439"/>
      <c r="AZ270" s="439"/>
      <c r="BA270" s="439"/>
      <c r="BB270" s="439"/>
      <c r="BC270" s="439"/>
      <c r="BD270" s="439"/>
      <c r="BE270" s="439"/>
      <c r="BF270" s="439"/>
      <c r="BG270" s="439"/>
      <c r="BH270" s="439"/>
      <c r="BI270" s="439"/>
      <c r="BJ270" s="439"/>
      <c r="BK270" s="439"/>
      <c r="BL270" s="439"/>
      <c r="BM270" s="439"/>
      <c r="BN270" s="439"/>
      <c r="BO270" s="439"/>
      <c r="BP270" s="439"/>
      <c r="BQ270" s="439"/>
      <c r="BR270" s="439"/>
      <c r="BS270" s="439"/>
      <c r="BT270" s="439"/>
      <c r="BU270" s="439"/>
      <c r="BV270" s="439"/>
    </row>
    <row r="271" spans="2:74" x14ac:dyDescent="0.2">
      <c r="B271" s="91"/>
      <c r="C271" s="389"/>
      <c r="D271" s="389"/>
      <c r="E271" s="438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  <c r="AA271" s="439"/>
      <c r="AB271" s="439"/>
      <c r="AC271" s="439"/>
      <c r="AD271" s="439"/>
      <c r="AE271" s="439"/>
      <c r="AF271" s="439"/>
      <c r="AG271" s="439"/>
      <c r="AH271" s="439"/>
      <c r="AI271" s="439"/>
      <c r="AJ271" s="439"/>
      <c r="AK271" s="439"/>
      <c r="AL271" s="439"/>
      <c r="AM271" s="439"/>
      <c r="AN271" s="439"/>
      <c r="AO271" s="439"/>
      <c r="AP271" s="439"/>
      <c r="AQ271" s="439"/>
      <c r="AR271" s="439"/>
      <c r="AS271" s="439"/>
      <c r="AT271" s="439"/>
      <c r="AU271" s="439"/>
      <c r="AV271" s="439"/>
      <c r="AW271" s="439"/>
      <c r="AX271" s="439"/>
      <c r="AY271" s="439"/>
      <c r="AZ271" s="439"/>
      <c r="BA271" s="439"/>
      <c r="BB271" s="439"/>
      <c r="BC271" s="439"/>
      <c r="BD271" s="439"/>
      <c r="BE271" s="439"/>
      <c r="BF271" s="439"/>
      <c r="BG271" s="439"/>
      <c r="BH271" s="439"/>
      <c r="BI271" s="439"/>
      <c r="BJ271" s="439"/>
      <c r="BK271" s="439"/>
      <c r="BL271" s="439"/>
      <c r="BM271" s="439"/>
      <c r="BN271" s="439"/>
      <c r="BO271" s="439"/>
      <c r="BP271" s="439"/>
      <c r="BQ271" s="439"/>
      <c r="BR271" s="439"/>
      <c r="BS271" s="439"/>
      <c r="BT271" s="439"/>
      <c r="BU271" s="439"/>
      <c r="BV271" s="439"/>
    </row>
    <row r="272" spans="2:74" x14ac:dyDescent="0.2">
      <c r="B272" s="91"/>
      <c r="C272" s="389"/>
      <c r="D272" s="389"/>
      <c r="E272" s="438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  <c r="AA272" s="439"/>
      <c r="AB272" s="439"/>
      <c r="AC272" s="439"/>
      <c r="AD272" s="439"/>
      <c r="AE272" s="439"/>
      <c r="AF272" s="439"/>
      <c r="AG272" s="439"/>
      <c r="AH272" s="439"/>
      <c r="AI272" s="439"/>
      <c r="AJ272" s="439"/>
      <c r="AK272" s="439"/>
      <c r="AL272" s="439"/>
      <c r="AM272" s="439"/>
      <c r="AN272" s="439"/>
      <c r="AO272" s="439"/>
      <c r="AP272" s="439"/>
      <c r="AQ272" s="439"/>
      <c r="AR272" s="439"/>
      <c r="AS272" s="439"/>
      <c r="AT272" s="439"/>
      <c r="AU272" s="439"/>
      <c r="AV272" s="439"/>
      <c r="AW272" s="439"/>
      <c r="AX272" s="439"/>
      <c r="AY272" s="439"/>
      <c r="AZ272" s="439"/>
      <c r="BA272" s="439"/>
      <c r="BB272" s="439"/>
      <c r="BC272" s="439"/>
      <c r="BD272" s="439"/>
      <c r="BE272" s="439"/>
      <c r="BF272" s="439"/>
      <c r="BG272" s="439"/>
      <c r="BH272" s="439"/>
      <c r="BI272" s="439"/>
      <c r="BJ272" s="439"/>
      <c r="BK272" s="439"/>
      <c r="BL272" s="439"/>
      <c r="BM272" s="439"/>
      <c r="BN272" s="439"/>
      <c r="BO272" s="439"/>
      <c r="BP272" s="439"/>
      <c r="BQ272" s="439"/>
      <c r="BR272" s="439"/>
      <c r="BS272" s="439"/>
      <c r="BT272" s="439"/>
      <c r="BU272" s="439"/>
      <c r="BV272" s="439"/>
    </row>
    <row r="273" spans="2:74" x14ac:dyDescent="0.2">
      <c r="B273" s="91"/>
      <c r="C273" s="389"/>
      <c r="D273" s="389"/>
      <c r="E273" s="438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  <c r="AA273" s="439"/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39"/>
      <c r="AY273" s="439"/>
      <c r="AZ273" s="439"/>
      <c r="BA273" s="439"/>
      <c r="BB273" s="439"/>
      <c r="BC273" s="439"/>
      <c r="BD273" s="439"/>
      <c r="BE273" s="439"/>
      <c r="BF273" s="439"/>
      <c r="BG273" s="439"/>
      <c r="BH273" s="439"/>
      <c r="BI273" s="439"/>
      <c r="BJ273" s="439"/>
      <c r="BK273" s="439"/>
      <c r="BL273" s="439"/>
      <c r="BM273" s="439"/>
      <c r="BN273" s="439"/>
      <c r="BO273" s="439"/>
      <c r="BP273" s="439"/>
      <c r="BQ273" s="439"/>
      <c r="BR273" s="439"/>
      <c r="BS273" s="439"/>
      <c r="BT273" s="439"/>
      <c r="BU273" s="439"/>
      <c r="BV273" s="439"/>
    </row>
    <row r="274" spans="2:74" x14ac:dyDescent="0.2">
      <c r="B274" s="91"/>
      <c r="C274" s="389"/>
      <c r="D274" s="389"/>
      <c r="E274" s="438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  <c r="AA274" s="439"/>
      <c r="AB274" s="439"/>
      <c r="AC274" s="439"/>
      <c r="AD274" s="439"/>
      <c r="AE274" s="439"/>
      <c r="AF274" s="439"/>
      <c r="AG274" s="439"/>
      <c r="AH274" s="439"/>
      <c r="AI274" s="439"/>
      <c r="AJ274" s="439"/>
      <c r="AK274" s="439"/>
      <c r="AL274" s="439"/>
      <c r="AM274" s="439"/>
      <c r="AN274" s="439"/>
      <c r="AO274" s="439"/>
      <c r="AP274" s="439"/>
      <c r="AQ274" s="439"/>
      <c r="AR274" s="439"/>
      <c r="AS274" s="439"/>
      <c r="AT274" s="439"/>
      <c r="AU274" s="439"/>
      <c r="AV274" s="439"/>
      <c r="AW274" s="439"/>
      <c r="AX274" s="439"/>
      <c r="AY274" s="439"/>
      <c r="AZ274" s="439"/>
      <c r="BA274" s="439"/>
      <c r="BB274" s="439"/>
      <c r="BC274" s="439"/>
      <c r="BD274" s="439"/>
      <c r="BE274" s="439"/>
      <c r="BF274" s="439"/>
      <c r="BG274" s="439"/>
      <c r="BH274" s="439"/>
      <c r="BI274" s="439"/>
      <c r="BJ274" s="439"/>
      <c r="BK274" s="439"/>
      <c r="BL274" s="439"/>
      <c r="BM274" s="439"/>
      <c r="BN274" s="439"/>
      <c r="BO274" s="439"/>
      <c r="BP274" s="439"/>
      <c r="BQ274" s="439"/>
      <c r="BR274" s="439"/>
      <c r="BS274" s="439"/>
      <c r="BT274" s="439"/>
      <c r="BU274" s="439"/>
      <c r="BV274" s="439"/>
    </row>
    <row r="275" spans="2:74" x14ac:dyDescent="0.2">
      <c r="B275" s="91"/>
      <c r="C275" s="389"/>
      <c r="D275" s="389"/>
      <c r="E275" s="438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  <c r="AA275" s="439"/>
      <c r="AB275" s="439"/>
      <c r="AC275" s="439"/>
      <c r="AD275" s="439"/>
      <c r="AE275" s="439"/>
      <c r="AF275" s="439"/>
      <c r="AG275" s="439"/>
      <c r="AH275" s="439"/>
      <c r="AI275" s="439"/>
      <c r="AJ275" s="439"/>
      <c r="AK275" s="439"/>
      <c r="AL275" s="439"/>
      <c r="AM275" s="439"/>
      <c r="AN275" s="439"/>
      <c r="AO275" s="439"/>
      <c r="AP275" s="439"/>
      <c r="AQ275" s="439"/>
      <c r="AR275" s="439"/>
      <c r="AS275" s="439"/>
      <c r="AT275" s="439"/>
      <c r="AU275" s="439"/>
      <c r="AV275" s="439"/>
      <c r="AW275" s="439"/>
      <c r="AX275" s="439"/>
      <c r="AY275" s="439"/>
      <c r="AZ275" s="439"/>
      <c r="BA275" s="439"/>
      <c r="BB275" s="439"/>
      <c r="BC275" s="439"/>
      <c r="BD275" s="439"/>
      <c r="BE275" s="439"/>
      <c r="BF275" s="439"/>
      <c r="BG275" s="439"/>
      <c r="BH275" s="439"/>
      <c r="BI275" s="439"/>
      <c r="BJ275" s="439"/>
      <c r="BK275" s="439"/>
      <c r="BL275" s="439"/>
      <c r="BM275" s="439"/>
      <c r="BN275" s="439"/>
      <c r="BO275" s="439"/>
      <c r="BP275" s="439"/>
      <c r="BQ275" s="439"/>
      <c r="BR275" s="439"/>
      <c r="BS275" s="439"/>
      <c r="BT275" s="439"/>
      <c r="BU275" s="439"/>
      <c r="BV275" s="439"/>
    </row>
    <row r="276" spans="2:74" x14ac:dyDescent="0.2">
      <c r="B276" s="91"/>
      <c r="C276" s="389"/>
      <c r="D276" s="389"/>
      <c r="E276" s="438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  <c r="AA276" s="439"/>
      <c r="AB276" s="439"/>
      <c r="AC276" s="439"/>
      <c r="AD276" s="439"/>
      <c r="AE276" s="439"/>
      <c r="AF276" s="439"/>
      <c r="AG276" s="439"/>
      <c r="AH276" s="439"/>
      <c r="AI276" s="439"/>
      <c r="AJ276" s="439"/>
      <c r="AK276" s="439"/>
      <c r="AL276" s="439"/>
      <c r="AM276" s="439"/>
      <c r="AN276" s="439"/>
      <c r="AO276" s="439"/>
      <c r="AP276" s="439"/>
      <c r="AQ276" s="439"/>
      <c r="AR276" s="439"/>
      <c r="AS276" s="439"/>
      <c r="AT276" s="439"/>
      <c r="AU276" s="439"/>
      <c r="AV276" s="439"/>
      <c r="AW276" s="439"/>
      <c r="AX276" s="439"/>
      <c r="AY276" s="439"/>
      <c r="AZ276" s="439"/>
      <c r="BA276" s="439"/>
      <c r="BB276" s="439"/>
      <c r="BC276" s="439"/>
      <c r="BD276" s="439"/>
      <c r="BE276" s="439"/>
      <c r="BF276" s="439"/>
      <c r="BG276" s="439"/>
      <c r="BH276" s="439"/>
      <c r="BI276" s="439"/>
      <c r="BJ276" s="439"/>
      <c r="BK276" s="439"/>
      <c r="BL276" s="439"/>
      <c r="BM276" s="439"/>
      <c r="BN276" s="439"/>
      <c r="BO276" s="439"/>
      <c r="BP276" s="439"/>
      <c r="BQ276" s="439"/>
      <c r="BR276" s="439"/>
      <c r="BS276" s="439"/>
      <c r="BT276" s="439"/>
      <c r="BU276" s="439"/>
      <c r="BV276" s="439"/>
    </row>
    <row r="277" spans="2:74" x14ac:dyDescent="0.2">
      <c r="B277" s="91"/>
      <c r="C277" s="389"/>
      <c r="D277" s="389"/>
      <c r="E277" s="438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  <c r="AA277" s="439"/>
      <c r="AB277" s="439"/>
      <c r="AC277" s="439"/>
      <c r="AD277" s="439"/>
      <c r="AE277" s="439"/>
      <c r="AF277" s="439"/>
      <c r="AG277" s="439"/>
      <c r="AH277" s="439"/>
      <c r="AI277" s="439"/>
      <c r="AJ277" s="439"/>
      <c r="AK277" s="439"/>
      <c r="AL277" s="439"/>
      <c r="AM277" s="439"/>
      <c r="AN277" s="439"/>
      <c r="AO277" s="439"/>
      <c r="AP277" s="439"/>
      <c r="AQ277" s="439"/>
      <c r="AR277" s="439"/>
      <c r="AS277" s="439"/>
      <c r="AT277" s="439"/>
      <c r="AU277" s="439"/>
      <c r="AV277" s="439"/>
      <c r="AW277" s="439"/>
      <c r="AX277" s="439"/>
      <c r="AY277" s="439"/>
      <c r="AZ277" s="439"/>
      <c r="BA277" s="439"/>
      <c r="BB277" s="439"/>
      <c r="BC277" s="439"/>
      <c r="BD277" s="439"/>
      <c r="BE277" s="439"/>
      <c r="BF277" s="439"/>
      <c r="BG277" s="439"/>
      <c r="BH277" s="439"/>
      <c r="BI277" s="439"/>
      <c r="BJ277" s="439"/>
      <c r="BK277" s="439"/>
      <c r="BL277" s="439"/>
      <c r="BM277" s="439"/>
      <c r="BN277" s="439"/>
      <c r="BO277" s="439"/>
      <c r="BP277" s="439"/>
      <c r="BQ277" s="439"/>
      <c r="BR277" s="439"/>
      <c r="BS277" s="439"/>
      <c r="BT277" s="439"/>
      <c r="BU277" s="439"/>
      <c r="BV277" s="439"/>
    </row>
    <row r="278" spans="2:74" x14ac:dyDescent="0.2">
      <c r="B278" s="91"/>
      <c r="C278" s="389"/>
      <c r="D278" s="389"/>
      <c r="E278" s="438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  <c r="AA278" s="439"/>
      <c r="AB278" s="439"/>
      <c r="AC278" s="439"/>
      <c r="AD278" s="439"/>
      <c r="AE278" s="439"/>
      <c r="AF278" s="439"/>
      <c r="AG278" s="439"/>
      <c r="AH278" s="439"/>
      <c r="AI278" s="439"/>
      <c r="AJ278" s="439"/>
      <c r="AK278" s="439"/>
      <c r="AL278" s="439"/>
      <c r="AM278" s="439"/>
      <c r="AN278" s="439"/>
      <c r="AO278" s="439"/>
      <c r="AP278" s="439"/>
      <c r="AQ278" s="439"/>
      <c r="AR278" s="439"/>
      <c r="AS278" s="439"/>
      <c r="AT278" s="439"/>
      <c r="AU278" s="439"/>
      <c r="AV278" s="439"/>
      <c r="AW278" s="439"/>
      <c r="AX278" s="439"/>
      <c r="AY278" s="439"/>
      <c r="AZ278" s="439"/>
      <c r="BA278" s="439"/>
      <c r="BB278" s="439"/>
      <c r="BC278" s="439"/>
      <c r="BD278" s="439"/>
      <c r="BE278" s="439"/>
      <c r="BF278" s="439"/>
      <c r="BG278" s="439"/>
      <c r="BH278" s="439"/>
      <c r="BI278" s="439"/>
      <c r="BJ278" s="439"/>
      <c r="BK278" s="439"/>
      <c r="BL278" s="439"/>
      <c r="BM278" s="439"/>
      <c r="BN278" s="439"/>
      <c r="BO278" s="439"/>
      <c r="BP278" s="439"/>
      <c r="BQ278" s="439"/>
      <c r="BR278" s="439"/>
      <c r="BS278" s="439"/>
      <c r="BT278" s="439"/>
      <c r="BU278" s="439"/>
      <c r="BV278" s="439"/>
    </row>
    <row r="279" spans="2:74" x14ac:dyDescent="0.2">
      <c r="B279" s="91"/>
      <c r="C279" s="389"/>
      <c r="D279" s="389"/>
      <c r="E279" s="438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D279" s="439"/>
      <c r="AE279" s="439"/>
      <c r="AF279" s="439"/>
      <c r="AG279" s="439"/>
      <c r="AH279" s="439"/>
      <c r="AI279" s="439"/>
      <c r="AJ279" s="439"/>
      <c r="AK279" s="439"/>
      <c r="AL279" s="439"/>
      <c r="AM279" s="439"/>
      <c r="AN279" s="439"/>
      <c r="AO279" s="439"/>
      <c r="AP279" s="439"/>
      <c r="AQ279" s="439"/>
      <c r="AR279" s="439"/>
      <c r="AS279" s="439"/>
      <c r="AT279" s="439"/>
      <c r="AU279" s="439"/>
      <c r="AV279" s="439"/>
      <c r="AW279" s="439"/>
      <c r="AX279" s="439"/>
      <c r="AY279" s="439"/>
      <c r="AZ279" s="439"/>
      <c r="BA279" s="439"/>
      <c r="BB279" s="439"/>
      <c r="BC279" s="439"/>
      <c r="BD279" s="439"/>
      <c r="BE279" s="439"/>
      <c r="BF279" s="439"/>
      <c r="BG279" s="439"/>
      <c r="BH279" s="439"/>
      <c r="BI279" s="439"/>
      <c r="BJ279" s="439"/>
      <c r="BK279" s="439"/>
      <c r="BL279" s="439"/>
      <c r="BM279" s="439"/>
      <c r="BN279" s="439"/>
      <c r="BO279" s="439"/>
      <c r="BP279" s="439"/>
      <c r="BQ279" s="439"/>
      <c r="BR279" s="439"/>
      <c r="BS279" s="439"/>
      <c r="BT279" s="439"/>
      <c r="BU279" s="439"/>
      <c r="BV279" s="439"/>
    </row>
    <row r="280" spans="2:74" x14ac:dyDescent="0.2">
      <c r="B280" s="91"/>
      <c r="C280" s="91"/>
      <c r="D280" s="91"/>
      <c r="E280" s="438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D280" s="439"/>
      <c r="AE280" s="439"/>
      <c r="AF280" s="439"/>
      <c r="AG280" s="439"/>
      <c r="AH280" s="439"/>
      <c r="AI280" s="439"/>
      <c r="AJ280" s="439"/>
      <c r="AK280" s="439"/>
      <c r="AL280" s="439"/>
      <c r="AM280" s="439"/>
      <c r="AN280" s="439"/>
      <c r="AO280" s="439"/>
      <c r="AP280" s="439"/>
      <c r="AQ280" s="439"/>
      <c r="AR280" s="439"/>
      <c r="AS280" s="439"/>
      <c r="AT280" s="439"/>
      <c r="AU280" s="439"/>
      <c r="AV280" s="439"/>
      <c r="AW280" s="439"/>
      <c r="AX280" s="439"/>
      <c r="AY280" s="439"/>
      <c r="AZ280" s="439"/>
      <c r="BA280" s="439"/>
      <c r="BB280" s="439"/>
      <c r="BC280" s="439"/>
      <c r="BD280" s="439"/>
      <c r="BE280" s="439"/>
      <c r="BF280" s="439"/>
      <c r="BG280" s="439"/>
      <c r="BH280" s="439"/>
      <c r="BI280" s="439"/>
      <c r="BJ280" s="439"/>
      <c r="BK280" s="439"/>
      <c r="BL280" s="439"/>
      <c r="BM280" s="439"/>
      <c r="BN280" s="439"/>
      <c r="BO280" s="439"/>
      <c r="BP280" s="439"/>
      <c r="BQ280" s="439"/>
      <c r="BR280" s="439"/>
      <c r="BS280" s="439"/>
      <c r="BT280" s="439"/>
      <c r="BU280" s="439"/>
      <c r="BV280" s="439"/>
    </row>
    <row r="281" spans="2:74" x14ac:dyDescent="0.2">
      <c r="B281" s="91"/>
      <c r="C281" s="91"/>
      <c r="D281" s="91"/>
      <c r="E281" s="438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  <c r="AA281" s="439"/>
      <c r="AB281" s="439"/>
      <c r="AC281" s="439"/>
      <c r="AD281" s="439"/>
      <c r="AE281" s="439"/>
      <c r="AF281" s="439"/>
      <c r="AG281" s="439"/>
      <c r="AH281" s="439"/>
      <c r="AI281" s="439"/>
      <c r="AJ281" s="439"/>
      <c r="AK281" s="439"/>
      <c r="AL281" s="439"/>
      <c r="AM281" s="439"/>
      <c r="AN281" s="439"/>
      <c r="AO281" s="439"/>
      <c r="AP281" s="439"/>
      <c r="AQ281" s="439"/>
      <c r="AR281" s="439"/>
      <c r="AS281" s="439"/>
      <c r="AT281" s="439"/>
      <c r="AU281" s="439"/>
      <c r="AV281" s="439"/>
      <c r="AW281" s="439"/>
      <c r="AX281" s="439"/>
      <c r="AY281" s="439"/>
      <c r="AZ281" s="439"/>
      <c r="BA281" s="439"/>
      <c r="BB281" s="439"/>
      <c r="BC281" s="439"/>
      <c r="BD281" s="439"/>
      <c r="BE281" s="439"/>
      <c r="BF281" s="439"/>
      <c r="BG281" s="439"/>
      <c r="BH281" s="439"/>
      <c r="BI281" s="439"/>
      <c r="BJ281" s="439"/>
      <c r="BK281" s="439"/>
      <c r="BL281" s="439"/>
      <c r="BM281" s="439"/>
      <c r="BN281" s="439"/>
      <c r="BO281" s="439"/>
      <c r="BP281" s="439"/>
      <c r="BQ281" s="439"/>
      <c r="BR281" s="439"/>
      <c r="BS281" s="439"/>
      <c r="BT281" s="439"/>
      <c r="BU281" s="439"/>
      <c r="BV281" s="439"/>
    </row>
    <row r="282" spans="2:74" x14ac:dyDescent="0.2">
      <c r="B282" s="91"/>
      <c r="C282" s="389"/>
      <c r="D282" s="389"/>
      <c r="E282" s="438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  <c r="AA282" s="439"/>
      <c r="AB282" s="439"/>
      <c r="AC282" s="439"/>
      <c r="AD282" s="439"/>
      <c r="AE282" s="439"/>
      <c r="AF282" s="439"/>
      <c r="AG282" s="439"/>
      <c r="AH282" s="439"/>
      <c r="AI282" s="439"/>
      <c r="AJ282" s="439"/>
      <c r="AK282" s="439"/>
      <c r="AL282" s="439"/>
      <c r="AM282" s="439"/>
      <c r="AN282" s="439"/>
      <c r="AO282" s="439"/>
      <c r="AP282" s="439"/>
      <c r="AQ282" s="439"/>
      <c r="AR282" s="439"/>
      <c r="AS282" s="439"/>
      <c r="AT282" s="439"/>
      <c r="AU282" s="439"/>
      <c r="AV282" s="439"/>
      <c r="AW282" s="439"/>
      <c r="AX282" s="439"/>
      <c r="AY282" s="439"/>
      <c r="AZ282" s="439"/>
      <c r="BA282" s="439"/>
      <c r="BB282" s="439"/>
      <c r="BC282" s="439"/>
      <c r="BD282" s="439"/>
      <c r="BE282" s="439"/>
      <c r="BF282" s="439"/>
      <c r="BG282" s="439"/>
      <c r="BH282" s="439"/>
      <c r="BI282" s="439"/>
      <c r="BJ282" s="439"/>
      <c r="BK282" s="439"/>
      <c r="BL282" s="439"/>
      <c r="BM282" s="439"/>
      <c r="BN282" s="439"/>
      <c r="BO282" s="439"/>
      <c r="BP282" s="439"/>
      <c r="BQ282" s="439"/>
      <c r="BR282" s="439"/>
      <c r="BS282" s="439"/>
      <c r="BT282" s="439"/>
      <c r="BU282" s="439"/>
      <c r="BV282" s="439"/>
    </row>
    <row r="283" spans="2:74" x14ac:dyDescent="0.2">
      <c r="B283" s="91"/>
      <c r="C283" s="389"/>
      <c r="D283" s="389"/>
      <c r="E283" s="438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  <c r="AA283" s="439"/>
      <c r="AB283" s="439"/>
      <c r="AC283" s="439"/>
      <c r="AD283" s="439"/>
      <c r="AE283" s="439"/>
      <c r="AF283" s="439"/>
      <c r="AG283" s="439"/>
      <c r="AH283" s="439"/>
      <c r="AI283" s="439"/>
      <c r="AJ283" s="439"/>
      <c r="AK283" s="439"/>
      <c r="AL283" s="439"/>
      <c r="AM283" s="439"/>
      <c r="AN283" s="439"/>
      <c r="AO283" s="439"/>
      <c r="AP283" s="439"/>
      <c r="AQ283" s="439"/>
      <c r="AR283" s="439"/>
      <c r="AS283" s="439"/>
      <c r="AT283" s="439"/>
      <c r="AU283" s="439"/>
      <c r="AV283" s="439"/>
      <c r="AW283" s="439"/>
      <c r="AX283" s="439"/>
      <c r="AY283" s="439"/>
      <c r="AZ283" s="439"/>
      <c r="BA283" s="439"/>
      <c r="BB283" s="439"/>
      <c r="BC283" s="439"/>
      <c r="BD283" s="439"/>
      <c r="BE283" s="439"/>
      <c r="BF283" s="439"/>
      <c r="BG283" s="439"/>
      <c r="BH283" s="439"/>
      <c r="BI283" s="439"/>
      <c r="BJ283" s="439"/>
      <c r="BK283" s="439"/>
      <c r="BL283" s="439"/>
      <c r="BM283" s="439"/>
      <c r="BN283" s="439"/>
      <c r="BO283" s="439"/>
      <c r="BP283" s="439"/>
      <c r="BQ283" s="439"/>
      <c r="BR283" s="439"/>
      <c r="BS283" s="439"/>
      <c r="BT283" s="439"/>
      <c r="BU283" s="439"/>
      <c r="BV283" s="439"/>
    </row>
    <row r="284" spans="2:74" x14ac:dyDescent="0.2">
      <c r="B284" s="91"/>
      <c r="C284" s="389"/>
      <c r="D284" s="389"/>
      <c r="E284" s="438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D284" s="439"/>
      <c r="AE284" s="439"/>
      <c r="AF284" s="439"/>
      <c r="AG284" s="439"/>
      <c r="AH284" s="439"/>
      <c r="AI284" s="439"/>
      <c r="AJ284" s="439"/>
      <c r="AK284" s="439"/>
      <c r="AL284" s="439"/>
      <c r="AM284" s="439"/>
      <c r="AN284" s="439"/>
      <c r="AO284" s="439"/>
      <c r="AP284" s="439"/>
      <c r="AQ284" s="439"/>
      <c r="AR284" s="439"/>
      <c r="AS284" s="439"/>
      <c r="AT284" s="439"/>
      <c r="AU284" s="439"/>
      <c r="AV284" s="439"/>
      <c r="AW284" s="439"/>
      <c r="AX284" s="439"/>
      <c r="AY284" s="439"/>
      <c r="AZ284" s="439"/>
      <c r="BA284" s="439"/>
      <c r="BB284" s="439"/>
      <c r="BC284" s="439"/>
      <c r="BD284" s="439"/>
      <c r="BE284" s="439"/>
      <c r="BF284" s="439"/>
      <c r="BG284" s="439"/>
      <c r="BH284" s="439"/>
      <c r="BI284" s="439"/>
      <c r="BJ284" s="439"/>
      <c r="BK284" s="439"/>
      <c r="BL284" s="439"/>
      <c r="BM284" s="439"/>
      <c r="BN284" s="439"/>
      <c r="BO284" s="439"/>
      <c r="BP284" s="439"/>
      <c r="BQ284" s="439"/>
      <c r="BR284" s="439"/>
      <c r="BS284" s="439"/>
      <c r="BT284" s="439"/>
      <c r="BU284" s="439"/>
      <c r="BV284" s="439"/>
    </row>
    <row r="285" spans="2:74" x14ac:dyDescent="0.2">
      <c r="B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  <c r="AA285" s="358"/>
      <c r="AB285" s="358"/>
      <c r="AC285" s="358"/>
      <c r="AD285" s="358"/>
      <c r="AE285" s="358"/>
      <c r="AF285" s="358"/>
      <c r="AG285" s="358"/>
      <c r="AH285" s="358"/>
      <c r="AI285" s="358"/>
      <c r="AJ285" s="358"/>
      <c r="AK285" s="358"/>
      <c r="AL285" s="358"/>
      <c r="AM285" s="358"/>
      <c r="AN285" s="358"/>
      <c r="AO285" s="358"/>
      <c r="AP285" s="358"/>
      <c r="AQ285" s="358"/>
      <c r="AR285" s="358"/>
      <c r="AS285" s="358"/>
      <c r="AT285" s="358"/>
      <c r="AU285" s="358"/>
      <c r="AV285" s="358"/>
      <c r="AW285" s="358"/>
      <c r="AX285" s="358"/>
      <c r="AY285" s="358"/>
      <c r="AZ285" s="358"/>
      <c r="BA285" s="358"/>
      <c r="BB285" s="358"/>
      <c r="BC285" s="358"/>
      <c r="BD285" s="358"/>
      <c r="BE285" s="358"/>
      <c r="BF285" s="358"/>
      <c r="BG285" s="358"/>
      <c r="BH285" s="358"/>
      <c r="BI285" s="358"/>
      <c r="BJ285" s="358"/>
      <c r="BK285" s="358"/>
      <c r="BL285" s="358"/>
      <c r="BM285" s="358"/>
      <c r="BN285" s="358"/>
      <c r="BO285" s="358"/>
      <c r="BP285" s="358"/>
      <c r="BQ285" s="358"/>
      <c r="BR285" s="358"/>
      <c r="BS285" s="358"/>
      <c r="BT285" s="358"/>
      <c r="BU285" s="358"/>
      <c r="BV285" s="358"/>
    </row>
    <row r="286" spans="2:74" x14ac:dyDescent="0.2">
      <c r="B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  <c r="AA286" s="358"/>
      <c r="AB286" s="358"/>
      <c r="AC286" s="358"/>
      <c r="AD286" s="358"/>
      <c r="AE286" s="358"/>
      <c r="AF286" s="358"/>
      <c r="AG286" s="358"/>
      <c r="AH286" s="358"/>
      <c r="AI286" s="358"/>
      <c r="AJ286" s="358"/>
      <c r="AK286" s="358"/>
      <c r="AL286" s="358"/>
      <c r="AM286" s="358"/>
      <c r="AN286" s="358"/>
      <c r="AO286" s="358"/>
      <c r="AP286" s="358"/>
      <c r="AQ286" s="358"/>
      <c r="AR286" s="358"/>
      <c r="AS286" s="358"/>
      <c r="AT286" s="358"/>
      <c r="AU286" s="358"/>
      <c r="AV286" s="358"/>
      <c r="AW286" s="358"/>
      <c r="AX286" s="358"/>
      <c r="AY286" s="358"/>
      <c r="AZ286" s="358"/>
      <c r="BA286" s="358"/>
      <c r="BB286" s="358"/>
      <c r="BC286" s="358"/>
      <c r="BD286" s="358"/>
      <c r="BE286" s="358"/>
      <c r="BF286" s="358"/>
      <c r="BG286" s="358"/>
      <c r="BH286" s="358"/>
      <c r="BI286" s="358"/>
      <c r="BJ286" s="358"/>
      <c r="BK286" s="358"/>
      <c r="BL286" s="358"/>
      <c r="BM286" s="358"/>
      <c r="BN286" s="358"/>
      <c r="BO286" s="358"/>
      <c r="BP286" s="358"/>
      <c r="BQ286" s="358"/>
      <c r="BR286" s="358"/>
      <c r="BS286" s="358"/>
      <c r="BT286" s="358"/>
      <c r="BU286" s="358"/>
      <c r="BV286" s="358"/>
    </row>
    <row r="287" spans="2:74" x14ac:dyDescent="0.2">
      <c r="B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  <c r="AA287" s="358"/>
      <c r="AB287" s="358"/>
      <c r="AC287" s="358"/>
      <c r="AD287" s="358"/>
      <c r="AE287" s="358"/>
      <c r="AF287" s="358"/>
      <c r="AG287" s="358"/>
      <c r="AH287" s="358"/>
      <c r="AI287" s="358"/>
      <c r="AJ287" s="358"/>
      <c r="AK287" s="358"/>
      <c r="AL287" s="358"/>
      <c r="AM287" s="358"/>
      <c r="AN287" s="358"/>
      <c r="AO287" s="358"/>
      <c r="AP287" s="358"/>
      <c r="AQ287" s="358"/>
      <c r="AR287" s="358"/>
      <c r="AS287" s="358"/>
      <c r="AT287" s="358"/>
      <c r="AU287" s="358"/>
      <c r="AV287" s="358"/>
      <c r="AW287" s="358"/>
      <c r="AX287" s="358"/>
      <c r="AY287" s="358"/>
      <c r="AZ287" s="358"/>
      <c r="BA287" s="358"/>
      <c r="BB287" s="358"/>
      <c r="BC287" s="358"/>
      <c r="BD287" s="358"/>
      <c r="BE287" s="358"/>
      <c r="BF287" s="358"/>
      <c r="BG287" s="358"/>
      <c r="BH287" s="358"/>
      <c r="BI287" s="358"/>
      <c r="BJ287" s="358"/>
      <c r="BK287" s="358"/>
      <c r="BL287" s="358"/>
      <c r="BM287" s="358"/>
      <c r="BN287" s="358"/>
      <c r="BO287" s="358"/>
      <c r="BP287" s="358"/>
      <c r="BQ287" s="358"/>
      <c r="BR287" s="358"/>
      <c r="BS287" s="358"/>
      <c r="BT287" s="358"/>
      <c r="BU287" s="358"/>
      <c r="BV287" s="358"/>
    </row>
    <row r="288" spans="2:74" x14ac:dyDescent="0.2">
      <c r="B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  <c r="AA288" s="358"/>
      <c r="AB288" s="358"/>
      <c r="AC288" s="358"/>
      <c r="AD288" s="358"/>
      <c r="AE288" s="358"/>
      <c r="AF288" s="358"/>
      <c r="AG288" s="358"/>
      <c r="AH288" s="358"/>
      <c r="AI288" s="358"/>
      <c r="AJ288" s="358"/>
      <c r="AK288" s="358"/>
      <c r="AL288" s="358"/>
      <c r="AM288" s="358"/>
      <c r="AN288" s="358"/>
      <c r="AO288" s="358"/>
      <c r="AP288" s="358"/>
      <c r="AQ288" s="358"/>
      <c r="AR288" s="358"/>
      <c r="AS288" s="358"/>
      <c r="AT288" s="358"/>
      <c r="AU288" s="358"/>
      <c r="AV288" s="358"/>
      <c r="AW288" s="358"/>
      <c r="AX288" s="358"/>
      <c r="AY288" s="358"/>
      <c r="AZ288" s="358"/>
      <c r="BA288" s="358"/>
      <c r="BB288" s="358"/>
      <c r="BC288" s="358"/>
      <c r="BD288" s="358"/>
      <c r="BE288" s="358"/>
      <c r="BF288" s="358"/>
      <c r="BG288" s="358"/>
      <c r="BH288" s="358"/>
      <c r="BI288" s="358"/>
      <c r="BJ288" s="358"/>
      <c r="BK288" s="358"/>
      <c r="BL288" s="358"/>
      <c r="BM288" s="358"/>
      <c r="BN288" s="358"/>
      <c r="BO288" s="358"/>
      <c r="BP288" s="358"/>
      <c r="BQ288" s="358"/>
      <c r="BR288" s="358"/>
      <c r="BS288" s="358"/>
      <c r="BT288" s="358"/>
      <c r="BU288" s="358"/>
      <c r="BV288" s="358"/>
    </row>
    <row r="289" spans="2:74" x14ac:dyDescent="0.2">
      <c r="B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  <c r="AA289" s="358"/>
      <c r="AB289" s="358"/>
      <c r="AC289" s="358"/>
      <c r="AD289" s="358"/>
      <c r="AE289" s="358"/>
      <c r="AF289" s="358"/>
      <c r="AG289" s="358"/>
      <c r="AH289" s="358"/>
      <c r="AI289" s="358"/>
      <c r="AJ289" s="358"/>
      <c r="AK289" s="358"/>
      <c r="AL289" s="358"/>
      <c r="AM289" s="358"/>
      <c r="AN289" s="358"/>
      <c r="AO289" s="358"/>
      <c r="AP289" s="358"/>
      <c r="AQ289" s="358"/>
      <c r="AR289" s="358"/>
      <c r="AS289" s="358"/>
      <c r="AT289" s="358"/>
      <c r="AU289" s="358"/>
      <c r="AV289" s="358"/>
      <c r="AW289" s="358"/>
      <c r="AX289" s="358"/>
      <c r="AY289" s="358"/>
      <c r="AZ289" s="358"/>
      <c r="BA289" s="358"/>
      <c r="BB289" s="358"/>
      <c r="BC289" s="358"/>
      <c r="BD289" s="358"/>
      <c r="BE289" s="358"/>
      <c r="BF289" s="358"/>
      <c r="BG289" s="358"/>
      <c r="BH289" s="358"/>
      <c r="BI289" s="358"/>
      <c r="BJ289" s="358"/>
      <c r="BK289" s="358"/>
      <c r="BL289" s="358"/>
      <c r="BM289" s="358"/>
      <c r="BN289" s="358"/>
      <c r="BO289" s="358"/>
      <c r="BP289" s="358"/>
      <c r="BQ289" s="358"/>
      <c r="BR289" s="358"/>
      <c r="BS289" s="358"/>
      <c r="BT289" s="358"/>
      <c r="BU289" s="358"/>
      <c r="BV289" s="358"/>
    </row>
    <row r="290" spans="2:74" x14ac:dyDescent="0.2">
      <c r="B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  <c r="AI290" s="358"/>
      <c r="AJ290" s="358"/>
      <c r="AK290" s="358"/>
      <c r="AL290" s="358"/>
      <c r="AM290" s="358"/>
      <c r="AN290" s="358"/>
      <c r="AO290" s="358"/>
      <c r="AP290" s="358"/>
      <c r="AQ290" s="358"/>
      <c r="AR290" s="358"/>
      <c r="AS290" s="358"/>
      <c r="AT290" s="358"/>
      <c r="AU290" s="358"/>
      <c r="AV290" s="358"/>
      <c r="AW290" s="358"/>
      <c r="AX290" s="358"/>
      <c r="AY290" s="358"/>
      <c r="AZ290" s="358"/>
      <c r="BA290" s="358"/>
      <c r="BB290" s="358"/>
      <c r="BC290" s="358"/>
      <c r="BD290" s="358"/>
      <c r="BE290" s="358"/>
      <c r="BF290" s="358"/>
      <c r="BG290" s="358"/>
      <c r="BH290" s="358"/>
      <c r="BI290" s="358"/>
      <c r="BJ290" s="358"/>
      <c r="BK290" s="358"/>
      <c r="BL290" s="358"/>
      <c r="BM290" s="358"/>
      <c r="BN290" s="358"/>
      <c r="BO290" s="358"/>
      <c r="BP290" s="358"/>
      <c r="BQ290" s="358"/>
      <c r="BR290" s="358"/>
      <c r="BS290" s="358"/>
      <c r="BT290" s="358"/>
      <c r="BU290" s="358"/>
      <c r="BV290" s="358"/>
    </row>
    <row r="291" spans="2:74" x14ac:dyDescent="0.2">
      <c r="B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  <c r="AA291" s="358"/>
      <c r="AB291" s="358"/>
      <c r="AC291" s="358"/>
      <c r="AD291" s="358"/>
      <c r="AE291" s="358"/>
      <c r="AF291" s="358"/>
      <c r="AG291" s="358"/>
      <c r="AH291" s="358"/>
      <c r="AI291" s="358"/>
      <c r="AJ291" s="358"/>
      <c r="AK291" s="358"/>
      <c r="AL291" s="358"/>
      <c r="AM291" s="358"/>
      <c r="AN291" s="358"/>
      <c r="AO291" s="358"/>
      <c r="AP291" s="358"/>
      <c r="AQ291" s="358"/>
      <c r="AR291" s="358"/>
      <c r="AS291" s="358"/>
      <c r="AT291" s="358"/>
      <c r="AU291" s="358"/>
      <c r="AV291" s="358"/>
      <c r="AW291" s="358"/>
      <c r="AX291" s="358"/>
      <c r="AY291" s="358"/>
      <c r="AZ291" s="358"/>
      <c r="BA291" s="358"/>
      <c r="BB291" s="358"/>
      <c r="BC291" s="358"/>
      <c r="BD291" s="358"/>
      <c r="BE291" s="358"/>
      <c r="BF291" s="358"/>
      <c r="BG291" s="358"/>
      <c r="BH291" s="358"/>
      <c r="BI291" s="358"/>
      <c r="BJ291" s="358"/>
      <c r="BK291" s="358"/>
      <c r="BL291" s="358"/>
      <c r="BM291" s="358"/>
      <c r="BN291" s="358"/>
      <c r="BO291" s="358"/>
      <c r="BP291" s="358"/>
      <c r="BQ291" s="358"/>
      <c r="BR291" s="358"/>
      <c r="BS291" s="358"/>
      <c r="BT291" s="358"/>
      <c r="BU291" s="358"/>
      <c r="BV291" s="358"/>
    </row>
    <row r="292" spans="2:74" x14ac:dyDescent="0.2">
      <c r="B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  <c r="AI292" s="358"/>
      <c r="AJ292" s="358"/>
      <c r="AK292" s="358"/>
      <c r="AL292" s="358"/>
      <c r="AM292" s="358"/>
      <c r="AN292" s="358"/>
      <c r="AO292" s="358"/>
      <c r="AP292" s="358"/>
      <c r="AQ292" s="358"/>
      <c r="AR292" s="358"/>
      <c r="AS292" s="358"/>
      <c r="AT292" s="358"/>
      <c r="AU292" s="358"/>
      <c r="AV292" s="358"/>
      <c r="AW292" s="358"/>
      <c r="AX292" s="358"/>
      <c r="AY292" s="358"/>
      <c r="AZ292" s="358"/>
      <c r="BA292" s="358"/>
      <c r="BB292" s="358"/>
      <c r="BC292" s="358"/>
      <c r="BD292" s="358"/>
      <c r="BE292" s="358"/>
      <c r="BF292" s="358"/>
      <c r="BG292" s="358"/>
      <c r="BH292" s="358"/>
      <c r="BI292" s="358"/>
      <c r="BJ292" s="358"/>
      <c r="BK292" s="358"/>
      <c r="BL292" s="358"/>
      <c r="BM292" s="358"/>
      <c r="BN292" s="358"/>
      <c r="BO292" s="358"/>
      <c r="BP292" s="358"/>
      <c r="BQ292" s="358"/>
      <c r="BR292" s="358"/>
      <c r="BS292" s="358"/>
      <c r="BT292" s="358"/>
      <c r="BU292" s="358"/>
      <c r="BV292" s="358"/>
    </row>
    <row r="293" spans="2:74" x14ac:dyDescent="0.2">
      <c r="B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  <c r="AA293" s="358"/>
      <c r="AB293" s="358"/>
      <c r="AC293" s="358"/>
      <c r="AD293" s="358"/>
      <c r="AE293" s="358"/>
      <c r="AF293" s="358"/>
      <c r="AG293" s="358"/>
      <c r="AH293" s="358"/>
      <c r="AI293" s="358"/>
      <c r="AJ293" s="358"/>
      <c r="AK293" s="358"/>
      <c r="AL293" s="358"/>
      <c r="AM293" s="358"/>
      <c r="AN293" s="358"/>
      <c r="AO293" s="358"/>
      <c r="AP293" s="358"/>
      <c r="AQ293" s="358"/>
      <c r="AR293" s="358"/>
      <c r="AS293" s="358"/>
      <c r="AT293" s="358"/>
      <c r="AU293" s="358"/>
      <c r="AV293" s="358"/>
      <c r="AW293" s="358"/>
      <c r="AX293" s="358"/>
      <c r="AY293" s="358"/>
      <c r="AZ293" s="358"/>
      <c r="BA293" s="358"/>
      <c r="BB293" s="358"/>
      <c r="BC293" s="358"/>
      <c r="BD293" s="358"/>
      <c r="BE293" s="358"/>
      <c r="BF293" s="358"/>
      <c r="BG293" s="358"/>
      <c r="BH293" s="358"/>
      <c r="BI293" s="358"/>
      <c r="BJ293" s="358"/>
      <c r="BK293" s="358"/>
      <c r="BL293" s="358"/>
      <c r="BM293" s="358"/>
      <c r="BN293" s="358"/>
      <c r="BO293" s="358"/>
      <c r="BP293" s="358"/>
      <c r="BQ293" s="358"/>
      <c r="BR293" s="358"/>
      <c r="BS293" s="358"/>
      <c r="BT293" s="358"/>
      <c r="BU293" s="358"/>
      <c r="BV293" s="358"/>
    </row>
    <row r="294" spans="2:74" x14ac:dyDescent="0.2">
      <c r="B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  <c r="AI294" s="358"/>
      <c r="AJ294" s="358"/>
      <c r="AK294" s="358"/>
      <c r="AL294" s="358"/>
      <c r="AM294" s="358"/>
      <c r="AN294" s="358"/>
      <c r="AO294" s="358"/>
      <c r="AP294" s="358"/>
      <c r="AQ294" s="358"/>
      <c r="AR294" s="358"/>
      <c r="AS294" s="358"/>
      <c r="AT294" s="358"/>
      <c r="AU294" s="358"/>
      <c r="AV294" s="358"/>
      <c r="AW294" s="358"/>
      <c r="AX294" s="358"/>
      <c r="AY294" s="358"/>
      <c r="AZ294" s="358"/>
      <c r="BA294" s="358"/>
      <c r="BB294" s="358"/>
      <c r="BC294" s="358"/>
      <c r="BD294" s="358"/>
      <c r="BE294" s="358"/>
      <c r="BF294" s="358"/>
      <c r="BG294" s="358"/>
      <c r="BH294" s="358"/>
      <c r="BI294" s="358"/>
      <c r="BJ294" s="358"/>
      <c r="BK294" s="358"/>
      <c r="BL294" s="358"/>
      <c r="BM294" s="358"/>
      <c r="BN294" s="358"/>
      <c r="BO294" s="358"/>
      <c r="BP294" s="358"/>
      <c r="BQ294" s="358"/>
      <c r="BR294" s="358"/>
      <c r="BS294" s="358"/>
      <c r="BT294" s="358"/>
      <c r="BU294" s="358"/>
      <c r="BV294" s="358"/>
    </row>
    <row r="295" spans="2:74" x14ac:dyDescent="0.2">
      <c r="B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  <c r="AA295" s="358"/>
      <c r="AB295" s="358"/>
      <c r="AC295" s="358"/>
      <c r="AD295" s="358"/>
      <c r="AE295" s="358"/>
      <c r="AF295" s="358"/>
      <c r="AG295" s="358"/>
      <c r="AH295" s="358"/>
      <c r="AI295" s="358"/>
      <c r="AJ295" s="358"/>
      <c r="AK295" s="358"/>
      <c r="AL295" s="358"/>
      <c r="AM295" s="358"/>
      <c r="AN295" s="358"/>
      <c r="AO295" s="358"/>
      <c r="AP295" s="358"/>
      <c r="AQ295" s="358"/>
      <c r="AR295" s="358"/>
      <c r="AS295" s="358"/>
      <c r="AT295" s="358"/>
      <c r="AU295" s="358"/>
      <c r="AV295" s="358"/>
      <c r="AW295" s="358"/>
      <c r="AX295" s="358"/>
      <c r="AY295" s="358"/>
      <c r="AZ295" s="358"/>
      <c r="BA295" s="358"/>
      <c r="BB295" s="358"/>
      <c r="BC295" s="358"/>
      <c r="BD295" s="358"/>
      <c r="BE295" s="358"/>
      <c r="BF295" s="358"/>
      <c r="BG295" s="358"/>
      <c r="BH295" s="358"/>
      <c r="BI295" s="358"/>
      <c r="BJ295" s="358"/>
      <c r="BK295" s="358"/>
      <c r="BL295" s="358"/>
      <c r="BM295" s="358"/>
      <c r="BN295" s="358"/>
      <c r="BO295" s="358"/>
      <c r="BP295" s="358"/>
      <c r="BQ295" s="358"/>
      <c r="BR295" s="358"/>
      <c r="BS295" s="358"/>
      <c r="BT295" s="358"/>
      <c r="BU295" s="358"/>
      <c r="BV295" s="358"/>
    </row>
    <row r="296" spans="2:74" x14ac:dyDescent="0.2">
      <c r="B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  <c r="AI296" s="358"/>
      <c r="AJ296" s="358"/>
      <c r="AK296" s="358"/>
      <c r="AL296" s="358"/>
      <c r="AM296" s="358"/>
      <c r="AN296" s="358"/>
      <c r="AO296" s="358"/>
      <c r="AP296" s="358"/>
      <c r="AQ296" s="358"/>
      <c r="AR296" s="358"/>
      <c r="AS296" s="358"/>
      <c r="AT296" s="358"/>
      <c r="AU296" s="358"/>
      <c r="AV296" s="358"/>
      <c r="AW296" s="358"/>
      <c r="AX296" s="358"/>
      <c r="AY296" s="358"/>
      <c r="AZ296" s="358"/>
      <c r="BA296" s="358"/>
      <c r="BB296" s="358"/>
      <c r="BC296" s="358"/>
      <c r="BD296" s="358"/>
      <c r="BE296" s="358"/>
      <c r="BF296" s="358"/>
      <c r="BG296" s="358"/>
      <c r="BH296" s="358"/>
      <c r="BI296" s="358"/>
      <c r="BJ296" s="358"/>
      <c r="BK296" s="358"/>
      <c r="BL296" s="358"/>
      <c r="BM296" s="358"/>
      <c r="BN296" s="358"/>
      <c r="BO296" s="358"/>
      <c r="BP296" s="358"/>
      <c r="BQ296" s="358"/>
      <c r="BR296" s="358"/>
      <c r="BS296" s="358"/>
      <c r="BT296" s="358"/>
      <c r="BU296" s="358"/>
      <c r="BV296" s="358"/>
    </row>
    <row r="297" spans="2:74" x14ac:dyDescent="0.2">
      <c r="B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58"/>
      <c r="AX297" s="358"/>
      <c r="AY297" s="358"/>
      <c r="AZ297" s="358"/>
      <c r="BA297" s="358"/>
      <c r="BB297" s="358"/>
      <c r="BC297" s="358"/>
      <c r="BD297" s="358"/>
      <c r="BE297" s="358"/>
      <c r="BF297" s="358"/>
      <c r="BG297" s="358"/>
      <c r="BH297" s="358"/>
      <c r="BI297" s="358"/>
      <c r="BJ297" s="358"/>
      <c r="BK297" s="358"/>
      <c r="BL297" s="358"/>
      <c r="BM297" s="358"/>
      <c r="BN297" s="358"/>
      <c r="BO297" s="358"/>
      <c r="BP297" s="358"/>
      <c r="BQ297" s="358"/>
      <c r="BR297" s="358"/>
      <c r="BS297" s="358"/>
      <c r="BT297" s="358"/>
      <c r="BU297" s="358"/>
      <c r="BV297" s="358"/>
    </row>
    <row r="298" spans="2:74" x14ac:dyDescent="0.2">
      <c r="B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  <c r="AI298" s="358"/>
      <c r="AJ298" s="358"/>
      <c r="AK298" s="358"/>
      <c r="AL298" s="358"/>
      <c r="AM298" s="358"/>
      <c r="AN298" s="358"/>
      <c r="AO298" s="358"/>
      <c r="AP298" s="358"/>
      <c r="AQ298" s="358"/>
      <c r="AR298" s="358"/>
      <c r="AS298" s="358"/>
      <c r="AT298" s="358"/>
      <c r="AU298" s="358"/>
      <c r="AV298" s="358"/>
      <c r="AW298" s="358"/>
      <c r="AX298" s="358"/>
      <c r="AY298" s="358"/>
      <c r="AZ298" s="358"/>
      <c r="BA298" s="358"/>
      <c r="BB298" s="358"/>
      <c r="BC298" s="358"/>
      <c r="BD298" s="358"/>
      <c r="BE298" s="358"/>
      <c r="BF298" s="358"/>
      <c r="BG298" s="358"/>
      <c r="BH298" s="358"/>
      <c r="BI298" s="358"/>
      <c r="BJ298" s="358"/>
      <c r="BK298" s="358"/>
      <c r="BL298" s="358"/>
      <c r="BM298" s="358"/>
      <c r="BN298" s="358"/>
      <c r="BO298" s="358"/>
      <c r="BP298" s="358"/>
      <c r="BQ298" s="358"/>
      <c r="BR298" s="358"/>
      <c r="BS298" s="358"/>
      <c r="BT298" s="358"/>
      <c r="BU298" s="358"/>
      <c r="BV298" s="358"/>
    </row>
    <row r="299" spans="2:74" x14ac:dyDescent="0.2">
      <c r="B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  <c r="AK299" s="358"/>
      <c r="AL299" s="358"/>
      <c r="AM299" s="358"/>
      <c r="AN299" s="358"/>
      <c r="AO299" s="358"/>
      <c r="AP299" s="358"/>
      <c r="AQ299" s="358"/>
      <c r="AR299" s="358"/>
      <c r="AS299" s="358"/>
      <c r="AT299" s="358"/>
      <c r="AU299" s="358"/>
      <c r="AV299" s="358"/>
      <c r="AW299" s="358"/>
      <c r="AX299" s="358"/>
      <c r="AY299" s="358"/>
      <c r="AZ299" s="358"/>
      <c r="BA299" s="358"/>
      <c r="BB299" s="358"/>
      <c r="BC299" s="358"/>
      <c r="BD299" s="358"/>
      <c r="BE299" s="358"/>
      <c r="BF299" s="358"/>
      <c r="BG299" s="358"/>
      <c r="BH299" s="358"/>
      <c r="BI299" s="358"/>
      <c r="BJ299" s="358"/>
      <c r="BK299" s="358"/>
      <c r="BL299" s="358"/>
      <c r="BM299" s="358"/>
      <c r="BN299" s="358"/>
      <c r="BO299" s="358"/>
      <c r="BP299" s="358"/>
      <c r="BQ299" s="358"/>
      <c r="BR299" s="358"/>
      <c r="BS299" s="358"/>
      <c r="BT299" s="358"/>
      <c r="BU299" s="358"/>
      <c r="BV299" s="358"/>
    </row>
    <row r="300" spans="2:74" x14ac:dyDescent="0.2">
      <c r="B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  <c r="AI300" s="358"/>
      <c r="AJ300" s="358"/>
      <c r="AK300" s="358"/>
      <c r="AL300" s="358"/>
      <c r="AM300" s="358"/>
      <c r="AN300" s="358"/>
      <c r="AO300" s="358"/>
      <c r="AP300" s="358"/>
      <c r="AQ300" s="358"/>
      <c r="AR300" s="358"/>
      <c r="AS300" s="358"/>
      <c r="AT300" s="358"/>
      <c r="AU300" s="358"/>
      <c r="AV300" s="358"/>
      <c r="AW300" s="358"/>
      <c r="AX300" s="358"/>
      <c r="AY300" s="358"/>
      <c r="AZ300" s="358"/>
      <c r="BA300" s="358"/>
      <c r="BB300" s="358"/>
      <c r="BC300" s="358"/>
      <c r="BD300" s="358"/>
      <c r="BE300" s="358"/>
      <c r="BF300" s="358"/>
      <c r="BG300" s="358"/>
      <c r="BH300" s="358"/>
      <c r="BI300" s="358"/>
      <c r="BJ300" s="358"/>
      <c r="BK300" s="358"/>
      <c r="BL300" s="358"/>
      <c r="BM300" s="358"/>
      <c r="BN300" s="358"/>
      <c r="BO300" s="358"/>
      <c r="BP300" s="358"/>
      <c r="BQ300" s="358"/>
      <c r="BR300" s="358"/>
      <c r="BS300" s="358"/>
      <c r="BT300" s="358"/>
      <c r="BU300" s="358"/>
      <c r="BV300" s="358"/>
    </row>
    <row r="301" spans="2:74" x14ac:dyDescent="0.2">
      <c r="B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  <c r="AA301" s="358"/>
      <c r="AB301" s="358"/>
      <c r="AC301" s="358"/>
      <c r="AD301" s="358"/>
      <c r="AE301" s="358"/>
      <c r="AF301" s="358"/>
      <c r="AG301" s="358"/>
      <c r="AH301" s="358"/>
      <c r="AI301" s="358"/>
      <c r="AJ301" s="358"/>
      <c r="AK301" s="358"/>
      <c r="AL301" s="358"/>
      <c r="AM301" s="358"/>
      <c r="AN301" s="358"/>
      <c r="AO301" s="358"/>
      <c r="AP301" s="358"/>
      <c r="AQ301" s="358"/>
      <c r="AR301" s="358"/>
      <c r="AS301" s="358"/>
      <c r="AT301" s="358"/>
      <c r="AU301" s="358"/>
      <c r="AV301" s="358"/>
      <c r="AW301" s="358"/>
      <c r="AX301" s="358"/>
      <c r="AY301" s="358"/>
      <c r="AZ301" s="358"/>
      <c r="BA301" s="358"/>
      <c r="BB301" s="358"/>
      <c r="BC301" s="358"/>
      <c r="BD301" s="358"/>
      <c r="BE301" s="358"/>
      <c r="BF301" s="358"/>
      <c r="BG301" s="358"/>
      <c r="BH301" s="358"/>
      <c r="BI301" s="358"/>
      <c r="BJ301" s="358"/>
      <c r="BK301" s="358"/>
      <c r="BL301" s="358"/>
      <c r="BM301" s="358"/>
      <c r="BN301" s="358"/>
      <c r="BO301" s="358"/>
      <c r="BP301" s="358"/>
      <c r="BQ301" s="358"/>
      <c r="BR301" s="358"/>
      <c r="BS301" s="358"/>
      <c r="BT301" s="358"/>
      <c r="BU301" s="358"/>
      <c r="BV301" s="358"/>
    </row>
    <row r="302" spans="2:74" x14ac:dyDescent="0.2">
      <c r="B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  <c r="AS302" s="358"/>
      <c r="AT302" s="358"/>
      <c r="AU302" s="358"/>
      <c r="AV302" s="358"/>
      <c r="AW302" s="358"/>
      <c r="AX302" s="358"/>
      <c r="AY302" s="358"/>
      <c r="AZ302" s="358"/>
      <c r="BA302" s="358"/>
      <c r="BB302" s="358"/>
      <c r="BC302" s="358"/>
      <c r="BD302" s="358"/>
      <c r="BE302" s="358"/>
      <c r="BF302" s="358"/>
      <c r="BG302" s="358"/>
      <c r="BH302" s="358"/>
      <c r="BI302" s="358"/>
      <c r="BJ302" s="358"/>
      <c r="BK302" s="358"/>
      <c r="BL302" s="358"/>
      <c r="BM302" s="358"/>
      <c r="BN302" s="358"/>
      <c r="BO302" s="358"/>
      <c r="BP302" s="358"/>
      <c r="BQ302" s="358"/>
      <c r="BR302" s="358"/>
      <c r="BS302" s="358"/>
      <c r="BT302" s="358"/>
      <c r="BU302" s="358"/>
      <c r="BV302" s="358"/>
    </row>
    <row r="303" spans="2:74" x14ac:dyDescent="0.2">
      <c r="B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  <c r="AA303" s="358"/>
      <c r="AB303" s="358"/>
      <c r="AC303" s="358"/>
      <c r="AD303" s="358"/>
      <c r="AE303" s="358"/>
      <c r="AF303" s="358"/>
      <c r="AG303" s="358"/>
      <c r="AH303" s="358"/>
      <c r="AI303" s="358"/>
      <c r="AJ303" s="358"/>
      <c r="AK303" s="358"/>
      <c r="AL303" s="358"/>
      <c r="AM303" s="358"/>
      <c r="AN303" s="358"/>
      <c r="AO303" s="358"/>
      <c r="AP303" s="358"/>
      <c r="AQ303" s="358"/>
      <c r="AR303" s="358"/>
      <c r="AS303" s="358"/>
      <c r="AT303" s="358"/>
      <c r="AU303" s="358"/>
      <c r="AV303" s="358"/>
      <c r="AW303" s="358"/>
      <c r="AX303" s="358"/>
      <c r="AY303" s="358"/>
      <c r="AZ303" s="358"/>
      <c r="BA303" s="358"/>
      <c r="BB303" s="358"/>
      <c r="BC303" s="358"/>
      <c r="BD303" s="358"/>
      <c r="BE303" s="358"/>
      <c r="BF303" s="358"/>
      <c r="BG303" s="358"/>
      <c r="BH303" s="358"/>
      <c r="BI303" s="358"/>
      <c r="BJ303" s="358"/>
      <c r="BK303" s="358"/>
      <c r="BL303" s="358"/>
      <c r="BM303" s="358"/>
      <c r="BN303" s="358"/>
      <c r="BO303" s="358"/>
      <c r="BP303" s="358"/>
      <c r="BQ303" s="358"/>
      <c r="BR303" s="358"/>
      <c r="BS303" s="358"/>
      <c r="BT303" s="358"/>
      <c r="BU303" s="358"/>
      <c r="BV303" s="358"/>
    </row>
    <row r="304" spans="2:74" x14ac:dyDescent="0.2">
      <c r="B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  <c r="AI304" s="358"/>
      <c r="AJ304" s="358"/>
      <c r="AK304" s="358"/>
      <c r="AL304" s="358"/>
      <c r="AM304" s="358"/>
      <c r="AN304" s="358"/>
      <c r="AO304" s="358"/>
      <c r="AP304" s="358"/>
      <c r="AQ304" s="358"/>
      <c r="AR304" s="358"/>
      <c r="AS304" s="358"/>
      <c r="AT304" s="358"/>
      <c r="AU304" s="358"/>
      <c r="AV304" s="358"/>
      <c r="AW304" s="358"/>
      <c r="AX304" s="358"/>
      <c r="AY304" s="358"/>
      <c r="AZ304" s="358"/>
      <c r="BA304" s="358"/>
      <c r="BB304" s="358"/>
      <c r="BC304" s="358"/>
      <c r="BD304" s="358"/>
      <c r="BE304" s="358"/>
      <c r="BF304" s="358"/>
      <c r="BG304" s="358"/>
      <c r="BH304" s="358"/>
      <c r="BI304" s="358"/>
      <c r="BJ304" s="358"/>
      <c r="BK304" s="358"/>
      <c r="BL304" s="358"/>
      <c r="BM304" s="358"/>
      <c r="BN304" s="358"/>
      <c r="BO304" s="358"/>
      <c r="BP304" s="358"/>
      <c r="BQ304" s="358"/>
      <c r="BR304" s="358"/>
      <c r="BS304" s="358"/>
      <c r="BT304" s="358"/>
      <c r="BU304" s="358"/>
      <c r="BV304" s="358"/>
    </row>
    <row r="305" spans="2:74" x14ac:dyDescent="0.2">
      <c r="B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  <c r="AA305" s="358"/>
      <c r="AB305" s="358"/>
      <c r="AC305" s="358"/>
      <c r="AD305" s="358"/>
      <c r="AE305" s="358"/>
      <c r="AF305" s="358"/>
      <c r="AG305" s="358"/>
      <c r="AH305" s="358"/>
      <c r="AI305" s="358"/>
      <c r="AJ305" s="358"/>
      <c r="AK305" s="358"/>
      <c r="AL305" s="358"/>
      <c r="AM305" s="358"/>
      <c r="AN305" s="358"/>
      <c r="AO305" s="358"/>
      <c r="AP305" s="358"/>
      <c r="AQ305" s="358"/>
      <c r="AR305" s="358"/>
      <c r="AS305" s="358"/>
      <c r="AT305" s="358"/>
      <c r="AU305" s="358"/>
      <c r="AV305" s="358"/>
      <c r="AW305" s="358"/>
      <c r="AX305" s="358"/>
      <c r="AY305" s="358"/>
      <c r="AZ305" s="358"/>
      <c r="BA305" s="358"/>
      <c r="BB305" s="358"/>
      <c r="BC305" s="358"/>
      <c r="BD305" s="358"/>
      <c r="BE305" s="358"/>
      <c r="BF305" s="358"/>
      <c r="BG305" s="358"/>
      <c r="BH305" s="358"/>
      <c r="BI305" s="358"/>
      <c r="BJ305" s="358"/>
      <c r="BK305" s="358"/>
      <c r="BL305" s="358"/>
      <c r="BM305" s="358"/>
      <c r="BN305" s="358"/>
      <c r="BO305" s="358"/>
      <c r="BP305" s="358"/>
      <c r="BQ305" s="358"/>
      <c r="BR305" s="358"/>
      <c r="BS305" s="358"/>
      <c r="BT305" s="358"/>
      <c r="BU305" s="358"/>
      <c r="BV305" s="358"/>
    </row>
    <row r="306" spans="2:74" x14ac:dyDescent="0.2">
      <c r="B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  <c r="AK306" s="358"/>
      <c r="AL306" s="358"/>
      <c r="AM306" s="358"/>
      <c r="AN306" s="358"/>
      <c r="AO306" s="358"/>
      <c r="AP306" s="358"/>
      <c r="AQ306" s="358"/>
      <c r="AR306" s="358"/>
      <c r="AS306" s="358"/>
      <c r="AT306" s="358"/>
      <c r="AU306" s="358"/>
      <c r="AV306" s="358"/>
      <c r="AW306" s="358"/>
      <c r="AX306" s="358"/>
      <c r="AY306" s="358"/>
      <c r="AZ306" s="358"/>
      <c r="BA306" s="358"/>
      <c r="BB306" s="358"/>
      <c r="BC306" s="358"/>
      <c r="BD306" s="358"/>
      <c r="BE306" s="358"/>
      <c r="BF306" s="358"/>
      <c r="BG306" s="358"/>
      <c r="BH306" s="358"/>
      <c r="BI306" s="358"/>
      <c r="BJ306" s="358"/>
      <c r="BK306" s="358"/>
      <c r="BL306" s="358"/>
      <c r="BM306" s="358"/>
      <c r="BN306" s="358"/>
      <c r="BO306" s="358"/>
      <c r="BP306" s="358"/>
      <c r="BQ306" s="358"/>
      <c r="BR306" s="358"/>
      <c r="BS306" s="358"/>
      <c r="BT306" s="358"/>
      <c r="BU306" s="358"/>
      <c r="BV306" s="358"/>
    </row>
    <row r="307" spans="2:74" x14ac:dyDescent="0.2">
      <c r="B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  <c r="AA307" s="358"/>
      <c r="AB307" s="358"/>
      <c r="AC307" s="358"/>
      <c r="AD307" s="358"/>
      <c r="AE307" s="358"/>
      <c r="AF307" s="358"/>
      <c r="AG307" s="358"/>
      <c r="AH307" s="358"/>
      <c r="AI307" s="358"/>
      <c r="AJ307" s="358"/>
      <c r="AK307" s="358"/>
      <c r="AL307" s="358"/>
      <c r="AM307" s="358"/>
      <c r="AN307" s="358"/>
      <c r="AO307" s="358"/>
      <c r="AP307" s="358"/>
      <c r="AQ307" s="358"/>
      <c r="AR307" s="358"/>
      <c r="AS307" s="358"/>
      <c r="AT307" s="358"/>
      <c r="AU307" s="358"/>
      <c r="AV307" s="358"/>
      <c r="AW307" s="358"/>
      <c r="AX307" s="358"/>
      <c r="AY307" s="358"/>
      <c r="AZ307" s="358"/>
      <c r="BA307" s="358"/>
      <c r="BB307" s="358"/>
      <c r="BC307" s="358"/>
      <c r="BD307" s="358"/>
      <c r="BE307" s="358"/>
      <c r="BF307" s="358"/>
      <c r="BG307" s="358"/>
      <c r="BH307" s="358"/>
      <c r="BI307" s="358"/>
      <c r="BJ307" s="358"/>
      <c r="BK307" s="358"/>
      <c r="BL307" s="358"/>
      <c r="BM307" s="358"/>
      <c r="BN307" s="358"/>
      <c r="BO307" s="358"/>
      <c r="BP307" s="358"/>
      <c r="BQ307" s="358"/>
      <c r="BR307" s="358"/>
      <c r="BS307" s="358"/>
      <c r="BT307" s="358"/>
      <c r="BU307" s="358"/>
      <c r="BV307" s="358"/>
    </row>
    <row r="308" spans="2:74" x14ac:dyDescent="0.2">
      <c r="B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  <c r="AI308" s="358"/>
      <c r="AJ308" s="358"/>
      <c r="AK308" s="358"/>
      <c r="AL308" s="358"/>
      <c r="AM308" s="358"/>
      <c r="AN308" s="358"/>
      <c r="AO308" s="358"/>
      <c r="AP308" s="358"/>
      <c r="AQ308" s="358"/>
      <c r="AR308" s="358"/>
      <c r="AS308" s="358"/>
      <c r="AT308" s="358"/>
      <c r="AU308" s="358"/>
      <c r="AV308" s="358"/>
      <c r="AW308" s="358"/>
      <c r="AX308" s="358"/>
      <c r="AY308" s="358"/>
      <c r="AZ308" s="358"/>
      <c r="BA308" s="358"/>
      <c r="BB308" s="358"/>
      <c r="BC308" s="358"/>
      <c r="BD308" s="358"/>
      <c r="BE308" s="358"/>
      <c r="BF308" s="358"/>
      <c r="BG308" s="358"/>
      <c r="BH308" s="358"/>
      <c r="BI308" s="358"/>
      <c r="BJ308" s="358"/>
      <c r="BK308" s="358"/>
      <c r="BL308" s="358"/>
      <c r="BM308" s="358"/>
      <c r="BN308" s="358"/>
      <c r="BO308" s="358"/>
      <c r="BP308" s="358"/>
      <c r="BQ308" s="358"/>
      <c r="BR308" s="358"/>
      <c r="BS308" s="358"/>
      <c r="BT308" s="358"/>
      <c r="BU308" s="358"/>
      <c r="BV308" s="358"/>
    </row>
    <row r="309" spans="2:74" x14ac:dyDescent="0.2">
      <c r="B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  <c r="AA309" s="358"/>
      <c r="AB309" s="358"/>
      <c r="AC309" s="358"/>
      <c r="AD309" s="358"/>
      <c r="AE309" s="358"/>
      <c r="AF309" s="358"/>
      <c r="AG309" s="358"/>
      <c r="AH309" s="358"/>
      <c r="AI309" s="358"/>
      <c r="AJ309" s="358"/>
      <c r="AK309" s="358"/>
      <c r="AL309" s="358"/>
      <c r="AM309" s="358"/>
      <c r="AN309" s="358"/>
      <c r="AO309" s="358"/>
      <c r="AP309" s="358"/>
      <c r="AQ309" s="358"/>
      <c r="AR309" s="358"/>
      <c r="AS309" s="358"/>
      <c r="AT309" s="358"/>
      <c r="AU309" s="358"/>
      <c r="AV309" s="358"/>
      <c r="AW309" s="358"/>
      <c r="AX309" s="358"/>
      <c r="AY309" s="358"/>
      <c r="AZ309" s="358"/>
      <c r="BA309" s="358"/>
      <c r="BB309" s="358"/>
      <c r="BC309" s="358"/>
      <c r="BD309" s="358"/>
      <c r="BE309" s="358"/>
      <c r="BF309" s="358"/>
      <c r="BG309" s="358"/>
      <c r="BH309" s="358"/>
      <c r="BI309" s="358"/>
      <c r="BJ309" s="358"/>
      <c r="BK309" s="358"/>
      <c r="BL309" s="358"/>
      <c r="BM309" s="358"/>
      <c r="BN309" s="358"/>
      <c r="BO309" s="358"/>
      <c r="BP309" s="358"/>
      <c r="BQ309" s="358"/>
      <c r="BR309" s="358"/>
      <c r="BS309" s="358"/>
      <c r="BT309" s="358"/>
      <c r="BU309" s="358"/>
      <c r="BV309" s="358"/>
    </row>
    <row r="310" spans="2:74" x14ac:dyDescent="0.2">
      <c r="B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  <c r="AI310" s="358"/>
      <c r="AJ310" s="358"/>
      <c r="AK310" s="358"/>
      <c r="AL310" s="358"/>
      <c r="AM310" s="358"/>
      <c r="AN310" s="358"/>
      <c r="AO310" s="358"/>
      <c r="AP310" s="358"/>
      <c r="AQ310" s="358"/>
      <c r="AR310" s="358"/>
      <c r="AS310" s="358"/>
      <c r="AT310" s="358"/>
      <c r="AU310" s="358"/>
      <c r="AV310" s="358"/>
      <c r="AW310" s="358"/>
      <c r="AX310" s="358"/>
      <c r="AY310" s="358"/>
      <c r="AZ310" s="358"/>
      <c r="BA310" s="358"/>
      <c r="BB310" s="358"/>
      <c r="BC310" s="358"/>
      <c r="BD310" s="358"/>
      <c r="BE310" s="358"/>
      <c r="BF310" s="358"/>
      <c r="BG310" s="358"/>
      <c r="BH310" s="358"/>
      <c r="BI310" s="358"/>
      <c r="BJ310" s="358"/>
      <c r="BK310" s="358"/>
      <c r="BL310" s="358"/>
      <c r="BM310" s="358"/>
      <c r="BN310" s="358"/>
      <c r="BO310" s="358"/>
      <c r="BP310" s="358"/>
      <c r="BQ310" s="358"/>
      <c r="BR310" s="358"/>
      <c r="BS310" s="358"/>
      <c r="BT310" s="358"/>
      <c r="BU310" s="358"/>
      <c r="BV310" s="358"/>
    </row>
    <row r="311" spans="2:74" x14ac:dyDescent="0.2">
      <c r="B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  <c r="AA311" s="358"/>
      <c r="AB311" s="358"/>
      <c r="AC311" s="358"/>
      <c r="AD311" s="358"/>
      <c r="AE311" s="358"/>
      <c r="AF311" s="358"/>
      <c r="AG311" s="358"/>
      <c r="AH311" s="358"/>
      <c r="AI311" s="358"/>
      <c r="AJ311" s="358"/>
      <c r="AK311" s="358"/>
      <c r="AL311" s="358"/>
      <c r="AM311" s="358"/>
      <c r="AN311" s="358"/>
      <c r="AO311" s="358"/>
      <c r="AP311" s="358"/>
      <c r="AQ311" s="358"/>
      <c r="AR311" s="358"/>
      <c r="AS311" s="358"/>
      <c r="AT311" s="358"/>
      <c r="AU311" s="358"/>
      <c r="AV311" s="358"/>
      <c r="AW311" s="358"/>
      <c r="AX311" s="358"/>
      <c r="AY311" s="358"/>
      <c r="AZ311" s="358"/>
      <c r="BA311" s="358"/>
      <c r="BB311" s="358"/>
      <c r="BC311" s="358"/>
      <c r="BD311" s="358"/>
      <c r="BE311" s="358"/>
      <c r="BF311" s="358"/>
      <c r="BG311" s="358"/>
      <c r="BH311" s="358"/>
      <c r="BI311" s="358"/>
      <c r="BJ311" s="358"/>
      <c r="BK311" s="358"/>
      <c r="BL311" s="358"/>
      <c r="BM311" s="358"/>
      <c r="BN311" s="358"/>
      <c r="BO311" s="358"/>
      <c r="BP311" s="358"/>
      <c r="BQ311" s="358"/>
      <c r="BR311" s="358"/>
      <c r="BS311" s="358"/>
      <c r="BT311" s="358"/>
      <c r="BU311" s="358"/>
      <c r="BV311" s="358"/>
    </row>
    <row r="312" spans="2:74" x14ac:dyDescent="0.2">
      <c r="B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  <c r="AI312" s="358"/>
      <c r="AJ312" s="358"/>
      <c r="AK312" s="358"/>
      <c r="AL312" s="358"/>
      <c r="AM312" s="358"/>
      <c r="AN312" s="358"/>
      <c r="AO312" s="358"/>
      <c r="AP312" s="358"/>
      <c r="AQ312" s="358"/>
      <c r="AR312" s="358"/>
      <c r="AS312" s="358"/>
      <c r="AT312" s="358"/>
      <c r="AU312" s="358"/>
      <c r="AV312" s="358"/>
      <c r="AW312" s="358"/>
      <c r="AX312" s="358"/>
      <c r="AY312" s="358"/>
      <c r="AZ312" s="358"/>
      <c r="BA312" s="358"/>
      <c r="BB312" s="358"/>
      <c r="BC312" s="358"/>
      <c r="BD312" s="358"/>
      <c r="BE312" s="358"/>
      <c r="BF312" s="358"/>
      <c r="BG312" s="358"/>
      <c r="BH312" s="358"/>
      <c r="BI312" s="358"/>
      <c r="BJ312" s="358"/>
      <c r="BK312" s="358"/>
      <c r="BL312" s="358"/>
      <c r="BM312" s="358"/>
      <c r="BN312" s="358"/>
      <c r="BO312" s="358"/>
      <c r="BP312" s="358"/>
      <c r="BQ312" s="358"/>
      <c r="BR312" s="358"/>
      <c r="BS312" s="358"/>
      <c r="BT312" s="358"/>
      <c r="BU312" s="358"/>
      <c r="BV312" s="358"/>
    </row>
    <row r="313" spans="2:74" x14ac:dyDescent="0.2">
      <c r="B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L313" s="358"/>
      <c r="AM313" s="358"/>
      <c r="AN313" s="358"/>
      <c r="AO313" s="358"/>
      <c r="AP313" s="358"/>
      <c r="AQ313" s="358"/>
      <c r="AR313" s="358"/>
      <c r="AS313" s="358"/>
      <c r="AT313" s="358"/>
      <c r="AU313" s="358"/>
      <c r="AV313" s="358"/>
      <c r="AW313" s="358"/>
      <c r="AX313" s="358"/>
      <c r="AY313" s="358"/>
      <c r="AZ313" s="358"/>
      <c r="BA313" s="358"/>
      <c r="BB313" s="358"/>
      <c r="BC313" s="358"/>
      <c r="BD313" s="358"/>
      <c r="BE313" s="358"/>
      <c r="BF313" s="358"/>
      <c r="BG313" s="358"/>
      <c r="BH313" s="358"/>
      <c r="BI313" s="358"/>
      <c r="BJ313" s="358"/>
      <c r="BK313" s="358"/>
      <c r="BL313" s="358"/>
      <c r="BM313" s="358"/>
      <c r="BN313" s="358"/>
      <c r="BO313" s="358"/>
      <c r="BP313" s="358"/>
      <c r="BQ313" s="358"/>
      <c r="BR313" s="358"/>
      <c r="BS313" s="358"/>
      <c r="BT313" s="358"/>
      <c r="BU313" s="358"/>
      <c r="BV313" s="358"/>
    </row>
    <row r="314" spans="2:74" x14ac:dyDescent="0.2">
      <c r="B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  <c r="AI314" s="358"/>
      <c r="AJ314" s="358"/>
      <c r="AK314" s="358"/>
      <c r="AL314" s="358"/>
      <c r="AM314" s="358"/>
      <c r="AN314" s="358"/>
      <c r="AO314" s="358"/>
      <c r="AP314" s="358"/>
      <c r="AQ314" s="358"/>
      <c r="AR314" s="358"/>
      <c r="AS314" s="358"/>
      <c r="AT314" s="358"/>
      <c r="AU314" s="358"/>
      <c r="AV314" s="358"/>
      <c r="AW314" s="358"/>
      <c r="AX314" s="358"/>
      <c r="AY314" s="358"/>
      <c r="AZ314" s="358"/>
      <c r="BA314" s="358"/>
      <c r="BB314" s="358"/>
      <c r="BC314" s="358"/>
      <c r="BD314" s="358"/>
      <c r="BE314" s="358"/>
      <c r="BF314" s="358"/>
      <c r="BG314" s="358"/>
      <c r="BH314" s="358"/>
      <c r="BI314" s="358"/>
      <c r="BJ314" s="358"/>
      <c r="BK314" s="358"/>
      <c r="BL314" s="358"/>
      <c r="BM314" s="358"/>
      <c r="BN314" s="358"/>
      <c r="BO314" s="358"/>
      <c r="BP314" s="358"/>
      <c r="BQ314" s="358"/>
      <c r="BR314" s="358"/>
      <c r="BS314" s="358"/>
      <c r="BT314" s="358"/>
      <c r="BU314" s="358"/>
      <c r="BV314" s="358"/>
    </row>
    <row r="315" spans="2:74" x14ac:dyDescent="0.2">
      <c r="B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  <c r="AA315" s="358"/>
      <c r="AB315" s="358"/>
      <c r="AC315" s="358"/>
      <c r="AD315" s="358"/>
      <c r="AE315" s="358"/>
      <c r="AF315" s="358"/>
      <c r="AG315" s="358"/>
      <c r="AH315" s="358"/>
      <c r="AI315" s="358"/>
      <c r="AJ315" s="358"/>
      <c r="AK315" s="358"/>
      <c r="AL315" s="358"/>
      <c r="AM315" s="358"/>
      <c r="AN315" s="358"/>
      <c r="AO315" s="358"/>
      <c r="AP315" s="358"/>
      <c r="AQ315" s="358"/>
      <c r="AR315" s="358"/>
      <c r="AS315" s="358"/>
      <c r="AT315" s="358"/>
      <c r="AU315" s="358"/>
      <c r="AV315" s="358"/>
      <c r="AW315" s="358"/>
      <c r="AX315" s="358"/>
      <c r="AY315" s="358"/>
      <c r="AZ315" s="358"/>
      <c r="BA315" s="358"/>
      <c r="BB315" s="358"/>
      <c r="BC315" s="358"/>
      <c r="BD315" s="358"/>
      <c r="BE315" s="358"/>
      <c r="BF315" s="358"/>
      <c r="BG315" s="358"/>
      <c r="BH315" s="358"/>
      <c r="BI315" s="358"/>
      <c r="BJ315" s="358"/>
      <c r="BK315" s="358"/>
      <c r="BL315" s="358"/>
      <c r="BM315" s="358"/>
      <c r="BN315" s="358"/>
      <c r="BO315" s="358"/>
      <c r="BP315" s="358"/>
      <c r="BQ315" s="358"/>
      <c r="BR315" s="358"/>
      <c r="BS315" s="358"/>
      <c r="BT315" s="358"/>
      <c r="BU315" s="358"/>
      <c r="BV315" s="358"/>
    </row>
    <row r="316" spans="2:74" x14ac:dyDescent="0.2">
      <c r="B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L316" s="358"/>
      <c r="AM316" s="358"/>
      <c r="AN316" s="358"/>
      <c r="AO316" s="358"/>
      <c r="AP316" s="358"/>
      <c r="AQ316" s="358"/>
      <c r="AR316" s="358"/>
      <c r="AS316" s="358"/>
      <c r="AT316" s="358"/>
      <c r="AU316" s="358"/>
      <c r="AV316" s="358"/>
      <c r="AW316" s="358"/>
      <c r="AX316" s="358"/>
      <c r="AY316" s="358"/>
      <c r="AZ316" s="358"/>
      <c r="BA316" s="358"/>
      <c r="BB316" s="358"/>
      <c r="BC316" s="358"/>
      <c r="BD316" s="358"/>
      <c r="BE316" s="358"/>
      <c r="BF316" s="358"/>
      <c r="BG316" s="358"/>
      <c r="BH316" s="358"/>
      <c r="BI316" s="358"/>
      <c r="BJ316" s="358"/>
      <c r="BK316" s="358"/>
      <c r="BL316" s="358"/>
      <c r="BM316" s="358"/>
      <c r="BN316" s="358"/>
      <c r="BO316" s="358"/>
      <c r="BP316" s="358"/>
      <c r="BQ316" s="358"/>
      <c r="BR316" s="358"/>
      <c r="BS316" s="358"/>
      <c r="BT316" s="358"/>
      <c r="BU316" s="358"/>
      <c r="BV316" s="358"/>
    </row>
    <row r="317" spans="2:74" x14ac:dyDescent="0.2">
      <c r="B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  <c r="AA317" s="358"/>
      <c r="AB317" s="358"/>
      <c r="AC317" s="358"/>
      <c r="AD317" s="358"/>
      <c r="AE317" s="358"/>
      <c r="AF317" s="358"/>
      <c r="AG317" s="358"/>
      <c r="AH317" s="358"/>
      <c r="AI317" s="358"/>
      <c r="AJ317" s="358"/>
      <c r="AK317" s="358"/>
      <c r="AL317" s="358"/>
      <c r="AM317" s="358"/>
      <c r="AN317" s="358"/>
      <c r="AO317" s="358"/>
      <c r="AP317" s="358"/>
      <c r="AQ317" s="358"/>
      <c r="AR317" s="358"/>
      <c r="AS317" s="358"/>
      <c r="AT317" s="358"/>
      <c r="AU317" s="358"/>
      <c r="AV317" s="358"/>
      <c r="AW317" s="358"/>
      <c r="AX317" s="358"/>
      <c r="AY317" s="358"/>
      <c r="AZ317" s="358"/>
      <c r="BA317" s="358"/>
      <c r="BB317" s="358"/>
      <c r="BC317" s="358"/>
      <c r="BD317" s="358"/>
      <c r="BE317" s="358"/>
      <c r="BF317" s="358"/>
      <c r="BG317" s="358"/>
      <c r="BH317" s="358"/>
      <c r="BI317" s="358"/>
      <c r="BJ317" s="358"/>
      <c r="BK317" s="358"/>
      <c r="BL317" s="358"/>
      <c r="BM317" s="358"/>
      <c r="BN317" s="358"/>
      <c r="BO317" s="358"/>
      <c r="BP317" s="358"/>
      <c r="BQ317" s="358"/>
      <c r="BR317" s="358"/>
      <c r="BS317" s="358"/>
      <c r="BT317" s="358"/>
      <c r="BU317" s="358"/>
      <c r="BV317" s="358"/>
    </row>
    <row r="318" spans="2:74" x14ac:dyDescent="0.2">
      <c r="B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  <c r="AI318" s="358"/>
      <c r="AJ318" s="358"/>
      <c r="AK318" s="358"/>
      <c r="AL318" s="358"/>
      <c r="AM318" s="358"/>
      <c r="AN318" s="358"/>
      <c r="AO318" s="358"/>
      <c r="AP318" s="358"/>
      <c r="AQ318" s="358"/>
      <c r="AR318" s="358"/>
      <c r="AS318" s="358"/>
      <c r="AT318" s="358"/>
      <c r="AU318" s="358"/>
      <c r="AV318" s="358"/>
      <c r="AW318" s="358"/>
      <c r="AX318" s="358"/>
      <c r="AY318" s="358"/>
      <c r="AZ318" s="358"/>
      <c r="BA318" s="358"/>
      <c r="BB318" s="358"/>
      <c r="BC318" s="358"/>
      <c r="BD318" s="358"/>
      <c r="BE318" s="358"/>
      <c r="BF318" s="358"/>
      <c r="BG318" s="358"/>
      <c r="BH318" s="358"/>
      <c r="BI318" s="358"/>
      <c r="BJ318" s="358"/>
      <c r="BK318" s="358"/>
      <c r="BL318" s="358"/>
      <c r="BM318" s="358"/>
      <c r="BN318" s="358"/>
      <c r="BO318" s="358"/>
      <c r="BP318" s="358"/>
      <c r="BQ318" s="358"/>
      <c r="BR318" s="358"/>
      <c r="BS318" s="358"/>
      <c r="BT318" s="358"/>
      <c r="BU318" s="358"/>
      <c r="BV318" s="358"/>
    </row>
    <row r="319" spans="2:74" x14ac:dyDescent="0.2">
      <c r="B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  <c r="AA319" s="358"/>
      <c r="AB319" s="358"/>
      <c r="AC319" s="358"/>
      <c r="AD319" s="358"/>
      <c r="AE319" s="358"/>
      <c r="AF319" s="358"/>
      <c r="AG319" s="358"/>
      <c r="AH319" s="358"/>
      <c r="AI319" s="358"/>
      <c r="AJ319" s="358"/>
      <c r="AK319" s="358"/>
      <c r="AL319" s="358"/>
      <c r="AM319" s="358"/>
      <c r="AN319" s="358"/>
      <c r="AO319" s="358"/>
      <c r="AP319" s="358"/>
      <c r="AQ319" s="358"/>
      <c r="AR319" s="358"/>
      <c r="AS319" s="358"/>
      <c r="AT319" s="358"/>
      <c r="AU319" s="358"/>
      <c r="AV319" s="358"/>
      <c r="AW319" s="358"/>
      <c r="AX319" s="358"/>
      <c r="AY319" s="358"/>
      <c r="AZ319" s="358"/>
      <c r="BA319" s="358"/>
      <c r="BB319" s="358"/>
      <c r="BC319" s="358"/>
      <c r="BD319" s="358"/>
      <c r="BE319" s="358"/>
      <c r="BF319" s="358"/>
      <c r="BG319" s="358"/>
      <c r="BH319" s="358"/>
      <c r="BI319" s="358"/>
      <c r="BJ319" s="358"/>
      <c r="BK319" s="358"/>
      <c r="BL319" s="358"/>
      <c r="BM319" s="358"/>
      <c r="BN319" s="358"/>
      <c r="BO319" s="358"/>
      <c r="BP319" s="358"/>
      <c r="BQ319" s="358"/>
      <c r="BR319" s="358"/>
      <c r="BS319" s="358"/>
      <c r="BT319" s="358"/>
      <c r="BU319" s="358"/>
      <c r="BV319" s="358"/>
    </row>
    <row r="320" spans="2:74" x14ac:dyDescent="0.2">
      <c r="B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  <c r="AI320" s="358"/>
      <c r="AJ320" s="358"/>
      <c r="AK320" s="358"/>
      <c r="AL320" s="358"/>
      <c r="AM320" s="358"/>
      <c r="AN320" s="358"/>
      <c r="AO320" s="358"/>
      <c r="AP320" s="358"/>
      <c r="AQ320" s="358"/>
      <c r="AR320" s="358"/>
      <c r="AS320" s="358"/>
      <c r="AT320" s="358"/>
      <c r="AU320" s="358"/>
      <c r="AV320" s="358"/>
      <c r="AW320" s="358"/>
      <c r="AX320" s="358"/>
      <c r="AY320" s="358"/>
      <c r="AZ320" s="358"/>
      <c r="BA320" s="358"/>
      <c r="BB320" s="358"/>
      <c r="BC320" s="358"/>
      <c r="BD320" s="358"/>
      <c r="BE320" s="358"/>
      <c r="BF320" s="358"/>
      <c r="BG320" s="358"/>
      <c r="BH320" s="358"/>
      <c r="BI320" s="358"/>
      <c r="BJ320" s="358"/>
      <c r="BK320" s="358"/>
      <c r="BL320" s="358"/>
      <c r="BM320" s="358"/>
      <c r="BN320" s="358"/>
      <c r="BO320" s="358"/>
      <c r="BP320" s="358"/>
      <c r="BQ320" s="358"/>
      <c r="BR320" s="358"/>
      <c r="BS320" s="358"/>
      <c r="BT320" s="358"/>
      <c r="BU320" s="358"/>
      <c r="BV320" s="358"/>
    </row>
    <row r="321" spans="2:74" x14ac:dyDescent="0.2">
      <c r="B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  <c r="AA321" s="358"/>
      <c r="AB321" s="358"/>
      <c r="AC321" s="358"/>
      <c r="AD321" s="358"/>
      <c r="AE321" s="358"/>
      <c r="AF321" s="358"/>
      <c r="AG321" s="358"/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58"/>
      <c r="AX321" s="358"/>
      <c r="AY321" s="358"/>
      <c r="AZ321" s="358"/>
      <c r="BA321" s="358"/>
      <c r="BB321" s="358"/>
      <c r="BC321" s="358"/>
      <c r="BD321" s="358"/>
      <c r="BE321" s="358"/>
      <c r="BF321" s="358"/>
      <c r="BG321" s="358"/>
      <c r="BH321" s="358"/>
      <c r="BI321" s="358"/>
      <c r="BJ321" s="358"/>
      <c r="BK321" s="358"/>
      <c r="BL321" s="358"/>
      <c r="BM321" s="358"/>
      <c r="BN321" s="358"/>
      <c r="BO321" s="358"/>
      <c r="BP321" s="358"/>
      <c r="BQ321" s="358"/>
      <c r="BR321" s="358"/>
      <c r="BS321" s="358"/>
      <c r="BT321" s="358"/>
      <c r="BU321" s="358"/>
      <c r="BV321" s="358"/>
    </row>
    <row r="322" spans="2:74" x14ac:dyDescent="0.2">
      <c r="B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L322" s="358"/>
      <c r="AM322" s="358"/>
      <c r="AN322" s="358"/>
      <c r="AO322" s="358"/>
      <c r="AP322" s="358"/>
      <c r="AQ322" s="358"/>
      <c r="AR322" s="358"/>
      <c r="AS322" s="358"/>
      <c r="AT322" s="358"/>
      <c r="AU322" s="358"/>
      <c r="AV322" s="358"/>
      <c r="AW322" s="358"/>
      <c r="AX322" s="358"/>
      <c r="AY322" s="358"/>
      <c r="AZ322" s="358"/>
      <c r="BA322" s="358"/>
      <c r="BB322" s="358"/>
      <c r="BC322" s="358"/>
      <c r="BD322" s="358"/>
      <c r="BE322" s="358"/>
      <c r="BF322" s="358"/>
      <c r="BG322" s="358"/>
      <c r="BH322" s="358"/>
      <c r="BI322" s="358"/>
      <c r="BJ322" s="358"/>
      <c r="BK322" s="358"/>
      <c r="BL322" s="358"/>
      <c r="BM322" s="358"/>
      <c r="BN322" s="358"/>
      <c r="BO322" s="358"/>
      <c r="BP322" s="358"/>
      <c r="BQ322" s="358"/>
      <c r="BR322" s="358"/>
      <c r="BS322" s="358"/>
      <c r="BT322" s="358"/>
      <c r="BU322" s="358"/>
      <c r="BV322" s="358"/>
    </row>
    <row r="323" spans="2:74" x14ac:dyDescent="0.2">
      <c r="B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  <c r="AK323" s="358"/>
      <c r="AL323" s="358"/>
      <c r="AM323" s="358"/>
      <c r="AN323" s="358"/>
      <c r="AO323" s="358"/>
      <c r="AP323" s="358"/>
      <c r="AQ323" s="358"/>
      <c r="AR323" s="358"/>
      <c r="AS323" s="358"/>
      <c r="AT323" s="358"/>
      <c r="AU323" s="358"/>
      <c r="AV323" s="358"/>
      <c r="AW323" s="358"/>
      <c r="AX323" s="358"/>
      <c r="AY323" s="358"/>
      <c r="AZ323" s="358"/>
      <c r="BA323" s="358"/>
      <c r="BB323" s="358"/>
      <c r="BC323" s="358"/>
      <c r="BD323" s="358"/>
      <c r="BE323" s="358"/>
      <c r="BF323" s="358"/>
      <c r="BG323" s="358"/>
      <c r="BH323" s="358"/>
      <c r="BI323" s="358"/>
      <c r="BJ323" s="358"/>
      <c r="BK323" s="358"/>
      <c r="BL323" s="358"/>
      <c r="BM323" s="358"/>
      <c r="BN323" s="358"/>
      <c r="BO323" s="358"/>
      <c r="BP323" s="358"/>
      <c r="BQ323" s="358"/>
      <c r="BR323" s="358"/>
      <c r="BS323" s="358"/>
      <c r="BT323" s="358"/>
      <c r="BU323" s="358"/>
      <c r="BV323" s="358"/>
    </row>
    <row r="324" spans="2:74" x14ac:dyDescent="0.2">
      <c r="B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  <c r="AI324" s="358"/>
      <c r="AJ324" s="358"/>
      <c r="AK324" s="358"/>
      <c r="AL324" s="358"/>
      <c r="AM324" s="358"/>
      <c r="AN324" s="358"/>
      <c r="AO324" s="358"/>
      <c r="AP324" s="358"/>
      <c r="AQ324" s="358"/>
      <c r="AR324" s="358"/>
      <c r="AS324" s="358"/>
      <c r="AT324" s="358"/>
      <c r="AU324" s="358"/>
      <c r="AV324" s="358"/>
      <c r="AW324" s="358"/>
      <c r="AX324" s="358"/>
      <c r="AY324" s="358"/>
      <c r="AZ324" s="358"/>
      <c r="BA324" s="358"/>
      <c r="BB324" s="358"/>
      <c r="BC324" s="358"/>
      <c r="BD324" s="358"/>
      <c r="BE324" s="358"/>
      <c r="BF324" s="358"/>
      <c r="BG324" s="358"/>
      <c r="BH324" s="358"/>
      <c r="BI324" s="358"/>
      <c r="BJ324" s="358"/>
      <c r="BK324" s="358"/>
      <c r="BL324" s="358"/>
      <c r="BM324" s="358"/>
      <c r="BN324" s="358"/>
      <c r="BO324" s="358"/>
      <c r="BP324" s="358"/>
      <c r="BQ324" s="358"/>
      <c r="BR324" s="358"/>
      <c r="BS324" s="358"/>
      <c r="BT324" s="358"/>
      <c r="BU324" s="358"/>
      <c r="BV324" s="358"/>
    </row>
    <row r="325" spans="2:74" x14ac:dyDescent="0.2">
      <c r="B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  <c r="AA325" s="358"/>
      <c r="AB325" s="358"/>
      <c r="AC325" s="358"/>
      <c r="AD325" s="358"/>
      <c r="AE325" s="358"/>
      <c r="AF325" s="358"/>
      <c r="AG325" s="358"/>
      <c r="AH325" s="358"/>
      <c r="AI325" s="358"/>
      <c r="AJ325" s="358"/>
      <c r="AK325" s="358"/>
      <c r="AL325" s="358"/>
      <c r="AM325" s="358"/>
      <c r="AN325" s="358"/>
      <c r="AO325" s="358"/>
      <c r="AP325" s="358"/>
      <c r="AQ325" s="358"/>
      <c r="AR325" s="358"/>
      <c r="AS325" s="358"/>
      <c r="AT325" s="358"/>
      <c r="AU325" s="358"/>
      <c r="AV325" s="358"/>
      <c r="AW325" s="358"/>
      <c r="AX325" s="358"/>
      <c r="AY325" s="358"/>
      <c r="AZ325" s="358"/>
      <c r="BA325" s="358"/>
      <c r="BB325" s="358"/>
      <c r="BC325" s="358"/>
      <c r="BD325" s="358"/>
      <c r="BE325" s="358"/>
      <c r="BF325" s="358"/>
      <c r="BG325" s="358"/>
      <c r="BH325" s="358"/>
      <c r="BI325" s="358"/>
      <c r="BJ325" s="358"/>
      <c r="BK325" s="358"/>
      <c r="BL325" s="358"/>
      <c r="BM325" s="358"/>
      <c r="BN325" s="358"/>
      <c r="BO325" s="358"/>
      <c r="BP325" s="358"/>
      <c r="BQ325" s="358"/>
      <c r="BR325" s="358"/>
      <c r="BS325" s="358"/>
      <c r="BT325" s="358"/>
      <c r="BU325" s="358"/>
      <c r="BV325" s="358"/>
    </row>
    <row r="326" spans="2:74" x14ac:dyDescent="0.2">
      <c r="B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  <c r="AS326" s="358"/>
      <c r="AT326" s="358"/>
      <c r="AU326" s="358"/>
      <c r="AV326" s="358"/>
      <c r="AW326" s="358"/>
      <c r="AX326" s="358"/>
      <c r="AY326" s="358"/>
      <c r="AZ326" s="358"/>
      <c r="BA326" s="358"/>
      <c r="BB326" s="358"/>
      <c r="BC326" s="358"/>
      <c r="BD326" s="358"/>
      <c r="BE326" s="358"/>
      <c r="BF326" s="358"/>
      <c r="BG326" s="358"/>
      <c r="BH326" s="358"/>
      <c r="BI326" s="358"/>
      <c r="BJ326" s="358"/>
      <c r="BK326" s="358"/>
      <c r="BL326" s="358"/>
      <c r="BM326" s="358"/>
      <c r="BN326" s="358"/>
      <c r="BO326" s="358"/>
      <c r="BP326" s="358"/>
      <c r="BQ326" s="358"/>
      <c r="BR326" s="358"/>
      <c r="BS326" s="358"/>
      <c r="BT326" s="358"/>
      <c r="BU326" s="358"/>
      <c r="BV326" s="358"/>
    </row>
    <row r="327" spans="2:74" x14ac:dyDescent="0.2">
      <c r="B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  <c r="AA327" s="358"/>
      <c r="AB327" s="358"/>
      <c r="AC327" s="358"/>
      <c r="AD327" s="358"/>
      <c r="AE327" s="358"/>
      <c r="AF327" s="358"/>
      <c r="AG327" s="358"/>
      <c r="AH327" s="358"/>
      <c r="AI327" s="358"/>
      <c r="AJ327" s="358"/>
      <c r="AK327" s="358"/>
      <c r="AL327" s="358"/>
      <c r="AM327" s="358"/>
      <c r="AN327" s="358"/>
      <c r="AO327" s="358"/>
      <c r="AP327" s="358"/>
      <c r="AQ327" s="358"/>
      <c r="AR327" s="358"/>
      <c r="AS327" s="358"/>
      <c r="AT327" s="358"/>
      <c r="AU327" s="358"/>
      <c r="AV327" s="358"/>
      <c r="AW327" s="358"/>
      <c r="AX327" s="358"/>
      <c r="AY327" s="358"/>
      <c r="AZ327" s="358"/>
      <c r="BA327" s="358"/>
      <c r="BB327" s="358"/>
      <c r="BC327" s="358"/>
      <c r="BD327" s="358"/>
      <c r="BE327" s="358"/>
      <c r="BF327" s="358"/>
      <c r="BG327" s="358"/>
      <c r="BH327" s="358"/>
      <c r="BI327" s="358"/>
      <c r="BJ327" s="358"/>
      <c r="BK327" s="358"/>
      <c r="BL327" s="358"/>
      <c r="BM327" s="358"/>
      <c r="BN327" s="358"/>
      <c r="BO327" s="358"/>
      <c r="BP327" s="358"/>
      <c r="BQ327" s="358"/>
      <c r="BR327" s="358"/>
      <c r="BS327" s="358"/>
      <c r="BT327" s="358"/>
      <c r="BU327" s="358"/>
      <c r="BV327" s="358"/>
    </row>
    <row r="328" spans="2:74" x14ac:dyDescent="0.2">
      <c r="B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  <c r="AI328" s="358"/>
      <c r="AJ328" s="358"/>
      <c r="AK328" s="358"/>
      <c r="AL328" s="358"/>
      <c r="AM328" s="358"/>
      <c r="AN328" s="358"/>
      <c r="AO328" s="358"/>
      <c r="AP328" s="358"/>
      <c r="AQ328" s="358"/>
      <c r="AR328" s="358"/>
      <c r="AS328" s="358"/>
      <c r="AT328" s="358"/>
      <c r="AU328" s="358"/>
      <c r="AV328" s="358"/>
      <c r="AW328" s="358"/>
      <c r="AX328" s="358"/>
      <c r="AY328" s="358"/>
      <c r="AZ328" s="358"/>
      <c r="BA328" s="358"/>
      <c r="BB328" s="358"/>
      <c r="BC328" s="358"/>
      <c r="BD328" s="358"/>
      <c r="BE328" s="358"/>
      <c r="BF328" s="358"/>
      <c r="BG328" s="358"/>
      <c r="BH328" s="358"/>
      <c r="BI328" s="358"/>
      <c r="BJ328" s="358"/>
      <c r="BK328" s="358"/>
      <c r="BL328" s="358"/>
      <c r="BM328" s="358"/>
      <c r="BN328" s="358"/>
      <c r="BO328" s="358"/>
      <c r="BP328" s="358"/>
      <c r="BQ328" s="358"/>
      <c r="BR328" s="358"/>
      <c r="BS328" s="358"/>
      <c r="BT328" s="358"/>
      <c r="BU328" s="358"/>
      <c r="BV328" s="358"/>
    </row>
    <row r="329" spans="2:74" x14ac:dyDescent="0.2">
      <c r="B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  <c r="AA329" s="358"/>
      <c r="AB329" s="358"/>
      <c r="AC329" s="358"/>
      <c r="AD329" s="358"/>
      <c r="AE329" s="358"/>
      <c r="AF329" s="358"/>
      <c r="AG329" s="358"/>
      <c r="AH329" s="358"/>
      <c r="AI329" s="358"/>
      <c r="AJ329" s="358"/>
      <c r="AK329" s="358"/>
      <c r="AL329" s="358"/>
      <c r="AM329" s="358"/>
      <c r="AN329" s="358"/>
      <c r="AO329" s="358"/>
      <c r="AP329" s="358"/>
      <c r="AQ329" s="358"/>
      <c r="AR329" s="358"/>
      <c r="AS329" s="358"/>
      <c r="AT329" s="358"/>
      <c r="AU329" s="358"/>
      <c r="AV329" s="358"/>
      <c r="AW329" s="358"/>
      <c r="AX329" s="358"/>
      <c r="AY329" s="358"/>
      <c r="AZ329" s="358"/>
      <c r="BA329" s="358"/>
      <c r="BB329" s="358"/>
      <c r="BC329" s="358"/>
      <c r="BD329" s="358"/>
      <c r="BE329" s="358"/>
      <c r="BF329" s="358"/>
      <c r="BG329" s="358"/>
      <c r="BH329" s="358"/>
      <c r="BI329" s="358"/>
      <c r="BJ329" s="358"/>
      <c r="BK329" s="358"/>
      <c r="BL329" s="358"/>
      <c r="BM329" s="358"/>
      <c r="BN329" s="358"/>
      <c r="BO329" s="358"/>
      <c r="BP329" s="358"/>
      <c r="BQ329" s="358"/>
      <c r="BR329" s="358"/>
      <c r="BS329" s="358"/>
      <c r="BT329" s="358"/>
      <c r="BU329" s="358"/>
      <c r="BV329" s="358"/>
    </row>
    <row r="330" spans="2:74" x14ac:dyDescent="0.2">
      <c r="B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  <c r="AI330" s="358"/>
      <c r="AJ330" s="358"/>
      <c r="AK330" s="358"/>
      <c r="AL330" s="358"/>
      <c r="AM330" s="358"/>
      <c r="AN330" s="358"/>
      <c r="AO330" s="358"/>
      <c r="AP330" s="358"/>
      <c r="AQ330" s="358"/>
      <c r="AR330" s="358"/>
      <c r="AS330" s="358"/>
      <c r="AT330" s="358"/>
      <c r="AU330" s="358"/>
      <c r="AV330" s="358"/>
      <c r="AW330" s="358"/>
      <c r="AX330" s="358"/>
      <c r="AY330" s="358"/>
      <c r="AZ330" s="358"/>
      <c r="BA330" s="358"/>
      <c r="BB330" s="358"/>
      <c r="BC330" s="358"/>
      <c r="BD330" s="358"/>
      <c r="BE330" s="358"/>
      <c r="BF330" s="358"/>
      <c r="BG330" s="358"/>
      <c r="BH330" s="358"/>
      <c r="BI330" s="358"/>
      <c r="BJ330" s="358"/>
      <c r="BK330" s="358"/>
      <c r="BL330" s="358"/>
      <c r="BM330" s="358"/>
      <c r="BN330" s="358"/>
      <c r="BO330" s="358"/>
      <c r="BP330" s="358"/>
      <c r="BQ330" s="358"/>
      <c r="BR330" s="358"/>
      <c r="BS330" s="358"/>
      <c r="BT330" s="358"/>
      <c r="BU330" s="358"/>
      <c r="BV330" s="358"/>
    </row>
    <row r="331" spans="2:74" x14ac:dyDescent="0.2">
      <c r="B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  <c r="AA331" s="358"/>
      <c r="AB331" s="358"/>
      <c r="AC331" s="358"/>
      <c r="AD331" s="358"/>
      <c r="AE331" s="358"/>
      <c r="AF331" s="358"/>
      <c r="AG331" s="358"/>
      <c r="AH331" s="358"/>
      <c r="AI331" s="358"/>
      <c r="AJ331" s="358"/>
      <c r="AK331" s="358"/>
      <c r="AL331" s="358"/>
      <c r="AM331" s="358"/>
      <c r="AN331" s="358"/>
      <c r="AO331" s="358"/>
      <c r="AP331" s="358"/>
      <c r="AQ331" s="358"/>
      <c r="AR331" s="358"/>
      <c r="AS331" s="358"/>
      <c r="AT331" s="358"/>
      <c r="AU331" s="358"/>
      <c r="AV331" s="358"/>
      <c r="AW331" s="358"/>
      <c r="AX331" s="358"/>
      <c r="AY331" s="358"/>
      <c r="AZ331" s="358"/>
      <c r="BA331" s="358"/>
      <c r="BB331" s="358"/>
      <c r="BC331" s="358"/>
      <c r="BD331" s="358"/>
      <c r="BE331" s="358"/>
      <c r="BF331" s="358"/>
      <c r="BG331" s="358"/>
      <c r="BH331" s="358"/>
      <c r="BI331" s="358"/>
      <c r="BJ331" s="358"/>
      <c r="BK331" s="358"/>
      <c r="BL331" s="358"/>
      <c r="BM331" s="358"/>
      <c r="BN331" s="358"/>
      <c r="BO331" s="358"/>
      <c r="BP331" s="358"/>
      <c r="BQ331" s="358"/>
      <c r="BR331" s="358"/>
      <c r="BS331" s="358"/>
      <c r="BT331" s="358"/>
      <c r="BU331" s="358"/>
      <c r="BV331" s="358"/>
    </row>
    <row r="332" spans="2:74" x14ac:dyDescent="0.2">
      <c r="B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  <c r="AI332" s="358"/>
      <c r="AJ332" s="358"/>
      <c r="AK332" s="358"/>
      <c r="AL332" s="358"/>
      <c r="AM332" s="358"/>
      <c r="AN332" s="358"/>
      <c r="AO332" s="358"/>
      <c r="AP332" s="358"/>
      <c r="AQ332" s="358"/>
      <c r="AR332" s="358"/>
      <c r="AS332" s="358"/>
      <c r="AT332" s="358"/>
      <c r="AU332" s="358"/>
      <c r="AV332" s="358"/>
      <c r="AW332" s="358"/>
      <c r="AX332" s="358"/>
      <c r="AY332" s="358"/>
      <c r="AZ332" s="358"/>
      <c r="BA332" s="358"/>
      <c r="BB332" s="358"/>
      <c r="BC332" s="358"/>
      <c r="BD332" s="358"/>
      <c r="BE332" s="358"/>
      <c r="BF332" s="358"/>
      <c r="BG332" s="358"/>
      <c r="BH332" s="358"/>
      <c r="BI332" s="358"/>
      <c r="BJ332" s="358"/>
      <c r="BK332" s="358"/>
      <c r="BL332" s="358"/>
      <c r="BM332" s="358"/>
      <c r="BN332" s="358"/>
      <c r="BO332" s="358"/>
      <c r="BP332" s="358"/>
      <c r="BQ332" s="358"/>
      <c r="BR332" s="358"/>
      <c r="BS332" s="358"/>
      <c r="BT332" s="358"/>
      <c r="BU332" s="358"/>
      <c r="BV332" s="358"/>
    </row>
    <row r="333" spans="2:74" x14ac:dyDescent="0.2">
      <c r="B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  <c r="AA333" s="358"/>
      <c r="AB333" s="358"/>
      <c r="AC333" s="358"/>
      <c r="AD333" s="358"/>
      <c r="AE333" s="358"/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  <c r="AS333" s="358"/>
      <c r="AT333" s="358"/>
      <c r="AU333" s="358"/>
      <c r="AV333" s="358"/>
      <c r="AW333" s="358"/>
      <c r="AX333" s="358"/>
      <c r="AY333" s="358"/>
      <c r="AZ333" s="358"/>
      <c r="BA333" s="358"/>
      <c r="BB333" s="358"/>
      <c r="BC333" s="358"/>
      <c r="BD333" s="358"/>
      <c r="BE333" s="358"/>
      <c r="BF333" s="358"/>
      <c r="BG333" s="358"/>
      <c r="BH333" s="358"/>
      <c r="BI333" s="358"/>
      <c r="BJ333" s="358"/>
      <c r="BK333" s="358"/>
      <c r="BL333" s="358"/>
      <c r="BM333" s="358"/>
      <c r="BN333" s="358"/>
      <c r="BO333" s="358"/>
      <c r="BP333" s="358"/>
      <c r="BQ333" s="358"/>
      <c r="BR333" s="358"/>
      <c r="BS333" s="358"/>
      <c r="BT333" s="358"/>
      <c r="BU333" s="358"/>
      <c r="BV333" s="358"/>
    </row>
    <row r="334" spans="2:74" x14ac:dyDescent="0.2">
      <c r="B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  <c r="AI334" s="358"/>
      <c r="AJ334" s="358"/>
      <c r="AK334" s="358"/>
      <c r="AL334" s="358"/>
      <c r="AM334" s="358"/>
      <c r="AN334" s="358"/>
      <c r="AO334" s="358"/>
      <c r="AP334" s="358"/>
      <c r="AQ334" s="358"/>
      <c r="AR334" s="358"/>
      <c r="AS334" s="358"/>
      <c r="AT334" s="358"/>
      <c r="AU334" s="358"/>
      <c r="AV334" s="358"/>
      <c r="AW334" s="358"/>
      <c r="AX334" s="358"/>
      <c r="AY334" s="358"/>
      <c r="AZ334" s="358"/>
      <c r="BA334" s="358"/>
      <c r="BB334" s="358"/>
      <c r="BC334" s="358"/>
      <c r="BD334" s="358"/>
      <c r="BE334" s="358"/>
      <c r="BF334" s="358"/>
      <c r="BG334" s="358"/>
      <c r="BH334" s="358"/>
      <c r="BI334" s="358"/>
      <c r="BJ334" s="358"/>
      <c r="BK334" s="358"/>
      <c r="BL334" s="358"/>
      <c r="BM334" s="358"/>
      <c r="BN334" s="358"/>
      <c r="BO334" s="358"/>
      <c r="BP334" s="358"/>
      <c r="BQ334" s="358"/>
      <c r="BR334" s="358"/>
      <c r="BS334" s="358"/>
      <c r="BT334" s="358"/>
      <c r="BU334" s="358"/>
      <c r="BV334" s="358"/>
    </row>
    <row r="335" spans="2:74" x14ac:dyDescent="0.2">
      <c r="B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  <c r="AK335" s="358"/>
      <c r="AL335" s="358"/>
      <c r="AM335" s="358"/>
      <c r="AN335" s="358"/>
      <c r="AO335" s="358"/>
      <c r="AP335" s="358"/>
      <c r="AQ335" s="358"/>
      <c r="AR335" s="358"/>
      <c r="AS335" s="358"/>
      <c r="AT335" s="358"/>
      <c r="AU335" s="358"/>
      <c r="AV335" s="358"/>
      <c r="AW335" s="358"/>
      <c r="AX335" s="358"/>
      <c r="AY335" s="358"/>
      <c r="AZ335" s="358"/>
      <c r="BA335" s="358"/>
      <c r="BB335" s="358"/>
      <c r="BC335" s="358"/>
      <c r="BD335" s="358"/>
      <c r="BE335" s="358"/>
      <c r="BF335" s="358"/>
      <c r="BG335" s="358"/>
      <c r="BH335" s="358"/>
      <c r="BI335" s="358"/>
      <c r="BJ335" s="358"/>
      <c r="BK335" s="358"/>
      <c r="BL335" s="358"/>
      <c r="BM335" s="358"/>
      <c r="BN335" s="358"/>
      <c r="BO335" s="358"/>
      <c r="BP335" s="358"/>
      <c r="BQ335" s="358"/>
      <c r="BR335" s="358"/>
      <c r="BS335" s="358"/>
      <c r="BT335" s="358"/>
      <c r="BU335" s="358"/>
      <c r="BV335" s="358"/>
    </row>
    <row r="336" spans="2:74" x14ac:dyDescent="0.2">
      <c r="B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  <c r="AI336" s="358"/>
      <c r="AJ336" s="358"/>
      <c r="AK336" s="358"/>
      <c r="AL336" s="358"/>
      <c r="AM336" s="358"/>
      <c r="AN336" s="358"/>
      <c r="AO336" s="358"/>
      <c r="AP336" s="358"/>
      <c r="AQ336" s="358"/>
      <c r="AR336" s="358"/>
      <c r="AS336" s="358"/>
      <c r="AT336" s="358"/>
      <c r="AU336" s="358"/>
      <c r="AV336" s="358"/>
      <c r="AW336" s="358"/>
      <c r="AX336" s="358"/>
      <c r="AY336" s="358"/>
      <c r="AZ336" s="358"/>
      <c r="BA336" s="358"/>
      <c r="BB336" s="358"/>
      <c r="BC336" s="358"/>
      <c r="BD336" s="358"/>
      <c r="BE336" s="358"/>
      <c r="BF336" s="358"/>
      <c r="BG336" s="358"/>
      <c r="BH336" s="358"/>
      <c r="BI336" s="358"/>
      <c r="BJ336" s="358"/>
      <c r="BK336" s="358"/>
      <c r="BL336" s="358"/>
      <c r="BM336" s="358"/>
      <c r="BN336" s="358"/>
      <c r="BO336" s="358"/>
      <c r="BP336" s="358"/>
      <c r="BQ336" s="358"/>
      <c r="BR336" s="358"/>
      <c r="BS336" s="358"/>
      <c r="BT336" s="358"/>
      <c r="BU336" s="358"/>
      <c r="BV336" s="358"/>
    </row>
    <row r="337" spans="2:74" x14ac:dyDescent="0.2">
      <c r="B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  <c r="AA337" s="358"/>
      <c r="AB337" s="358"/>
      <c r="AC337" s="358"/>
      <c r="AD337" s="358"/>
      <c r="AE337" s="358"/>
      <c r="AF337" s="358"/>
      <c r="AG337" s="358"/>
      <c r="AH337" s="358"/>
      <c r="AI337" s="358"/>
      <c r="AJ337" s="358"/>
      <c r="AK337" s="358"/>
      <c r="AL337" s="358"/>
      <c r="AM337" s="358"/>
      <c r="AN337" s="358"/>
      <c r="AO337" s="358"/>
      <c r="AP337" s="358"/>
      <c r="AQ337" s="358"/>
      <c r="AR337" s="358"/>
      <c r="AS337" s="358"/>
      <c r="AT337" s="358"/>
      <c r="AU337" s="358"/>
      <c r="AV337" s="358"/>
      <c r="AW337" s="358"/>
      <c r="AX337" s="358"/>
      <c r="AY337" s="358"/>
      <c r="AZ337" s="358"/>
      <c r="BA337" s="358"/>
      <c r="BB337" s="358"/>
      <c r="BC337" s="358"/>
      <c r="BD337" s="358"/>
      <c r="BE337" s="358"/>
      <c r="BF337" s="358"/>
      <c r="BG337" s="358"/>
      <c r="BH337" s="358"/>
      <c r="BI337" s="358"/>
      <c r="BJ337" s="358"/>
      <c r="BK337" s="358"/>
      <c r="BL337" s="358"/>
      <c r="BM337" s="358"/>
      <c r="BN337" s="358"/>
      <c r="BO337" s="358"/>
      <c r="BP337" s="358"/>
      <c r="BQ337" s="358"/>
      <c r="BR337" s="358"/>
      <c r="BS337" s="358"/>
      <c r="BT337" s="358"/>
      <c r="BU337" s="358"/>
      <c r="BV337" s="358"/>
    </row>
    <row r="338" spans="2:74" x14ac:dyDescent="0.2">
      <c r="B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  <c r="AI338" s="358"/>
      <c r="AJ338" s="358"/>
      <c r="AK338" s="358"/>
      <c r="AL338" s="358"/>
      <c r="AM338" s="358"/>
      <c r="AN338" s="358"/>
      <c r="AO338" s="358"/>
      <c r="AP338" s="358"/>
      <c r="AQ338" s="358"/>
      <c r="AR338" s="358"/>
      <c r="AS338" s="358"/>
      <c r="AT338" s="358"/>
      <c r="AU338" s="358"/>
      <c r="AV338" s="358"/>
      <c r="AW338" s="358"/>
      <c r="AX338" s="358"/>
      <c r="AY338" s="358"/>
      <c r="AZ338" s="358"/>
      <c r="BA338" s="358"/>
      <c r="BB338" s="358"/>
      <c r="BC338" s="358"/>
      <c r="BD338" s="358"/>
      <c r="BE338" s="358"/>
      <c r="BF338" s="358"/>
      <c r="BG338" s="358"/>
      <c r="BH338" s="358"/>
      <c r="BI338" s="358"/>
      <c r="BJ338" s="358"/>
      <c r="BK338" s="358"/>
      <c r="BL338" s="358"/>
      <c r="BM338" s="358"/>
      <c r="BN338" s="358"/>
      <c r="BO338" s="358"/>
      <c r="BP338" s="358"/>
      <c r="BQ338" s="358"/>
      <c r="BR338" s="358"/>
      <c r="BS338" s="358"/>
      <c r="BT338" s="358"/>
      <c r="BU338" s="358"/>
      <c r="BV338" s="358"/>
    </row>
    <row r="339" spans="2:74" x14ac:dyDescent="0.2">
      <c r="B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  <c r="AA339" s="358"/>
      <c r="AB339" s="358"/>
      <c r="AC339" s="358"/>
      <c r="AD339" s="358"/>
      <c r="AE339" s="358"/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  <c r="AS339" s="358"/>
      <c r="AT339" s="358"/>
      <c r="AU339" s="358"/>
      <c r="AV339" s="358"/>
      <c r="AW339" s="358"/>
      <c r="AX339" s="358"/>
      <c r="AY339" s="358"/>
      <c r="AZ339" s="358"/>
      <c r="BA339" s="358"/>
      <c r="BB339" s="358"/>
      <c r="BC339" s="358"/>
      <c r="BD339" s="358"/>
      <c r="BE339" s="358"/>
      <c r="BF339" s="358"/>
      <c r="BG339" s="358"/>
      <c r="BH339" s="358"/>
      <c r="BI339" s="358"/>
      <c r="BJ339" s="358"/>
      <c r="BK339" s="358"/>
      <c r="BL339" s="358"/>
      <c r="BM339" s="358"/>
      <c r="BN339" s="358"/>
      <c r="BO339" s="358"/>
      <c r="BP339" s="358"/>
      <c r="BQ339" s="358"/>
      <c r="BR339" s="358"/>
      <c r="BS339" s="358"/>
      <c r="BT339" s="358"/>
      <c r="BU339" s="358"/>
      <c r="BV339" s="358"/>
    </row>
    <row r="340" spans="2:74" x14ac:dyDescent="0.2">
      <c r="B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  <c r="AI340" s="358"/>
      <c r="AJ340" s="358"/>
      <c r="AK340" s="358"/>
      <c r="AL340" s="358"/>
      <c r="AM340" s="358"/>
      <c r="AN340" s="358"/>
      <c r="AO340" s="358"/>
      <c r="AP340" s="358"/>
      <c r="AQ340" s="358"/>
      <c r="AR340" s="358"/>
      <c r="AS340" s="358"/>
      <c r="AT340" s="358"/>
      <c r="AU340" s="358"/>
      <c r="AV340" s="358"/>
      <c r="AW340" s="358"/>
      <c r="AX340" s="358"/>
      <c r="AY340" s="358"/>
      <c r="AZ340" s="358"/>
      <c r="BA340" s="358"/>
      <c r="BB340" s="358"/>
      <c r="BC340" s="358"/>
      <c r="BD340" s="358"/>
      <c r="BE340" s="358"/>
      <c r="BF340" s="358"/>
      <c r="BG340" s="358"/>
      <c r="BH340" s="358"/>
      <c r="BI340" s="358"/>
      <c r="BJ340" s="358"/>
      <c r="BK340" s="358"/>
      <c r="BL340" s="358"/>
      <c r="BM340" s="358"/>
      <c r="BN340" s="358"/>
      <c r="BO340" s="358"/>
      <c r="BP340" s="358"/>
      <c r="BQ340" s="358"/>
      <c r="BR340" s="358"/>
      <c r="BS340" s="358"/>
      <c r="BT340" s="358"/>
      <c r="BU340" s="358"/>
      <c r="BV340" s="358"/>
    </row>
    <row r="341" spans="2:74" x14ac:dyDescent="0.2">
      <c r="B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  <c r="AA341" s="358"/>
      <c r="AB341" s="358"/>
      <c r="AC341" s="358"/>
      <c r="AD341" s="358"/>
      <c r="AE341" s="358"/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  <c r="AS341" s="358"/>
      <c r="AT341" s="358"/>
      <c r="AU341" s="358"/>
      <c r="AV341" s="358"/>
      <c r="AW341" s="358"/>
      <c r="AX341" s="358"/>
      <c r="AY341" s="358"/>
      <c r="AZ341" s="358"/>
      <c r="BA341" s="358"/>
      <c r="BB341" s="358"/>
      <c r="BC341" s="358"/>
      <c r="BD341" s="358"/>
      <c r="BE341" s="358"/>
      <c r="BF341" s="358"/>
      <c r="BG341" s="358"/>
      <c r="BH341" s="358"/>
      <c r="BI341" s="358"/>
      <c r="BJ341" s="358"/>
      <c r="BK341" s="358"/>
      <c r="BL341" s="358"/>
      <c r="BM341" s="358"/>
      <c r="BN341" s="358"/>
      <c r="BO341" s="358"/>
      <c r="BP341" s="358"/>
      <c r="BQ341" s="358"/>
      <c r="BR341" s="358"/>
      <c r="BS341" s="358"/>
      <c r="BT341" s="358"/>
      <c r="BU341" s="358"/>
      <c r="BV341" s="358"/>
    </row>
    <row r="342" spans="2:74" x14ac:dyDescent="0.2">
      <c r="B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  <c r="AI342" s="358"/>
      <c r="AJ342" s="358"/>
      <c r="AK342" s="358"/>
      <c r="AL342" s="358"/>
      <c r="AM342" s="358"/>
      <c r="AN342" s="358"/>
      <c r="AO342" s="358"/>
      <c r="AP342" s="358"/>
      <c r="AQ342" s="358"/>
      <c r="AR342" s="358"/>
      <c r="AS342" s="358"/>
      <c r="AT342" s="358"/>
      <c r="AU342" s="358"/>
      <c r="AV342" s="358"/>
      <c r="AW342" s="358"/>
      <c r="AX342" s="358"/>
      <c r="AY342" s="358"/>
      <c r="AZ342" s="358"/>
      <c r="BA342" s="358"/>
      <c r="BB342" s="358"/>
      <c r="BC342" s="358"/>
      <c r="BD342" s="358"/>
      <c r="BE342" s="358"/>
      <c r="BF342" s="358"/>
      <c r="BG342" s="358"/>
      <c r="BH342" s="358"/>
      <c r="BI342" s="358"/>
      <c r="BJ342" s="358"/>
      <c r="BK342" s="358"/>
      <c r="BL342" s="358"/>
      <c r="BM342" s="358"/>
      <c r="BN342" s="358"/>
      <c r="BO342" s="358"/>
      <c r="BP342" s="358"/>
      <c r="BQ342" s="358"/>
      <c r="BR342" s="358"/>
      <c r="BS342" s="358"/>
      <c r="BT342" s="358"/>
      <c r="BU342" s="358"/>
      <c r="BV342" s="358"/>
    </row>
    <row r="343" spans="2:74" x14ac:dyDescent="0.2">
      <c r="B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  <c r="AA343" s="358"/>
      <c r="AB343" s="358"/>
      <c r="AC343" s="358"/>
      <c r="AD343" s="358"/>
      <c r="AE343" s="358"/>
      <c r="AF343" s="358"/>
      <c r="AG343" s="358"/>
      <c r="AH343" s="358"/>
      <c r="AI343" s="358"/>
      <c r="AJ343" s="358"/>
      <c r="AK343" s="358"/>
      <c r="AL343" s="358"/>
      <c r="AM343" s="358"/>
      <c r="AN343" s="358"/>
      <c r="AO343" s="358"/>
      <c r="AP343" s="358"/>
      <c r="AQ343" s="358"/>
      <c r="AR343" s="358"/>
      <c r="AS343" s="358"/>
      <c r="AT343" s="358"/>
      <c r="AU343" s="358"/>
      <c r="AV343" s="358"/>
      <c r="AW343" s="358"/>
      <c r="AX343" s="358"/>
      <c r="AY343" s="358"/>
      <c r="AZ343" s="358"/>
      <c r="BA343" s="358"/>
      <c r="BB343" s="358"/>
      <c r="BC343" s="358"/>
      <c r="BD343" s="358"/>
      <c r="BE343" s="358"/>
      <c r="BF343" s="358"/>
      <c r="BG343" s="358"/>
      <c r="BH343" s="358"/>
      <c r="BI343" s="358"/>
      <c r="BJ343" s="358"/>
      <c r="BK343" s="358"/>
      <c r="BL343" s="358"/>
      <c r="BM343" s="358"/>
      <c r="BN343" s="358"/>
      <c r="BO343" s="358"/>
      <c r="BP343" s="358"/>
      <c r="BQ343" s="358"/>
      <c r="BR343" s="358"/>
      <c r="BS343" s="358"/>
      <c r="BT343" s="358"/>
      <c r="BU343" s="358"/>
      <c r="BV343" s="358"/>
    </row>
    <row r="344" spans="2:74" x14ac:dyDescent="0.2">
      <c r="B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  <c r="AI344" s="358"/>
      <c r="AJ344" s="358"/>
      <c r="AK344" s="358"/>
      <c r="AL344" s="358"/>
      <c r="AM344" s="358"/>
      <c r="AN344" s="358"/>
      <c r="AO344" s="358"/>
      <c r="AP344" s="358"/>
      <c r="AQ344" s="358"/>
      <c r="AR344" s="358"/>
      <c r="AS344" s="358"/>
      <c r="AT344" s="358"/>
      <c r="AU344" s="358"/>
      <c r="AV344" s="358"/>
      <c r="AW344" s="358"/>
      <c r="AX344" s="358"/>
      <c r="AY344" s="358"/>
      <c r="AZ344" s="358"/>
      <c r="BA344" s="358"/>
      <c r="BB344" s="358"/>
      <c r="BC344" s="358"/>
      <c r="BD344" s="358"/>
      <c r="BE344" s="358"/>
      <c r="BF344" s="358"/>
      <c r="BG344" s="358"/>
      <c r="BH344" s="358"/>
      <c r="BI344" s="358"/>
      <c r="BJ344" s="358"/>
      <c r="BK344" s="358"/>
      <c r="BL344" s="358"/>
      <c r="BM344" s="358"/>
      <c r="BN344" s="358"/>
      <c r="BO344" s="358"/>
      <c r="BP344" s="358"/>
      <c r="BQ344" s="358"/>
      <c r="BR344" s="358"/>
      <c r="BS344" s="358"/>
      <c r="BT344" s="358"/>
      <c r="BU344" s="358"/>
      <c r="BV344" s="358"/>
    </row>
    <row r="345" spans="2:74" x14ac:dyDescent="0.2">
      <c r="B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58"/>
      <c r="AX345" s="358"/>
      <c r="AY345" s="358"/>
      <c r="AZ345" s="358"/>
      <c r="BA345" s="358"/>
      <c r="BB345" s="358"/>
      <c r="BC345" s="358"/>
      <c r="BD345" s="358"/>
      <c r="BE345" s="358"/>
      <c r="BF345" s="358"/>
      <c r="BG345" s="358"/>
      <c r="BH345" s="358"/>
      <c r="BI345" s="358"/>
      <c r="BJ345" s="358"/>
      <c r="BK345" s="358"/>
      <c r="BL345" s="358"/>
      <c r="BM345" s="358"/>
      <c r="BN345" s="358"/>
      <c r="BO345" s="358"/>
      <c r="BP345" s="358"/>
      <c r="BQ345" s="358"/>
      <c r="BR345" s="358"/>
      <c r="BS345" s="358"/>
      <c r="BT345" s="358"/>
      <c r="BU345" s="358"/>
      <c r="BV345" s="358"/>
    </row>
    <row r="346" spans="2:74" x14ac:dyDescent="0.2">
      <c r="B346" s="358"/>
      <c r="D346" s="358"/>
      <c r="E346" s="358"/>
      <c r="F346" s="358"/>
      <c r="G346" s="358"/>
      <c r="H346" s="358"/>
      <c r="I346" s="35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  <c r="AI346" s="358"/>
      <c r="AJ346" s="358"/>
      <c r="AK346" s="358"/>
      <c r="AL346" s="358"/>
      <c r="AM346" s="358"/>
      <c r="AN346" s="358"/>
      <c r="AO346" s="358"/>
      <c r="AP346" s="358"/>
      <c r="AQ346" s="358"/>
      <c r="AR346" s="358"/>
      <c r="AS346" s="358"/>
      <c r="AT346" s="358"/>
      <c r="AU346" s="358"/>
      <c r="AV346" s="358"/>
      <c r="AW346" s="358"/>
      <c r="AX346" s="358"/>
      <c r="AY346" s="358"/>
      <c r="AZ346" s="358"/>
      <c r="BA346" s="358"/>
      <c r="BB346" s="358"/>
      <c r="BC346" s="358"/>
      <c r="BD346" s="358"/>
      <c r="BE346" s="358"/>
      <c r="BF346" s="358"/>
      <c r="BG346" s="358"/>
      <c r="BH346" s="358"/>
      <c r="BI346" s="358"/>
      <c r="BJ346" s="358"/>
      <c r="BK346" s="358"/>
      <c r="BL346" s="358"/>
      <c r="BM346" s="358"/>
      <c r="BN346" s="358"/>
      <c r="BO346" s="358"/>
      <c r="BP346" s="358"/>
      <c r="BQ346" s="358"/>
      <c r="BR346" s="358"/>
      <c r="BS346" s="358"/>
      <c r="BT346" s="358"/>
      <c r="BU346" s="358"/>
      <c r="BV346" s="358"/>
    </row>
    <row r="347" spans="2:74" x14ac:dyDescent="0.2">
      <c r="B347" s="358"/>
      <c r="D347" s="358"/>
      <c r="E347" s="358"/>
      <c r="F347" s="358"/>
      <c r="G347" s="358"/>
      <c r="H347" s="358"/>
      <c r="I347" s="35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358"/>
      <c r="AA347" s="358"/>
      <c r="AB347" s="358"/>
      <c r="AC347" s="358"/>
      <c r="AD347" s="358"/>
      <c r="AE347" s="358"/>
      <c r="AF347" s="358"/>
      <c r="AG347" s="358"/>
      <c r="AH347" s="358"/>
      <c r="AI347" s="358"/>
      <c r="AJ347" s="358"/>
      <c r="AK347" s="358"/>
      <c r="AL347" s="358"/>
      <c r="AM347" s="358"/>
      <c r="AN347" s="358"/>
      <c r="AO347" s="358"/>
      <c r="AP347" s="358"/>
      <c r="AQ347" s="358"/>
      <c r="AR347" s="358"/>
      <c r="AS347" s="358"/>
      <c r="AT347" s="358"/>
      <c r="AU347" s="358"/>
      <c r="AV347" s="358"/>
      <c r="AW347" s="358"/>
      <c r="AX347" s="358"/>
      <c r="AY347" s="358"/>
      <c r="AZ347" s="358"/>
      <c r="BA347" s="358"/>
      <c r="BB347" s="358"/>
      <c r="BC347" s="358"/>
      <c r="BD347" s="358"/>
      <c r="BE347" s="358"/>
      <c r="BF347" s="358"/>
      <c r="BG347" s="358"/>
      <c r="BH347" s="358"/>
      <c r="BI347" s="358"/>
      <c r="BJ347" s="358"/>
      <c r="BK347" s="358"/>
      <c r="BL347" s="358"/>
      <c r="BM347" s="358"/>
      <c r="BN347" s="358"/>
      <c r="BO347" s="358"/>
      <c r="BP347" s="358"/>
      <c r="BQ347" s="358"/>
      <c r="BR347" s="358"/>
      <c r="BS347" s="358"/>
      <c r="BT347" s="358"/>
      <c r="BU347" s="358"/>
      <c r="BV347" s="358"/>
    </row>
    <row r="348" spans="2:74" x14ac:dyDescent="0.2">
      <c r="B348" s="358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358"/>
      <c r="AW348" s="358"/>
      <c r="AX348" s="358"/>
      <c r="AY348" s="358"/>
      <c r="AZ348" s="358"/>
      <c r="BA348" s="358"/>
      <c r="BB348" s="358"/>
      <c r="BC348" s="358"/>
      <c r="BD348" s="358"/>
      <c r="BE348" s="358"/>
      <c r="BF348" s="358"/>
      <c r="BG348" s="358"/>
      <c r="BH348" s="358"/>
      <c r="BI348" s="358"/>
      <c r="BJ348" s="358"/>
      <c r="BK348" s="358"/>
      <c r="BL348" s="358"/>
      <c r="BM348" s="358"/>
      <c r="BN348" s="358"/>
      <c r="BO348" s="358"/>
      <c r="BP348" s="358"/>
      <c r="BQ348" s="358"/>
      <c r="BR348" s="358"/>
      <c r="BS348" s="358"/>
      <c r="BT348" s="358"/>
      <c r="BU348" s="358"/>
      <c r="BV348" s="358"/>
    </row>
    <row r="349" spans="2:74" x14ac:dyDescent="0.2">
      <c r="B349" s="358"/>
      <c r="D349" s="358"/>
      <c r="E349" s="358"/>
      <c r="F349" s="358"/>
      <c r="G349" s="358"/>
      <c r="H349" s="358"/>
      <c r="I349" s="35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358"/>
      <c r="AA349" s="358"/>
      <c r="AB349" s="358"/>
      <c r="AC349" s="358"/>
      <c r="AD349" s="358"/>
      <c r="AE349" s="358"/>
      <c r="AF349" s="358"/>
      <c r="AG349" s="358"/>
      <c r="AH349" s="358"/>
      <c r="AI349" s="358"/>
      <c r="AJ349" s="358"/>
      <c r="AK349" s="358"/>
      <c r="AL349" s="358"/>
      <c r="AM349" s="358"/>
      <c r="AN349" s="358"/>
      <c r="AO349" s="358"/>
      <c r="AP349" s="358"/>
      <c r="AQ349" s="358"/>
      <c r="AR349" s="358"/>
      <c r="AS349" s="358"/>
      <c r="AT349" s="358"/>
      <c r="AU349" s="358"/>
      <c r="AV349" s="358"/>
      <c r="AW349" s="358"/>
      <c r="AX349" s="358"/>
      <c r="AY349" s="358"/>
      <c r="AZ349" s="358"/>
      <c r="BA349" s="358"/>
      <c r="BB349" s="358"/>
      <c r="BC349" s="358"/>
      <c r="BD349" s="358"/>
      <c r="BE349" s="358"/>
      <c r="BF349" s="358"/>
      <c r="BG349" s="358"/>
      <c r="BH349" s="358"/>
      <c r="BI349" s="358"/>
      <c r="BJ349" s="358"/>
      <c r="BK349" s="358"/>
      <c r="BL349" s="358"/>
      <c r="BM349" s="358"/>
      <c r="BN349" s="358"/>
      <c r="BO349" s="358"/>
      <c r="BP349" s="358"/>
      <c r="BQ349" s="358"/>
      <c r="BR349" s="358"/>
      <c r="BS349" s="358"/>
      <c r="BT349" s="358"/>
      <c r="BU349" s="358"/>
      <c r="BV349" s="358"/>
    </row>
    <row r="350" spans="2:74" x14ac:dyDescent="0.2">
      <c r="B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  <c r="AI350" s="358"/>
      <c r="AJ350" s="358"/>
      <c r="AK350" s="358"/>
      <c r="AL350" s="358"/>
      <c r="AM350" s="358"/>
      <c r="AN350" s="358"/>
      <c r="AO350" s="358"/>
      <c r="AP350" s="358"/>
      <c r="AQ350" s="358"/>
      <c r="AR350" s="358"/>
      <c r="AS350" s="358"/>
      <c r="AT350" s="358"/>
      <c r="AU350" s="358"/>
      <c r="AV350" s="358"/>
      <c r="AW350" s="358"/>
      <c r="AX350" s="358"/>
      <c r="AY350" s="358"/>
      <c r="AZ350" s="358"/>
      <c r="BA350" s="358"/>
      <c r="BB350" s="358"/>
      <c r="BC350" s="358"/>
      <c r="BD350" s="358"/>
      <c r="BE350" s="358"/>
      <c r="BF350" s="358"/>
      <c r="BG350" s="358"/>
      <c r="BH350" s="358"/>
      <c r="BI350" s="358"/>
      <c r="BJ350" s="358"/>
      <c r="BK350" s="358"/>
      <c r="BL350" s="358"/>
      <c r="BM350" s="358"/>
      <c r="BN350" s="358"/>
      <c r="BO350" s="358"/>
      <c r="BP350" s="358"/>
      <c r="BQ350" s="358"/>
      <c r="BR350" s="358"/>
      <c r="BS350" s="358"/>
      <c r="BT350" s="358"/>
      <c r="BU350" s="358"/>
      <c r="BV350" s="358"/>
    </row>
    <row r="351" spans="2:74" x14ac:dyDescent="0.2">
      <c r="B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  <c r="Y351" s="358"/>
      <c r="Z351" s="358"/>
      <c r="AA351" s="358"/>
      <c r="AB351" s="358"/>
      <c r="AC351" s="358"/>
      <c r="AD351" s="358"/>
      <c r="AE351" s="358"/>
      <c r="AF351" s="358"/>
      <c r="AG351" s="358"/>
      <c r="AH351" s="358"/>
      <c r="AI351" s="358"/>
      <c r="AJ351" s="358"/>
      <c r="AK351" s="358"/>
      <c r="AL351" s="358"/>
      <c r="AM351" s="358"/>
      <c r="AN351" s="358"/>
      <c r="AO351" s="358"/>
      <c r="AP351" s="358"/>
      <c r="AQ351" s="358"/>
      <c r="AR351" s="358"/>
      <c r="AS351" s="358"/>
      <c r="AT351" s="358"/>
      <c r="AU351" s="358"/>
      <c r="AV351" s="358"/>
      <c r="AW351" s="358"/>
      <c r="AX351" s="358"/>
      <c r="AY351" s="358"/>
      <c r="AZ351" s="358"/>
      <c r="BA351" s="358"/>
      <c r="BB351" s="358"/>
      <c r="BC351" s="358"/>
      <c r="BD351" s="358"/>
      <c r="BE351" s="358"/>
      <c r="BF351" s="358"/>
      <c r="BG351" s="358"/>
      <c r="BH351" s="358"/>
      <c r="BI351" s="358"/>
      <c r="BJ351" s="358"/>
      <c r="BK351" s="358"/>
      <c r="BL351" s="358"/>
      <c r="BM351" s="358"/>
      <c r="BN351" s="358"/>
      <c r="BO351" s="358"/>
      <c r="BP351" s="358"/>
      <c r="BQ351" s="358"/>
      <c r="BR351" s="358"/>
      <c r="BS351" s="358"/>
      <c r="BT351" s="358"/>
      <c r="BU351" s="358"/>
      <c r="BV351" s="358"/>
    </row>
    <row r="352" spans="2:74" x14ac:dyDescent="0.2">
      <c r="B352" s="358"/>
      <c r="D352" s="358"/>
      <c r="E352" s="358"/>
      <c r="F352" s="358"/>
      <c r="G352" s="358"/>
      <c r="H352" s="358"/>
      <c r="I352" s="358"/>
      <c r="J352" s="358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  <c r="AI352" s="358"/>
      <c r="AJ352" s="358"/>
      <c r="AK352" s="358"/>
      <c r="AL352" s="358"/>
      <c r="AM352" s="358"/>
      <c r="AN352" s="358"/>
      <c r="AO352" s="358"/>
      <c r="AP352" s="358"/>
      <c r="AQ352" s="358"/>
      <c r="AR352" s="358"/>
      <c r="AS352" s="358"/>
      <c r="AT352" s="358"/>
      <c r="AU352" s="358"/>
      <c r="AV352" s="358"/>
      <c r="AW352" s="358"/>
      <c r="AX352" s="358"/>
      <c r="AY352" s="358"/>
      <c r="AZ352" s="358"/>
      <c r="BA352" s="358"/>
      <c r="BB352" s="358"/>
      <c r="BC352" s="358"/>
      <c r="BD352" s="358"/>
      <c r="BE352" s="358"/>
      <c r="BF352" s="358"/>
      <c r="BG352" s="358"/>
      <c r="BH352" s="358"/>
      <c r="BI352" s="358"/>
      <c r="BJ352" s="358"/>
      <c r="BK352" s="358"/>
      <c r="BL352" s="358"/>
      <c r="BM352" s="358"/>
      <c r="BN352" s="358"/>
      <c r="BO352" s="358"/>
      <c r="BP352" s="358"/>
      <c r="BQ352" s="358"/>
      <c r="BR352" s="358"/>
      <c r="BS352" s="358"/>
      <c r="BT352" s="358"/>
      <c r="BU352" s="358"/>
      <c r="BV352" s="358"/>
    </row>
    <row r="353" spans="2:74" x14ac:dyDescent="0.2">
      <c r="B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358"/>
      <c r="AA353" s="358"/>
      <c r="AB353" s="358"/>
      <c r="AC353" s="358"/>
      <c r="AD353" s="358"/>
      <c r="AE353" s="358"/>
      <c r="AF353" s="358"/>
      <c r="AG353" s="358"/>
      <c r="AH353" s="358"/>
      <c r="AI353" s="358"/>
      <c r="AJ353" s="358"/>
      <c r="AK353" s="358"/>
      <c r="AL353" s="358"/>
      <c r="AM353" s="358"/>
      <c r="AN353" s="358"/>
      <c r="AO353" s="358"/>
      <c r="AP353" s="358"/>
      <c r="AQ353" s="358"/>
      <c r="AR353" s="358"/>
      <c r="AS353" s="358"/>
      <c r="AT353" s="358"/>
      <c r="AU353" s="358"/>
      <c r="AV353" s="358"/>
      <c r="AW353" s="358"/>
      <c r="AX353" s="358"/>
      <c r="AY353" s="358"/>
      <c r="AZ353" s="358"/>
      <c r="BA353" s="358"/>
      <c r="BB353" s="358"/>
      <c r="BC353" s="358"/>
      <c r="BD353" s="358"/>
      <c r="BE353" s="358"/>
      <c r="BF353" s="358"/>
      <c r="BG353" s="358"/>
      <c r="BH353" s="358"/>
      <c r="BI353" s="358"/>
      <c r="BJ353" s="358"/>
      <c r="BK353" s="358"/>
      <c r="BL353" s="358"/>
      <c r="BM353" s="358"/>
      <c r="BN353" s="358"/>
      <c r="BO353" s="358"/>
      <c r="BP353" s="358"/>
      <c r="BQ353" s="358"/>
      <c r="BR353" s="358"/>
      <c r="BS353" s="358"/>
      <c r="BT353" s="358"/>
      <c r="BU353" s="358"/>
      <c r="BV353" s="358"/>
    </row>
    <row r="354" spans="2:74" x14ac:dyDescent="0.2">
      <c r="B354" s="358"/>
      <c r="D354" s="358"/>
      <c r="E354" s="358"/>
      <c r="F354" s="358"/>
      <c r="G354" s="358"/>
      <c r="H354" s="358"/>
      <c r="I354" s="358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  <c r="AI354" s="358"/>
      <c r="AJ354" s="358"/>
      <c r="AK354" s="358"/>
      <c r="AL354" s="358"/>
      <c r="AM354" s="358"/>
      <c r="AN354" s="358"/>
      <c r="AO354" s="358"/>
      <c r="AP354" s="358"/>
      <c r="AQ354" s="358"/>
      <c r="AR354" s="358"/>
      <c r="AS354" s="358"/>
      <c r="AT354" s="358"/>
      <c r="AU354" s="358"/>
      <c r="AV354" s="358"/>
      <c r="AW354" s="358"/>
      <c r="AX354" s="358"/>
      <c r="AY354" s="358"/>
      <c r="AZ354" s="358"/>
      <c r="BA354" s="358"/>
      <c r="BB354" s="358"/>
      <c r="BC354" s="358"/>
      <c r="BD354" s="358"/>
      <c r="BE354" s="358"/>
      <c r="BF354" s="358"/>
      <c r="BG354" s="358"/>
      <c r="BH354" s="358"/>
      <c r="BI354" s="358"/>
      <c r="BJ354" s="358"/>
      <c r="BK354" s="358"/>
      <c r="BL354" s="358"/>
      <c r="BM354" s="358"/>
      <c r="BN354" s="358"/>
      <c r="BO354" s="358"/>
      <c r="BP354" s="358"/>
      <c r="BQ354" s="358"/>
      <c r="BR354" s="358"/>
      <c r="BS354" s="358"/>
      <c r="BT354" s="358"/>
      <c r="BU354" s="358"/>
      <c r="BV354" s="358"/>
    </row>
    <row r="355" spans="2:74" x14ac:dyDescent="0.2">
      <c r="B355" s="358"/>
      <c r="D355" s="358"/>
      <c r="E355" s="358"/>
      <c r="F355" s="358"/>
      <c r="G355" s="358"/>
      <c r="H355" s="358"/>
      <c r="I355" s="358"/>
      <c r="J355" s="358"/>
      <c r="K355" s="358"/>
      <c r="L355" s="358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  <c r="Y355" s="358"/>
      <c r="Z355" s="358"/>
      <c r="AA355" s="358"/>
      <c r="AB355" s="358"/>
      <c r="AC355" s="358"/>
      <c r="AD355" s="358"/>
      <c r="AE355" s="358"/>
      <c r="AF355" s="358"/>
      <c r="AG355" s="358"/>
      <c r="AH355" s="358"/>
      <c r="AI355" s="358"/>
      <c r="AJ355" s="358"/>
      <c r="AK355" s="358"/>
      <c r="AL355" s="358"/>
      <c r="AM355" s="358"/>
      <c r="AN355" s="358"/>
      <c r="AO355" s="358"/>
      <c r="AP355" s="358"/>
      <c r="AQ355" s="358"/>
      <c r="AR355" s="358"/>
      <c r="AS355" s="358"/>
      <c r="AT355" s="358"/>
      <c r="AU355" s="358"/>
      <c r="AV355" s="358"/>
      <c r="AW355" s="358"/>
      <c r="AX355" s="358"/>
      <c r="AY355" s="358"/>
      <c r="AZ355" s="358"/>
      <c r="BA355" s="358"/>
      <c r="BB355" s="358"/>
      <c r="BC355" s="358"/>
      <c r="BD355" s="358"/>
      <c r="BE355" s="358"/>
      <c r="BF355" s="358"/>
      <c r="BG355" s="358"/>
      <c r="BH355" s="358"/>
      <c r="BI355" s="358"/>
      <c r="BJ355" s="358"/>
      <c r="BK355" s="358"/>
      <c r="BL355" s="358"/>
      <c r="BM355" s="358"/>
      <c r="BN355" s="358"/>
      <c r="BO355" s="358"/>
      <c r="BP355" s="358"/>
      <c r="BQ355" s="358"/>
      <c r="BR355" s="358"/>
      <c r="BS355" s="358"/>
      <c r="BT355" s="358"/>
      <c r="BU355" s="358"/>
      <c r="BV355" s="358"/>
    </row>
    <row r="356" spans="2:74" x14ac:dyDescent="0.2">
      <c r="B356" s="358"/>
      <c r="D356" s="358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  <c r="AI356" s="358"/>
      <c r="AJ356" s="358"/>
      <c r="AK356" s="358"/>
      <c r="AL356" s="358"/>
      <c r="AM356" s="358"/>
      <c r="AN356" s="358"/>
      <c r="AO356" s="358"/>
      <c r="AP356" s="358"/>
      <c r="AQ356" s="358"/>
      <c r="AR356" s="358"/>
      <c r="AS356" s="358"/>
      <c r="AT356" s="358"/>
      <c r="AU356" s="358"/>
      <c r="AV356" s="358"/>
      <c r="AW356" s="358"/>
      <c r="AX356" s="358"/>
      <c r="AY356" s="358"/>
      <c r="AZ356" s="358"/>
      <c r="BA356" s="358"/>
      <c r="BB356" s="358"/>
      <c r="BC356" s="358"/>
      <c r="BD356" s="358"/>
      <c r="BE356" s="358"/>
      <c r="BF356" s="358"/>
      <c r="BG356" s="358"/>
      <c r="BH356" s="358"/>
      <c r="BI356" s="358"/>
      <c r="BJ356" s="358"/>
      <c r="BK356" s="358"/>
      <c r="BL356" s="358"/>
      <c r="BM356" s="358"/>
      <c r="BN356" s="358"/>
      <c r="BO356" s="358"/>
      <c r="BP356" s="358"/>
      <c r="BQ356" s="358"/>
      <c r="BR356" s="358"/>
      <c r="BS356" s="358"/>
      <c r="BT356" s="358"/>
      <c r="BU356" s="358"/>
      <c r="BV356" s="358"/>
    </row>
    <row r="357" spans="2:74" x14ac:dyDescent="0.2">
      <c r="B357" s="358"/>
      <c r="D357" s="358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358"/>
      <c r="AX357" s="358"/>
      <c r="AY357" s="358"/>
      <c r="AZ357" s="358"/>
      <c r="BA357" s="358"/>
      <c r="BB357" s="358"/>
      <c r="BC357" s="358"/>
      <c r="BD357" s="358"/>
      <c r="BE357" s="358"/>
      <c r="BF357" s="358"/>
      <c r="BG357" s="358"/>
      <c r="BH357" s="358"/>
      <c r="BI357" s="358"/>
      <c r="BJ357" s="358"/>
      <c r="BK357" s="358"/>
      <c r="BL357" s="358"/>
      <c r="BM357" s="358"/>
      <c r="BN357" s="358"/>
      <c r="BO357" s="358"/>
      <c r="BP357" s="358"/>
      <c r="BQ357" s="358"/>
      <c r="BR357" s="358"/>
      <c r="BS357" s="358"/>
      <c r="BT357" s="358"/>
      <c r="BU357" s="358"/>
      <c r="BV357" s="358"/>
    </row>
    <row r="358" spans="2:74" x14ac:dyDescent="0.2">
      <c r="B358" s="358"/>
      <c r="D358" s="358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  <c r="AI358" s="358"/>
      <c r="AJ358" s="358"/>
      <c r="AK358" s="358"/>
      <c r="AL358" s="358"/>
      <c r="AM358" s="358"/>
      <c r="AN358" s="358"/>
      <c r="AO358" s="358"/>
      <c r="AP358" s="358"/>
      <c r="AQ358" s="358"/>
      <c r="AR358" s="358"/>
      <c r="AS358" s="358"/>
      <c r="AT358" s="358"/>
      <c r="AU358" s="358"/>
      <c r="AV358" s="358"/>
      <c r="AW358" s="358"/>
      <c r="AX358" s="358"/>
      <c r="AY358" s="358"/>
      <c r="AZ358" s="358"/>
      <c r="BA358" s="358"/>
      <c r="BB358" s="358"/>
      <c r="BC358" s="358"/>
      <c r="BD358" s="358"/>
      <c r="BE358" s="358"/>
      <c r="BF358" s="358"/>
      <c r="BG358" s="358"/>
      <c r="BH358" s="358"/>
      <c r="BI358" s="358"/>
      <c r="BJ358" s="358"/>
      <c r="BK358" s="358"/>
      <c r="BL358" s="358"/>
      <c r="BM358" s="358"/>
      <c r="BN358" s="358"/>
      <c r="BO358" s="358"/>
      <c r="BP358" s="358"/>
      <c r="BQ358" s="358"/>
      <c r="BR358" s="358"/>
      <c r="BS358" s="358"/>
      <c r="BT358" s="358"/>
      <c r="BU358" s="358"/>
      <c r="BV358" s="358"/>
    </row>
    <row r="359" spans="2:74" x14ac:dyDescent="0.2">
      <c r="B359" s="358"/>
      <c r="D359" s="358"/>
      <c r="E359" s="358"/>
      <c r="F359" s="358"/>
      <c r="G359" s="358"/>
      <c r="H359" s="358"/>
      <c r="I359" s="358"/>
      <c r="J359" s="358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  <c r="AA359" s="358"/>
      <c r="AB359" s="358"/>
      <c r="AC359" s="358"/>
      <c r="AD359" s="358"/>
      <c r="AE359" s="358"/>
      <c r="AF359" s="358"/>
      <c r="AG359" s="358"/>
      <c r="AH359" s="358"/>
      <c r="AI359" s="358"/>
      <c r="AJ359" s="358"/>
      <c r="AK359" s="358"/>
      <c r="AL359" s="358"/>
      <c r="AM359" s="358"/>
      <c r="AN359" s="358"/>
      <c r="AO359" s="358"/>
      <c r="AP359" s="358"/>
      <c r="AQ359" s="358"/>
      <c r="AR359" s="358"/>
      <c r="AS359" s="358"/>
      <c r="AT359" s="358"/>
      <c r="AU359" s="358"/>
      <c r="AV359" s="358"/>
      <c r="AW359" s="358"/>
      <c r="AX359" s="358"/>
      <c r="AY359" s="358"/>
      <c r="AZ359" s="358"/>
      <c r="BA359" s="358"/>
      <c r="BB359" s="358"/>
      <c r="BC359" s="358"/>
      <c r="BD359" s="358"/>
      <c r="BE359" s="358"/>
      <c r="BF359" s="358"/>
      <c r="BG359" s="358"/>
      <c r="BH359" s="358"/>
      <c r="BI359" s="358"/>
      <c r="BJ359" s="358"/>
      <c r="BK359" s="358"/>
      <c r="BL359" s="358"/>
      <c r="BM359" s="358"/>
      <c r="BN359" s="358"/>
      <c r="BO359" s="358"/>
      <c r="BP359" s="358"/>
      <c r="BQ359" s="358"/>
      <c r="BR359" s="358"/>
      <c r="BS359" s="358"/>
      <c r="BT359" s="358"/>
      <c r="BU359" s="358"/>
      <c r="BV359" s="358"/>
    </row>
    <row r="360" spans="2:74" x14ac:dyDescent="0.2">
      <c r="B360" s="358"/>
      <c r="D360" s="358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  <c r="AI360" s="358"/>
      <c r="AJ360" s="358"/>
      <c r="AK360" s="358"/>
      <c r="AL360" s="358"/>
      <c r="AM360" s="358"/>
      <c r="AN360" s="358"/>
      <c r="AO360" s="358"/>
      <c r="AP360" s="358"/>
      <c r="AQ360" s="358"/>
      <c r="AR360" s="358"/>
      <c r="AS360" s="358"/>
      <c r="AT360" s="358"/>
      <c r="AU360" s="358"/>
      <c r="AV360" s="358"/>
      <c r="AW360" s="358"/>
      <c r="AX360" s="358"/>
      <c r="AY360" s="358"/>
      <c r="AZ360" s="358"/>
      <c r="BA360" s="358"/>
      <c r="BB360" s="358"/>
      <c r="BC360" s="358"/>
      <c r="BD360" s="358"/>
      <c r="BE360" s="358"/>
      <c r="BF360" s="358"/>
      <c r="BG360" s="358"/>
      <c r="BH360" s="358"/>
      <c r="BI360" s="358"/>
      <c r="BJ360" s="358"/>
      <c r="BK360" s="358"/>
      <c r="BL360" s="358"/>
      <c r="BM360" s="358"/>
      <c r="BN360" s="358"/>
      <c r="BO360" s="358"/>
      <c r="BP360" s="358"/>
      <c r="BQ360" s="358"/>
      <c r="BR360" s="358"/>
      <c r="BS360" s="358"/>
      <c r="BT360" s="358"/>
      <c r="BU360" s="358"/>
      <c r="BV360" s="358"/>
    </row>
    <row r="361" spans="2:74" x14ac:dyDescent="0.2">
      <c r="B361" s="358"/>
      <c r="D361" s="358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  <c r="AA361" s="358"/>
      <c r="AB361" s="358"/>
      <c r="AC361" s="358"/>
      <c r="AD361" s="358"/>
      <c r="AE361" s="358"/>
      <c r="AF361" s="358"/>
      <c r="AG361" s="358"/>
      <c r="AH361" s="358"/>
      <c r="AI361" s="358"/>
      <c r="AJ361" s="358"/>
      <c r="AK361" s="358"/>
      <c r="AL361" s="358"/>
      <c r="AM361" s="358"/>
      <c r="AN361" s="358"/>
      <c r="AO361" s="358"/>
      <c r="AP361" s="358"/>
      <c r="AQ361" s="358"/>
      <c r="AR361" s="358"/>
      <c r="AS361" s="358"/>
      <c r="AT361" s="358"/>
      <c r="AU361" s="358"/>
      <c r="AV361" s="358"/>
      <c r="AW361" s="358"/>
      <c r="AX361" s="358"/>
      <c r="AY361" s="358"/>
      <c r="AZ361" s="358"/>
      <c r="BA361" s="358"/>
      <c r="BB361" s="358"/>
      <c r="BC361" s="358"/>
      <c r="BD361" s="358"/>
      <c r="BE361" s="358"/>
      <c r="BF361" s="358"/>
      <c r="BG361" s="358"/>
      <c r="BH361" s="358"/>
      <c r="BI361" s="358"/>
      <c r="BJ361" s="358"/>
      <c r="BK361" s="358"/>
      <c r="BL361" s="358"/>
      <c r="BM361" s="358"/>
      <c r="BN361" s="358"/>
      <c r="BO361" s="358"/>
      <c r="BP361" s="358"/>
      <c r="BQ361" s="358"/>
      <c r="BR361" s="358"/>
      <c r="BS361" s="358"/>
      <c r="BT361" s="358"/>
      <c r="BU361" s="358"/>
      <c r="BV361" s="358"/>
    </row>
    <row r="362" spans="2:74" x14ac:dyDescent="0.2">
      <c r="B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58"/>
      <c r="AU362" s="358"/>
      <c r="AV362" s="358"/>
      <c r="AW362" s="358"/>
      <c r="AX362" s="358"/>
      <c r="AY362" s="358"/>
      <c r="AZ362" s="358"/>
      <c r="BA362" s="358"/>
      <c r="BB362" s="358"/>
      <c r="BC362" s="358"/>
      <c r="BD362" s="358"/>
      <c r="BE362" s="358"/>
      <c r="BF362" s="358"/>
      <c r="BG362" s="358"/>
      <c r="BH362" s="358"/>
      <c r="BI362" s="358"/>
      <c r="BJ362" s="358"/>
      <c r="BK362" s="358"/>
      <c r="BL362" s="358"/>
      <c r="BM362" s="358"/>
      <c r="BN362" s="358"/>
      <c r="BO362" s="358"/>
      <c r="BP362" s="358"/>
      <c r="BQ362" s="358"/>
      <c r="BR362" s="358"/>
      <c r="BS362" s="358"/>
      <c r="BT362" s="358"/>
      <c r="BU362" s="358"/>
      <c r="BV362" s="358"/>
    </row>
    <row r="363" spans="2:74" x14ac:dyDescent="0.2">
      <c r="B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  <c r="AA363" s="358"/>
      <c r="AB363" s="358"/>
      <c r="AC363" s="358"/>
      <c r="AD363" s="358"/>
      <c r="AE363" s="358"/>
      <c r="AF363" s="358"/>
      <c r="AG363" s="358"/>
      <c r="AH363" s="358"/>
      <c r="AI363" s="358"/>
      <c r="AJ363" s="358"/>
      <c r="AK363" s="358"/>
      <c r="AL363" s="358"/>
      <c r="AM363" s="358"/>
      <c r="AN363" s="358"/>
      <c r="AO363" s="358"/>
      <c r="AP363" s="358"/>
      <c r="AQ363" s="358"/>
      <c r="AR363" s="358"/>
      <c r="AS363" s="358"/>
      <c r="AT363" s="358"/>
      <c r="AU363" s="358"/>
      <c r="AV363" s="358"/>
      <c r="AW363" s="358"/>
      <c r="AX363" s="358"/>
      <c r="AY363" s="358"/>
      <c r="AZ363" s="358"/>
      <c r="BA363" s="358"/>
      <c r="BB363" s="358"/>
      <c r="BC363" s="358"/>
      <c r="BD363" s="358"/>
      <c r="BE363" s="358"/>
      <c r="BF363" s="358"/>
      <c r="BG363" s="358"/>
      <c r="BH363" s="358"/>
      <c r="BI363" s="358"/>
      <c r="BJ363" s="358"/>
      <c r="BK363" s="358"/>
      <c r="BL363" s="358"/>
      <c r="BM363" s="358"/>
      <c r="BN363" s="358"/>
      <c r="BO363" s="358"/>
      <c r="BP363" s="358"/>
      <c r="BQ363" s="358"/>
      <c r="BR363" s="358"/>
      <c r="BS363" s="358"/>
      <c r="BT363" s="358"/>
      <c r="BU363" s="358"/>
      <c r="BV363" s="358"/>
    </row>
    <row r="364" spans="2:74" x14ac:dyDescent="0.2">
      <c r="B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L364" s="358"/>
      <c r="AM364" s="358"/>
      <c r="AN364" s="358"/>
      <c r="AO364" s="358"/>
      <c r="AP364" s="358"/>
      <c r="AQ364" s="358"/>
      <c r="AR364" s="358"/>
      <c r="AS364" s="358"/>
      <c r="AT364" s="358"/>
      <c r="AU364" s="358"/>
      <c r="AV364" s="358"/>
      <c r="AW364" s="358"/>
      <c r="AX364" s="358"/>
      <c r="AY364" s="358"/>
      <c r="AZ364" s="358"/>
      <c r="BA364" s="358"/>
      <c r="BB364" s="358"/>
      <c r="BC364" s="358"/>
      <c r="BD364" s="358"/>
      <c r="BE364" s="358"/>
      <c r="BF364" s="358"/>
      <c r="BG364" s="358"/>
      <c r="BH364" s="358"/>
      <c r="BI364" s="358"/>
      <c r="BJ364" s="358"/>
      <c r="BK364" s="358"/>
      <c r="BL364" s="358"/>
      <c r="BM364" s="358"/>
      <c r="BN364" s="358"/>
      <c r="BO364" s="358"/>
      <c r="BP364" s="358"/>
      <c r="BQ364" s="358"/>
      <c r="BR364" s="358"/>
      <c r="BS364" s="358"/>
      <c r="BT364" s="358"/>
      <c r="BU364" s="358"/>
      <c r="BV364" s="358"/>
    </row>
    <row r="365" spans="2:74" x14ac:dyDescent="0.2">
      <c r="B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  <c r="AA365" s="358"/>
      <c r="AB365" s="358"/>
      <c r="AC365" s="358"/>
      <c r="AD365" s="358"/>
      <c r="AE365" s="358"/>
      <c r="AF365" s="358"/>
      <c r="AG365" s="358"/>
      <c r="AH365" s="358"/>
      <c r="AI365" s="358"/>
      <c r="AJ365" s="358"/>
      <c r="AK365" s="358"/>
      <c r="AL365" s="358"/>
      <c r="AM365" s="358"/>
      <c r="AN365" s="358"/>
      <c r="AO365" s="358"/>
      <c r="AP365" s="358"/>
      <c r="AQ365" s="358"/>
      <c r="AR365" s="358"/>
      <c r="AS365" s="358"/>
      <c r="AT365" s="358"/>
      <c r="AU365" s="358"/>
      <c r="AV365" s="358"/>
      <c r="AW365" s="358"/>
      <c r="AX365" s="358"/>
      <c r="AY365" s="358"/>
      <c r="AZ365" s="358"/>
      <c r="BA365" s="358"/>
      <c r="BB365" s="358"/>
      <c r="BC365" s="358"/>
      <c r="BD365" s="358"/>
      <c r="BE365" s="358"/>
      <c r="BF365" s="358"/>
      <c r="BG365" s="358"/>
      <c r="BH365" s="358"/>
      <c r="BI365" s="358"/>
      <c r="BJ365" s="358"/>
      <c r="BK365" s="358"/>
      <c r="BL365" s="358"/>
      <c r="BM365" s="358"/>
      <c r="BN365" s="358"/>
      <c r="BO365" s="358"/>
      <c r="BP365" s="358"/>
      <c r="BQ365" s="358"/>
      <c r="BR365" s="358"/>
      <c r="BS365" s="358"/>
      <c r="BT365" s="358"/>
      <c r="BU365" s="358"/>
      <c r="BV365" s="358"/>
    </row>
    <row r="366" spans="2:74" x14ac:dyDescent="0.2">
      <c r="B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  <c r="AI366" s="358"/>
      <c r="AJ366" s="358"/>
      <c r="AK366" s="358"/>
      <c r="AL366" s="358"/>
      <c r="AM366" s="358"/>
      <c r="AN366" s="358"/>
      <c r="AO366" s="358"/>
      <c r="AP366" s="358"/>
      <c r="AQ366" s="358"/>
      <c r="AR366" s="358"/>
      <c r="AS366" s="358"/>
      <c r="AT366" s="358"/>
      <c r="AU366" s="358"/>
      <c r="AV366" s="358"/>
      <c r="AW366" s="358"/>
      <c r="AX366" s="358"/>
      <c r="AY366" s="358"/>
      <c r="AZ366" s="358"/>
      <c r="BA366" s="358"/>
      <c r="BB366" s="358"/>
      <c r="BC366" s="358"/>
      <c r="BD366" s="358"/>
      <c r="BE366" s="358"/>
      <c r="BF366" s="358"/>
      <c r="BG366" s="358"/>
      <c r="BH366" s="358"/>
      <c r="BI366" s="358"/>
      <c r="BJ366" s="358"/>
      <c r="BK366" s="358"/>
      <c r="BL366" s="358"/>
      <c r="BM366" s="358"/>
      <c r="BN366" s="358"/>
      <c r="BO366" s="358"/>
      <c r="BP366" s="358"/>
      <c r="BQ366" s="358"/>
      <c r="BR366" s="358"/>
      <c r="BS366" s="358"/>
      <c r="BT366" s="358"/>
      <c r="BU366" s="358"/>
      <c r="BV366" s="358"/>
    </row>
    <row r="367" spans="2:74" x14ac:dyDescent="0.2">
      <c r="B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  <c r="AA367" s="358"/>
      <c r="AB367" s="358"/>
      <c r="AC367" s="358"/>
      <c r="AD367" s="358"/>
      <c r="AE367" s="358"/>
      <c r="AF367" s="358"/>
      <c r="AG367" s="358"/>
      <c r="AH367" s="358"/>
      <c r="AI367" s="358"/>
      <c r="AJ367" s="358"/>
      <c r="AK367" s="358"/>
      <c r="AL367" s="358"/>
      <c r="AM367" s="358"/>
      <c r="AN367" s="358"/>
      <c r="AO367" s="358"/>
      <c r="AP367" s="358"/>
      <c r="AQ367" s="358"/>
      <c r="AR367" s="358"/>
      <c r="AS367" s="358"/>
      <c r="AT367" s="358"/>
      <c r="AU367" s="358"/>
      <c r="AV367" s="358"/>
      <c r="AW367" s="358"/>
      <c r="AX367" s="358"/>
      <c r="AY367" s="358"/>
      <c r="AZ367" s="358"/>
      <c r="BA367" s="358"/>
      <c r="BB367" s="358"/>
      <c r="BC367" s="358"/>
      <c r="BD367" s="358"/>
      <c r="BE367" s="358"/>
      <c r="BF367" s="358"/>
      <c r="BG367" s="358"/>
      <c r="BH367" s="358"/>
      <c r="BI367" s="358"/>
      <c r="BJ367" s="358"/>
      <c r="BK367" s="358"/>
      <c r="BL367" s="358"/>
      <c r="BM367" s="358"/>
      <c r="BN367" s="358"/>
      <c r="BO367" s="358"/>
      <c r="BP367" s="358"/>
      <c r="BQ367" s="358"/>
      <c r="BR367" s="358"/>
      <c r="BS367" s="358"/>
      <c r="BT367" s="358"/>
      <c r="BU367" s="358"/>
      <c r="BV367" s="358"/>
    </row>
    <row r="368" spans="2:74" x14ac:dyDescent="0.2">
      <c r="B368" s="358"/>
      <c r="D368" s="358"/>
      <c r="E368" s="358"/>
      <c r="F368" s="358"/>
      <c r="G368" s="358"/>
      <c r="H368" s="358"/>
      <c r="I368" s="358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  <c r="AI368" s="358"/>
      <c r="AJ368" s="358"/>
      <c r="AK368" s="358"/>
      <c r="AL368" s="358"/>
      <c r="AM368" s="358"/>
      <c r="AN368" s="358"/>
      <c r="AO368" s="358"/>
      <c r="AP368" s="358"/>
      <c r="AQ368" s="358"/>
      <c r="AR368" s="358"/>
      <c r="AS368" s="358"/>
      <c r="AT368" s="358"/>
      <c r="AU368" s="358"/>
      <c r="AV368" s="358"/>
      <c r="AW368" s="358"/>
      <c r="AX368" s="358"/>
      <c r="AY368" s="358"/>
      <c r="AZ368" s="358"/>
      <c r="BA368" s="358"/>
      <c r="BB368" s="358"/>
      <c r="BC368" s="358"/>
      <c r="BD368" s="358"/>
      <c r="BE368" s="358"/>
      <c r="BF368" s="358"/>
      <c r="BG368" s="358"/>
      <c r="BH368" s="358"/>
      <c r="BI368" s="358"/>
      <c r="BJ368" s="358"/>
      <c r="BK368" s="358"/>
      <c r="BL368" s="358"/>
      <c r="BM368" s="358"/>
      <c r="BN368" s="358"/>
      <c r="BO368" s="358"/>
      <c r="BP368" s="358"/>
      <c r="BQ368" s="358"/>
      <c r="BR368" s="358"/>
      <c r="BS368" s="358"/>
      <c r="BT368" s="358"/>
      <c r="BU368" s="358"/>
      <c r="BV368" s="358"/>
    </row>
    <row r="369" spans="2:74" x14ac:dyDescent="0.2">
      <c r="B369" s="358"/>
      <c r="D369" s="358"/>
      <c r="E369" s="358"/>
      <c r="F369" s="358"/>
      <c r="G369" s="358"/>
      <c r="H369" s="358"/>
      <c r="I369" s="358"/>
      <c r="J369" s="358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  <c r="AA369" s="358"/>
      <c r="AB369" s="358"/>
      <c r="AC369" s="358"/>
      <c r="AD369" s="358"/>
      <c r="AE369" s="358"/>
      <c r="AF369" s="358"/>
      <c r="AG369" s="358"/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58"/>
      <c r="AX369" s="358"/>
      <c r="AY369" s="358"/>
      <c r="AZ369" s="358"/>
      <c r="BA369" s="358"/>
      <c r="BB369" s="358"/>
      <c r="BC369" s="358"/>
      <c r="BD369" s="358"/>
      <c r="BE369" s="358"/>
      <c r="BF369" s="358"/>
      <c r="BG369" s="358"/>
      <c r="BH369" s="358"/>
      <c r="BI369" s="358"/>
      <c r="BJ369" s="358"/>
      <c r="BK369" s="358"/>
      <c r="BL369" s="358"/>
      <c r="BM369" s="358"/>
      <c r="BN369" s="358"/>
      <c r="BO369" s="358"/>
      <c r="BP369" s="358"/>
      <c r="BQ369" s="358"/>
      <c r="BR369" s="358"/>
      <c r="BS369" s="358"/>
      <c r="BT369" s="358"/>
      <c r="BU369" s="358"/>
      <c r="BV369" s="358"/>
    </row>
    <row r="370" spans="2:74" x14ac:dyDescent="0.2">
      <c r="B370" s="358"/>
      <c r="D370" s="358"/>
      <c r="E370" s="358"/>
      <c r="F370" s="358"/>
      <c r="G370" s="358"/>
      <c r="H370" s="358"/>
      <c r="I370" s="358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  <c r="AI370" s="358"/>
      <c r="AJ370" s="358"/>
      <c r="AK370" s="358"/>
      <c r="AL370" s="358"/>
      <c r="AM370" s="358"/>
      <c r="AN370" s="358"/>
      <c r="AO370" s="358"/>
      <c r="AP370" s="358"/>
      <c r="AQ370" s="358"/>
      <c r="AR370" s="358"/>
      <c r="AS370" s="358"/>
      <c r="AT370" s="358"/>
      <c r="AU370" s="358"/>
      <c r="AV370" s="358"/>
      <c r="AW370" s="358"/>
      <c r="AX370" s="358"/>
      <c r="AY370" s="358"/>
      <c r="AZ370" s="358"/>
      <c r="BA370" s="358"/>
      <c r="BB370" s="358"/>
      <c r="BC370" s="358"/>
      <c r="BD370" s="358"/>
      <c r="BE370" s="358"/>
      <c r="BF370" s="358"/>
      <c r="BG370" s="358"/>
      <c r="BH370" s="358"/>
      <c r="BI370" s="358"/>
      <c r="BJ370" s="358"/>
      <c r="BK370" s="358"/>
      <c r="BL370" s="358"/>
      <c r="BM370" s="358"/>
      <c r="BN370" s="358"/>
      <c r="BO370" s="358"/>
      <c r="BP370" s="358"/>
      <c r="BQ370" s="358"/>
      <c r="BR370" s="358"/>
      <c r="BS370" s="358"/>
      <c r="BT370" s="358"/>
      <c r="BU370" s="358"/>
      <c r="BV370" s="358"/>
    </row>
    <row r="371" spans="2:74" x14ac:dyDescent="0.2">
      <c r="B371" s="358"/>
      <c r="D371" s="358"/>
      <c r="E371" s="358"/>
      <c r="F371" s="358"/>
      <c r="G371" s="358"/>
      <c r="H371" s="358"/>
      <c r="I371" s="358"/>
      <c r="J371" s="358"/>
      <c r="K371" s="358"/>
      <c r="L371" s="358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  <c r="Y371" s="358"/>
      <c r="Z371" s="358"/>
      <c r="AA371" s="358"/>
      <c r="AB371" s="358"/>
      <c r="AC371" s="358"/>
      <c r="AD371" s="358"/>
      <c r="AE371" s="358"/>
      <c r="AF371" s="358"/>
      <c r="AG371" s="358"/>
      <c r="AH371" s="358"/>
      <c r="AI371" s="358"/>
      <c r="AJ371" s="358"/>
      <c r="AK371" s="358"/>
      <c r="AL371" s="358"/>
      <c r="AM371" s="358"/>
      <c r="AN371" s="358"/>
      <c r="AO371" s="358"/>
      <c r="AP371" s="358"/>
      <c r="AQ371" s="358"/>
      <c r="AR371" s="358"/>
      <c r="AS371" s="358"/>
      <c r="AT371" s="358"/>
      <c r="AU371" s="358"/>
      <c r="AV371" s="358"/>
      <c r="AW371" s="358"/>
      <c r="AX371" s="358"/>
      <c r="AY371" s="358"/>
      <c r="AZ371" s="358"/>
      <c r="BA371" s="358"/>
      <c r="BB371" s="358"/>
      <c r="BC371" s="358"/>
      <c r="BD371" s="358"/>
      <c r="BE371" s="358"/>
      <c r="BF371" s="358"/>
      <c r="BG371" s="358"/>
      <c r="BH371" s="358"/>
      <c r="BI371" s="358"/>
      <c r="BJ371" s="358"/>
      <c r="BK371" s="358"/>
      <c r="BL371" s="358"/>
      <c r="BM371" s="358"/>
      <c r="BN371" s="358"/>
      <c r="BO371" s="358"/>
      <c r="BP371" s="358"/>
      <c r="BQ371" s="358"/>
      <c r="BR371" s="358"/>
      <c r="BS371" s="358"/>
      <c r="BT371" s="358"/>
      <c r="BU371" s="358"/>
      <c r="BV371" s="358"/>
    </row>
    <row r="372" spans="2:74" x14ac:dyDescent="0.2">
      <c r="B372" s="358"/>
      <c r="D372" s="358"/>
      <c r="E372" s="358"/>
      <c r="F372" s="358"/>
      <c r="G372" s="358"/>
      <c r="H372" s="358"/>
      <c r="I372" s="358"/>
      <c r="J372" s="358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  <c r="AI372" s="358"/>
      <c r="AJ372" s="358"/>
      <c r="AK372" s="358"/>
      <c r="AL372" s="358"/>
      <c r="AM372" s="358"/>
      <c r="AN372" s="358"/>
      <c r="AO372" s="358"/>
      <c r="AP372" s="358"/>
      <c r="AQ372" s="358"/>
      <c r="AR372" s="358"/>
      <c r="AS372" s="358"/>
      <c r="AT372" s="358"/>
      <c r="AU372" s="358"/>
      <c r="AV372" s="358"/>
      <c r="AW372" s="358"/>
      <c r="AX372" s="358"/>
      <c r="AY372" s="358"/>
      <c r="AZ372" s="358"/>
      <c r="BA372" s="358"/>
      <c r="BB372" s="358"/>
      <c r="BC372" s="358"/>
      <c r="BD372" s="358"/>
      <c r="BE372" s="358"/>
      <c r="BF372" s="358"/>
      <c r="BG372" s="358"/>
      <c r="BH372" s="358"/>
      <c r="BI372" s="358"/>
      <c r="BJ372" s="358"/>
      <c r="BK372" s="358"/>
      <c r="BL372" s="358"/>
      <c r="BM372" s="358"/>
      <c r="BN372" s="358"/>
      <c r="BO372" s="358"/>
      <c r="BP372" s="358"/>
      <c r="BQ372" s="358"/>
      <c r="BR372" s="358"/>
      <c r="BS372" s="358"/>
      <c r="BT372" s="358"/>
      <c r="BU372" s="358"/>
      <c r="BV372" s="358"/>
    </row>
    <row r="373" spans="2:74" x14ac:dyDescent="0.2">
      <c r="B373" s="358"/>
      <c r="D373" s="358"/>
      <c r="E373" s="358"/>
      <c r="F373" s="358"/>
      <c r="G373" s="358"/>
      <c r="H373" s="358"/>
      <c r="I373" s="358"/>
      <c r="J373" s="358"/>
      <c r="K373" s="358"/>
      <c r="L373" s="358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  <c r="Y373" s="358"/>
      <c r="Z373" s="358"/>
      <c r="AA373" s="358"/>
      <c r="AB373" s="358"/>
      <c r="AC373" s="358"/>
      <c r="AD373" s="358"/>
      <c r="AE373" s="358"/>
      <c r="AF373" s="358"/>
      <c r="AG373" s="358"/>
      <c r="AH373" s="358"/>
      <c r="AI373" s="358"/>
      <c r="AJ373" s="358"/>
      <c r="AK373" s="358"/>
      <c r="AL373" s="358"/>
      <c r="AM373" s="358"/>
      <c r="AN373" s="358"/>
      <c r="AO373" s="358"/>
      <c r="AP373" s="358"/>
      <c r="AQ373" s="358"/>
      <c r="AR373" s="358"/>
      <c r="AS373" s="358"/>
      <c r="AT373" s="358"/>
      <c r="AU373" s="358"/>
      <c r="AV373" s="358"/>
      <c r="AW373" s="358"/>
      <c r="AX373" s="358"/>
      <c r="AY373" s="358"/>
      <c r="AZ373" s="358"/>
      <c r="BA373" s="358"/>
      <c r="BB373" s="358"/>
      <c r="BC373" s="358"/>
      <c r="BD373" s="358"/>
      <c r="BE373" s="358"/>
      <c r="BF373" s="358"/>
      <c r="BG373" s="358"/>
      <c r="BH373" s="358"/>
      <c r="BI373" s="358"/>
      <c r="BJ373" s="358"/>
      <c r="BK373" s="358"/>
      <c r="BL373" s="358"/>
      <c r="BM373" s="358"/>
      <c r="BN373" s="358"/>
      <c r="BO373" s="358"/>
      <c r="BP373" s="358"/>
      <c r="BQ373" s="358"/>
      <c r="BR373" s="358"/>
      <c r="BS373" s="358"/>
      <c r="BT373" s="358"/>
      <c r="BU373" s="358"/>
      <c r="BV373" s="358"/>
    </row>
    <row r="374" spans="2:74" x14ac:dyDescent="0.2">
      <c r="B374" s="358"/>
      <c r="D374" s="358"/>
      <c r="E374" s="358"/>
      <c r="F374" s="358"/>
      <c r="G374" s="358"/>
      <c r="H374" s="358"/>
      <c r="I374" s="358"/>
      <c r="J374" s="358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  <c r="AI374" s="358"/>
      <c r="AJ374" s="358"/>
      <c r="AK374" s="358"/>
      <c r="AL374" s="358"/>
      <c r="AM374" s="358"/>
      <c r="AN374" s="358"/>
      <c r="AO374" s="358"/>
      <c r="AP374" s="358"/>
      <c r="AQ374" s="358"/>
      <c r="AR374" s="358"/>
      <c r="AS374" s="358"/>
      <c r="AT374" s="358"/>
      <c r="AU374" s="358"/>
      <c r="AV374" s="358"/>
      <c r="AW374" s="358"/>
      <c r="AX374" s="358"/>
      <c r="AY374" s="358"/>
      <c r="AZ374" s="358"/>
      <c r="BA374" s="358"/>
      <c r="BB374" s="358"/>
      <c r="BC374" s="358"/>
      <c r="BD374" s="358"/>
      <c r="BE374" s="358"/>
      <c r="BF374" s="358"/>
      <c r="BG374" s="358"/>
      <c r="BH374" s="358"/>
      <c r="BI374" s="358"/>
      <c r="BJ374" s="358"/>
      <c r="BK374" s="358"/>
      <c r="BL374" s="358"/>
      <c r="BM374" s="358"/>
      <c r="BN374" s="358"/>
      <c r="BO374" s="358"/>
      <c r="BP374" s="358"/>
      <c r="BQ374" s="358"/>
      <c r="BR374" s="358"/>
      <c r="BS374" s="358"/>
      <c r="BT374" s="358"/>
      <c r="BU374" s="358"/>
      <c r="BV374" s="358"/>
    </row>
    <row r="375" spans="2:74" x14ac:dyDescent="0.2">
      <c r="B375" s="358"/>
      <c r="D375" s="358"/>
      <c r="E375" s="358"/>
      <c r="F375" s="358"/>
      <c r="G375" s="358"/>
      <c r="H375" s="358"/>
      <c r="I375" s="358"/>
      <c r="J375" s="358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  <c r="AK375" s="358"/>
      <c r="AL375" s="358"/>
      <c r="AM375" s="358"/>
      <c r="AN375" s="358"/>
      <c r="AO375" s="358"/>
      <c r="AP375" s="358"/>
      <c r="AQ375" s="358"/>
      <c r="AR375" s="358"/>
      <c r="AS375" s="358"/>
      <c r="AT375" s="358"/>
      <c r="AU375" s="358"/>
      <c r="AV375" s="358"/>
      <c r="AW375" s="358"/>
      <c r="AX375" s="358"/>
      <c r="AY375" s="358"/>
      <c r="AZ375" s="358"/>
      <c r="BA375" s="358"/>
      <c r="BB375" s="358"/>
      <c r="BC375" s="358"/>
      <c r="BD375" s="358"/>
      <c r="BE375" s="358"/>
      <c r="BF375" s="358"/>
      <c r="BG375" s="358"/>
      <c r="BH375" s="358"/>
      <c r="BI375" s="358"/>
      <c r="BJ375" s="358"/>
      <c r="BK375" s="358"/>
      <c r="BL375" s="358"/>
      <c r="BM375" s="358"/>
      <c r="BN375" s="358"/>
      <c r="BO375" s="358"/>
      <c r="BP375" s="358"/>
      <c r="BQ375" s="358"/>
      <c r="BR375" s="358"/>
      <c r="BS375" s="358"/>
      <c r="BT375" s="358"/>
      <c r="BU375" s="358"/>
      <c r="BV375" s="358"/>
    </row>
    <row r="376" spans="2:74" x14ac:dyDescent="0.2">
      <c r="B376" s="358"/>
      <c r="D376" s="358"/>
      <c r="E376" s="358"/>
      <c r="F376" s="358"/>
      <c r="G376" s="358"/>
      <c r="H376" s="358"/>
      <c r="I376" s="358"/>
      <c r="J376" s="358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  <c r="AI376" s="358"/>
      <c r="AJ376" s="358"/>
      <c r="AK376" s="358"/>
      <c r="AL376" s="358"/>
      <c r="AM376" s="358"/>
      <c r="AN376" s="358"/>
      <c r="AO376" s="358"/>
      <c r="AP376" s="358"/>
      <c r="AQ376" s="358"/>
      <c r="AR376" s="358"/>
      <c r="AS376" s="358"/>
      <c r="AT376" s="358"/>
      <c r="AU376" s="358"/>
      <c r="AV376" s="358"/>
      <c r="AW376" s="358"/>
      <c r="AX376" s="358"/>
      <c r="AY376" s="358"/>
      <c r="AZ376" s="358"/>
      <c r="BA376" s="358"/>
      <c r="BB376" s="358"/>
      <c r="BC376" s="358"/>
      <c r="BD376" s="358"/>
      <c r="BE376" s="358"/>
      <c r="BF376" s="358"/>
      <c r="BG376" s="358"/>
      <c r="BH376" s="358"/>
      <c r="BI376" s="358"/>
      <c r="BJ376" s="358"/>
      <c r="BK376" s="358"/>
      <c r="BL376" s="358"/>
      <c r="BM376" s="358"/>
      <c r="BN376" s="358"/>
      <c r="BO376" s="358"/>
      <c r="BP376" s="358"/>
      <c r="BQ376" s="358"/>
      <c r="BR376" s="358"/>
      <c r="BS376" s="358"/>
      <c r="BT376" s="358"/>
      <c r="BU376" s="358"/>
      <c r="BV376" s="358"/>
    </row>
    <row r="377" spans="2:74" x14ac:dyDescent="0.2">
      <c r="B377" s="358"/>
      <c r="D377" s="358"/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L377" s="358"/>
      <c r="AM377" s="358"/>
      <c r="AN377" s="358"/>
      <c r="AO377" s="358"/>
      <c r="AP377" s="358"/>
      <c r="AQ377" s="358"/>
      <c r="AR377" s="358"/>
      <c r="AS377" s="358"/>
      <c r="AT377" s="358"/>
      <c r="AU377" s="358"/>
      <c r="AV377" s="358"/>
      <c r="AW377" s="358"/>
      <c r="AX377" s="358"/>
      <c r="AY377" s="358"/>
      <c r="AZ377" s="358"/>
      <c r="BA377" s="358"/>
      <c r="BB377" s="358"/>
      <c r="BC377" s="358"/>
      <c r="BD377" s="358"/>
      <c r="BE377" s="358"/>
      <c r="BF377" s="358"/>
      <c r="BG377" s="358"/>
      <c r="BH377" s="358"/>
      <c r="BI377" s="358"/>
      <c r="BJ377" s="358"/>
      <c r="BK377" s="358"/>
      <c r="BL377" s="358"/>
      <c r="BM377" s="358"/>
      <c r="BN377" s="358"/>
      <c r="BO377" s="358"/>
      <c r="BP377" s="358"/>
      <c r="BQ377" s="358"/>
      <c r="BR377" s="358"/>
      <c r="BS377" s="358"/>
      <c r="BT377" s="358"/>
      <c r="BU377" s="358"/>
      <c r="BV377" s="358"/>
    </row>
    <row r="378" spans="2:74" x14ac:dyDescent="0.2">
      <c r="B378" s="358"/>
      <c r="D378" s="358"/>
      <c r="E378" s="358"/>
      <c r="F378" s="358"/>
      <c r="G378" s="358"/>
      <c r="H378" s="358"/>
      <c r="I378" s="358"/>
      <c r="J378" s="358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  <c r="AI378" s="358"/>
      <c r="AJ378" s="358"/>
      <c r="AK378" s="358"/>
      <c r="AL378" s="358"/>
      <c r="AM378" s="358"/>
      <c r="AN378" s="358"/>
      <c r="AO378" s="358"/>
      <c r="AP378" s="358"/>
      <c r="AQ378" s="358"/>
      <c r="AR378" s="358"/>
      <c r="AS378" s="358"/>
      <c r="AT378" s="358"/>
      <c r="AU378" s="358"/>
      <c r="AV378" s="358"/>
      <c r="AW378" s="358"/>
      <c r="AX378" s="358"/>
      <c r="AY378" s="358"/>
      <c r="AZ378" s="358"/>
      <c r="BA378" s="358"/>
      <c r="BB378" s="358"/>
      <c r="BC378" s="358"/>
      <c r="BD378" s="358"/>
      <c r="BE378" s="358"/>
      <c r="BF378" s="358"/>
      <c r="BG378" s="358"/>
      <c r="BH378" s="358"/>
      <c r="BI378" s="358"/>
      <c r="BJ378" s="358"/>
      <c r="BK378" s="358"/>
      <c r="BL378" s="358"/>
      <c r="BM378" s="358"/>
      <c r="BN378" s="358"/>
      <c r="BO378" s="358"/>
      <c r="BP378" s="358"/>
      <c r="BQ378" s="358"/>
      <c r="BR378" s="358"/>
      <c r="BS378" s="358"/>
      <c r="BT378" s="358"/>
      <c r="BU378" s="358"/>
      <c r="BV378" s="358"/>
    </row>
    <row r="379" spans="2:74" x14ac:dyDescent="0.2">
      <c r="B379" s="358"/>
      <c r="D379" s="358"/>
      <c r="E379" s="358"/>
      <c r="F379" s="358"/>
      <c r="G379" s="358"/>
      <c r="H379" s="358"/>
      <c r="I379" s="358"/>
      <c r="J379" s="358"/>
      <c r="K379" s="358"/>
      <c r="L379" s="358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  <c r="Y379" s="358"/>
      <c r="Z379" s="358"/>
      <c r="AA379" s="358"/>
      <c r="AB379" s="358"/>
      <c r="AC379" s="358"/>
      <c r="AD379" s="358"/>
      <c r="AE379" s="358"/>
      <c r="AF379" s="358"/>
      <c r="AG379" s="358"/>
      <c r="AH379" s="358"/>
      <c r="AI379" s="358"/>
      <c r="AJ379" s="358"/>
      <c r="AK379" s="358"/>
      <c r="AL379" s="358"/>
      <c r="AM379" s="358"/>
      <c r="AN379" s="358"/>
      <c r="AO379" s="358"/>
      <c r="AP379" s="358"/>
      <c r="AQ379" s="358"/>
      <c r="AR379" s="358"/>
      <c r="AS379" s="358"/>
      <c r="AT379" s="358"/>
      <c r="AU379" s="358"/>
      <c r="AV379" s="358"/>
      <c r="AW379" s="358"/>
      <c r="AX379" s="358"/>
      <c r="AY379" s="358"/>
      <c r="AZ379" s="358"/>
      <c r="BA379" s="358"/>
      <c r="BB379" s="358"/>
      <c r="BC379" s="358"/>
      <c r="BD379" s="358"/>
      <c r="BE379" s="358"/>
      <c r="BF379" s="358"/>
      <c r="BG379" s="358"/>
      <c r="BH379" s="358"/>
      <c r="BI379" s="358"/>
      <c r="BJ379" s="358"/>
      <c r="BK379" s="358"/>
      <c r="BL379" s="358"/>
      <c r="BM379" s="358"/>
      <c r="BN379" s="358"/>
      <c r="BO379" s="358"/>
      <c r="BP379" s="358"/>
      <c r="BQ379" s="358"/>
      <c r="BR379" s="358"/>
      <c r="BS379" s="358"/>
      <c r="BT379" s="358"/>
      <c r="BU379" s="358"/>
      <c r="BV379" s="358"/>
    </row>
    <row r="380" spans="2:74" x14ac:dyDescent="0.2">
      <c r="B380" s="358"/>
      <c r="D380" s="358"/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8"/>
      <c r="AX380" s="358"/>
      <c r="AY380" s="358"/>
      <c r="AZ380" s="358"/>
      <c r="BA380" s="358"/>
      <c r="BB380" s="358"/>
      <c r="BC380" s="358"/>
      <c r="BD380" s="358"/>
      <c r="BE380" s="358"/>
      <c r="BF380" s="358"/>
      <c r="BG380" s="358"/>
      <c r="BH380" s="358"/>
      <c r="BI380" s="358"/>
      <c r="BJ380" s="358"/>
      <c r="BK380" s="358"/>
      <c r="BL380" s="358"/>
      <c r="BM380" s="358"/>
      <c r="BN380" s="358"/>
      <c r="BO380" s="358"/>
      <c r="BP380" s="358"/>
      <c r="BQ380" s="358"/>
      <c r="BR380" s="358"/>
      <c r="BS380" s="358"/>
      <c r="BT380" s="358"/>
      <c r="BU380" s="358"/>
      <c r="BV380" s="358"/>
    </row>
    <row r="381" spans="2:74" x14ac:dyDescent="0.2">
      <c r="B381" s="358"/>
      <c r="D381" s="358"/>
      <c r="E381" s="358"/>
      <c r="F381" s="358"/>
      <c r="G381" s="358"/>
      <c r="H381" s="358"/>
      <c r="I381" s="358"/>
      <c r="J381" s="358"/>
      <c r="K381" s="358"/>
      <c r="L381" s="358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  <c r="Y381" s="358"/>
      <c r="Z381" s="358"/>
      <c r="AA381" s="358"/>
      <c r="AB381" s="358"/>
      <c r="AC381" s="358"/>
      <c r="AD381" s="358"/>
      <c r="AE381" s="358"/>
      <c r="AF381" s="358"/>
      <c r="AG381" s="358"/>
      <c r="AH381" s="358"/>
      <c r="AI381" s="358"/>
      <c r="AJ381" s="358"/>
      <c r="AK381" s="358"/>
      <c r="AL381" s="358"/>
      <c r="AM381" s="358"/>
      <c r="AN381" s="358"/>
      <c r="AO381" s="358"/>
      <c r="AP381" s="358"/>
      <c r="AQ381" s="358"/>
      <c r="AR381" s="358"/>
      <c r="AS381" s="358"/>
      <c r="AT381" s="358"/>
      <c r="AU381" s="358"/>
      <c r="AV381" s="358"/>
      <c r="AW381" s="358"/>
      <c r="AX381" s="358"/>
      <c r="AY381" s="358"/>
      <c r="AZ381" s="358"/>
      <c r="BA381" s="358"/>
      <c r="BB381" s="358"/>
      <c r="BC381" s="358"/>
      <c r="BD381" s="358"/>
      <c r="BE381" s="358"/>
      <c r="BF381" s="358"/>
      <c r="BG381" s="358"/>
      <c r="BH381" s="358"/>
      <c r="BI381" s="358"/>
      <c r="BJ381" s="358"/>
      <c r="BK381" s="358"/>
      <c r="BL381" s="358"/>
      <c r="BM381" s="358"/>
      <c r="BN381" s="358"/>
      <c r="BO381" s="358"/>
      <c r="BP381" s="358"/>
      <c r="BQ381" s="358"/>
      <c r="BR381" s="358"/>
      <c r="BS381" s="358"/>
      <c r="BT381" s="358"/>
      <c r="BU381" s="358"/>
      <c r="BV381" s="358"/>
    </row>
    <row r="382" spans="2:74" x14ac:dyDescent="0.2">
      <c r="B382" s="358"/>
      <c r="D382" s="358"/>
      <c r="E382" s="358"/>
      <c r="F382" s="358"/>
      <c r="G382" s="358"/>
      <c r="H382" s="358"/>
      <c r="I382" s="358"/>
      <c r="J382" s="358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  <c r="AI382" s="358"/>
      <c r="AJ382" s="358"/>
      <c r="AK382" s="358"/>
      <c r="AL382" s="358"/>
      <c r="AM382" s="358"/>
      <c r="AN382" s="358"/>
      <c r="AO382" s="358"/>
      <c r="AP382" s="358"/>
      <c r="AQ382" s="358"/>
      <c r="AR382" s="358"/>
      <c r="AS382" s="358"/>
      <c r="AT382" s="358"/>
      <c r="AU382" s="358"/>
      <c r="AV382" s="358"/>
      <c r="AW382" s="358"/>
      <c r="AX382" s="358"/>
      <c r="AY382" s="358"/>
      <c r="AZ382" s="358"/>
      <c r="BA382" s="358"/>
      <c r="BB382" s="358"/>
      <c r="BC382" s="358"/>
      <c r="BD382" s="358"/>
      <c r="BE382" s="358"/>
      <c r="BF382" s="358"/>
      <c r="BG382" s="358"/>
      <c r="BH382" s="358"/>
      <c r="BI382" s="358"/>
      <c r="BJ382" s="358"/>
      <c r="BK382" s="358"/>
      <c r="BL382" s="358"/>
      <c r="BM382" s="358"/>
      <c r="BN382" s="358"/>
      <c r="BO382" s="358"/>
      <c r="BP382" s="358"/>
      <c r="BQ382" s="358"/>
      <c r="BR382" s="358"/>
      <c r="BS382" s="358"/>
      <c r="BT382" s="358"/>
      <c r="BU382" s="358"/>
      <c r="BV382" s="358"/>
    </row>
    <row r="383" spans="2:74" x14ac:dyDescent="0.2">
      <c r="B383" s="358"/>
      <c r="D383" s="358"/>
      <c r="E383" s="35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L383" s="358"/>
      <c r="AM383" s="358"/>
      <c r="AN383" s="358"/>
      <c r="AO383" s="358"/>
      <c r="AP383" s="358"/>
      <c r="AQ383" s="358"/>
      <c r="AR383" s="358"/>
      <c r="AS383" s="358"/>
      <c r="AT383" s="358"/>
      <c r="AU383" s="358"/>
      <c r="AV383" s="358"/>
      <c r="AW383" s="358"/>
      <c r="AX383" s="358"/>
      <c r="AY383" s="358"/>
      <c r="AZ383" s="358"/>
      <c r="BA383" s="358"/>
      <c r="BB383" s="358"/>
      <c r="BC383" s="358"/>
      <c r="BD383" s="358"/>
      <c r="BE383" s="358"/>
      <c r="BF383" s="358"/>
      <c r="BG383" s="358"/>
      <c r="BH383" s="358"/>
      <c r="BI383" s="358"/>
      <c r="BJ383" s="358"/>
      <c r="BK383" s="358"/>
      <c r="BL383" s="358"/>
      <c r="BM383" s="358"/>
      <c r="BN383" s="358"/>
      <c r="BO383" s="358"/>
      <c r="BP383" s="358"/>
      <c r="BQ383" s="358"/>
      <c r="BR383" s="358"/>
      <c r="BS383" s="358"/>
      <c r="BT383" s="358"/>
      <c r="BU383" s="358"/>
      <c r="BV383" s="358"/>
    </row>
    <row r="384" spans="2:74" x14ac:dyDescent="0.2">
      <c r="B384" s="358"/>
      <c r="D384" s="358"/>
      <c r="E384" s="35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  <c r="AK384" s="358"/>
      <c r="AL384" s="358"/>
      <c r="AM384" s="358"/>
      <c r="AN384" s="358"/>
      <c r="AO384" s="358"/>
      <c r="AP384" s="358"/>
      <c r="AQ384" s="358"/>
      <c r="AR384" s="358"/>
      <c r="AS384" s="358"/>
      <c r="AT384" s="358"/>
      <c r="AU384" s="358"/>
      <c r="AV384" s="358"/>
      <c r="AW384" s="358"/>
      <c r="AX384" s="358"/>
      <c r="AY384" s="358"/>
      <c r="AZ384" s="358"/>
      <c r="BA384" s="358"/>
      <c r="BB384" s="358"/>
      <c r="BC384" s="358"/>
      <c r="BD384" s="358"/>
      <c r="BE384" s="358"/>
      <c r="BF384" s="358"/>
      <c r="BG384" s="358"/>
      <c r="BH384" s="358"/>
      <c r="BI384" s="358"/>
      <c r="BJ384" s="358"/>
      <c r="BK384" s="358"/>
      <c r="BL384" s="358"/>
      <c r="BM384" s="358"/>
      <c r="BN384" s="358"/>
      <c r="BO384" s="358"/>
      <c r="BP384" s="358"/>
      <c r="BQ384" s="358"/>
      <c r="BR384" s="358"/>
      <c r="BS384" s="358"/>
      <c r="BT384" s="358"/>
      <c r="BU384" s="358"/>
      <c r="BV384" s="358"/>
    </row>
    <row r="385" spans="2:74" x14ac:dyDescent="0.2">
      <c r="B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358"/>
      <c r="AA385" s="358"/>
      <c r="AB385" s="358"/>
      <c r="AC385" s="358"/>
      <c r="AD385" s="358"/>
      <c r="AE385" s="358"/>
      <c r="AF385" s="358"/>
      <c r="AG385" s="358"/>
      <c r="AH385" s="358"/>
      <c r="AI385" s="358"/>
      <c r="AJ385" s="358"/>
      <c r="AK385" s="358"/>
      <c r="AL385" s="358"/>
      <c r="AM385" s="358"/>
      <c r="AN385" s="358"/>
      <c r="AO385" s="358"/>
      <c r="AP385" s="358"/>
      <c r="AQ385" s="358"/>
      <c r="AR385" s="358"/>
      <c r="AS385" s="358"/>
      <c r="AT385" s="358"/>
      <c r="AU385" s="358"/>
      <c r="AV385" s="358"/>
      <c r="AW385" s="358"/>
      <c r="AX385" s="358"/>
      <c r="AY385" s="358"/>
      <c r="AZ385" s="358"/>
      <c r="BA385" s="358"/>
      <c r="BB385" s="358"/>
      <c r="BC385" s="358"/>
      <c r="BD385" s="358"/>
      <c r="BE385" s="358"/>
      <c r="BF385" s="358"/>
      <c r="BG385" s="358"/>
      <c r="BH385" s="358"/>
      <c r="BI385" s="358"/>
      <c r="BJ385" s="358"/>
      <c r="BK385" s="358"/>
      <c r="BL385" s="358"/>
      <c r="BM385" s="358"/>
      <c r="BN385" s="358"/>
      <c r="BO385" s="358"/>
      <c r="BP385" s="358"/>
      <c r="BQ385" s="358"/>
      <c r="BR385" s="358"/>
      <c r="BS385" s="358"/>
      <c r="BT385" s="358"/>
      <c r="BU385" s="358"/>
      <c r="BV385" s="358"/>
    </row>
    <row r="386" spans="2:74" x14ac:dyDescent="0.2">
      <c r="B386" s="358"/>
      <c r="D386" s="358"/>
      <c r="E386" s="358"/>
      <c r="F386" s="358"/>
      <c r="G386" s="358"/>
      <c r="H386" s="358"/>
      <c r="I386" s="358"/>
      <c r="J386" s="358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  <c r="AI386" s="358"/>
      <c r="AJ386" s="358"/>
      <c r="AK386" s="358"/>
      <c r="AL386" s="358"/>
      <c r="AM386" s="358"/>
      <c r="AN386" s="358"/>
      <c r="AO386" s="358"/>
      <c r="AP386" s="358"/>
      <c r="AQ386" s="358"/>
      <c r="AR386" s="358"/>
      <c r="AS386" s="358"/>
      <c r="AT386" s="358"/>
      <c r="AU386" s="358"/>
      <c r="AV386" s="358"/>
      <c r="AW386" s="358"/>
      <c r="AX386" s="358"/>
      <c r="AY386" s="358"/>
      <c r="AZ386" s="358"/>
      <c r="BA386" s="358"/>
      <c r="BB386" s="358"/>
      <c r="BC386" s="358"/>
      <c r="BD386" s="358"/>
      <c r="BE386" s="358"/>
      <c r="BF386" s="358"/>
      <c r="BG386" s="358"/>
      <c r="BH386" s="358"/>
      <c r="BI386" s="358"/>
      <c r="BJ386" s="358"/>
      <c r="BK386" s="358"/>
      <c r="BL386" s="358"/>
      <c r="BM386" s="358"/>
      <c r="BN386" s="358"/>
      <c r="BO386" s="358"/>
      <c r="BP386" s="358"/>
      <c r="BQ386" s="358"/>
      <c r="BR386" s="358"/>
      <c r="BS386" s="358"/>
      <c r="BT386" s="358"/>
      <c r="BU386" s="358"/>
      <c r="BV386" s="358"/>
    </row>
    <row r="387" spans="2:74" x14ac:dyDescent="0.2">
      <c r="B387" s="358"/>
      <c r="D387" s="358"/>
      <c r="E387" s="35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358"/>
      <c r="AA387" s="358"/>
      <c r="AB387" s="358"/>
      <c r="AC387" s="358"/>
      <c r="AD387" s="358"/>
      <c r="AE387" s="358"/>
      <c r="AF387" s="358"/>
      <c r="AG387" s="358"/>
      <c r="AH387" s="358"/>
      <c r="AI387" s="358"/>
      <c r="AJ387" s="358"/>
      <c r="AK387" s="358"/>
      <c r="AL387" s="358"/>
      <c r="AM387" s="358"/>
      <c r="AN387" s="358"/>
      <c r="AO387" s="358"/>
      <c r="AP387" s="358"/>
      <c r="AQ387" s="358"/>
      <c r="AR387" s="358"/>
      <c r="AS387" s="358"/>
      <c r="AT387" s="358"/>
      <c r="AU387" s="358"/>
      <c r="AV387" s="358"/>
      <c r="AW387" s="358"/>
      <c r="AX387" s="358"/>
      <c r="AY387" s="358"/>
      <c r="AZ387" s="358"/>
      <c r="BA387" s="358"/>
      <c r="BB387" s="358"/>
      <c r="BC387" s="358"/>
      <c r="BD387" s="358"/>
      <c r="BE387" s="358"/>
      <c r="BF387" s="358"/>
      <c r="BG387" s="358"/>
      <c r="BH387" s="358"/>
      <c r="BI387" s="358"/>
      <c r="BJ387" s="358"/>
      <c r="BK387" s="358"/>
      <c r="BL387" s="358"/>
      <c r="BM387" s="358"/>
      <c r="BN387" s="358"/>
      <c r="BO387" s="358"/>
      <c r="BP387" s="358"/>
      <c r="BQ387" s="358"/>
      <c r="BR387" s="358"/>
      <c r="BS387" s="358"/>
      <c r="BT387" s="358"/>
      <c r="BU387" s="358"/>
      <c r="BV387" s="358"/>
    </row>
    <row r="388" spans="2:74" x14ac:dyDescent="0.2">
      <c r="B388" s="358"/>
      <c r="D388" s="358"/>
      <c r="E388" s="358"/>
      <c r="F388" s="358"/>
      <c r="G388" s="358"/>
      <c r="H388" s="358"/>
      <c r="I388" s="358"/>
      <c r="J388" s="358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  <c r="AI388" s="358"/>
      <c r="AJ388" s="358"/>
      <c r="AK388" s="358"/>
      <c r="AL388" s="358"/>
      <c r="AM388" s="358"/>
      <c r="AN388" s="358"/>
      <c r="AO388" s="358"/>
      <c r="AP388" s="358"/>
      <c r="AQ388" s="358"/>
      <c r="AR388" s="358"/>
      <c r="AS388" s="358"/>
      <c r="AT388" s="358"/>
      <c r="AU388" s="358"/>
      <c r="AV388" s="358"/>
      <c r="AW388" s="358"/>
      <c r="AX388" s="358"/>
      <c r="AY388" s="358"/>
      <c r="AZ388" s="358"/>
      <c r="BA388" s="358"/>
      <c r="BB388" s="358"/>
      <c r="BC388" s="358"/>
      <c r="BD388" s="358"/>
      <c r="BE388" s="358"/>
      <c r="BF388" s="358"/>
      <c r="BG388" s="358"/>
      <c r="BH388" s="358"/>
      <c r="BI388" s="358"/>
      <c r="BJ388" s="358"/>
      <c r="BK388" s="358"/>
      <c r="BL388" s="358"/>
      <c r="BM388" s="358"/>
      <c r="BN388" s="358"/>
      <c r="BO388" s="358"/>
      <c r="BP388" s="358"/>
      <c r="BQ388" s="358"/>
      <c r="BR388" s="358"/>
      <c r="BS388" s="358"/>
      <c r="BT388" s="358"/>
      <c r="BU388" s="358"/>
      <c r="BV388" s="358"/>
    </row>
    <row r="389" spans="2:74" x14ac:dyDescent="0.2">
      <c r="B389" s="358"/>
      <c r="D389" s="358"/>
      <c r="E389" s="358"/>
      <c r="F389" s="358"/>
      <c r="G389" s="358"/>
      <c r="H389" s="358"/>
      <c r="I389" s="358"/>
      <c r="J389" s="358"/>
      <c r="K389" s="358"/>
      <c r="L389" s="358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  <c r="Y389" s="358"/>
      <c r="Z389" s="358"/>
      <c r="AA389" s="358"/>
      <c r="AB389" s="358"/>
      <c r="AC389" s="358"/>
      <c r="AD389" s="358"/>
      <c r="AE389" s="358"/>
      <c r="AF389" s="358"/>
      <c r="AG389" s="358"/>
      <c r="AH389" s="358"/>
      <c r="AI389" s="358"/>
      <c r="AJ389" s="358"/>
      <c r="AK389" s="358"/>
      <c r="AL389" s="358"/>
      <c r="AM389" s="358"/>
      <c r="AN389" s="358"/>
      <c r="AO389" s="358"/>
      <c r="AP389" s="358"/>
      <c r="AQ389" s="358"/>
      <c r="AR389" s="358"/>
      <c r="AS389" s="358"/>
      <c r="AT389" s="358"/>
      <c r="AU389" s="358"/>
      <c r="AV389" s="358"/>
      <c r="AW389" s="358"/>
      <c r="AX389" s="358"/>
      <c r="AY389" s="358"/>
      <c r="AZ389" s="358"/>
      <c r="BA389" s="358"/>
      <c r="BB389" s="358"/>
      <c r="BC389" s="358"/>
      <c r="BD389" s="358"/>
      <c r="BE389" s="358"/>
      <c r="BF389" s="358"/>
      <c r="BG389" s="358"/>
      <c r="BH389" s="358"/>
      <c r="BI389" s="358"/>
      <c r="BJ389" s="358"/>
      <c r="BK389" s="358"/>
      <c r="BL389" s="358"/>
      <c r="BM389" s="358"/>
      <c r="BN389" s="358"/>
      <c r="BO389" s="358"/>
      <c r="BP389" s="358"/>
      <c r="BQ389" s="358"/>
      <c r="BR389" s="358"/>
      <c r="BS389" s="358"/>
      <c r="BT389" s="358"/>
      <c r="BU389" s="358"/>
      <c r="BV389" s="358"/>
    </row>
    <row r="390" spans="2:74" x14ac:dyDescent="0.2">
      <c r="B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  <c r="AK390" s="358"/>
      <c r="AL390" s="358"/>
      <c r="AM390" s="358"/>
      <c r="AN390" s="358"/>
      <c r="AO390" s="358"/>
      <c r="AP390" s="358"/>
      <c r="AQ390" s="358"/>
      <c r="AR390" s="358"/>
      <c r="AS390" s="358"/>
      <c r="AT390" s="358"/>
      <c r="AU390" s="358"/>
      <c r="AV390" s="358"/>
      <c r="AW390" s="358"/>
      <c r="AX390" s="358"/>
      <c r="AY390" s="358"/>
      <c r="AZ390" s="358"/>
      <c r="BA390" s="358"/>
      <c r="BB390" s="358"/>
      <c r="BC390" s="358"/>
      <c r="BD390" s="358"/>
      <c r="BE390" s="358"/>
      <c r="BF390" s="358"/>
      <c r="BG390" s="358"/>
      <c r="BH390" s="358"/>
      <c r="BI390" s="358"/>
      <c r="BJ390" s="358"/>
      <c r="BK390" s="358"/>
      <c r="BL390" s="358"/>
      <c r="BM390" s="358"/>
      <c r="BN390" s="358"/>
      <c r="BO390" s="358"/>
      <c r="BP390" s="358"/>
      <c r="BQ390" s="358"/>
      <c r="BR390" s="358"/>
      <c r="BS390" s="358"/>
      <c r="BT390" s="358"/>
      <c r="BU390" s="358"/>
      <c r="BV390" s="358"/>
    </row>
    <row r="391" spans="2:74" x14ac:dyDescent="0.2">
      <c r="B391" s="358"/>
      <c r="D391" s="358"/>
      <c r="E391" s="358"/>
      <c r="F391" s="358"/>
      <c r="G391" s="358"/>
      <c r="H391" s="358"/>
      <c r="I391" s="358"/>
      <c r="J391" s="358"/>
      <c r="K391" s="358"/>
      <c r="L391" s="358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  <c r="Y391" s="358"/>
      <c r="Z391" s="358"/>
      <c r="AA391" s="358"/>
      <c r="AB391" s="358"/>
      <c r="AC391" s="358"/>
      <c r="AD391" s="358"/>
      <c r="AE391" s="358"/>
      <c r="AF391" s="358"/>
      <c r="AG391" s="358"/>
      <c r="AH391" s="358"/>
      <c r="AI391" s="358"/>
      <c r="AJ391" s="358"/>
      <c r="AK391" s="358"/>
      <c r="AL391" s="358"/>
      <c r="AM391" s="358"/>
      <c r="AN391" s="358"/>
      <c r="AO391" s="358"/>
      <c r="AP391" s="358"/>
      <c r="AQ391" s="358"/>
      <c r="AR391" s="358"/>
      <c r="AS391" s="358"/>
      <c r="AT391" s="358"/>
      <c r="AU391" s="358"/>
      <c r="AV391" s="358"/>
      <c r="AW391" s="358"/>
      <c r="AX391" s="358"/>
      <c r="AY391" s="358"/>
      <c r="AZ391" s="358"/>
      <c r="BA391" s="358"/>
      <c r="BB391" s="358"/>
      <c r="BC391" s="358"/>
      <c r="BD391" s="358"/>
      <c r="BE391" s="358"/>
      <c r="BF391" s="358"/>
      <c r="BG391" s="358"/>
      <c r="BH391" s="358"/>
      <c r="BI391" s="358"/>
      <c r="BJ391" s="358"/>
      <c r="BK391" s="358"/>
      <c r="BL391" s="358"/>
      <c r="BM391" s="358"/>
      <c r="BN391" s="358"/>
      <c r="BO391" s="358"/>
      <c r="BP391" s="358"/>
      <c r="BQ391" s="358"/>
      <c r="BR391" s="358"/>
      <c r="BS391" s="358"/>
      <c r="BT391" s="358"/>
      <c r="BU391" s="358"/>
      <c r="BV391" s="358"/>
    </row>
    <row r="392" spans="2:74" x14ac:dyDescent="0.2">
      <c r="B392" s="358"/>
      <c r="D392" s="358"/>
      <c r="E392" s="35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  <c r="AI392" s="358"/>
      <c r="AJ392" s="358"/>
      <c r="AK392" s="358"/>
      <c r="AL392" s="358"/>
      <c r="AM392" s="358"/>
      <c r="AN392" s="358"/>
      <c r="AO392" s="358"/>
      <c r="AP392" s="358"/>
      <c r="AQ392" s="358"/>
      <c r="AR392" s="358"/>
      <c r="AS392" s="358"/>
      <c r="AT392" s="358"/>
      <c r="AU392" s="358"/>
      <c r="AV392" s="358"/>
      <c r="AW392" s="358"/>
      <c r="AX392" s="358"/>
      <c r="AY392" s="358"/>
      <c r="AZ392" s="358"/>
      <c r="BA392" s="358"/>
      <c r="BB392" s="358"/>
      <c r="BC392" s="358"/>
      <c r="BD392" s="358"/>
      <c r="BE392" s="358"/>
      <c r="BF392" s="358"/>
      <c r="BG392" s="358"/>
      <c r="BH392" s="358"/>
      <c r="BI392" s="358"/>
      <c r="BJ392" s="358"/>
      <c r="BK392" s="358"/>
      <c r="BL392" s="358"/>
      <c r="BM392" s="358"/>
      <c r="BN392" s="358"/>
      <c r="BO392" s="358"/>
      <c r="BP392" s="358"/>
      <c r="BQ392" s="358"/>
      <c r="BR392" s="358"/>
      <c r="BS392" s="358"/>
      <c r="BT392" s="358"/>
      <c r="BU392" s="358"/>
      <c r="BV392" s="358"/>
    </row>
    <row r="393" spans="2:74" x14ac:dyDescent="0.2">
      <c r="B393" s="358"/>
      <c r="D393" s="358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58"/>
      <c r="AX393" s="358"/>
      <c r="AY393" s="358"/>
      <c r="AZ393" s="358"/>
      <c r="BA393" s="358"/>
      <c r="BB393" s="358"/>
      <c r="BC393" s="358"/>
      <c r="BD393" s="358"/>
      <c r="BE393" s="358"/>
      <c r="BF393" s="358"/>
      <c r="BG393" s="358"/>
      <c r="BH393" s="358"/>
      <c r="BI393" s="358"/>
      <c r="BJ393" s="358"/>
      <c r="BK393" s="358"/>
      <c r="BL393" s="358"/>
      <c r="BM393" s="358"/>
      <c r="BN393" s="358"/>
      <c r="BO393" s="358"/>
      <c r="BP393" s="358"/>
      <c r="BQ393" s="358"/>
      <c r="BR393" s="358"/>
      <c r="BS393" s="358"/>
      <c r="BT393" s="358"/>
      <c r="BU393" s="358"/>
      <c r="BV393" s="358"/>
    </row>
    <row r="394" spans="2:74" x14ac:dyDescent="0.2">
      <c r="B394" s="358"/>
      <c r="D394" s="358"/>
      <c r="E394" s="35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  <c r="AI394" s="358"/>
      <c r="AJ394" s="358"/>
      <c r="AK394" s="358"/>
      <c r="AL394" s="358"/>
      <c r="AM394" s="358"/>
      <c r="AN394" s="358"/>
      <c r="AO394" s="358"/>
      <c r="AP394" s="358"/>
      <c r="AQ394" s="358"/>
      <c r="AR394" s="358"/>
      <c r="AS394" s="358"/>
      <c r="AT394" s="358"/>
      <c r="AU394" s="358"/>
      <c r="AV394" s="358"/>
      <c r="AW394" s="358"/>
      <c r="AX394" s="358"/>
      <c r="AY394" s="358"/>
      <c r="AZ394" s="358"/>
      <c r="BA394" s="358"/>
      <c r="BB394" s="358"/>
      <c r="BC394" s="358"/>
      <c r="BD394" s="358"/>
      <c r="BE394" s="358"/>
      <c r="BF394" s="358"/>
      <c r="BG394" s="358"/>
      <c r="BH394" s="358"/>
      <c r="BI394" s="358"/>
      <c r="BJ394" s="358"/>
      <c r="BK394" s="358"/>
      <c r="BL394" s="358"/>
      <c r="BM394" s="358"/>
      <c r="BN394" s="358"/>
      <c r="BO394" s="358"/>
      <c r="BP394" s="358"/>
      <c r="BQ394" s="358"/>
      <c r="BR394" s="358"/>
      <c r="BS394" s="358"/>
      <c r="BT394" s="358"/>
      <c r="BU394" s="358"/>
      <c r="BV394" s="358"/>
    </row>
    <row r="395" spans="2:74" x14ac:dyDescent="0.2">
      <c r="B395" s="358"/>
      <c r="D395" s="358"/>
      <c r="E395" s="358"/>
      <c r="F395" s="358"/>
      <c r="G395" s="358"/>
      <c r="H395" s="358"/>
      <c r="I395" s="358"/>
      <c r="J395" s="358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  <c r="AK395" s="358"/>
      <c r="AL395" s="358"/>
      <c r="AM395" s="358"/>
      <c r="AN395" s="358"/>
      <c r="AO395" s="358"/>
      <c r="AP395" s="358"/>
      <c r="AQ395" s="358"/>
      <c r="AR395" s="358"/>
      <c r="AS395" s="358"/>
      <c r="AT395" s="358"/>
      <c r="AU395" s="358"/>
      <c r="AV395" s="358"/>
      <c r="AW395" s="358"/>
      <c r="AX395" s="358"/>
      <c r="AY395" s="358"/>
      <c r="AZ395" s="358"/>
      <c r="BA395" s="358"/>
      <c r="BB395" s="358"/>
      <c r="BC395" s="358"/>
      <c r="BD395" s="358"/>
      <c r="BE395" s="358"/>
      <c r="BF395" s="358"/>
      <c r="BG395" s="358"/>
      <c r="BH395" s="358"/>
      <c r="BI395" s="358"/>
      <c r="BJ395" s="358"/>
      <c r="BK395" s="358"/>
      <c r="BL395" s="358"/>
      <c r="BM395" s="358"/>
      <c r="BN395" s="358"/>
      <c r="BO395" s="358"/>
      <c r="BP395" s="358"/>
      <c r="BQ395" s="358"/>
      <c r="BR395" s="358"/>
      <c r="BS395" s="358"/>
      <c r="BT395" s="358"/>
      <c r="BU395" s="358"/>
      <c r="BV395" s="358"/>
    </row>
    <row r="396" spans="2:74" x14ac:dyDescent="0.2">
      <c r="B396" s="358"/>
      <c r="D396" s="358"/>
      <c r="E396" s="358"/>
      <c r="F396" s="358"/>
      <c r="G396" s="358"/>
      <c r="H396" s="358"/>
      <c r="I396" s="358"/>
      <c r="J396" s="358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  <c r="AI396" s="358"/>
      <c r="AJ396" s="358"/>
      <c r="AK396" s="358"/>
      <c r="AL396" s="358"/>
      <c r="AM396" s="358"/>
      <c r="AN396" s="358"/>
      <c r="AO396" s="358"/>
      <c r="AP396" s="358"/>
      <c r="AQ396" s="358"/>
      <c r="AR396" s="358"/>
      <c r="AS396" s="358"/>
      <c r="AT396" s="358"/>
      <c r="AU396" s="358"/>
      <c r="AV396" s="358"/>
      <c r="AW396" s="358"/>
      <c r="AX396" s="358"/>
      <c r="AY396" s="358"/>
      <c r="AZ396" s="358"/>
      <c r="BA396" s="358"/>
      <c r="BB396" s="358"/>
      <c r="BC396" s="358"/>
      <c r="BD396" s="358"/>
      <c r="BE396" s="358"/>
      <c r="BF396" s="358"/>
      <c r="BG396" s="358"/>
      <c r="BH396" s="358"/>
      <c r="BI396" s="358"/>
      <c r="BJ396" s="358"/>
      <c r="BK396" s="358"/>
      <c r="BL396" s="358"/>
      <c r="BM396" s="358"/>
      <c r="BN396" s="358"/>
      <c r="BO396" s="358"/>
      <c r="BP396" s="358"/>
      <c r="BQ396" s="358"/>
      <c r="BR396" s="358"/>
      <c r="BS396" s="358"/>
      <c r="BT396" s="358"/>
      <c r="BU396" s="358"/>
      <c r="BV396" s="358"/>
    </row>
    <row r="397" spans="2:74" x14ac:dyDescent="0.2">
      <c r="B397" s="358"/>
      <c r="D397" s="358"/>
      <c r="E397" s="358"/>
      <c r="F397" s="358"/>
      <c r="G397" s="358"/>
      <c r="H397" s="358"/>
      <c r="I397" s="358"/>
      <c r="J397" s="358"/>
      <c r="K397" s="358"/>
      <c r="L397" s="358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  <c r="Y397" s="358"/>
      <c r="Z397" s="358"/>
      <c r="AA397" s="358"/>
      <c r="AB397" s="358"/>
      <c r="AC397" s="358"/>
      <c r="AD397" s="358"/>
      <c r="AE397" s="358"/>
      <c r="AF397" s="358"/>
      <c r="AG397" s="358"/>
      <c r="AH397" s="358"/>
      <c r="AI397" s="358"/>
      <c r="AJ397" s="358"/>
      <c r="AK397" s="358"/>
      <c r="AL397" s="358"/>
      <c r="AM397" s="358"/>
      <c r="AN397" s="358"/>
      <c r="AO397" s="358"/>
      <c r="AP397" s="358"/>
      <c r="AQ397" s="358"/>
      <c r="AR397" s="358"/>
      <c r="AS397" s="358"/>
      <c r="AT397" s="358"/>
      <c r="AU397" s="358"/>
      <c r="AV397" s="358"/>
      <c r="AW397" s="358"/>
      <c r="AX397" s="358"/>
      <c r="AY397" s="358"/>
      <c r="AZ397" s="358"/>
      <c r="BA397" s="358"/>
      <c r="BB397" s="358"/>
      <c r="BC397" s="358"/>
      <c r="BD397" s="358"/>
      <c r="BE397" s="358"/>
      <c r="BF397" s="358"/>
      <c r="BG397" s="358"/>
      <c r="BH397" s="358"/>
      <c r="BI397" s="358"/>
      <c r="BJ397" s="358"/>
      <c r="BK397" s="358"/>
      <c r="BL397" s="358"/>
      <c r="BM397" s="358"/>
      <c r="BN397" s="358"/>
      <c r="BO397" s="358"/>
      <c r="BP397" s="358"/>
      <c r="BQ397" s="358"/>
      <c r="BR397" s="358"/>
      <c r="BS397" s="358"/>
      <c r="BT397" s="358"/>
      <c r="BU397" s="358"/>
      <c r="BV397" s="358"/>
    </row>
    <row r="398" spans="2:74" x14ac:dyDescent="0.2">
      <c r="B398" s="358"/>
      <c r="D398" s="358"/>
      <c r="E398" s="35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  <c r="AI398" s="358"/>
      <c r="AJ398" s="358"/>
      <c r="AK398" s="358"/>
      <c r="AL398" s="358"/>
      <c r="AM398" s="358"/>
      <c r="AN398" s="358"/>
      <c r="AO398" s="358"/>
      <c r="AP398" s="358"/>
      <c r="AQ398" s="358"/>
      <c r="AR398" s="358"/>
      <c r="AS398" s="358"/>
      <c r="AT398" s="358"/>
      <c r="AU398" s="358"/>
      <c r="AV398" s="358"/>
      <c r="AW398" s="358"/>
      <c r="AX398" s="358"/>
      <c r="AY398" s="358"/>
      <c r="AZ398" s="358"/>
      <c r="BA398" s="358"/>
      <c r="BB398" s="358"/>
      <c r="BC398" s="358"/>
      <c r="BD398" s="358"/>
      <c r="BE398" s="358"/>
      <c r="BF398" s="358"/>
      <c r="BG398" s="358"/>
      <c r="BH398" s="358"/>
      <c r="BI398" s="358"/>
      <c r="BJ398" s="358"/>
      <c r="BK398" s="358"/>
      <c r="BL398" s="358"/>
      <c r="BM398" s="358"/>
      <c r="BN398" s="358"/>
      <c r="BO398" s="358"/>
      <c r="BP398" s="358"/>
      <c r="BQ398" s="358"/>
      <c r="BR398" s="358"/>
      <c r="BS398" s="358"/>
      <c r="BT398" s="358"/>
      <c r="BU398" s="358"/>
      <c r="BV398" s="358"/>
    </row>
    <row r="399" spans="2:74" x14ac:dyDescent="0.2">
      <c r="B399" s="358"/>
      <c r="D399" s="358"/>
      <c r="E399" s="35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358"/>
      <c r="AA399" s="358"/>
      <c r="AB399" s="358"/>
      <c r="AC399" s="358"/>
      <c r="AD399" s="358"/>
      <c r="AE399" s="358"/>
      <c r="AF399" s="358"/>
      <c r="AG399" s="358"/>
      <c r="AH399" s="358"/>
      <c r="AI399" s="358"/>
      <c r="AJ399" s="358"/>
      <c r="AK399" s="358"/>
      <c r="AL399" s="358"/>
      <c r="AM399" s="358"/>
      <c r="AN399" s="358"/>
      <c r="AO399" s="358"/>
      <c r="AP399" s="358"/>
      <c r="AQ399" s="358"/>
      <c r="AR399" s="358"/>
      <c r="AS399" s="358"/>
      <c r="AT399" s="358"/>
      <c r="AU399" s="358"/>
      <c r="AV399" s="358"/>
      <c r="AW399" s="358"/>
      <c r="AX399" s="358"/>
      <c r="AY399" s="358"/>
      <c r="AZ399" s="358"/>
      <c r="BA399" s="358"/>
      <c r="BB399" s="358"/>
      <c r="BC399" s="358"/>
      <c r="BD399" s="358"/>
      <c r="BE399" s="358"/>
      <c r="BF399" s="358"/>
      <c r="BG399" s="358"/>
      <c r="BH399" s="358"/>
      <c r="BI399" s="358"/>
      <c r="BJ399" s="358"/>
      <c r="BK399" s="358"/>
      <c r="BL399" s="358"/>
      <c r="BM399" s="358"/>
      <c r="BN399" s="358"/>
      <c r="BO399" s="358"/>
      <c r="BP399" s="358"/>
      <c r="BQ399" s="358"/>
      <c r="BR399" s="358"/>
      <c r="BS399" s="358"/>
      <c r="BT399" s="358"/>
      <c r="BU399" s="358"/>
      <c r="BV399" s="358"/>
    </row>
    <row r="400" spans="2:74" x14ac:dyDescent="0.2">
      <c r="B400" s="358"/>
      <c r="D400" s="358"/>
      <c r="E400" s="358"/>
      <c r="F400" s="358"/>
      <c r="G400" s="358"/>
      <c r="H400" s="358"/>
      <c r="I400" s="35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  <c r="AI400" s="358"/>
      <c r="AJ400" s="358"/>
      <c r="AK400" s="358"/>
      <c r="AL400" s="358"/>
      <c r="AM400" s="358"/>
      <c r="AN400" s="358"/>
      <c r="AO400" s="358"/>
      <c r="AP400" s="358"/>
      <c r="AQ400" s="358"/>
      <c r="AR400" s="358"/>
      <c r="AS400" s="358"/>
      <c r="AT400" s="358"/>
      <c r="AU400" s="358"/>
      <c r="AV400" s="358"/>
      <c r="AW400" s="358"/>
      <c r="AX400" s="358"/>
      <c r="AY400" s="358"/>
      <c r="AZ400" s="358"/>
      <c r="BA400" s="358"/>
      <c r="BB400" s="358"/>
      <c r="BC400" s="358"/>
      <c r="BD400" s="358"/>
      <c r="BE400" s="358"/>
      <c r="BF400" s="358"/>
      <c r="BG400" s="358"/>
      <c r="BH400" s="358"/>
      <c r="BI400" s="358"/>
      <c r="BJ400" s="358"/>
      <c r="BK400" s="358"/>
      <c r="BL400" s="358"/>
      <c r="BM400" s="358"/>
      <c r="BN400" s="358"/>
      <c r="BO400" s="358"/>
      <c r="BP400" s="358"/>
      <c r="BQ400" s="358"/>
      <c r="BR400" s="358"/>
      <c r="BS400" s="358"/>
      <c r="BT400" s="358"/>
      <c r="BU400" s="358"/>
      <c r="BV400" s="358"/>
    </row>
    <row r="401" spans="2:74" x14ac:dyDescent="0.2">
      <c r="B401" s="358"/>
      <c r="D401" s="358"/>
      <c r="E401" s="358"/>
      <c r="F401" s="358"/>
      <c r="G401" s="358"/>
      <c r="H401" s="358"/>
      <c r="I401" s="35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358"/>
      <c r="AA401" s="358"/>
      <c r="AB401" s="358"/>
      <c r="AC401" s="358"/>
      <c r="AD401" s="358"/>
      <c r="AE401" s="358"/>
      <c r="AF401" s="358"/>
      <c r="AG401" s="358"/>
      <c r="AH401" s="358"/>
      <c r="AI401" s="358"/>
      <c r="AJ401" s="358"/>
      <c r="AK401" s="358"/>
      <c r="AL401" s="358"/>
      <c r="AM401" s="358"/>
      <c r="AN401" s="358"/>
      <c r="AO401" s="358"/>
      <c r="AP401" s="358"/>
      <c r="AQ401" s="358"/>
      <c r="AR401" s="358"/>
      <c r="AS401" s="358"/>
      <c r="AT401" s="358"/>
      <c r="AU401" s="358"/>
      <c r="AV401" s="358"/>
      <c r="AW401" s="358"/>
      <c r="AX401" s="358"/>
      <c r="AY401" s="358"/>
      <c r="AZ401" s="358"/>
      <c r="BA401" s="358"/>
      <c r="BB401" s="358"/>
      <c r="BC401" s="358"/>
      <c r="BD401" s="358"/>
      <c r="BE401" s="358"/>
      <c r="BF401" s="358"/>
      <c r="BG401" s="358"/>
      <c r="BH401" s="358"/>
      <c r="BI401" s="358"/>
      <c r="BJ401" s="358"/>
      <c r="BK401" s="358"/>
      <c r="BL401" s="358"/>
      <c r="BM401" s="358"/>
      <c r="BN401" s="358"/>
      <c r="BO401" s="358"/>
      <c r="BP401" s="358"/>
      <c r="BQ401" s="358"/>
      <c r="BR401" s="358"/>
      <c r="BS401" s="358"/>
      <c r="BT401" s="358"/>
      <c r="BU401" s="358"/>
      <c r="BV401" s="358"/>
    </row>
    <row r="402" spans="2:74" x14ac:dyDescent="0.2">
      <c r="B402" s="358"/>
      <c r="D402" s="358"/>
      <c r="E402" s="358"/>
      <c r="F402" s="358"/>
      <c r="G402" s="358"/>
      <c r="H402" s="358"/>
      <c r="I402" s="35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  <c r="AI402" s="358"/>
      <c r="AJ402" s="358"/>
      <c r="AK402" s="358"/>
      <c r="AL402" s="358"/>
      <c r="AM402" s="358"/>
      <c r="AN402" s="358"/>
      <c r="AO402" s="358"/>
      <c r="AP402" s="358"/>
      <c r="AQ402" s="358"/>
      <c r="AR402" s="358"/>
      <c r="AS402" s="358"/>
      <c r="AT402" s="358"/>
      <c r="AU402" s="358"/>
      <c r="AV402" s="358"/>
      <c r="AW402" s="358"/>
      <c r="AX402" s="358"/>
      <c r="AY402" s="358"/>
      <c r="AZ402" s="358"/>
      <c r="BA402" s="358"/>
      <c r="BB402" s="358"/>
      <c r="BC402" s="358"/>
      <c r="BD402" s="358"/>
      <c r="BE402" s="358"/>
      <c r="BF402" s="358"/>
      <c r="BG402" s="358"/>
      <c r="BH402" s="358"/>
      <c r="BI402" s="358"/>
      <c r="BJ402" s="358"/>
      <c r="BK402" s="358"/>
      <c r="BL402" s="358"/>
      <c r="BM402" s="358"/>
      <c r="BN402" s="358"/>
      <c r="BO402" s="358"/>
      <c r="BP402" s="358"/>
      <c r="BQ402" s="358"/>
      <c r="BR402" s="358"/>
      <c r="BS402" s="358"/>
      <c r="BT402" s="358"/>
      <c r="BU402" s="358"/>
      <c r="BV402" s="358"/>
    </row>
    <row r="403" spans="2:74" x14ac:dyDescent="0.2">
      <c r="B403" s="358"/>
      <c r="D403" s="358"/>
      <c r="E403" s="358"/>
      <c r="F403" s="358"/>
      <c r="G403" s="358"/>
      <c r="H403" s="358"/>
      <c r="I403" s="35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358"/>
      <c r="AA403" s="358"/>
      <c r="AB403" s="358"/>
      <c r="AC403" s="358"/>
      <c r="AD403" s="358"/>
      <c r="AE403" s="358"/>
      <c r="AF403" s="358"/>
      <c r="AG403" s="358"/>
      <c r="AH403" s="358"/>
      <c r="AI403" s="358"/>
      <c r="AJ403" s="358"/>
      <c r="AK403" s="358"/>
      <c r="AL403" s="358"/>
      <c r="AM403" s="358"/>
      <c r="AN403" s="358"/>
      <c r="AO403" s="358"/>
      <c r="AP403" s="358"/>
      <c r="AQ403" s="358"/>
      <c r="AR403" s="358"/>
      <c r="AS403" s="358"/>
      <c r="AT403" s="358"/>
      <c r="AU403" s="358"/>
      <c r="AV403" s="358"/>
      <c r="AW403" s="358"/>
      <c r="AX403" s="358"/>
      <c r="AY403" s="358"/>
      <c r="AZ403" s="358"/>
      <c r="BA403" s="358"/>
      <c r="BB403" s="358"/>
      <c r="BC403" s="358"/>
      <c r="BD403" s="358"/>
      <c r="BE403" s="358"/>
      <c r="BF403" s="358"/>
      <c r="BG403" s="358"/>
      <c r="BH403" s="358"/>
      <c r="BI403" s="358"/>
      <c r="BJ403" s="358"/>
      <c r="BK403" s="358"/>
      <c r="BL403" s="358"/>
      <c r="BM403" s="358"/>
      <c r="BN403" s="358"/>
      <c r="BO403" s="358"/>
      <c r="BP403" s="358"/>
      <c r="BQ403" s="358"/>
      <c r="BR403" s="358"/>
      <c r="BS403" s="358"/>
      <c r="BT403" s="358"/>
      <c r="BU403" s="358"/>
      <c r="BV403" s="358"/>
    </row>
    <row r="404" spans="2:74" x14ac:dyDescent="0.2">
      <c r="B404" s="358"/>
      <c r="D404" s="358"/>
      <c r="E404" s="358"/>
      <c r="F404" s="358"/>
      <c r="G404" s="358"/>
      <c r="H404" s="358"/>
      <c r="I404" s="358"/>
      <c r="J404" s="358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  <c r="AI404" s="358"/>
      <c r="AJ404" s="358"/>
      <c r="AK404" s="358"/>
      <c r="AL404" s="358"/>
      <c r="AM404" s="358"/>
      <c r="AN404" s="358"/>
      <c r="AO404" s="358"/>
      <c r="AP404" s="358"/>
      <c r="AQ404" s="358"/>
      <c r="AR404" s="358"/>
      <c r="AS404" s="358"/>
      <c r="AT404" s="358"/>
      <c r="AU404" s="358"/>
      <c r="AV404" s="358"/>
      <c r="AW404" s="358"/>
      <c r="AX404" s="358"/>
      <c r="AY404" s="358"/>
      <c r="AZ404" s="358"/>
      <c r="BA404" s="358"/>
      <c r="BB404" s="358"/>
      <c r="BC404" s="358"/>
      <c r="BD404" s="358"/>
      <c r="BE404" s="358"/>
      <c r="BF404" s="358"/>
      <c r="BG404" s="358"/>
      <c r="BH404" s="358"/>
      <c r="BI404" s="358"/>
      <c r="BJ404" s="358"/>
      <c r="BK404" s="358"/>
      <c r="BL404" s="358"/>
      <c r="BM404" s="358"/>
      <c r="BN404" s="358"/>
      <c r="BO404" s="358"/>
      <c r="BP404" s="358"/>
      <c r="BQ404" s="358"/>
      <c r="BR404" s="358"/>
      <c r="BS404" s="358"/>
      <c r="BT404" s="358"/>
      <c r="BU404" s="358"/>
      <c r="BV404" s="358"/>
    </row>
    <row r="405" spans="2:74" x14ac:dyDescent="0.2">
      <c r="B405" s="358"/>
      <c r="D405" s="358"/>
      <c r="E405" s="358"/>
      <c r="F405" s="358"/>
      <c r="G405" s="358"/>
      <c r="H405" s="358"/>
      <c r="I405" s="35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358"/>
      <c r="AA405" s="358"/>
      <c r="AB405" s="358"/>
      <c r="AC405" s="358"/>
      <c r="AD405" s="358"/>
      <c r="AE405" s="358"/>
      <c r="AF405" s="358"/>
      <c r="AG405" s="358"/>
      <c r="AH405" s="358"/>
      <c r="AI405" s="358"/>
      <c r="AJ405" s="358"/>
      <c r="AK405" s="358"/>
      <c r="AL405" s="358"/>
      <c r="AM405" s="358"/>
      <c r="AN405" s="358"/>
      <c r="AO405" s="358"/>
      <c r="AP405" s="358"/>
      <c r="AQ405" s="358"/>
      <c r="AR405" s="358"/>
      <c r="AS405" s="358"/>
      <c r="AT405" s="358"/>
      <c r="AU405" s="358"/>
      <c r="AV405" s="358"/>
      <c r="AW405" s="358"/>
      <c r="AX405" s="358"/>
      <c r="AY405" s="358"/>
      <c r="AZ405" s="358"/>
      <c r="BA405" s="358"/>
      <c r="BB405" s="358"/>
      <c r="BC405" s="358"/>
      <c r="BD405" s="358"/>
      <c r="BE405" s="358"/>
      <c r="BF405" s="358"/>
      <c r="BG405" s="358"/>
      <c r="BH405" s="358"/>
      <c r="BI405" s="358"/>
      <c r="BJ405" s="358"/>
      <c r="BK405" s="358"/>
      <c r="BL405" s="358"/>
      <c r="BM405" s="358"/>
      <c r="BN405" s="358"/>
      <c r="BO405" s="358"/>
      <c r="BP405" s="358"/>
      <c r="BQ405" s="358"/>
      <c r="BR405" s="358"/>
      <c r="BS405" s="358"/>
      <c r="BT405" s="358"/>
      <c r="BU405" s="358"/>
      <c r="BV405" s="358"/>
    </row>
    <row r="406" spans="2:74" x14ac:dyDescent="0.2">
      <c r="B406" s="358"/>
      <c r="D406" s="358"/>
      <c r="E406" s="358"/>
      <c r="F406" s="358"/>
      <c r="G406" s="358"/>
      <c r="H406" s="358"/>
      <c r="I406" s="35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  <c r="AI406" s="358"/>
      <c r="AJ406" s="358"/>
      <c r="AK406" s="358"/>
      <c r="AL406" s="358"/>
      <c r="AM406" s="358"/>
      <c r="AN406" s="358"/>
      <c r="AO406" s="358"/>
      <c r="AP406" s="358"/>
      <c r="AQ406" s="358"/>
      <c r="AR406" s="358"/>
      <c r="AS406" s="358"/>
      <c r="AT406" s="358"/>
      <c r="AU406" s="358"/>
      <c r="AV406" s="358"/>
      <c r="AW406" s="358"/>
      <c r="AX406" s="358"/>
      <c r="AY406" s="358"/>
      <c r="AZ406" s="358"/>
      <c r="BA406" s="358"/>
      <c r="BB406" s="358"/>
      <c r="BC406" s="358"/>
      <c r="BD406" s="358"/>
      <c r="BE406" s="358"/>
      <c r="BF406" s="358"/>
      <c r="BG406" s="358"/>
      <c r="BH406" s="358"/>
      <c r="BI406" s="358"/>
      <c r="BJ406" s="358"/>
      <c r="BK406" s="358"/>
      <c r="BL406" s="358"/>
      <c r="BM406" s="358"/>
      <c r="BN406" s="358"/>
      <c r="BO406" s="358"/>
      <c r="BP406" s="358"/>
      <c r="BQ406" s="358"/>
      <c r="BR406" s="358"/>
      <c r="BS406" s="358"/>
      <c r="BT406" s="358"/>
      <c r="BU406" s="358"/>
      <c r="BV406" s="358"/>
    </row>
    <row r="407" spans="2:74" x14ac:dyDescent="0.2">
      <c r="B407" s="358"/>
      <c r="D407" s="358"/>
      <c r="E407" s="358"/>
      <c r="F407" s="358"/>
      <c r="G407" s="358"/>
      <c r="H407" s="358"/>
      <c r="I407" s="35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358"/>
      <c r="AA407" s="358"/>
      <c r="AB407" s="358"/>
      <c r="AC407" s="358"/>
      <c r="AD407" s="358"/>
      <c r="AE407" s="358"/>
      <c r="AF407" s="358"/>
      <c r="AG407" s="358"/>
      <c r="AH407" s="358"/>
      <c r="AI407" s="358"/>
      <c r="AJ407" s="358"/>
      <c r="AK407" s="358"/>
      <c r="AL407" s="358"/>
      <c r="AM407" s="358"/>
      <c r="AN407" s="358"/>
      <c r="AO407" s="358"/>
      <c r="AP407" s="358"/>
      <c r="AQ407" s="358"/>
      <c r="AR407" s="358"/>
      <c r="AS407" s="358"/>
      <c r="AT407" s="358"/>
      <c r="AU407" s="358"/>
      <c r="AV407" s="358"/>
      <c r="AW407" s="358"/>
      <c r="AX407" s="358"/>
      <c r="AY407" s="358"/>
      <c r="AZ407" s="358"/>
      <c r="BA407" s="358"/>
      <c r="BB407" s="358"/>
      <c r="BC407" s="358"/>
      <c r="BD407" s="358"/>
      <c r="BE407" s="358"/>
      <c r="BF407" s="358"/>
      <c r="BG407" s="358"/>
      <c r="BH407" s="358"/>
      <c r="BI407" s="358"/>
      <c r="BJ407" s="358"/>
      <c r="BK407" s="358"/>
      <c r="BL407" s="358"/>
      <c r="BM407" s="358"/>
      <c r="BN407" s="358"/>
      <c r="BO407" s="358"/>
      <c r="BP407" s="358"/>
      <c r="BQ407" s="358"/>
      <c r="BR407" s="358"/>
      <c r="BS407" s="358"/>
      <c r="BT407" s="358"/>
      <c r="BU407" s="358"/>
      <c r="BV407" s="358"/>
    </row>
    <row r="408" spans="2:74" x14ac:dyDescent="0.2">
      <c r="B408" s="358"/>
      <c r="D408" s="358"/>
      <c r="E408" s="358"/>
      <c r="F408" s="358"/>
      <c r="G408" s="358"/>
      <c r="H408" s="358"/>
      <c r="I408" s="35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  <c r="AI408" s="358"/>
      <c r="AJ408" s="358"/>
      <c r="AK408" s="358"/>
      <c r="AL408" s="358"/>
      <c r="AM408" s="358"/>
      <c r="AN408" s="358"/>
      <c r="AO408" s="358"/>
      <c r="AP408" s="358"/>
      <c r="AQ408" s="358"/>
      <c r="AR408" s="358"/>
      <c r="AS408" s="358"/>
      <c r="AT408" s="358"/>
      <c r="AU408" s="358"/>
      <c r="AV408" s="358"/>
      <c r="AW408" s="358"/>
      <c r="AX408" s="358"/>
      <c r="AY408" s="358"/>
      <c r="AZ408" s="358"/>
      <c r="BA408" s="358"/>
      <c r="BB408" s="358"/>
      <c r="BC408" s="358"/>
      <c r="BD408" s="358"/>
      <c r="BE408" s="358"/>
      <c r="BF408" s="358"/>
      <c r="BG408" s="358"/>
      <c r="BH408" s="358"/>
      <c r="BI408" s="358"/>
      <c r="BJ408" s="358"/>
      <c r="BK408" s="358"/>
      <c r="BL408" s="358"/>
      <c r="BM408" s="358"/>
      <c r="BN408" s="358"/>
      <c r="BO408" s="358"/>
      <c r="BP408" s="358"/>
      <c r="BQ408" s="358"/>
      <c r="BR408" s="358"/>
      <c r="BS408" s="358"/>
      <c r="BT408" s="358"/>
      <c r="BU408" s="358"/>
      <c r="BV408" s="358"/>
    </row>
    <row r="409" spans="2:74" x14ac:dyDescent="0.2">
      <c r="B409" s="358"/>
      <c r="D409" s="358"/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358"/>
      <c r="AW409" s="358"/>
      <c r="AX409" s="358"/>
      <c r="AY409" s="358"/>
      <c r="AZ409" s="358"/>
      <c r="BA409" s="358"/>
      <c r="BB409" s="358"/>
      <c r="BC409" s="358"/>
      <c r="BD409" s="358"/>
      <c r="BE409" s="358"/>
      <c r="BF409" s="358"/>
      <c r="BG409" s="358"/>
      <c r="BH409" s="358"/>
      <c r="BI409" s="358"/>
      <c r="BJ409" s="358"/>
      <c r="BK409" s="358"/>
      <c r="BL409" s="358"/>
      <c r="BM409" s="358"/>
      <c r="BN409" s="358"/>
      <c r="BO409" s="358"/>
      <c r="BP409" s="358"/>
      <c r="BQ409" s="358"/>
      <c r="BR409" s="358"/>
      <c r="BS409" s="358"/>
      <c r="BT409" s="358"/>
      <c r="BU409" s="358"/>
      <c r="BV409" s="358"/>
    </row>
    <row r="410" spans="2:74" x14ac:dyDescent="0.2">
      <c r="B410" s="358"/>
      <c r="D410" s="358"/>
      <c r="E410" s="358"/>
      <c r="F410" s="358"/>
      <c r="G410" s="358"/>
      <c r="H410" s="358"/>
      <c r="I410" s="35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  <c r="AI410" s="358"/>
      <c r="AJ410" s="358"/>
      <c r="AK410" s="358"/>
      <c r="AL410" s="358"/>
      <c r="AM410" s="358"/>
      <c r="AN410" s="358"/>
      <c r="AO410" s="358"/>
      <c r="AP410" s="358"/>
      <c r="AQ410" s="358"/>
      <c r="AR410" s="358"/>
      <c r="AS410" s="358"/>
      <c r="AT410" s="358"/>
      <c r="AU410" s="358"/>
      <c r="AV410" s="358"/>
      <c r="AW410" s="358"/>
      <c r="AX410" s="358"/>
      <c r="AY410" s="358"/>
      <c r="AZ410" s="358"/>
      <c r="BA410" s="358"/>
      <c r="BB410" s="358"/>
      <c r="BC410" s="358"/>
      <c r="BD410" s="358"/>
      <c r="BE410" s="358"/>
      <c r="BF410" s="358"/>
      <c r="BG410" s="358"/>
      <c r="BH410" s="358"/>
      <c r="BI410" s="358"/>
      <c r="BJ410" s="358"/>
      <c r="BK410" s="358"/>
      <c r="BL410" s="358"/>
      <c r="BM410" s="358"/>
      <c r="BN410" s="358"/>
      <c r="BO410" s="358"/>
      <c r="BP410" s="358"/>
      <c r="BQ410" s="358"/>
      <c r="BR410" s="358"/>
      <c r="BS410" s="358"/>
      <c r="BT410" s="358"/>
      <c r="BU410" s="358"/>
      <c r="BV410" s="358"/>
    </row>
    <row r="411" spans="2:74" x14ac:dyDescent="0.2">
      <c r="B411" s="358"/>
      <c r="D411" s="358"/>
      <c r="E411" s="358"/>
      <c r="F411" s="358"/>
      <c r="G411" s="358"/>
      <c r="H411" s="358"/>
      <c r="I411" s="358"/>
      <c r="J411" s="358"/>
      <c r="K411" s="358"/>
      <c r="L411" s="358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  <c r="Y411" s="358"/>
      <c r="Z411" s="358"/>
      <c r="AA411" s="358"/>
      <c r="AB411" s="358"/>
      <c r="AC411" s="358"/>
      <c r="AD411" s="358"/>
      <c r="AE411" s="358"/>
      <c r="AF411" s="358"/>
      <c r="AG411" s="358"/>
      <c r="AH411" s="358"/>
      <c r="AI411" s="358"/>
      <c r="AJ411" s="358"/>
      <c r="AK411" s="358"/>
      <c r="AL411" s="358"/>
      <c r="AM411" s="358"/>
      <c r="AN411" s="358"/>
      <c r="AO411" s="358"/>
      <c r="AP411" s="358"/>
      <c r="AQ411" s="358"/>
      <c r="AR411" s="358"/>
      <c r="AS411" s="358"/>
      <c r="AT411" s="358"/>
      <c r="AU411" s="358"/>
      <c r="AV411" s="358"/>
      <c r="AW411" s="358"/>
      <c r="AX411" s="358"/>
      <c r="AY411" s="358"/>
      <c r="AZ411" s="358"/>
      <c r="BA411" s="358"/>
      <c r="BB411" s="358"/>
      <c r="BC411" s="358"/>
      <c r="BD411" s="358"/>
      <c r="BE411" s="358"/>
      <c r="BF411" s="358"/>
      <c r="BG411" s="358"/>
      <c r="BH411" s="358"/>
      <c r="BI411" s="358"/>
      <c r="BJ411" s="358"/>
      <c r="BK411" s="358"/>
      <c r="BL411" s="358"/>
      <c r="BM411" s="358"/>
      <c r="BN411" s="358"/>
      <c r="BO411" s="358"/>
      <c r="BP411" s="358"/>
      <c r="BQ411" s="358"/>
      <c r="BR411" s="358"/>
      <c r="BS411" s="358"/>
      <c r="BT411" s="358"/>
      <c r="BU411" s="358"/>
      <c r="BV411" s="358"/>
    </row>
    <row r="412" spans="2:74" x14ac:dyDescent="0.2">
      <c r="B412" s="358"/>
      <c r="D412" s="358"/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L412" s="358"/>
      <c r="AM412" s="358"/>
      <c r="AN412" s="358"/>
      <c r="AO412" s="358"/>
      <c r="AP412" s="358"/>
      <c r="AQ412" s="358"/>
      <c r="AR412" s="358"/>
      <c r="AS412" s="358"/>
      <c r="AT412" s="358"/>
      <c r="AU412" s="358"/>
      <c r="AV412" s="358"/>
      <c r="AW412" s="358"/>
      <c r="AX412" s="358"/>
      <c r="AY412" s="358"/>
      <c r="AZ412" s="358"/>
      <c r="BA412" s="358"/>
      <c r="BB412" s="358"/>
      <c r="BC412" s="358"/>
      <c r="BD412" s="358"/>
      <c r="BE412" s="358"/>
      <c r="BF412" s="358"/>
      <c r="BG412" s="358"/>
      <c r="BH412" s="358"/>
      <c r="BI412" s="358"/>
      <c r="BJ412" s="358"/>
      <c r="BK412" s="358"/>
      <c r="BL412" s="358"/>
      <c r="BM412" s="358"/>
      <c r="BN412" s="358"/>
      <c r="BO412" s="358"/>
      <c r="BP412" s="358"/>
      <c r="BQ412" s="358"/>
      <c r="BR412" s="358"/>
      <c r="BS412" s="358"/>
      <c r="BT412" s="358"/>
      <c r="BU412" s="358"/>
      <c r="BV412" s="358"/>
    </row>
    <row r="413" spans="2:74" x14ac:dyDescent="0.2">
      <c r="B413" s="358"/>
      <c r="D413" s="358"/>
      <c r="E413" s="358"/>
      <c r="F413" s="358"/>
      <c r="G413" s="358"/>
      <c r="H413" s="358"/>
      <c r="I413" s="358"/>
      <c r="J413" s="358"/>
      <c r="K413" s="358"/>
      <c r="L413" s="358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  <c r="Y413" s="358"/>
      <c r="Z413" s="358"/>
      <c r="AA413" s="358"/>
      <c r="AB413" s="358"/>
      <c r="AC413" s="358"/>
      <c r="AD413" s="358"/>
      <c r="AE413" s="358"/>
      <c r="AF413" s="358"/>
      <c r="AG413" s="358"/>
      <c r="AH413" s="358"/>
      <c r="AI413" s="358"/>
      <c r="AJ413" s="358"/>
      <c r="AK413" s="358"/>
      <c r="AL413" s="358"/>
      <c r="AM413" s="358"/>
      <c r="AN413" s="358"/>
      <c r="AO413" s="358"/>
      <c r="AP413" s="358"/>
      <c r="AQ413" s="358"/>
      <c r="AR413" s="358"/>
      <c r="AS413" s="358"/>
      <c r="AT413" s="358"/>
      <c r="AU413" s="358"/>
      <c r="AV413" s="358"/>
      <c r="AW413" s="358"/>
      <c r="AX413" s="358"/>
      <c r="AY413" s="358"/>
      <c r="AZ413" s="358"/>
      <c r="BA413" s="358"/>
      <c r="BB413" s="358"/>
      <c r="BC413" s="358"/>
      <c r="BD413" s="358"/>
      <c r="BE413" s="358"/>
      <c r="BF413" s="358"/>
      <c r="BG413" s="358"/>
      <c r="BH413" s="358"/>
      <c r="BI413" s="358"/>
      <c r="BJ413" s="358"/>
      <c r="BK413" s="358"/>
      <c r="BL413" s="358"/>
      <c r="BM413" s="358"/>
      <c r="BN413" s="358"/>
      <c r="BO413" s="358"/>
      <c r="BP413" s="358"/>
      <c r="BQ413" s="358"/>
      <c r="BR413" s="358"/>
      <c r="BS413" s="358"/>
      <c r="BT413" s="358"/>
      <c r="BU413" s="358"/>
      <c r="BV413" s="358"/>
    </row>
    <row r="414" spans="2:74" x14ac:dyDescent="0.2">
      <c r="B414" s="358"/>
      <c r="D414" s="358"/>
      <c r="E414" s="358"/>
      <c r="F414" s="358"/>
      <c r="G414" s="358"/>
      <c r="H414" s="358"/>
      <c r="I414" s="358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  <c r="AK414" s="358"/>
      <c r="AL414" s="358"/>
      <c r="AM414" s="358"/>
      <c r="AN414" s="358"/>
      <c r="AO414" s="358"/>
      <c r="AP414" s="358"/>
      <c r="AQ414" s="358"/>
      <c r="AR414" s="358"/>
      <c r="AS414" s="358"/>
      <c r="AT414" s="358"/>
      <c r="AU414" s="358"/>
      <c r="AV414" s="358"/>
      <c r="AW414" s="358"/>
      <c r="AX414" s="358"/>
      <c r="AY414" s="358"/>
      <c r="AZ414" s="358"/>
      <c r="BA414" s="358"/>
      <c r="BB414" s="358"/>
      <c r="BC414" s="358"/>
      <c r="BD414" s="358"/>
      <c r="BE414" s="358"/>
      <c r="BF414" s="358"/>
      <c r="BG414" s="358"/>
      <c r="BH414" s="358"/>
      <c r="BI414" s="358"/>
      <c r="BJ414" s="358"/>
      <c r="BK414" s="358"/>
      <c r="BL414" s="358"/>
      <c r="BM414" s="358"/>
      <c r="BN414" s="358"/>
      <c r="BO414" s="358"/>
      <c r="BP414" s="358"/>
      <c r="BQ414" s="358"/>
      <c r="BR414" s="358"/>
      <c r="BS414" s="358"/>
      <c r="BT414" s="358"/>
      <c r="BU414" s="358"/>
      <c r="BV414" s="358"/>
    </row>
    <row r="415" spans="2:74" x14ac:dyDescent="0.2">
      <c r="B415" s="358"/>
      <c r="D415" s="358"/>
      <c r="E415" s="358"/>
      <c r="F415" s="358"/>
      <c r="G415" s="358"/>
      <c r="H415" s="358"/>
      <c r="I415" s="358"/>
      <c r="J415" s="358"/>
      <c r="K415" s="358"/>
      <c r="L415" s="358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  <c r="Y415" s="358"/>
      <c r="Z415" s="358"/>
      <c r="AA415" s="358"/>
      <c r="AB415" s="358"/>
      <c r="AC415" s="358"/>
      <c r="AD415" s="358"/>
      <c r="AE415" s="358"/>
      <c r="AF415" s="358"/>
      <c r="AG415" s="358"/>
      <c r="AH415" s="358"/>
      <c r="AI415" s="358"/>
      <c r="AJ415" s="358"/>
      <c r="AK415" s="358"/>
      <c r="AL415" s="358"/>
      <c r="AM415" s="358"/>
      <c r="AN415" s="358"/>
      <c r="AO415" s="358"/>
      <c r="AP415" s="358"/>
      <c r="AQ415" s="358"/>
      <c r="AR415" s="358"/>
      <c r="AS415" s="358"/>
      <c r="AT415" s="358"/>
      <c r="AU415" s="358"/>
      <c r="AV415" s="358"/>
      <c r="AW415" s="358"/>
      <c r="AX415" s="358"/>
      <c r="AY415" s="358"/>
      <c r="AZ415" s="358"/>
      <c r="BA415" s="358"/>
      <c r="BB415" s="358"/>
      <c r="BC415" s="358"/>
      <c r="BD415" s="358"/>
      <c r="BE415" s="358"/>
      <c r="BF415" s="358"/>
      <c r="BG415" s="358"/>
      <c r="BH415" s="358"/>
      <c r="BI415" s="358"/>
      <c r="BJ415" s="358"/>
      <c r="BK415" s="358"/>
      <c r="BL415" s="358"/>
      <c r="BM415" s="358"/>
      <c r="BN415" s="358"/>
      <c r="BO415" s="358"/>
      <c r="BP415" s="358"/>
      <c r="BQ415" s="358"/>
      <c r="BR415" s="358"/>
      <c r="BS415" s="358"/>
      <c r="BT415" s="358"/>
      <c r="BU415" s="358"/>
      <c r="BV415" s="358"/>
    </row>
    <row r="416" spans="2:74" x14ac:dyDescent="0.2">
      <c r="B416" s="358"/>
      <c r="D416" s="358"/>
      <c r="E416" s="358"/>
      <c r="F416" s="358"/>
      <c r="G416" s="358"/>
      <c r="H416" s="358"/>
      <c r="I416" s="358"/>
      <c r="J416" s="358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  <c r="AI416" s="358"/>
      <c r="AJ416" s="358"/>
      <c r="AK416" s="358"/>
      <c r="AL416" s="358"/>
      <c r="AM416" s="358"/>
      <c r="AN416" s="358"/>
      <c r="AO416" s="358"/>
      <c r="AP416" s="358"/>
      <c r="AQ416" s="358"/>
      <c r="AR416" s="358"/>
      <c r="AS416" s="358"/>
      <c r="AT416" s="358"/>
      <c r="AU416" s="358"/>
      <c r="AV416" s="358"/>
      <c r="AW416" s="358"/>
      <c r="AX416" s="358"/>
      <c r="AY416" s="358"/>
      <c r="AZ416" s="358"/>
      <c r="BA416" s="358"/>
      <c r="BB416" s="358"/>
      <c r="BC416" s="358"/>
      <c r="BD416" s="358"/>
      <c r="BE416" s="358"/>
      <c r="BF416" s="358"/>
      <c r="BG416" s="358"/>
      <c r="BH416" s="358"/>
      <c r="BI416" s="358"/>
      <c r="BJ416" s="358"/>
      <c r="BK416" s="358"/>
      <c r="BL416" s="358"/>
      <c r="BM416" s="358"/>
      <c r="BN416" s="358"/>
      <c r="BO416" s="358"/>
      <c r="BP416" s="358"/>
      <c r="BQ416" s="358"/>
      <c r="BR416" s="358"/>
      <c r="BS416" s="358"/>
      <c r="BT416" s="358"/>
      <c r="BU416" s="358"/>
      <c r="BV416" s="358"/>
    </row>
    <row r="417" spans="2:74" x14ac:dyDescent="0.2">
      <c r="B417" s="358"/>
      <c r="D417" s="358"/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358"/>
      <c r="AA417" s="358"/>
      <c r="AB417" s="358"/>
      <c r="AC417" s="358"/>
      <c r="AD417" s="358"/>
      <c r="AE417" s="358"/>
      <c r="AF417" s="358"/>
      <c r="AG417" s="358"/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58"/>
      <c r="AX417" s="358"/>
      <c r="AY417" s="358"/>
      <c r="AZ417" s="358"/>
      <c r="BA417" s="358"/>
      <c r="BB417" s="358"/>
      <c r="BC417" s="358"/>
      <c r="BD417" s="358"/>
      <c r="BE417" s="358"/>
      <c r="BF417" s="358"/>
      <c r="BG417" s="358"/>
      <c r="BH417" s="358"/>
      <c r="BI417" s="358"/>
      <c r="BJ417" s="358"/>
      <c r="BK417" s="358"/>
      <c r="BL417" s="358"/>
      <c r="BM417" s="358"/>
      <c r="BN417" s="358"/>
      <c r="BO417" s="358"/>
      <c r="BP417" s="358"/>
      <c r="BQ417" s="358"/>
      <c r="BR417" s="358"/>
      <c r="BS417" s="358"/>
      <c r="BT417" s="358"/>
      <c r="BU417" s="358"/>
      <c r="BV417" s="358"/>
    </row>
    <row r="418" spans="2:74" x14ac:dyDescent="0.2">
      <c r="B418" s="358"/>
      <c r="D418" s="358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  <c r="AI418" s="358"/>
      <c r="AJ418" s="358"/>
      <c r="AK418" s="358"/>
      <c r="AL418" s="358"/>
      <c r="AM418" s="358"/>
      <c r="AN418" s="358"/>
      <c r="AO418" s="358"/>
      <c r="AP418" s="358"/>
      <c r="AQ418" s="358"/>
      <c r="AR418" s="358"/>
      <c r="AS418" s="358"/>
      <c r="AT418" s="358"/>
      <c r="AU418" s="358"/>
      <c r="AV418" s="358"/>
      <c r="AW418" s="358"/>
      <c r="AX418" s="358"/>
      <c r="AY418" s="358"/>
      <c r="AZ418" s="358"/>
      <c r="BA418" s="358"/>
      <c r="BB418" s="358"/>
      <c r="BC418" s="358"/>
      <c r="BD418" s="358"/>
      <c r="BE418" s="358"/>
      <c r="BF418" s="358"/>
      <c r="BG418" s="358"/>
      <c r="BH418" s="358"/>
      <c r="BI418" s="358"/>
      <c r="BJ418" s="358"/>
      <c r="BK418" s="358"/>
      <c r="BL418" s="358"/>
      <c r="BM418" s="358"/>
      <c r="BN418" s="358"/>
      <c r="BO418" s="358"/>
      <c r="BP418" s="358"/>
      <c r="BQ418" s="358"/>
      <c r="BR418" s="358"/>
      <c r="BS418" s="358"/>
      <c r="BT418" s="358"/>
      <c r="BU418" s="358"/>
      <c r="BV418" s="358"/>
    </row>
    <row r="419" spans="2:74" x14ac:dyDescent="0.2">
      <c r="B419" s="358"/>
      <c r="D419" s="358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358"/>
      <c r="AA419" s="358"/>
      <c r="AB419" s="358"/>
      <c r="AC419" s="358"/>
      <c r="AD419" s="358"/>
      <c r="AE419" s="358"/>
      <c r="AF419" s="358"/>
      <c r="AG419" s="358"/>
      <c r="AH419" s="358"/>
      <c r="AI419" s="358"/>
      <c r="AJ419" s="358"/>
      <c r="AK419" s="358"/>
      <c r="AL419" s="358"/>
      <c r="AM419" s="358"/>
      <c r="AN419" s="358"/>
      <c r="AO419" s="358"/>
      <c r="AP419" s="358"/>
      <c r="AQ419" s="358"/>
      <c r="AR419" s="358"/>
      <c r="AS419" s="358"/>
      <c r="AT419" s="358"/>
      <c r="AU419" s="358"/>
      <c r="AV419" s="358"/>
      <c r="AW419" s="358"/>
      <c r="AX419" s="358"/>
      <c r="AY419" s="358"/>
      <c r="AZ419" s="358"/>
      <c r="BA419" s="358"/>
      <c r="BB419" s="358"/>
      <c r="BC419" s="358"/>
      <c r="BD419" s="358"/>
      <c r="BE419" s="358"/>
      <c r="BF419" s="358"/>
      <c r="BG419" s="358"/>
      <c r="BH419" s="358"/>
      <c r="BI419" s="358"/>
      <c r="BJ419" s="358"/>
      <c r="BK419" s="358"/>
      <c r="BL419" s="358"/>
      <c r="BM419" s="358"/>
      <c r="BN419" s="358"/>
      <c r="BO419" s="358"/>
      <c r="BP419" s="358"/>
      <c r="BQ419" s="358"/>
      <c r="BR419" s="358"/>
      <c r="BS419" s="358"/>
      <c r="BT419" s="358"/>
      <c r="BU419" s="358"/>
      <c r="BV419" s="358"/>
    </row>
    <row r="420" spans="2:74" x14ac:dyDescent="0.2">
      <c r="B420" s="358"/>
      <c r="D420" s="358"/>
      <c r="E420" s="358"/>
      <c r="F420" s="358"/>
      <c r="G420" s="358"/>
      <c r="H420" s="358"/>
      <c r="I420" s="358"/>
      <c r="J420" s="358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  <c r="AI420" s="358"/>
      <c r="AJ420" s="358"/>
      <c r="AK420" s="358"/>
      <c r="AL420" s="358"/>
      <c r="AM420" s="358"/>
      <c r="AN420" s="358"/>
      <c r="AO420" s="358"/>
      <c r="AP420" s="358"/>
      <c r="AQ420" s="358"/>
      <c r="AR420" s="358"/>
      <c r="AS420" s="358"/>
      <c r="AT420" s="358"/>
      <c r="AU420" s="358"/>
      <c r="AV420" s="358"/>
      <c r="AW420" s="358"/>
      <c r="AX420" s="358"/>
      <c r="AY420" s="358"/>
      <c r="AZ420" s="358"/>
      <c r="BA420" s="358"/>
      <c r="BB420" s="358"/>
      <c r="BC420" s="358"/>
      <c r="BD420" s="358"/>
      <c r="BE420" s="358"/>
      <c r="BF420" s="358"/>
      <c r="BG420" s="358"/>
      <c r="BH420" s="358"/>
      <c r="BI420" s="358"/>
      <c r="BJ420" s="358"/>
      <c r="BK420" s="358"/>
      <c r="BL420" s="358"/>
      <c r="BM420" s="358"/>
      <c r="BN420" s="358"/>
      <c r="BO420" s="358"/>
      <c r="BP420" s="358"/>
      <c r="BQ420" s="358"/>
      <c r="BR420" s="358"/>
      <c r="BS420" s="358"/>
      <c r="BT420" s="358"/>
      <c r="BU420" s="358"/>
      <c r="BV420" s="358"/>
    </row>
    <row r="421" spans="2:74" x14ac:dyDescent="0.2">
      <c r="B421" s="358"/>
      <c r="D421" s="358"/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358"/>
      <c r="AA421" s="358"/>
      <c r="AB421" s="358"/>
      <c r="AC421" s="358"/>
      <c r="AD421" s="358"/>
      <c r="AE421" s="358"/>
      <c r="AF421" s="358"/>
      <c r="AG421" s="358"/>
      <c r="AH421" s="358"/>
      <c r="AI421" s="358"/>
      <c r="AJ421" s="358"/>
      <c r="AK421" s="358"/>
      <c r="AL421" s="358"/>
      <c r="AM421" s="358"/>
      <c r="AN421" s="358"/>
      <c r="AO421" s="358"/>
      <c r="AP421" s="358"/>
      <c r="AQ421" s="358"/>
      <c r="AR421" s="358"/>
      <c r="AS421" s="358"/>
      <c r="AT421" s="358"/>
      <c r="AU421" s="358"/>
      <c r="AV421" s="358"/>
      <c r="AW421" s="358"/>
      <c r="AX421" s="358"/>
      <c r="AY421" s="358"/>
      <c r="AZ421" s="358"/>
      <c r="BA421" s="358"/>
      <c r="BB421" s="358"/>
      <c r="BC421" s="358"/>
      <c r="BD421" s="358"/>
      <c r="BE421" s="358"/>
      <c r="BF421" s="358"/>
      <c r="BG421" s="358"/>
      <c r="BH421" s="358"/>
      <c r="BI421" s="358"/>
      <c r="BJ421" s="358"/>
      <c r="BK421" s="358"/>
      <c r="BL421" s="358"/>
      <c r="BM421" s="358"/>
      <c r="BN421" s="358"/>
      <c r="BO421" s="358"/>
      <c r="BP421" s="358"/>
      <c r="BQ421" s="358"/>
      <c r="BR421" s="358"/>
      <c r="BS421" s="358"/>
      <c r="BT421" s="358"/>
      <c r="BU421" s="358"/>
      <c r="BV421" s="358"/>
    </row>
    <row r="422" spans="2:74" x14ac:dyDescent="0.2">
      <c r="B422" s="358"/>
      <c r="D422" s="358"/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  <c r="AI422" s="358"/>
      <c r="AJ422" s="358"/>
      <c r="AK422" s="358"/>
      <c r="AL422" s="358"/>
      <c r="AM422" s="358"/>
      <c r="AN422" s="358"/>
      <c r="AO422" s="358"/>
      <c r="AP422" s="358"/>
      <c r="AQ422" s="358"/>
      <c r="AR422" s="358"/>
      <c r="AS422" s="358"/>
      <c r="AT422" s="358"/>
      <c r="AU422" s="358"/>
      <c r="AV422" s="358"/>
      <c r="AW422" s="358"/>
      <c r="AX422" s="358"/>
      <c r="AY422" s="358"/>
      <c r="AZ422" s="358"/>
      <c r="BA422" s="358"/>
      <c r="BB422" s="358"/>
      <c r="BC422" s="358"/>
      <c r="BD422" s="358"/>
      <c r="BE422" s="358"/>
      <c r="BF422" s="358"/>
      <c r="BG422" s="358"/>
      <c r="BH422" s="358"/>
      <c r="BI422" s="358"/>
      <c r="BJ422" s="358"/>
      <c r="BK422" s="358"/>
      <c r="BL422" s="358"/>
      <c r="BM422" s="358"/>
      <c r="BN422" s="358"/>
      <c r="BO422" s="358"/>
      <c r="BP422" s="358"/>
      <c r="BQ422" s="358"/>
      <c r="BR422" s="358"/>
      <c r="BS422" s="358"/>
      <c r="BT422" s="358"/>
      <c r="BU422" s="358"/>
      <c r="BV422" s="358"/>
    </row>
    <row r="423" spans="2:74" x14ac:dyDescent="0.2">
      <c r="B423" s="358"/>
      <c r="D423" s="358"/>
      <c r="E423" s="358"/>
      <c r="F423" s="358"/>
      <c r="G423" s="358"/>
      <c r="H423" s="358"/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Y423" s="358"/>
      <c r="Z423" s="358"/>
      <c r="AA423" s="358"/>
      <c r="AB423" s="358"/>
      <c r="AC423" s="358"/>
      <c r="AD423" s="358"/>
      <c r="AE423" s="358"/>
      <c r="AF423" s="358"/>
      <c r="AG423" s="358"/>
      <c r="AH423" s="358"/>
      <c r="AI423" s="358"/>
      <c r="AJ423" s="358"/>
      <c r="AK423" s="358"/>
      <c r="AL423" s="358"/>
      <c r="AM423" s="358"/>
      <c r="AN423" s="358"/>
      <c r="AO423" s="358"/>
      <c r="AP423" s="358"/>
      <c r="AQ423" s="358"/>
      <c r="AR423" s="358"/>
      <c r="AS423" s="358"/>
      <c r="AT423" s="358"/>
      <c r="AU423" s="358"/>
      <c r="AV423" s="358"/>
      <c r="AW423" s="358"/>
      <c r="AX423" s="358"/>
      <c r="AY423" s="358"/>
      <c r="AZ423" s="358"/>
      <c r="BA423" s="358"/>
      <c r="BB423" s="358"/>
      <c r="BC423" s="358"/>
      <c r="BD423" s="358"/>
      <c r="BE423" s="358"/>
      <c r="BF423" s="358"/>
      <c r="BG423" s="358"/>
      <c r="BH423" s="358"/>
      <c r="BI423" s="358"/>
      <c r="BJ423" s="358"/>
      <c r="BK423" s="358"/>
      <c r="BL423" s="358"/>
      <c r="BM423" s="358"/>
      <c r="BN423" s="358"/>
      <c r="BO423" s="358"/>
      <c r="BP423" s="358"/>
      <c r="BQ423" s="358"/>
      <c r="BR423" s="358"/>
      <c r="BS423" s="358"/>
      <c r="BT423" s="358"/>
      <c r="BU423" s="358"/>
      <c r="BV423" s="358"/>
    </row>
    <row r="424" spans="2:74" x14ac:dyDescent="0.2">
      <c r="B424" s="358"/>
      <c r="D424" s="358"/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  <c r="AI424" s="358"/>
      <c r="AJ424" s="358"/>
      <c r="AK424" s="358"/>
      <c r="AL424" s="358"/>
      <c r="AM424" s="358"/>
      <c r="AN424" s="358"/>
      <c r="AO424" s="358"/>
      <c r="AP424" s="358"/>
      <c r="AQ424" s="358"/>
      <c r="AR424" s="358"/>
      <c r="AS424" s="358"/>
      <c r="AT424" s="358"/>
      <c r="AU424" s="358"/>
      <c r="AV424" s="358"/>
      <c r="AW424" s="358"/>
      <c r="AX424" s="358"/>
      <c r="AY424" s="358"/>
      <c r="AZ424" s="358"/>
      <c r="BA424" s="358"/>
      <c r="BB424" s="358"/>
      <c r="BC424" s="358"/>
      <c r="BD424" s="358"/>
      <c r="BE424" s="358"/>
      <c r="BF424" s="358"/>
      <c r="BG424" s="358"/>
      <c r="BH424" s="358"/>
      <c r="BI424" s="358"/>
      <c r="BJ424" s="358"/>
      <c r="BK424" s="358"/>
      <c r="BL424" s="358"/>
      <c r="BM424" s="358"/>
      <c r="BN424" s="358"/>
      <c r="BO424" s="358"/>
      <c r="BP424" s="358"/>
      <c r="BQ424" s="358"/>
      <c r="BR424" s="358"/>
      <c r="BS424" s="358"/>
      <c r="BT424" s="358"/>
      <c r="BU424" s="358"/>
      <c r="BV424" s="358"/>
    </row>
    <row r="425" spans="2:74" x14ac:dyDescent="0.2">
      <c r="B425" s="358"/>
      <c r="D425" s="358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358"/>
      <c r="AX425" s="358"/>
      <c r="AY425" s="358"/>
      <c r="AZ425" s="358"/>
      <c r="BA425" s="358"/>
      <c r="BB425" s="358"/>
      <c r="BC425" s="358"/>
      <c r="BD425" s="358"/>
      <c r="BE425" s="358"/>
      <c r="BF425" s="358"/>
      <c r="BG425" s="358"/>
      <c r="BH425" s="358"/>
      <c r="BI425" s="358"/>
      <c r="BJ425" s="358"/>
      <c r="BK425" s="358"/>
      <c r="BL425" s="358"/>
      <c r="BM425" s="358"/>
      <c r="BN425" s="358"/>
      <c r="BO425" s="358"/>
      <c r="BP425" s="358"/>
      <c r="BQ425" s="358"/>
      <c r="BR425" s="358"/>
      <c r="BS425" s="358"/>
      <c r="BT425" s="358"/>
      <c r="BU425" s="358"/>
      <c r="BV425" s="358"/>
    </row>
    <row r="426" spans="2:74" x14ac:dyDescent="0.2">
      <c r="B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  <c r="AI426" s="358"/>
      <c r="AJ426" s="358"/>
      <c r="AK426" s="358"/>
      <c r="AL426" s="358"/>
      <c r="AM426" s="358"/>
      <c r="AN426" s="358"/>
      <c r="AO426" s="358"/>
      <c r="AP426" s="358"/>
      <c r="AQ426" s="358"/>
      <c r="AR426" s="358"/>
      <c r="AS426" s="358"/>
      <c r="AT426" s="358"/>
      <c r="AU426" s="358"/>
      <c r="AV426" s="358"/>
      <c r="AW426" s="358"/>
      <c r="AX426" s="358"/>
      <c r="AY426" s="358"/>
      <c r="AZ426" s="358"/>
      <c r="BA426" s="358"/>
      <c r="BB426" s="358"/>
      <c r="BC426" s="358"/>
      <c r="BD426" s="358"/>
      <c r="BE426" s="358"/>
      <c r="BF426" s="358"/>
      <c r="BG426" s="358"/>
      <c r="BH426" s="358"/>
      <c r="BI426" s="358"/>
      <c r="BJ426" s="358"/>
      <c r="BK426" s="358"/>
      <c r="BL426" s="358"/>
      <c r="BM426" s="358"/>
      <c r="BN426" s="358"/>
      <c r="BO426" s="358"/>
      <c r="BP426" s="358"/>
      <c r="BQ426" s="358"/>
      <c r="BR426" s="358"/>
      <c r="BS426" s="358"/>
      <c r="BT426" s="358"/>
      <c r="BU426" s="358"/>
      <c r="BV426" s="358"/>
    </row>
    <row r="427" spans="2:74" x14ac:dyDescent="0.2">
      <c r="B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</row>
    <row r="428" spans="2:74" x14ac:dyDescent="0.2">
      <c r="B428" s="358"/>
      <c r="D428" s="358"/>
      <c r="E428" s="358"/>
      <c r="F428" s="358"/>
      <c r="G428" s="358"/>
      <c r="H428" s="358"/>
      <c r="I428" s="358"/>
      <c r="J428" s="358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  <c r="AI428" s="358"/>
      <c r="AJ428" s="358"/>
      <c r="AK428" s="358"/>
      <c r="AL428" s="358"/>
      <c r="AM428" s="358"/>
      <c r="AN428" s="358"/>
      <c r="AO428" s="358"/>
      <c r="AP428" s="358"/>
      <c r="AQ428" s="358"/>
      <c r="AR428" s="358"/>
      <c r="AS428" s="358"/>
      <c r="AT428" s="358"/>
      <c r="AU428" s="358"/>
      <c r="AV428" s="358"/>
      <c r="AW428" s="358"/>
      <c r="AX428" s="358"/>
      <c r="AY428" s="358"/>
      <c r="AZ428" s="358"/>
      <c r="BA428" s="358"/>
      <c r="BB428" s="358"/>
      <c r="BC428" s="358"/>
      <c r="BD428" s="358"/>
      <c r="BE428" s="358"/>
      <c r="BF428" s="358"/>
      <c r="BG428" s="358"/>
      <c r="BH428" s="358"/>
      <c r="BI428" s="358"/>
      <c r="BJ428" s="358"/>
      <c r="BK428" s="358"/>
      <c r="BL428" s="358"/>
      <c r="BM428" s="358"/>
      <c r="BN428" s="358"/>
      <c r="BO428" s="358"/>
      <c r="BP428" s="358"/>
      <c r="BQ428" s="358"/>
      <c r="BR428" s="358"/>
      <c r="BS428" s="358"/>
      <c r="BT428" s="358"/>
      <c r="BU428" s="358"/>
      <c r="BV428" s="358"/>
    </row>
    <row r="429" spans="2:74" x14ac:dyDescent="0.2">
      <c r="B429" s="358"/>
      <c r="D429" s="358"/>
      <c r="E429" s="358"/>
      <c r="F429" s="358"/>
      <c r="G429" s="358"/>
      <c r="H429" s="358"/>
      <c r="I429" s="358"/>
      <c r="J429" s="358"/>
      <c r="K429" s="358"/>
      <c r="L429" s="358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  <c r="Y429" s="358"/>
      <c r="Z429" s="358"/>
      <c r="AA429" s="358"/>
      <c r="AB429" s="358"/>
      <c r="AC429" s="358"/>
      <c r="AD429" s="358"/>
      <c r="AE429" s="358"/>
      <c r="AF429" s="358"/>
      <c r="AG429" s="358"/>
      <c r="AH429" s="358"/>
      <c r="AI429" s="358"/>
      <c r="AJ429" s="358"/>
      <c r="AK429" s="358"/>
      <c r="AL429" s="358"/>
      <c r="AM429" s="358"/>
      <c r="AN429" s="358"/>
      <c r="AO429" s="358"/>
      <c r="AP429" s="358"/>
      <c r="AQ429" s="358"/>
      <c r="AR429" s="358"/>
      <c r="AS429" s="358"/>
      <c r="AT429" s="358"/>
      <c r="AU429" s="358"/>
      <c r="AV429" s="358"/>
      <c r="AW429" s="358"/>
      <c r="AX429" s="358"/>
      <c r="AY429" s="358"/>
      <c r="AZ429" s="358"/>
      <c r="BA429" s="358"/>
      <c r="BB429" s="358"/>
      <c r="BC429" s="358"/>
      <c r="BD429" s="358"/>
      <c r="BE429" s="358"/>
      <c r="BF429" s="358"/>
      <c r="BG429" s="358"/>
      <c r="BH429" s="358"/>
      <c r="BI429" s="358"/>
      <c r="BJ429" s="358"/>
      <c r="BK429" s="358"/>
      <c r="BL429" s="358"/>
      <c r="BM429" s="358"/>
      <c r="BN429" s="358"/>
      <c r="BO429" s="358"/>
      <c r="BP429" s="358"/>
      <c r="BQ429" s="358"/>
      <c r="BR429" s="358"/>
      <c r="BS429" s="358"/>
      <c r="BT429" s="358"/>
      <c r="BU429" s="358"/>
      <c r="BV429" s="358"/>
    </row>
    <row r="430" spans="2:74" x14ac:dyDescent="0.2">
      <c r="B430" s="358"/>
      <c r="D430" s="358"/>
      <c r="E430" s="358"/>
      <c r="F430" s="358"/>
      <c r="G430" s="358"/>
      <c r="H430" s="358"/>
      <c r="I430" s="358"/>
      <c r="J430" s="358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  <c r="AI430" s="358"/>
      <c r="AJ430" s="358"/>
      <c r="AK430" s="358"/>
      <c r="AL430" s="358"/>
      <c r="AM430" s="358"/>
      <c r="AN430" s="358"/>
      <c r="AO430" s="358"/>
      <c r="AP430" s="358"/>
      <c r="AQ430" s="358"/>
      <c r="AR430" s="358"/>
      <c r="AS430" s="358"/>
      <c r="AT430" s="358"/>
      <c r="AU430" s="358"/>
      <c r="AV430" s="358"/>
      <c r="AW430" s="358"/>
      <c r="AX430" s="358"/>
      <c r="AY430" s="358"/>
      <c r="AZ430" s="358"/>
      <c r="BA430" s="358"/>
      <c r="BB430" s="358"/>
      <c r="BC430" s="358"/>
      <c r="BD430" s="358"/>
      <c r="BE430" s="358"/>
      <c r="BF430" s="358"/>
      <c r="BG430" s="358"/>
      <c r="BH430" s="358"/>
      <c r="BI430" s="358"/>
      <c r="BJ430" s="358"/>
      <c r="BK430" s="358"/>
      <c r="BL430" s="358"/>
      <c r="BM430" s="358"/>
      <c r="BN430" s="358"/>
      <c r="BO430" s="358"/>
      <c r="BP430" s="358"/>
      <c r="BQ430" s="358"/>
      <c r="BR430" s="358"/>
      <c r="BS430" s="358"/>
      <c r="BT430" s="358"/>
      <c r="BU430" s="358"/>
      <c r="BV430" s="358"/>
    </row>
    <row r="431" spans="2:74" x14ac:dyDescent="0.2">
      <c r="B431" s="358"/>
      <c r="D431" s="358"/>
      <c r="E431" s="358"/>
      <c r="F431" s="358"/>
      <c r="G431" s="358"/>
      <c r="H431" s="358"/>
      <c r="I431" s="358"/>
      <c r="J431" s="358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  <c r="AA431" s="358"/>
      <c r="AB431" s="358"/>
      <c r="AC431" s="358"/>
      <c r="AD431" s="358"/>
      <c r="AE431" s="358"/>
      <c r="AF431" s="358"/>
      <c r="AG431" s="358"/>
      <c r="AH431" s="358"/>
      <c r="AI431" s="358"/>
      <c r="AJ431" s="358"/>
      <c r="AK431" s="358"/>
      <c r="AL431" s="358"/>
      <c r="AM431" s="358"/>
      <c r="AN431" s="358"/>
      <c r="AO431" s="358"/>
      <c r="AP431" s="358"/>
      <c r="AQ431" s="358"/>
      <c r="AR431" s="358"/>
      <c r="AS431" s="358"/>
      <c r="AT431" s="358"/>
      <c r="AU431" s="358"/>
      <c r="AV431" s="358"/>
      <c r="AW431" s="358"/>
      <c r="AX431" s="358"/>
      <c r="AY431" s="358"/>
      <c r="AZ431" s="358"/>
      <c r="BA431" s="358"/>
      <c r="BB431" s="358"/>
      <c r="BC431" s="358"/>
      <c r="BD431" s="358"/>
      <c r="BE431" s="358"/>
      <c r="BF431" s="358"/>
      <c r="BG431" s="358"/>
      <c r="BH431" s="358"/>
      <c r="BI431" s="358"/>
      <c r="BJ431" s="358"/>
      <c r="BK431" s="358"/>
      <c r="BL431" s="358"/>
      <c r="BM431" s="358"/>
      <c r="BN431" s="358"/>
      <c r="BO431" s="358"/>
      <c r="BP431" s="358"/>
      <c r="BQ431" s="358"/>
      <c r="BR431" s="358"/>
      <c r="BS431" s="358"/>
      <c r="BT431" s="358"/>
      <c r="BU431" s="358"/>
      <c r="BV431" s="358"/>
    </row>
    <row r="432" spans="2:74" x14ac:dyDescent="0.2">
      <c r="B432" s="358"/>
      <c r="D432" s="358"/>
      <c r="E432" s="358"/>
      <c r="F432" s="358"/>
      <c r="G432" s="358"/>
      <c r="H432" s="358"/>
      <c r="I432" s="358"/>
      <c r="J432" s="358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  <c r="AI432" s="358"/>
      <c r="AJ432" s="358"/>
      <c r="AK432" s="358"/>
      <c r="AL432" s="358"/>
      <c r="AM432" s="358"/>
      <c r="AN432" s="358"/>
      <c r="AO432" s="358"/>
      <c r="AP432" s="358"/>
      <c r="AQ432" s="358"/>
      <c r="AR432" s="358"/>
      <c r="AS432" s="358"/>
      <c r="AT432" s="358"/>
      <c r="AU432" s="358"/>
      <c r="AV432" s="358"/>
      <c r="AW432" s="358"/>
      <c r="AX432" s="358"/>
      <c r="AY432" s="358"/>
      <c r="AZ432" s="358"/>
      <c r="BA432" s="358"/>
      <c r="BB432" s="358"/>
      <c r="BC432" s="358"/>
      <c r="BD432" s="358"/>
      <c r="BE432" s="358"/>
      <c r="BF432" s="358"/>
      <c r="BG432" s="358"/>
      <c r="BH432" s="358"/>
      <c r="BI432" s="358"/>
      <c r="BJ432" s="358"/>
      <c r="BK432" s="358"/>
      <c r="BL432" s="358"/>
      <c r="BM432" s="358"/>
      <c r="BN432" s="358"/>
      <c r="BO432" s="358"/>
      <c r="BP432" s="358"/>
      <c r="BQ432" s="358"/>
      <c r="BR432" s="358"/>
      <c r="BS432" s="358"/>
      <c r="BT432" s="358"/>
      <c r="BU432" s="358"/>
      <c r="BV432" s="358"/>
    </row>
    <row r="433" spans="2:74" x14ac:dyDescent="0.2">
      <c r="B433" s="358"/>
      <c r="D433" s="358"/>
      <c r="E433" s="358"/>
      <c r="F433" s="358"/>
      <c r="G433" s="358"/>
      <c r="H433" s="358"/>
      <c r="I433" s="358"/>
      <c r="J433" s="358"/>
      <c r="K433" s="358"/>
      <c r="L433" s="358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  <c r="Y433" s="358"/>
      <c r="Z433" s="358"/>
      <c r="AA433" s="358"/>
      <c r="AB433" s="358"/>
      <c r="AC433" s="358"/>
      <c r="AD433" s="358"/>
      <c r="AE433" s="358"/>
      <c r="AF433" s="358"/>
      <c r="AG433" s="358"/>
      <c r="AH433" s="358"/>
      <c r="AI433" s="358"/>
      <c r="AJ433" s="358"/>
      <c r="AK433" s="358"/>
      <c r="AL433" s="358"/>
      <c r="AM433" s="358"/>
      <c r="AN433" s="358"/>
      <c r="AO433" s="358"/>
      <c r="AP433" s="358"/>
      <c r="AQ433" s="358"/>
      <c r="AR433" s="358"/>
      <c r="AS433" s="358"/>
      <c r="AT433" s="358"/>
      <c r="AU433" s="358"/>
      <c r="AV433" s="358"/>
      <c r="AW433" s="358"/>
      <c r="AX433" s="358"/>
      <c r="AY433" s="358"/>
      <c r="AZ433" s="358"/>
      <c r="BA433" s="358"/>
      <c r="BB433" s="358"/>
      <c r="BC433" s="358"/>
      <c r="BD433" s="358"/>
      <c r="BE433" s="358"/>
      <c r="BF433" s="358"/>
      <c r="BG433" s="358"/>
      <c r="BH433" s="358"/>
      <c r="BI433" s="358"/>
      <c r="BJ433" s="358"/>
      <c r="BK433" s="358"/>
      <c r="BL433" s="358"/>
      <c r="BM433" s="358"/>
      <c r="BN433" s="358"/>
      <c r="BO433" s="358"/>
      <c r="BP433" s="358"/>
      <c r="BQ433" s="358"/>
      <c r="BR433" s="358"/>
      <c r="BS433" s="358"/>
      <c r="BT433" s="358"/>
      <c r="BU433" s="358"/>
      <c r="BV433" s="358"/>
    </row>
    <row r="434" spans="2:74" x14ac:dyDescent="0.2">
      <c r="B434" s="358"/>
      <c r="D434" s="358"/>
      <c r="E434" s="358"/>
      <c r="F434" s="358"/>
      <c r="G434" s="358"/>
      <c r="H434" s="358"/>
      <c r="I434" s="358"/>
      <c r="J434" s="358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  <c r="AI434" s="358"/>
      <c r="AJ434" s="358"/>
      <c r="AK434" s="358"/>
      <c r="AL434" s="358"/>
      <c r="AM434" s="358"/>
      <c r="AN434" s="358"/>
      <c r="AO434" s="358"/>
      <c r="AP434" s="358"/>
      <c r="AQ434" s="358"/>
      <c r="AR434" s="358"/>
      <c r="AS434" s="358"/>
      <c r="AT434" s="358"/>
      <c r="AU434" s="358"/>
      <c r="AV434" s="358"/>
      <c r="AW434" s="358"/>
      <c r="AX434" s="358"/>
      <c r="AY434" s="358"/>
      <c r="AZ434" s="358"/>
      <c r="BA434" s="358"/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58"/>
      <c r="BR434" s="358"/>
      <c r="BS434" s="358"/>
      <c r="BT434" s="358"/>
      <c r="BU434" s="358"/>
      <c r="BV434" s="358"/>
    </row>
    <row r="435" spans="2:74" x14ac:dyDescent="0.2">
      <c r="B435" s="358"/>
      <c r="D435" s="358"/>
      <c r="E435" s="358"/>
      <c r="F435" s="358"/>
      <c r="G435" s="358"/>
      <c r="H435" s="358"/>
      <c r="I435" s="358"/>
      <c r="J435" s="358"/>
      <c r="K435" s="358"/>
      <c r="L435" s="358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  <c r="Y435" s="358"/>
      <c r="Z435" s="358"/>
      <c r="AA435" s="358"/>
      <c r="AB435" s="358"/>
      <c r="AC435" s="358"/>
      <c r="AD435" s="358"/>
      <c r="AE435" s="358"/>
      <c r="AF435" s="358"/>
      <c r="AG435" s="358"/>
      <c r="AH435" s="358"/>
      <c r="AI435" s="358"/>
      <c r="AJ435" s="358"/>
      <c r="AK435" s="358"/>
      <c r="AL435" s="358"/>
      <c r="AM435" s="358"/>
      <c r="AN435" s="358"/>
      <c r="AO435" s="358"/>
      <c r="AP435" s="358"/>
      <c r="AQ435" s="358"/>
      <c r="AR435" s="358"/>
      <c r="AS435" s="358"/>
      <c r="AT435" s="358"/>
      <c r="AU435" s="358"/>
      <c r="AV435" s="358"/>
      <c r="AW435" s="358"/>
      <c r="AX435" s="358"/>
      <c r="AY435" s="358"/>
      <c r="AZ435" s="358"/>
      <c r="BA435" s="358"/>
      <c r="BB435" s="358"/>
      <c r="BC435" s="358"/>
      <c r="BD435" s="358"/>
      <c r="BE435" s="358"/>
      <c r="BF435" s="358"/>
      <c r="BG435" s="358"/>
      <c r="BH435" s="358"/>
      <c r="BI435" s="358"/>
      <c r="BJ435" s="358"/>
      <c r="BK435" s="358"/>
      <c r="BL435" s="358"/>
      <c r="BM435" s="358"/>
      <c r="BN435" s="358"/>
      <c r="BO435" s="358"/>
      <c r="BP435" s="358"/>
      <c r="BQ435" s="358"/>
      <c r="BR435" s="358"/>
      <c r="BS435" s="358"/>
      <c r="BT435" s="358"/>
      <c r="BU435" s="358"/>
      <c r="BV435" s="358"/>
    </row>
    <row r="436" spans="2:74" x14ac:dyDescent="0.2">
      <c r="B436" s="358"/>
      <c r="D436" s="358"/>
      <c r="E436" s="358"/>
      <c r="F436" s="358"/>
      <c r="G436" s="358"/>
      <c r="H436" s="358"/>
      <c r="I436" s="358"/>
      <c r="J436" s="358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  <c r="AI436" s="358"/>
      <c r="AJ436" s="358"/>
      <c r="AK436" s="358"/>
      <c r="AL436" s="358"/>
      <c r="AM436" s="358"/>
      <c r="AN436" s="358"/>
      <c r="AO436" s="358"/>
      <c r="AP436" s="358"/>
      <c r="AQ436" s="358"/>
      <c r="AR436" s="358"/>
      <c r="AS436" s="358"/>
      <c r="AT436" s="358"/>
      <c r="AU436" s="358"/>
      <c r="AV436" s="358"/>
      <c r="AW436" s="358"/>
      <c r="AX436" s="358"/>
      <c r="AY436" s="358"/>
      <c r="AZ436" s="358"/>
      <c r="BA436" s="358"/>
      <c r="BB436" s="358"/>
      <c r="BC436" s="358"/>
      <c r="BD436" s="358"/>
      <c r="BE436" s="358"/>
      <c r="BF436" s="358"/>
      <c r="BG436" s="358"/>
      <c r="BH436" s="358"/>
      <c r="BI436" s="358"/>
      <c r="BJ436" s="358"/>
      <c r="BK436" s="358"/>
      <c r="BL436" s="358"/>
      <c r="BM436" s="358"/>
      <c r="BN436" s="358"/>
      <c r="BO436" s="358"/>
      <c r="BP436" s="358"/>
      <c r="BQ436" s="358"/>
      <c r="BR436" s="358"/>
      <c r="BS436" s="358"/>
      <c r="BT436" s="358"/>
      <c r="BU436" s="358"/>
      <c r="BV436" s="358"/>
    </row>
    <row r="437" spans="2:74" x14ac:dyDescent="0.2">
      <c r="B437" s="358"/>
      <c r="D437" s="358"/>
      <c r="E437" s="358"/>
      <c r="F437" s="358"/>
      <c r="G437" s="358"/>
      <c r="H437" s="358"/>
      <c r="I437" s="358"/>
      <c r="J437" s="358"/>
      <c r="K437" s="358"/>
      <c r="L437" s="358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  <c r="Y437" s="358"/>
      <c r="Z437" s="358"/>
      <c r="AA437" s="358"/>
      <c r="AB437" s="358"/>
      <c r="AC437" s="358"/>
      <c r="AD437" s="358"/>
      <c r="AE437" s="358"/>
      <c r="AF437" s="358"/>
      <c r="AG437" s="358"/>
      <c r="AH437" s="358"/>
      <c r="AI437" s="358"/>
      <c r="AJ437" s="358"/>
      <c r="AK437" s="358"/>
      <c r="AL437" s="358"/>
      <c r="AM437" s="358"/>
      <c r="AN437" s="358"/>
      <c r="AO437" s="358"/>
      <c r="AP437" s="358"/>
      <c r="AQ437" s="358"/>
      <c r="AR437" s="358"/>
      <c r="AS437" s="358"/>
      <c r="AT437" s="358"/>
      <c r="AU437" s="358"/>
      <c r="AV437" s="358"/>
      <c r="AW437" s="358"/>
      <c r="AX437" s="358"/>
      <c r="AY437" s="358"/>
      <c r="AZ437" s="358"/>
      <c r="BA437" s="358"/>
      <c r="BB437" s="358"/>
      <c r="BC437" s="358"/>
      <c r="BD437" s="358"/>
      <c r="BE437" s="358"/>
      <c r="BF437" s="358"/>
      <c r="BG437" s="358"/>
      <c r="BH437" s="358"/>
      <c r="BI437" s="358"/>
      <c r="BJ437" s="358"/>
      <c r="BK437" s="358"/>
      <c r="BL437" s="358"/>
      <c r="BM437" s="358"/>
      <c r="BN437" s="358"/>
      <c r="BO437" s="358"/>
      <c r="BP437" s="358"/>
      <c r="BQ437" s="358"/>
      <c r="BR437" s="358"/>
      <c r="BS437" s="358"/>
      <c r="BT437" s="358"/>
      <c r="BU437" s="358"/>
      <c r="BV437" s="358"/>
    </row>
    <row r="438" spans="2:74" x14ac:dyDescent="0.2">
      <c r="B438" s="358"/>
      <c r="D438" s="358"/>
      <c r="E438" s="358"/>
      <c r="F438" s="358"/>
      <c r="G438" s="358"/>
      <c r="H438" s="358"/>
      <c r="I438" s="358"/>
      <c r="J438" s="358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  <c r="AI438" s="358"/>
      <c r="AJ438" s="358"/>
      <c r="AK438" s="358"/>
      <c r="AL438" s="358"/>
      <c r="AM438" s="358"/>
      <c r="AN438" s="358"/>
      <c r="AO438" s="358"/>
      <c r="AP438" s="358"/>
      <c r="AQ438" s="358"/>
      <c r="AR438" s="358"/>
      <c r="AS438" s="358"/>
      <c r="AT438" s="358"/>
      <c r="AU438" s="358"/>
      <c r="AV438" s="358"/>
      <c r="AW438" s="358"/>
      <c r="AX438" s="358"/>
      <c r="AY438" s="358"/>
      <c r="AZ438" s="358"/>
      <c r="BA438" s="358"/>
      <c r="BB438" s="358"/>
      <c r="BC438" s="358"/>
      <c r="BD438" s="358"/>
      <c r="BE438" s="358"/>
      <c r="BF438" s="358"/>
      <c r="BG438" s="358"/>
      <c r="BH438" s="358"/>
      <c r="BI438" s="358"/>
      <c r="BJ438" s="358"/>
      <c r="BK438" s="358"/>
      <c r="BL438" s="358"/>
      <c r="BM438" s="358"/>
      <c r="BN438" s="358"/>
      <c r="BO438" s="358"/>
      <c r="BP438" s="358"/>
      <c r="BQ438" s="358"/>
      <c r="BR438" s="358"/>
      <c r="BS438" s="358"/>
      <c r="BT438" s="358"/>
      <c r="BU438" s="358"/>
      <c r="BV438" s="358"/>
    </row>
    <row r="439" spans="2:74" x14ac:dyDescent="0.2">
      <c r="B439" s="358"/>
      <c r="D439" s="358"/>
      <c r="E439" s="358"/>
      <c r="F439" s="358"/>
      <c r="G439" s="358"/>
      <c r="H439" s="358"/>
      <c r="I439" s="358"/>
      <c r="J439" s="358"/>
      <c r="K439" s="358"/>
      <c r="L439" s="358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  <c r="Y439" s="358"/>
      <c r="Z439" s="358"/>
      <c r="AA439" s="358"/>
      <c r="AB439" s="358"/>
      <c r="AC439" s="358"/>
      <c r="AD439" s="358"/>
      <c r="AE439" s="358"/>
      <c r="AF439" s="358"/>
      <c r="AG439" s="358"/>
      <c r="AH439" s="358"/>
      <c r="AI439" s="358"/>
      <c r="AJ439" s="358"/>
      <c r="AK439" s="358"/>
      <c r="AL439" s="358"/>
      <c r="AM439" s="358"/>
      <c r="AN439" s="358"/>
      <c r="AO439" s="358"/>
      <c r="AP439" s="358"/>
      <c r="AQ439" s="358"/>
      <c r="AR439" s="358"/>
      <c r="AS439" s="358"/>
      <c r="AT439" s="358"/>
      <c r="AU439" s="358"/>
      <c r="AV439" s="358"/>
      <c r="AW439" s="358"/>
      <c r="AX439" s="358"/>
      <c r="AY439" s="358"/>
      <c r="AZ439" s="358"/>
      <c r="BA439" s="358"/>
      <c r="BB439" s="358"/>
      <c r="BC439" s="358"/>
      <c r="BD439" s="358"/>
      <c r="BE439" s="358"/>
      <c r="BF439" s="358"/>
      <c r="BG439" s="358"/>
      <c r="BH439" s="358"/>
      <c r="BI439" s="358"/>
      <c r="BJ439" s="358"/>
      <c r="BK439" s="358"/>
      <c r="BL439" s="358"/>
      <c r="BM439" s="358"/>
      <c r="BN439" s="358"/>
      <c r="BO439" s="358"/>
      <c r="BP439" s="358"/>
      <c r="BQ439" s="358"/>
      <c r="BR439" s="358"/>
      <c r="BS439" s="358"/>
      <c r="BT439" s="358"/>
      <c r="BU439" s="358"/>
      <c r="BV439" s="358"/>
    </row>
    <row r="440" spans="2:74" x14ac:dyDescent="0.2">
      <c r="B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  <c r="AI440" s="358"/>
      <c r="AJ440" s="358"/>
      <c r="AK440" s="358"/>
      <c r="AL440" s="358"/>
      <c r="AM440" s="358"/>
      <c r="AN440" s="358"/>
      <c r="AO440" s="358"/>
      <c r="AP440" s="358"/>
      <c r="AQ440" s="358"/>
      <c r="AR440" s="358"/>
      <c r="AS440" s="358"/>
      <c r="AT440" s="358"/>
      <c r="AU440" s="358"/>
      <c r="AV440" s="358"/>
      <c r="AW440" s="358"/>
      <c r="AX440" s="358"/>
      <c r="AY440" s="358"/>
      <c r="AZ440" s="358"/>
      <c r="BA440" s="358"/>
      <c r="BB440" s="358"/>
      <c r="BC440" s="358"/>
      <c r="BD440" s="358"/>
      <c r="BE440" s="358"/>
      <c r="BF440" s="358"/>
      <c r="BG440" s="358"/>
      <c r="BH440" s="358"/>
      <c r="BI440" s="358"/>
      <c r="BJ440" s="358"/>
      <c r="BK440" s="358"/>
      <c r="BL440" s="358"/>
      <c r="BM440" s="358"/>
      <c r="BN440" s="358"/>
      <c r="BO440" s="358"/>
      <c r="BP440" s="358"/>
      <c r="BQ440" s="358"/>
      <c r="BR440" s="358"/>
      <c r="BS440" s="358"/>
      <c r="BT440" s="358"/>
      <c r="BU440" s="358"/>
      <c r="BV440" s="358"/>
    </row>
    <row r="441" spans="2:74" x14ac:dyDescent="0.2">
      <c r="B441" s="358"/>
      <c r="D441" s="358"/>
      <c r="E441" s="358"/>
      <c r="F441" s="358"/>
      <c r="G441" s="358"/>
      <c r="H441" s="358"/>
      <c r="I441" s="358"/>
      <c r="J441" s="358"/>
      <c r="K441" s="358"/>
      <c r="L441" s="358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  <c r="Y441" s="358"/>
      <c r="Z441" s="358"/>
      <c r="AA441" s="358"/>
      <c r="AB441" s="358"/>
      <c r="AC441" s="358"/>
      <c r="AD441" s="358"/>
      <c r="AE441" s="358"/>
      <c r="AF441" s="358"/>
      <c r="AG441" s="358"/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58"/>
      <c r="AX441" s="358"/>
      <c r="AY441" s="358"/>
      <c r="AZ441" s="358"/>
      <c r="BA441" s="358"/>
      <c r="BB441" s="358"/>
      <c r="BC441" s="358"/>
      <c r="BD441" s="358"/>
      <c r="BE441" s="358"/>
      <c r="BF441" s="358"/>
      <c r="BG441" s="358"/>
      <c r="BH441" s="358"/>
      <c r="BI441" s="358"/>
      <c r="BJ441" s="358"/>
      <c r="BK441" s="358"/>
      <c r="BL441" s="358"/>
      <c r="BM441" s="358"/>
      <c r="BN441" s="358"/>
      <c r="BO441" s="358"/>
      <c r="BP441" s="358"/>
      <c r="BQ441" s="358"/>
      <c r="BR441" s="358"/>
      <c r="BS441" s="358"/>
      <c r="BT441" s="358"/>
      <c r="BU441" s="358"/>
      <c r="BV441" s="358"/>
    </row>
    <row r="442" spans="2:74" x14ac:dyDescent="0.2">
      <c r="B442" s="358"/>
      <c r="D442" s="358"/>
      <c r="E442" s="358"/>
      <c r="F442" s="358"/>
      <c r="G442" s="358"/>
      <c r="H442" s="358"/>
      <c r="I442" s="358"/>
      <c r="J442" s="358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  <c r="AI442" s="358"/>
      <c r="AJ442" s="358"/>
      <c r="AK442" s="358"/>
      <c r="AL442" s="358"/>
      <c r="AM442" s="358"/>
      <c r="AN442" s="358"/>
      <c r="AO442" s="358"/>
      <c r="AP442" s="358"/>
      <c r="AQ442" s="358"/>
      <c r="AR442" s="358"/>
      <c r="AS442" s="358"/>
      <c r="AT442" s="358"/>
      <c r="AU442" s="358"/>
      <c r="AV442" s="358"/>
      <c r="AW442" s="358"/>
      <c r="AX442" s="358"/>
      <c r="AY442" s="358"/>
      <c r="AZ442" s="358"/>
      <c r="BA442" s="358"/>
      <c r="BB442" s="358"/>
      <c r="BC442" s="358"/>
      <c r="BD442" s="358"/>
      <c r="BE442" s="358"/>
      <c r="BF442" s="358"/>
      <c r="BG442" s="358"/>
      <c r="BH442" s="358"/>
      <c r="BI442" s="358"/>
      <c r="BJ442" s="358"/>
      <c r="BK442" s="358"/>
      <c r="BL442" s="358"/>
      <c r="BM442" s="358"/>
      <c r="BN442" s="358"/>
      <c r="BO442" s="358"/>
      <c r="BP442" s="358"/>
      <c r="BQ442" s="358"/>
      <c r="BR442" s="358"/>
      <c r="BS442" s="358"/>
      <c r="BT442" s="358"/>
      <c r="BU442" s="358"/>
      <c r="BV442" s="358"/>
    </row>
    <row r="443" spans="2:74" x14ac:dyDescent="0.2">
      <c r="B443" s="358"/>
      <c r="D443" s="358"/>
      <c r="E443" s="358"/>
      <c r="F443" s="358"/>
      <c r="G443" s="358"/>
      <c r="H443" s="358"/>
      <c r="I443" s="358"/>
      <c r="J443" s="358"/>
      <c r="K443" s="358"/>
      <c r="L443" s="358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  <c r="Y443" s="358"/>
      <c r="Z443" s="358"/>
      <c r="AA443" s="358"/>
      <c r="AB443" s="358"/>
      <c r="AC443" s="358"/>
      <c r="AD443" s="358"/>
      <c r="AE443" s="358"/>
      <c r="AF443" s="358"/>
      <c r="AG443" s="358"/>
      <c r="AH443" s="358"/>
      <c r="AI443" s="358"/>
      <c r="AJ443" s="358"/>
      <c r="AK443" s="358"/>
      <c r="AL443" s="358"/>
      <c r="AM443" s="358"/>
      <c r="AN443" s="358"/>
      <c r="AO443" s="358"/>
      <c r="AP443" s="358"/>
      <c r="AQ443" s="358"/>
      <c r="AR443" s="358"/>
      <c r="AS443" s="358"/>
      <c r="AT443" s="358"/>
      <c r="AU443" s="358"/>
      <c r="AV443" s="358"/>
      <c r="AW443" s="358"/>
      <c r="AX443" s="358"/>
      <c r="AY443" s="358"/>
      <c r="AZ443" s="358"/>
      <c r="BA443" s="358"/>
      <c r="BB443" s="358"/>
      <c r="BC443" s="358"/>
      <c r="BD443" s="358"/>
      <c r="BE443" s="358"/>
      <c r="BF443" s="358"/>
      <c r="BG443" s="358"/>
      <c r="BH443" s="358"/>
      <c r="BI443" s="358"/>
      <c r="BJ443" s="358"/>
      <c r="BK443" s="358"/>
      <c r="BL443" s="358"/>
      <c r="BM443" s="358"/>
      <c r="BN443" s="358"/>
      <c r="BO443" s="358"/>
      <c r="BP443" s="358"/>
      <c r="BQ443" s="358"/>
      <c r="BR443" s="358"/>
      <c r="BS443" s="358"/>
      <c r="BT443" s="358"/>
      <c r="BU443" s="358"/>
      <c r="BV443" s="358"/>
    </row>
    <row r="444" spans="2:74" x14ac:dyDescent="0.2">
      <c r="B444" s="358"/>
      <c r="D444" s="358"/>
      <c r="E444" s="358"/>
      <c r="F444" s="358"/>
      <c r="G444" s="358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  <c r="AI444" s="358"/>
      <c r="AJ444" s="358"/>
      <c r="AK444" s="358"/>
      <c r="AL444" s="358"/>
      <c r="AM444" s="358"/>
      <c r="AN444" s="358"/>
      <c r="AO444" s="358"/>
      <c r="AP444" s="358"/>
      <c r="AQ444" s="358"/>
      <c r="AR444" s="358"/>
      <c r="AS444" s="358"/>
      <c r="AT444" s="358"/>
      <c r="AU444" s="358"/>
      <c r="AV444" s="358"/>
      <c r="AW444" s="358"/>
      <c r="AX444" s="358"/>
      <c r="AY444" s="358"/>
      <c r="AZ444" s="358"/>
      <c r="BA444" s="358"/>
      <c r="BB444" s="358"/>
      <c r="BC444" s="358"/>
      <c r="BD444" s="358"/>
      <c r="BE444" s="358"/>
      <c r="BF444" s="358"/>
      <c r="BG444" s="358"/>
      <c r="BH444" s="358"/>
      <c r="BI444" s="358"/>
      <c r="BJ444" s="358"/>
      <c r="BK444" s="358"/>
      <c r="BL444" s="358"/>
      <c r="BM444" s="358"/>
      <c r="BN444" s="358"/>
      <c r="BO444" s="358"/>
      <c r="BP444" s="358"/>
      <c r="BQ444" s="358"/>
      <c r="BR444" s="358"/>
      <c r="BS444" s="358"/>
      <c r="BT444" s="358"/>
      <c r="BU444" s="358"/>
      <c r="BV444" s="358"/>
    </row>
    <row r="445" spans="2:74" x14ac:dyDescent="0.2">
      <c r="B445" s="358"/>
      <c r="D445" s="358"/>
      <c r="E445" s="358"/>
      <c r="F445" s="358"/>
      <c r="G445" s="358"/>
      <c r="H445" s="358"/>
      <c r="I445" s="358"/>
      <c r="J445" s="358"/>
      <c r="K445" s="358"/>
      <c r="L445" s="358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  <c r="Y445" s="358"/>
      <c r="Z445" s="358"/>
      <c r="AA445" s="358"/>
      <c r="AB445" s="358"/>
      <c r="AC445" s="358"/>
      <c r="AD445" s="358"/>
      <c r="AE445" s="358"/>
      <c r="AF445" s="358"/>
      <c r="AG445" s="358"/>
      <c r="AH445" s="358"/>
      <c r="AI445" s="358"/>
      <c r="AJ445" s="358"/>
      <c r="AK445" s="358"/>
      <c r="AL445" s="358"/>
      <c r="AM445" s="358"/>
      <c r="AN445" s="358"/>
      <c r="AO445" s="358"/>
      <c r="AP445" s="358"/>
      <c r="AQ445" s="358"/>
      <c r="AR445" s="358"/>
      <c r="AS445" s="358"/>
      <c r="AT445" s="358"/>
      <c r="AU445" s="358"/>
      <c r="AV445" s="358"/>
      <c r="AW445" s="358"/>
      <c r="AX445" s="358"/>
      <c r="AY445" s="358"/>
      <c r="AZ445" s="358"/>
      <c r="BA445" s="358"/>
      <c r="BB445" s="358"/>
      <c r="BC445" s="358"/>
      <c r="BD445" s="358"/>
      <c r="BE445" s="358"/>
      <c r="BF445" s="358"/>
      <c r="BG445" s="358"/>
      <c r="BH445" s="358"/>
      <c r="BI445" s="358"/>
      <c r="BJ445" s="358"/>
      <c r="BK445" s="358"/>
      <c r="BL445" s="358"/>
      <c r="BM445" s="358"/>
      <c r="BN445" s="358"/>
      <c r="BO445" s="358"/>
      <c r="BP445" s="358"/>
      <c r="BQ445" s="358"/>
      <c r="BR445" s="358"/>
      <c r="BS445" s="358"/>
      <c r="BT445" s="358"/>
      <c r="BU445" s="358"/>
      <c r="BV445" s="358"/>
    </row>
    <row r="446" spans="2:74" x14ac:dyDescent="0.2">
      <c r="B446" s="358"/>
      <c r="D446" s="358"/>
      <c r="E446" s="358"/>
      <c r="F446" s="358"/>
      <c r="G446" s="358"/>
      <c r="H446" s="358"/>
      <c r="I446" s="358"/>
      <c r="J446" s="358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  <c r="AI446" s="358"/>
      <c r="AJ446" s="358"/>
      <c r="AK446" s="358"/>
      <c r="AL446" s="358"/>
      <c r="AM446" s="358"/>
      <c r="AN446" s="358"/>
      <c r="AO446" s="358"/>
      <c r="AP446" s="358"/>
      <c r="AQ446" s="358"/>
      <c r="AR446" s="358"/>
      <c r="AS446" s="358"/>
      <c r="AT446" s="358"/>
      <c r="AU446" s="358"/>
      <c r="AV446" s="358"/>
      <c r="AW446" s="358"/>
      <c r="AX446" s="358"/>
      <c r="AY446" s="358"/>
      <c r="AZ446" s="358"/>
      <c r="BA446" s="358"/>
      <c r="BB446" s="358"/>
      <c r="BC446" s="358"/>
      <c r="BD446" s="358"/>
      <c r="BE446" s="358"/>
      <c r="BF446" s="358"/>
      <c r="BG446" s="358"/>
      <c r="BH446" s="358"/>
      <c r="BI446" s="358"/>
      <c r="BJ446" s="358"/>
      <c r="BK446" s="358"/>
      <c r="BL446" s="358"/>
      <c r="BM446" s="358"/>
      <c r="BN446" s="358"/>
      <c r="BO446" s="358"/>
      <c r="BP446" s="358"/>
      <c r="BQ446" s="358"/>
      <c r="BR446" s="358"/>
      <c r="BS446" s="358"/>
      <c r="BT446" s="358"/>
      <c r="BU446" s="358"/>
      <c r="BV446" s="358"/>
    </row>
    <row r="447" spans="2:74" x14ac:dyDescent="0.2">
      <c r="B447" s="358"/>
      <c r="D447" s="358"/>
      <c r="E447" s="358"/>
      <c r="F447" s="358"/>
      <c r="G447" s="358"/>
      <c r="H447" s="358"/>
      <c r="I447" s="358"/>
      <c r="J447" s="358"/>
      <c r="K447" s="358"/>
      <c r="L447" s="358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  <c r="Y447" s="358"/>
      <c r="Z447" s="358"/>
      <c r="AA447" s="358"/>
      <c r="AB447" s="358"/>
      <c r="AC447" s="358"/>
      <c r="AD447" s="358"/>
      <c r="AE447" s="358"/>
      <c r="AF447" s="358"/>
      <c r="AG447" s="358"/>
      <c r="AH447" s="358"/>
      <c r="AI447" s="358"/>
      <c r="AJ447" s="358"/>
      <c r="AK447" s="358"/>
      <c r="AL447" s="358"/>
      <c r="AM447" s="358"/>
      <c r="AN447" s="358"/>
      <c r="AO447" s="358"/>
      <c r="AP447" s="358"/>
      <c r="AQ447" s="358"/>
      <c r="AR447" s="358"/>
      <c r="AS447" s="358"/>
      <c r="AT447" s="358"/>
      <c r="AU447" s="358"/>
      <c r="AV447" s="358"/>
      <c r="AW447" s="358"/>
      <c r="AX447" s="358"/>
      <c r="AY447" s="358"/>
      <c r="AZ447" s="358"/>
      <c r="BA447" s="358"/>
      <c r="BB447" s="358"/>
      <c r="BC447" s="358"/>
      <c r="BD447" s="358"/>
      <c r="BE447" s="358"/>
      <c r="BF447" s="358"/>
      <c r="BG447" s="358"/>
      <c r="BH447" s="358"/>
      <c r="BI447" s="358"/>
      <c r="BJ447" s="358"/>
      <c r="BK447" s="358"/>
      <c r="BL447" s="358"/>
      <c r="BM447" s="358"/>
      <c r="BN447" s="358"/>
      <c r="BO447" s="358"/>
      <c r="BP447" s="358"/>
      <c r="BQ447" s="358"/>
      <c r="BR447" s="358"/>
      <c r="BS447" s="358"/>
      <c r="BT447" s="358"/>
      <c r="BU447" s="358"/>
      <c r="BV447" s="358"/>
    </row>
    <row r="448" spans="2:74" x14ac:dyDescent="0.2">
      <c r="B448" s="358"/>
      <c r="D448" s="358"/>
      <c r="E448" s="358"/>
      <c r="F448" s="358"/>
      <c r="G448" s="358"/>
      <c r="H448" s="358"/>
      <c r="I448" s="358"/>
      <c r="J448" s="358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  <c r="AI448" s="358"/>
      <c r="AJ448" s="358"/>
      <c r="AK448" s="358"/>
      <c r="AL448" s="358"/>
      <c r="AM448" s="358"/>
      <c r="AN448" s="358"/>
      <c r="AO448" s="358"/>
      <c r="AP448" s="358"/>
      <c r="AQ448" s="358"/>
      <c r="AR448" s="358"/>
      <c r="AS448" s="358"/>
      <c r="AT448" s="358"/>
      <c r="AU448" s="358"/>
      <c r="AV448" s="358"/>
      <c r="AW448" s="358"/>
      <c r="AX448" s="358"/>
      <c r="AY448" s="358"/>
      <c r="AZ448" s="358"/>
      <c r="BA448" s="358"/>
      <c r="BB448" s="358"/>
      <c r="BC448" s="358"/>
      <c r="BD448" s="358"/>
      <c r="BE448" s="358"/>
      <c r="BF448" s="358"/>
      <c r="BG448" s="358"/>
      <c r="BH448" s="358"/>
      <c r="BI448" s="358"/>
      <c r="BJ448" s="358"/>
      <c r="BK448" s="358"/>
      <c r="BL448" s="358"/>
      <c r="BM448" s="358"/>
      <c r="BN448" s="358"/>
      <c r="BO448" s="358"/>
      <c r="BP448" s="358"/>
      <c r="BQ448" s="358"/>
      <c r="BR448" s="358"/>
      <c r="BS448" s="358"/>
      <c r="BT448" s="358"/>
      <c r="BU448" s="358"/>
      <c r="BV448" s="358"/>
    </row>
    <row r="449" spans="2:74" x14ac:dyDescent="0.2">
      <c r="B449" s="358"/>
      <c r="D449" s="358"/>
      <c r="E449" s="358"/>
      <c r="F449" s="358"/>
      <c r="G449" s="358"/>
      <c r="H449" s="358"/>
      <c r="I449" s="358"/>
      <c r="J449" s="358"/>
      <c r="K449" s="358"/>
      <c r="L449" s="358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  <c r="Y449" s="358"/>
      <c r="Z449" s="358"/>
      <c r="AA449" s="358"/>
      <c r="AB449" s="358"/>
      <c r="AC449" s="358"/>
      <c r="AD449" s="358"/>
      <c r="AE449" s="358"/>
      <c r="AF449" s="358"/>
      <c r="AG449" s="358"/>
      <c r="AH449" s="358"/>
      <c r="AI449" s="358"/>
      <c r="AJ449" s="358"/>
      <c r="AK449" s="358"/>
      <c r="AL449" s="358"/>
      <c r="AM449" s="358"/>
      <c r="AN449" s="358"/>
      <c r="AO449" s="358"/>
      <c r="AP449" s="358"/>
      <c r="AQ449" s="358"/>
      <c r="AR449" s="358"/>
      <c r="AS449" s="358"/>
      <c r="AT449" s="358"/>
      <c r="AU449" s="358"/>
      <c r="AV449" s="358"/>
      <c r="AW449" s="358"/>
      <c r="AX449" s="358"/>
      <c r="AY449" s="358"/>
      <c r="AZ449" s="358"/>
      <c r="BA449" s="358"/>
      <c r="BB449" s="358"/>
      <c r="BC449" s="358"/>
      <c r="BD449" s="358"/>
      <c r="BE449" s="358"/>
      <c r="BF449" s="358"/>
      <c r="BG449" s="358"/>
      <c r="BH449" s="358"/>
      <c r="BI449" s="358"/>
      <c r="BJ449" s="358"/>
      <c r="BK449" s="358"/>
      <c r="BL449" s="358"/>
      <c r="BM449" s="358"/>
      <c r="BN449" s="358"/>
      <c r="BO449" s="358"/>
      <c r="BP449" s="358"/>
      <c r="BQ449" s="358"/>
      <c r="BR449" s="358"/>
      <c r="BS449" s="358"/>
      <c r="BT449" s="358"/>
      <c r="BU449" s="358"/>
      <c r="BV449" s="358"/>
    </row>
    <row r="450" spans="2:74" x14ac:dyDescent="0.2">
      <c r="B450" s="358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  <c r="AK450" s="358"/>
      <c r="AL450" s="358"/>
      <c r="AM450" s="358"/>
      <c r="AN450" s="358"/>
      <c r="AO450" s="358"/>
      <c r="AP450" s="358"/>
      <c r="AQ450" s="358"/>
      <c r="AR450" s="358"/>
      <c r="AS450" s="358"/>
      <c r="AT450" s="358"/>
      <c r="AU450" s="358"/>
      <c r="AV450" s="358"/>
      <c r="AW450" s="358"/>
      <c r="AX450" s="358"/>
      <c r="AY450" s="358"/>
      <c r="AZ450" s="358"/>
      <c r="BA450" s="358"/>
      <c r="BB450" s="358"/>
      <c r="BC450" s="358"/>
      <c r="BD450" s="358"/>
      <c r="BE450" s="358"/>
      <c r="BF450" s="358"/>
      <c r="BG450" s="358"/>
      <c r="BH450" s="358"/>
      <c r="BI450" s="358"/>
      <c r="BJ450" s="358"/>
      <c r="BK450" s="358"/>
      <c r="BL450" s="358"/>
      <c r="BM450" s="358"/>
      <c r="BN450" s="358"/>
      <c r="BO450" s="358"/>
      <c r="BP450" s="358"/>
      <c r="BQ450" s="358"/>
      <c r="BR450" s="358"/>
      <c r="BS450" s="358"/>
      <c r="BT450" s="358"/>
      <c r="BU450" s="358"/>
      <c r="BV450" s="358"/>
    </row>
    <row r="451" spans="2:74" x14ac:dyDescent="0.2">
      <c r="B451" s="358"/>
      <c r="D451" s="358"/>
      <c r="E451" s="358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  <c r="AA451" s="358"/>
      <c r="AB451" s="358"/>
      <c r="AC451" s="358"/>
      <c r="AD451" s="358"/>
      <c r="AE451" s="358"/>
      <c r="AF451" s="358"/>
      <c r="AG451" s="358"/>
      <c r="AH451" s="358"/>
      <c r="AI451" s="358"/>
      <c r="AJ451" s="358"/>
      <c r="AK451" s="358"/>
      <c r="AL451" s="358"/>
      <c r="AM451" s="358"/>
      <c r="AN451" s="358"/>
      <c r="AO451" s="358"/>
      <c r="AP451" s="358"/>
      <c r="AQ451" s="358"/>
      <c r="AR451" s="358"/>
      <c r="AS451" s="358"/>
      <c r="AT451" s="358"/>
      <c r="AU451" s="358"/>
      <c r="AV451" s="358"/>
      <c r="AW451" s="358"/>
      <c r="AX451" s="358"/>
      <c r="AY451" s="358"/>
      <c r="AZ451" s="358"/>
      <c r="BA451" s="358"/>
      <c r="BB451" s="358"/>
      <c r="BC451" s="358"/>
      <c r="BD451" s="358"/>
      <c r="BE451" s="358"/>
      <c r="BF451" s="358"/>
      <c r="BG451" s="358"/>
      <c r="BH451" s="358"/>
      <c r="BI451" s="358"/>
      <c r="BJ451" s="358"/>
      <c r="BK451" s="358"/>
      <c r="BL451" s="358"/>
      <c r="BM451" s="358"/>
      <c r="BN451" s="358"/>
      <c r="BO451" s="358"/>
      <c r="BP451" s="358"/>
      <c r="BQ451" s="358"/>
      <c r="BR451" s="358"/>
      <c r="BS451" s="358"/>
      <c r="BT451" s="358"/>
      <c r="BU451" s="358"/>
      <c r="BV451" s="358"/>
    </row>
    <row r="452" spans="2:74" x14ac:dyDescent="0.2">
      <c r="B452" s="358"/>
      <c r="D452" s="358"/>
      <c r="E452" s="358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  <c r="AI452" s="358"/>
      <c r="AJ452" s="358"/>
      <c r="AK452" s="358"/>
      <c r="AL452" s="358"/>
      <c r="AM452" s="358"/>
      <c r="AN452" s="358"/>
      <c r="AO452" s="358"/>
      <c r="AP452" s="358"/>
      <c r="AQ452" s="358"/>
      <c r="AR452" s="358"/>
      <c r="AS452" s="358"/>
      <c r="AT452" s="358"/>
      <c r="AU452" s="358"/>
      <c r="AV452" s="358"/>
      <c r="AW452" s="358"/>
      <c r="AX452" s="358"/>
      <c r="AY452" s="358"/>
      <c r="AZ452" s="358"/>
      <c r="BA452" s="358"/>
      <c r="BB452" s="358"/>
      <c r="BC452" s="358"/>
      <c r="BD452" s="358"/>
      <c r="BE452" s="358"/>
      <c r="BF452" s="358"/>
      <c r="BG452" s="358"/>
      <c r="BH452" s="358"/>
      <c r="BI452" s="358"/>
      <c r="BJ452" s="358"/>
      <c r="BK452" s="358"/>
      <c r="BL452" s="358"/>
      <c r="BM452" s="358"/>
      <c r="BN452" s="358"/>
      <c r="BO452" s="358"/>
      <c r="BP452" s="358"/>
      <c r="BQ452" s="358"/>
      <c r="BR452" s="358"/>
      <c r="BS452" s="358"/>
      <c r="BT452" s="358"/>
      <c r="BU452" s="358"/>
      <c r="BV452" s="358"/>
    </row>
    <row r="453" spans="2:74" x14ac:dyDescent="0.2">
      <c r="B453" s="358"/>
      <c r="D453" s="358"/>
      <c r="E453" s="358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  <c r="AA453" s="358"/>
      <c r="AB453" s="358"/>
      <c r="AC453" s="358"/>
      <c r="AD453" s="358"/>
      <c r="AE453" s="358"/>
      <c r="AF453" s="358"/>
      <c r="AG453" s="358"/>
      <c r="AH453" s="358"/>
      <c r="AI453" s="358"/>
      <c r="AJ453" s="358"/>
      <c r="AK453" s="358"/>
      <c r="AL453" s="358"/>
      <c r="AM453" s="358"/>
      <c r="AN453" s="358"/>
      <c r="AO453" s="358"/>
      <c r="AP453" s="358"/>
      <c r="AQ453" s="358"/>
      <c r="AR453" s="358"/>
      <c r="AS453" s="358"/>
      <c r="AT453" s="358"/>
      <c r="AU453" s="358"/>
      <c r="AV453" s="358"/>
      <c r="AW453" s="358"/>
      <c r="AX453" s="358"/>
      <c r="AY453" s="358"/>
      <c r="AZ453" s="358"/>
      <c r="BA453" s="358"/>
      <c r="BB453" s="358"/>
      <c r="BC453" s="358"/>
      <c r="BD453" s="358"/>
      <c r="BE453" s="358"/>
      <c r="BF453" s="358"/>
      <c r="BG453" s="358"/>
      <c r="BH453" s="358"/>
      <c r="BI453" s="358"/>
      <c r="BJ453" s="358"/>
      <c r="BK453" s="358"/>
      <c r="BL453" s="358"/>
      <c r="BM453" s="358"/>
      <c r="BN453" s="358"/>
      <c r="BO453" s="358"/>
      <c r="BP453" s="358"/>
      <c r="BQ453" s="358"/>
      <c r="BR453" s="358"/>
      <c r="BS453" s="358"/>
      <c r="BT453" s="358"/>
      <c r="BU453" s="358"/>
      <c r="BV453" s="358"/>
    </row>
    <row r="454" spans="2:74" x14ac:dyDescent="0.2">
      <c r="B454" s="358"/>
      <c r="D454" s="358"/>
      <c r="E454" s="358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  <c r="AI454" s="358"/>
      <c r="AJ454" s="358"/>
      <c r="AK454" s="358"/>
      <c r="AL454" s="358"/>
      <c r="AM454" s="358"/>
      <c r="AN454" s="358"/>
      <c r="AO454" s="358"/>
      <c r="AP454" s="358"/>
      <c r="AQ454" s="358"/>
      <c r="AR454" s="358"/>
      <c r="AS454" s="358"/>
      <c r="AT454" s="358"/>
      <c r="AU454" s="358"/>
      <c r="AV454" s="358"/>
      <c r="AW454" s="358"/>
      <c r="AX454" s="358"/>
      <c r="AY454" s="358"/>
      <c r="AZ454" s="358"/>
      <c r="BA454" s="358"/>
      <c r="BB454" s="358"/>
      <c r="BC454" s="358"/>
      <c r="BD454" s="358"/>
      <c r="BE454" s="358"/>
      <c r="BF454" s="358"/>
      <c r="BG454" s="358"/>
      <c r="BH454" s="358"/>
      <c r="BI454" s="358"/>
      <c r="BJ454" s="358"/>
      <c r="BK454" s="358"/>
      <c r="BL454" s="358"/>
      <c r="BM454" s="358"/>
      <c r="BN454" s="358"/>
      <c r="BO454" s="358"/>
      <c r="BP454" s="358"/>
      <c r="BQ454" s="358"/>
      <c r="BR454" s="358"/>
      <c r="BS454" s="358"/>
      <c r="BT454" s="358"/>
      <c r="BU454" s="358"/>
      <c r="BV454" s="358"/>
    </row>
    <row r="455" spans="2:74" x14ac:dyDescent="0.2">
      <c r="B455" s="358"/>
      <c r="D455" s="358"/>
      <c r="E455" s="358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  <c r="AA455" s="358"/>
      <c r="AB455" s="358"/>
      <c r="AC455" s="358"/>
      <c r="AD455" s="358"/>
      <c r="AE455" s="358"/>
      <c r="AF455" s="358"/>
      <c r="AG455" s="358"/>
      <c r="AH455" s="358"/>
      <c r="AI455" s="358"/>
      <c r="AJ455" s="358"/>
      <c r="AK455" s="358"/>
      <c r="AL455" s="358"/>
      <c r="AM455" s="358"/>
      <c r="AN455" s="358"/>
      <c r="AO455" s="358"/>
      <c r="AP455" s="358"/>
      <c r="AQ455" s="358"/>
      <c r="AR455" s="358"/>
      <c r="AS455" s="358"/>
      <c r="AT455" s="358"/>
      <c r="AU455" s="358"/>
      <c r="AV455" s="358"/>
      <c r="AW455" s="358"/>
      <c r="AX455" s="358"/>
      <c r="AY455" s="358"/>
      <c r="AZ455" s="358"/>
      <c r="BA455" s="358"/>
      <c r="BB455" s="358"/>
      <c r="BC455" s="358"/>
      <c r="BD455" s="358"/>
      <c r="BE455" s="358"/>
      <c r="BF455" s="358"/>
      <c r="BG455" s="358"/>
      <c r="BH455" s="358"/>
      <c r="BI455" s="358"/>
      <c r="BJ455" s="358"/>
      <c r="BK455" s="358"/>
      <c r="BL455" s="358"/>
      <c r="BM455" s="358"/>
      <c r="BN455" s="358"/>
      <c r="BO455" s="358"/>
      <c r="BP455" s="358"/>
      <c r="BQ455" s="358"/>
      <c r="BR455" s="358"/>
      <c r="BS455" s="358"/>
      <c r="BT455" s="358"/>
      <c r="BU455" s="358"/>
      <c r="BV455" s="358"/>
    </row>
    <row r="456" spans="2:74" x14ac:dyDescent="0.2">
      <c r="B456" s="358"/>
      <c r="D456" s="358"/>
      <c r="E456" s="358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  <c r="AI456" s="358"/>
      <c r="AJ456" s="358"/>
      <c r="AK456" s="358"/>
      <c r="AL456" s="358"/>
      <c r="AM456" s="358"/>
      <c r="AN456" s="358"/>
      <c r="AO456" s="358"/>
      <c r="AP456" s="358"/>
      <c r="AQ456" s="358"/>
      <c r="AR456" s="358"/>
      <c r="AS456" s="358"/>
      <c r="AT456" s="358"/>
      <c r="AU456" s="358"/>
      <c r="AV456" s="358"/>
      <c r="AW456" s="358"/>
      <c r="AX456" s="358"/>
      <c r="AY456" s="358"/>
      <c r="AZ456" s="358"/>
      <c r="BA456" s="358"/>
      <c r="BB456" s="358"/>
      <c r="BC456" s="358"/>
      <c r="BD456" s="358"/>
      <c r="BE456" s="358"/>
      <c r="BF456" s="358"/>
      <c r="BG456" s="358"/>
      <c r="BH456" s="358"/>
      <c r="BI456" s="358"/>
      <c r="BJ456" s="358"/>
      <c r="BK456" s="358"/>
      <c r="BL456" s="358"/>
      <c r="BM456" s="358"/>
      <c r="BN456" s="358"/>
      <c r="BO456" s="358"/>
      <c r="BP456" s="358"/>
      <c r="BQ456" s="358"/>
      <c r="BR456" s="358"/>
      <c r="BS456" s="358"/>
      <c r="BT456" s="358"/>
      <c r="BU456" s="358"/>
      <c r="BV456" s="358"/>
    </row>
    <row r="457" spans="2:74" x14ac:dyDescent="0.2">
      <c r="B457" s="358"/>
      <c r="D457" s="358"/>
      <c r="E457" s="358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  <c r="AA457" s="358"/>
      <c r="AB457" s="358"/>
      <c r="AC457" s="358"/>
      <c r="AD457" s="358"/>
      <c r="AE457" s="358"/>
      <c r="AF457" s="358"/>
      <c r="AG457" s="358"/>
      <c r="AH457" s="358"/>
      <c r="AI457" s="358"/>
      <c r="AJ457" s="358"/>
      <c r="AK457" s="358"/>
      <c r="AL457" s="358"/>
      <c r="AM457" s="358"/>
      <c r="AN457" s="358"/>
      <c r="AO457" s="358"/>
      <c r="AP457" s="358"/>
      <c r="AQ457" s="358"/>
      <c r="AR457" s="358"/>
      <c r="AS457" s="358"/>
      <c r="AT457" s="358"/>
      <c r="AU457" s="358"/>
      <c r="AV457" s="358"/>
      <c r="AW457" s="358"/>
      <c r="AX457" s="358"/>
      <c r="AY457" s="358"/>
      <c r="AZ457" s="358"/>
      <c r="BA457" s="358"/>
      <c r="BB457" s="358"/>
      <c r="BC457" s="358"/>
      <c r="BD457" s="358"/>
      <c r="BE457" s="358"/>
      <c r="BF457" s="358"/>
      <c r="BG457" s="358"/>
      <c r="BH457" s="358"/>
      <c r="BI457" s="358"/>
      <c r="BJ457" s="358"/>
      <c r="BK457" s="358"/>
      <c r="BL457" s="358"/>
      <c r="BM457" s="358"/>
      <c r="BN457" s="358"/>
      <c r="BO457" s="358"/>
      <c r="BP457" s="358"/>
      <c r="BQ457" s="358"/>
      <c r="BR457" s="358"/>
      <c r="BS457" s="358"/>
      <c r="BT457" s="358"/>
      <c r="BU457" s="358"/>
      <c r="BV457" s="358"/>
    </row>
    <row r="458" spans="2:74" x14ac:dyDescent="0.2">
      <c r="B458" s="358"/>
      <c r="D458" s="358"/>
      <c r="E458" s="358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  <c r="AI458" s="358"/>
      <c r="AJ458" s="358"/>
      <c r="AK458" s="358"/>
      <c r="AL458" s="358"/>
      <c r="AM458" s="358"/>
      <c r="AN458" s="358"/>
      <c r="AO458" s="358"/>
      <c r="AP458" s="358"/>
      <c r="AQ458" s="358"/>
      <c r="AR458" s="358"/>
      <c r="AS458" s="358"/>
      <c r="AT458" s="358"/>
      <c r="AU458" s="358"/>
      <c r="AV458" s="358"/>
      <c r="AW458" s="358"/>
      <c r="AX458" s="358"/>
      <c r="AY458" s="358"/>
      <c r="AZ458" s="358"/>
      <c r="BA458" s="358"/>
      <c r="BB458" s="358"/>
      <c r="BC458" s="358"/>
      <c r="BD458" s="358"/>
      <c r="BE458" s="358"/>
      <c r="BF458" s="358"/>
      <c r="BG458" s="358"/>
      <c r="BH458" s="358"/>
      <c r="BI458" s="358"/>
      <c r="BJ458" s="358"/>
      <c r="BK458" s="358"/>
      <c r="BL458" s="358"/>
      <c r="BM458" s="358"/>
      <c r="BN458" s="358"/>
      <c r="BO458" s="358"/>
      <c r="BP458" s="358"/>
      <c r="BQ458" s="358"/>
      <c r="BR458" s="358"/>
      <c r="BS458" s="358"/>
      <c r="BT458" s="358"/>
      <c r="BU458" s="358"/>
      <c r="BV458" s="358"/>
    </row>
    <row r="459" spans="2:74" x14ac:dyDescent="0.2">
      <c r="B459" s="358"/>
      <c r="D459" s="358"/>
      <c r="E459" s="358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  <c r="AA459" s="358"/>
      <c r="AB459" s="358"/>
      <c r="AC459" s="358"/>
      <c r="AD459" s="358"/>
      <c r="AE459" s="358"/>
      <c r="AF459" s="358"/>
      <c r="AG459" s="358"/>
      <c r="AH459" s="358"/>
      <c r="AI459" s="358"/>
      <c r="AJ459" s="358"/>
      <c r="AK459" s="358"/>
      <c r="AL459" s="358"/>
      <c r="AM459" s="358"/>
      <c r="AN459" s="358"/>
      <c r="AO459" s="358"/>
      <c r="AP459" s="358"/>
      <c r="AQ459" s="358"/>
      <c r="AR459" s="358"/>
      <c r="AS459" s="358"/>
      <c r="AT459" s="358"/>
      <c r="AU459" s="358"/>
      <c r="AV459" s="358"/>
      <c r="AW459" s="358"/>
      <c r="AX459" s="358"/>
      <c r="AY459" s="358"/>
      <c r="AZ459" s="358"/>
      <c r="BA459" s="358"/>
      <c r="BB459" s="358"/>
      <c r="BC459" s="358"/>
      <c r="BD459" s="358"/>
      <c r="BE459" s="358"/>
      <c r="BF459" s="358"/>
      <c r="BG459" s="358"/>
      <c r="BH459" s="358"/>
      <c r="BI459" s="358"/>
      <c r="BJ459" s="358"/>
      <c r="BK459" s="358"/>
      <c r="BL459" s="358"/>
      <c r="BM459" s="358"/>
      <c r="BN459" s="358"/>
      <c r="BO459" s="358"/>
      <c r="BP459" s="358"/>
      <c r="BQ459" s="358"/>
      <c r="BR459" s="358"/>
      <c r="BS459" s="358"/>
      <c r="BT459" s="358"/>
      <c r="BU459" s="358"/>
      <c r="BV459" s="358"/>
    </row>
    <row r="460" spans="2:74" x14ac:dyDescent="0.2">
      <c r="B460" s="358"/>
      <c r="D460" s="358"/>
      <c r="E460" s="358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  <c r="AI460" s="358"/>
      <c r="AJ460" s="358"/>
      <c r="AK460" s="358"/>
      <c r="AL460" s="358"/>
      <c r="AM460" s="358"/>
      <c r="AN460" s="358"/>
      <c r="AO460" s="358"/>
      <c r="AP460" s="358"/>
      <c r="AQ460" s="358"/>
      <c r="AR460" s="358"/>
      <c r="AS460" s="358"/>
      <c r="AT460" s="358"/>
      <c r="AU460" s="358"/>
      <c r="AV460" s="358"/>
      <c r="AW460" s="358"/>
      <c r="AX460" s="358"/>
      <c r="AY460" s="358"/>
      <c r="AZ460" s="358"/>
      <c r="BA460" s="358"/>
      <c r="BB460" s="358"/>
      <c r="BC460" s="358"/>
      <c r="BD460" s="358"/>
      <c r="BE460" s="358"/>
      <c r="BF460" s="358"/>
      <c r="BG460" s="358"/>
      <c r="BH460" s="358"/>
      <c r="BI460" s="358"/>
      <c r="BJ460" s="358"/>
      <c r="BK460" s="358"/>
      <c r="BL460" s="358"/>
      <c r="BM460" s="358"/>
      <c r="BN460" s="358"/>
      <c r="BO460" s="358"/>
      <c r="BP460" s="358"/>
      <c r="BQ460" s="358"/>
      <c r="BR460" s="358"/>
      <c r="BS460" s="358"/>
      <c r="BT460" s="358"/>
      <c r="BU460" s="358"/>
      <c r="BV460" s="358"/>
    </row>
    <row r="461" spans="2:74" x14ac:dyDescent="0.2">
      <c r="B461" s="358"/>
      <c r="D461" s="358"/>
      <c r="E461" s="358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  <c r="AA461" s="358"/>
      <c r="AB461" s="358"/>
      <c r="AC461" s="358"/>
      <c r="AD461" s="358"/>
      <c r="AE461" s="358"/>
      <c r="AF461" s="358"/>
      <c r="AG461" s="358"/>
      <c r="AH461" s="358"/>
      <c r="AI461" s="358"/>
      <c r="AJ461" s="358"/>
      <c r="AK461" s="358"/>
      <c r="AL461" s="358"/>
      <c r="AM461" s="358"/>
      <c r="AN461" s="358"/>
      <c r="AO461" s="358"/>
      <c r="AP461" s="358"/>
      <c r="AQ461" s="358"/>
      <c r="AR461" s="358"/>
      <c r="AS461" s="358"/>
      <c r="AT461" s="358"/>
      <c r="AU461" s="358"/>
      <c r="AV461" s="358"/>
      <c r="AW461" s="358"/>
      <c r="AX461" s="358"/>
      <c r="AY461" s="358"/>
      <c r="AZ461" s="358"/>
      <c r="BA461" s="358"/>
      <c r="BB461" s="358"/>
      <c r="BC461" s="358"/>
      <c r="BD461" s="358"/>
      <c r="BE461" s="358"/>
      <c r="BF461" s="358"/>
      <c r="BG461" s="358"/>
      <c r="BH461" s="358"/>
      <c r="BI461" s="358"/>
      <c r="BJ461" s="358"/>
      <c r="BK461" s="358"/>
      <c r="BL461" s="358"/>
      <c r="BM461" s="358"/>
      <c r="BN461" s="358"/>
      <c r="BO461" s="358"/>
      <c r="BP461" s="358"/>
      <c r="BQ461" s="358"/>
      <c r="BR461" s="358"/>
      <c r="BS461" s="358"/>
      <c r="BT461" s="358"/>
      <c r="BU461" s="358"/>
      <c r="BV461" s="358"/>
    </row>
    <row r="462" spans="2:74" x14ac:dyDescent="0.2">
      <c r="B462" s="358"/>
      <c r="D462" s="358"/>
      <c r="E462" s="358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  <c r="AK462" s="358"/>
      <c r="AL462" s="358"/>
      <c r="AM462" s="358"/>
      <c r="AN462" s="358"/>
      <c r="AO462" s="358"/>
      <c r="AP462" s="358"/>
      <c r="AQ462" s="358"/>
      <c r="AR462" s="358"/>
      <c r="AS462" s="358"/>
      <c r="AT462" s="358"/>
      <c r="AU462" s="358"/>
      <c r="AV462" s="358"/>
      <c r="AW462" s="358"/>
      <c r="AX462" s="358"/>
      <c r="AY462" s="358"/>
      <c r="AZ462" s="358"/>
      <c r="BA462" s="358"/>
      <c r="BB462" s="358"/>
      <c r="BC462" s="358"/>
      <c r="BD462" s="358"/>
      <c r="BE462" s="358"/>
      <c r="BF462" s="358"/>
      <c r="BG462" s="358"/>
      <c r="BH462" s="358"/>
      <c r="BI462" s="358"/>
      <c r="BJ462" s="358"/>
      <c r="BK462" s="358"/>
      <c r="BL462" s="358"/>
      <c r="BM462" s="358"/>
      <c r="BN462" s="358"/>
      <c r="BO462" s="358"/>
      <c r="BP462" s="358"/>
      <c r="BQ462" s="358"/>
      <c r="BR462" s="358"/>
      <c r="BS462" s="358"/>
      <c r="BT462" s="358"/>
      <c r="BU462" s="358"/>
      <c r="BV462" s="358"/>
    </row>
    <row r="463" spans="2:74" x14ac:dyDescent="0.2">
      <c r="B463" s="358"/>
      <c r="D463" s="358"/>
      <c r="E463" s="358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  <c r="AA463" s="358"/>
      <c r="AB463" s="358"/>
      <c r="AC463" s="358"/>
      <c r="AD463" s="358"/>
      <c r="AE463" s="358"/>
      <c r="AF463" s="358"/>
      <c r="AG463" s="358"/>
      <c r="AH463" s="358"/>
      <c r="AI463" s="358"/>
      <c r="AJ463" s="358"/>
      <c r="AK463" s="358"/>
      <c r="AL463" s="358"/>
      <c r="AM463" s="358"/>
      <c r="AN463" s="358"/>
      <c r="AO463" s="358"/>
      <c r="AP463" s="358"/>
      <c r="AQ463" s="358"/>
      <c r="AR463" s="358"/>
      <c r="AS463" s="358"/>
      <c r="AT463" s="358"/>
      <c r="AU463" s="358"/>
      <c r="AV463" s="358"/>
      <c r="AW463" s="358"/>
      <c r="AX463" s="358"/>
      <c r="AY463" s="358"/>
      <c r="AZ463" s="358"/>
      <c r="BA463" s="358"/>
      <c r="BB463" s="358"/>
      <c r="BC463" s="358"/>
      <c r="BD463" s="358"/>
      <c r="BE463" s="358"/>
      <c r="BF463" s="358"/>
      <c r="BG463" s="358"/>
      <c r="BH463" s="358"/>
      <c r="BI463" s="358"/>
      <c r="BJ463" s="358"/>
      <c r="BK463" s="358"/>
      <c r="BL463" s="358"/>
      <c r="BM463" s="358"/>
      <c r="BN463" s="358"/>
      <c r="BO463" s="358"/>
      <c r="BP463" s="358"/>
      <c r="BQ463" s="358"/>
      <c r="BR463" s="358"/>
      <c r="BS463" s="358"/>
      <c r="BT463" s="358"/>
      <c r="BU463" s="358"/>
      <c r="BV463" s="358"/>
    </row>
    <row r="464" spans="2:74" x14ac:dyDescent="0.2">
      <c r="B464" s="358"/>
      <c r="D464" s="358"/>
      <c r="E464" s="358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  <c r="AK464" s="358"/>
      <c r="AL464" s="358"/>
      <c r="AM464" s="358"/>
      <c r="AN464" s="358"/>
      <c r="AO464" s="358"/>
      <c r="AP464" s="358"/>
      <c r="AQ464" s="358"/>
      <c r="AR464" s="358"/>
      <c r="AS464" s="358"/>
      <c r="AT464" s="358"/>
      <c r="AU464" s="358"/>
      <c r="AV464" s="358"/>
      <c r="AW464" s="358"/>
      <c r="AX464" s="358"/>
      <c r="AY464" s="358"/>
      <c r="AZ464" s="358"/>
      <c r="BA464" s="358"/>
      <c r="BB464" s="358"/>
      <c r="BC464" s="358"/>
      <c r="BD464" s="358"/>
      <c r="BE464" s="358"/>
      <c r="BF464" s="358"/>
      <c r="BG464" s="358"/>
      <c r="BH464" s="358"/>
      <c r="BI464" s="358"/>
      <c r="BJ464" s="358"/>
      <c r="BK464" s="358"/>
      <c r="BL464" s="358"/>
      <c r="BM464" s="358"/>
      <c r="BN464" s="358"/>
      <c r="BO464" s="358"/>
      <c r="BP464" s="358"/>
      <c r="BQ464" s="358"/>
      <c r="BR464" s="358"/>
      <c r="BS464" s="358"/>
      <c r="BT464" s="358"/>
      <c r="BU464" s="358"/>
      <c r="BV464" s="358"/>
    </row>
    <row r="465" spans="2:74" x14ac:dyDescent="0.2">
      <c r="B465" s="358"/>
      <c r="D465" s="358"/>
      <c r="E465" s="358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  <c r="AA465" s="358"/>
      <c r="AB465" s="358"/>
      <c r="AC465" s="358"/>
      <c r="AD465" s="358"/>
      <c r="AE465" s="358"/>
      <c r="AF465" s="358"/>
      <c r="AG465" s="358"/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58"/>
      <c r="AX465" s="358"/>
      <c r="AY465" s="358"/>
      <c r="AZ465" s="358"/>
      <c r="BA465" s="358"/>
      <c r="BB465" s="358"/>
      <c r="BC465" s="358"/>
      <c r="BD465" s="358"/>
      <c r="BE465" s="358"/>
      <c r="BF465" s="358"/>
      <c r="BG465" s="358"/>
      <c r="BH465" s="358"/>
      <c r="BI465" s="358"/>
      <c r="BJ465" s="358"/>
      <c r="BK465" s="358"/>
      <c r="BL465" s="358"/>
      <c r="BM465" s="358"/>
      <c r="BN465" s="358"/>
      <c r="BO465" s="358"/>
      <c r="BP465" s="358"/>
      <c r="BQ465" s="358"/>
      <c r="BR465" s="358"/>
      <c r="BS465" s="358"/>
      <c r="BT465" s="358"/>
      <c r="BU465" s="358"/>
      <c r="BV465" s="358"/>
    </row>
    <row r="466" spans="2:74" x14ac:dyDescent="0.2">
      <c r="B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  <c r="AK466" s="358"/>
      <c r="AL466" s="358"/>
      <c r="AM466" s="358"/>
      <c r="AN466" s="358"/>
      <c r="AO466" s="358"/>
      <c r="AP466" s="358"/>
      <c r="AQ466" s="358"/>
      <c r="AR466" s="358"/>
      <c r="AS466" s="358"/>
      <c r="AT466" s="358"/>
      <c r="AU466" s="358"/>
      <c r="AV466" s="358"/>
      <c r="AW466" s="358"/>
      <c r="AX466" s="358"/>
      <c r="AY466" s="358"/>
      <c r="AZ466" s="358"/>
      <c r="BA466" s="358"/>
      <c r="BB466" s="358"/>
      <c r="BC466" s="358"/>
      <c r="BD466" s="358"/>
      <c r="BE466" s="358"/>
      <c r="BF466" s="358"/>
      <c r="BG466" s="358"/>
      <c r="BH466" s="358"/>
      <c r="BI466" s="358"/>
      <c r="BJ466" s="358"/>
      <c r="BK466" s="358"/>
      <c r="BL466" s="358"/>
      <c r="BM466" s="358"/>
      <c r="BN466" s="358"/>
      <c r="BO466" s="358"/>
      <c r="BP466" s="358"/>
      <c r="BQ466" s="358"/>
      <c r="BR466" s="358"/>
      <c r="BS466" s="358"/>
      <c r="BT466" s="358"/>
      <c r="BU466" s="358"/>
      <c r="BV466" s="358"/>
    </row>
    <row r="467" spans="2:74" x14ac:dyDescent="0.2">
      <c r="B467" s="358"/>
      <c r="D467" s="358"/>
      <c r="E467" s="358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  <c r="AA467" s="358"/>
      <c r="AB467" s="358"/>
      <c r="AC467" s="358"/>
      <c r="AD467" s="358"/>
      <c r="AE467" s="358"/>
      <c r="AF467" s="358"/>
      <c r="AG467" s="358"/>
      <c r="AH467" s="358"/>
      <c r="AI467" s="358"/>
      <c r="AJ467" s="358"/>
      <c r="AK467" s="358"/>
      <c r="AL467" s="358"/>
      <c r="AM467" s="358"/>
      <c r="AN467" s="358"/>
      <c r="AO467" s="358"/>
      <c r="AP467" s="358"/>
      <c r="AQ467" s="358"/>
      <c r="AR467" s="358"/>
      <c r="AS467" s="358"/>
      <c r="AT467" s="358"/>
      <c r="AU467" s="358"/>
      <c r="AV467" s="358"/>
      <c r="AW467" s="358"/>
      <c r="AX467" s="358"/>
      <c r="AY467" s="358"/>
      <c r="AZ467" s="358"/>
      <c r="BA467" s="358"/>
      <c r="BB467" s="358"/>
      <c r="BC467" s="358"/>
      <c r="BD467" s="358"/>
      <c r="BE467" s="358"/>
      <c r="BF467" s="358"/>
      <c r="BG467" s="358"/>
      <c r="BH467" s="358"/>
      <c r="BI467" s="358"/>
      <c r="BJ467" s="358"/>
      <c r="BK467" s="358"/>
      <c r="BL467" s="358"/>
      <c r="BM467" s="358"/>
      <c r="BN467" s="358"/>
      <c r="BO467" s="358"/>
      <c r="BP467" s="358"/>
      <c r="BQ467" s="358"/>
      <c r="BR467" s="358"/>
      <c r="BS467" s="358"/>
      <c r="BT467" s="358"/>
      <c r="BU467" s="358"/>
      <c r="BV467" s="358"/>
    </row>
    <row r="468" spans="2:74" x14ac:dyDescent="0.2">
      <c r="B468" s="358"/>
      <c r="D468" s="358"/>
      <c r="E468" s="358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  <c r="AI468" s="358"/>
      <c r="AJ468" s="358"/>
      <c r="AK468" s="358"/>
      <c r="AL468" s="358"/>
      <c r="AM468" s="358"/>
      <c r="AN468" s="358"/>
      <c r="AO468" s="358"/>
      <c r="AP468" s="358"/>
      <c r="AQ468" s="358"/>
      <c r="AR468" s="358"/>
      <c r="AS468" s="358"/>
      <c r="AT468" s="358"/>
      <c r="AU468" s="358"/>
      <c r="AV468" s="358"/>
      <c r="AW468" s="358"/>
      <c r="AX468" s="358"/>
      <c r="AY468" s="358"/>
      <c r="AZ468" s="358"/>
      <c r="BA468" s="358"/>
      <c r="BB468" s="358"/>
      <c r="BC468" s="358"/>
      <c r="BD468" s="358"/>
      <c r="BE468" s="358"/>
      <c r="BF468" s="358"/>
      <c r="BG468" s="358"/>
      <c r="BH468" s="358"/>
      <c r="BI468" s="358"/>
      <c r="BJ468" s="358"/>
      <c r="BK468" s="358"/>
      <c r="BL468" s="358"/>
      <c r="BM468" s="358"/>
      <c r="BN468" s="358"/>
      <c r="BO468" s="358"/>
      <c r="BP468" s="358"/>
      <c r="BQ468" s="358"/>
      <c r="BR468" s="358"/>
      <c r="BS468" s="358"/>
      <c r="BT468" s="358"/>
      <c r="BU468" s="358"/>
      <c r="BV468" s="358"/>
    </row>
    <row r="469" spans="2:74" x14ac:dyDescent="0.2">
      <c r="B469" s="358"/>
      <c r="D469" s="358"/>
      <c r="E469" s="358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  <c r="AA469" s="358"/>
      <c r="AB469" s="358"/>
      <c r="AC469" s="358"/>
      <c r="AD469" s="358"/>
      <c r="AE469" s="358"/>
      <c r="AF469" s="358"/>
      <c r="AG469" s="358"/>
      <c r="AH469" s="358"/>
      <c r="AI469" s="358"/>
      <c r="AJ469" s="358"/>
      <c r="AK469" s="358"/>
      <c r="AL469" s="358"/>
      <c r="AM469" s="358"/>
      <c r="AN469" s="358"/>
      <c r="AO469" s="358"/>
      <c r="AP469" s="358"/>
      <c r="AQ469" s="358"/>
      <c r="AR469" s="358"/>
      <c r="AS469" s="358"/>
      <c r="AT469" s="358"/>
      <c r="AU469" s="358"/>
      <c r="AV469" s="358"/>
      <c r="AW469" s="358"/>
      <c r="AX469" s="358"/>
      <c r="AY469" s="358"/>
      <c r="AZ469" s="358"/>
      <c r="BA469" s="358"/>
      <c r="BB469" s="358"/>
      <c r="BC469" s="358"/>
      <c r="BD469" s="358"/>
      <c r="BE469" s="358"/>
      <c r="BF469" s="358"/>
      <c r="BG469" s="358"/>
      <c r="BH469" s="358"/>
      <c r="BI469" s="358"/>
      <c r="BJ469" s="358"/>
      <c r="BK469" s="358"/>
      <c r="BL469" s="358"/>
      <c r="BM469" s="358"/>
      <c r="BN469" s="358"/>
      <c r="BO469" s="358"/>
      <c r="BP469" s="358"/>
      <c r="BQ469" s="358"/>
      <c r="BR469" s="358"/>
      <c r="BS469" s="358"/>
      <c r="BT469" s="358"/>
      <c r="BU469" s="358"/>
      <c r="BV469" s="358"/>
    </row>
    <row r="470" spans="2:74" x14ac:dyDescent="0.2">
      <c r="B470" s="358"/>
      <c r="D470" s="358"/>
      <c r="E470" s="358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  <c r="AI470" s="358"/>
      <c r="AJ470" s="358"/>
      <c r="AK470" s="358"/>
      <c r="AL470" s="358"/>
      <c r="AM470" s="358"/>
      <c r="AN470" s="358"/>
      <c r="AO470" s="358"/>
      <c r="AP470" s="358"/>
      <c r="AQ470" s="358"/>
      <c r="AR470" s="358"/>
      <c r="AS470" s="358"/>
      <c r="AT470" s="358"/>
      <c r="AU470" s="358"/>
      <c r="AV470" s="358"/>
      <c r="AW470" s="358"/>
      <c r="AX470" s="358"/>
      <c r="AY470" s="358"/>
      <c r="AZ470" s="358"/>
      <c r="BA470" s="358"/>
      <c r="BB470" s="358"/>
      <c r="BC470" s="358"/>
      <c r="BD470" s="358"/>
      <c r="BE470" s="358"/>
      <c r="BF470" s="358"/>
      <c r="BG470" s="358"/>
      <c r="BH470" s="358"/>
      <c r="BI470" s="358"/>
      <c r="BJ470" s="358"/>
      <c r="BK470" s="358"/>
      <c r="BL470" s="358"/>
      <c r="BM470" s="358"/>
      <c r="BN470" s="358"/>
      <c r="BO470" s="358"/>
      <c r="BP470" s="358"/>
      <c r="BQ470" s="358"/>
      <c r="BR470" s="358"/>
      <c r="BS470" s="358"/>
      <c r="BT470" s="358"/>
      <c r="BU470" s="358"/>
      <c r="BV470" s="358"/>
    </row>
    <row r="471" spans="2:74" x14ac:dyDescent="0.2">
      <c r="B471" s="358"/>
      <c r="D471" s="358"/>
      <c r="E471" s="358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  <c r="AA471" s="358"/>
      <c r="AB471" s="358"/>
      <c r="AC471" s="358"/>
      <c r="AD471" s="358"/>
      <c r="AE471" s="358"/>
      <c r="AF471" s="358"/>
      <c r="AG471" s="358"/>
      <c r="AH471" s="358"/>
      <c r="AI471" s="358"/>
      <c r="AJ471" s="358"/>
      <c r="AK471" s="358"/>
      <c r="AL471" s="358"/>
      <c r="AM471" s="358"/>
      <c r="AN471" s="358"/>
      <c r="AO471" s="358"/>
      <c r="AP471" s="358"/>
      <c r="AQ471" s="358"/>
      <c r="AR471" s="358"/>
      <c r="AS471" s="358"/>
      <c r="AT471" s="358"/>
      <c r="AU471" s="358"/>
      <c r="AV471" s="358"/>
      <c r="AW471" s="358"/>
      <c r="AX471" s="358"/>
      <c r="AY471" s="358"/>
      <c r="AZ471" s="358"/>
      <c r="BA471" s="358"/>
      <c r="BB471" s="358"/>
      <c r="BC471" s="358"/>
      <c r="BD471" s="358"/>
      <c r="BE471" s="358"/>
      <c r="BF471" s="358"/>
      <c r="BG471" s="358"/>
      <c r="BH471" s="358"/>
      <c r="BI471" s="358"/>
      <c r="BJ471" s="358"/>
      <c r="BK471" s="358"/>
      <c r="BL471" s="358"/>
      <c r="BM471" s="358"/>
      <c r="BN471" s="358"/>
      <c r="BO471" s="358"/>
      <c r="BP471" s="358"/>
      <c r="BQ471" s="358"/>
      <c r="BR471" s="358"/>
      <c r="BS471" s="358"/>
      <c r="BT471" s="358"/>
      <c r="BU471" s="358"/>
      <c r="BV471" s="358"/>
    </row>
    <row r="472" spans="2:74" x14ac:dyDescent="0.2">
      <c r="B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  <c r="AI472" s="358"/>
      <c r="AJ472" s="358"/>
      <c r="AK472" s="358"/>
      <c r="AL472" s="358"/>
      <c r="AM472" s="358"/>
      <c r="AN472" s="358"/>
      <c r="AO472" s="358"/>
      <c r="AP472" s="358"/>
      <c r="AQ472" s="358"/>
      <c r="AR472" s="358"/>
      <c r="AS472" s="358"/>
      <c r="AT472" s="358"/>
      <c r="AU472" s="358"/>
      <c r="AV472" s="358"/>
      <c r="AW472" s="358"/>
      <c r="AX472" s="358"/>
      <c r="AY472" s="358"/>
      <c r="AZ472" s="358"/>
      <c r="BA472" s="358"/>
      <c r="BB472" s="358"/>
      <c r="BC472" s="358"/>
      <c r="BD472" s="358"/>
      <c r="BE472" s="358"/>
      <c r="BF472" s="358"/>
      <c r="BG472" s="358"/>
      <c r="BH472" s="358"/>
      <c r="BI472" s="358"/>
      <c r="BJ472" s="358"/>
      <c r="BK472" s="358"/>
      <c r="BL472" s="358"/>
      <c r="BM472" s="358"/>
      <c r="BN472" s="358"/>
      <c r="BO472" s="358"/>
      <c r="BP472" s="358"/>
      <c r="BQ472" s="358"/>
      <c r="BR472" s="358"/>
      <c r="BS472" s="358"/>
      <c r="BT472" s="358"/>
      <c r="BU472" s="358"/>
      <c r="BV472" s="358"/>
    </row>
    <row r="473" spans="2:74" x14ac:dyDescent="0.2">
      <c r="B473" s="358"/>
      <c r="D473" s="358"/>
      <c r="E473" s="358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  <c r="AA473" s="358"/>
      <c r="AB473" s="358"/>
      <c r="AC473" s="358"/>
      <c r="AD473" s="358"/>
      <c r="AE473" s="358"/>
      <c r="AF473" s="358"/>
      <c r="AG473" s="358"/>
      <c r="AH473" s="358"/>
      <c r="AI473" s="358"/>
      <c r="AJ473" s="358"/>
      <c r="AK473" s="358"/>
      <c r="AL473" s="358"/>
      <c r="AM473" s="358"/>
      <c r="AN473" s="358"/>
      <c r="AO473" s="358"/>
      <c r="AP473" s="358"/>
      <c r="AQ473" s="358"/>
      <c r="AR473" s="358"/>
      <c r="AS473" s="358"/>
      <c r="AT473" s="358"/>
      <c r="AU473" s="358"/>
      <c r="AV473" s="358"/>
      <c r="AW473" s="358"/>
      <c r="AX473" s="358"/>
      <c r="AY473" s="358"/>
      <c r="AZ473" s="358"/>
      <c r="BA473" s="358"/>
      <c r="BB473" s="358"/>
      <c r="BC473" s="358"/>
      <c r="BD473" s="358"/>
      <c r="BE473" s="358"/>
      <c r="BF473" s="358"/>
      <c r="BG473" s="358"/>
      <c r="BH473" s="358"/>
      <c r="BI473" s="358"/>
      <c r="BJ473" s="358"/>
      <c r="BK473" s="358"/>
      <c r="BL473" s="358"/>
      <c r="BM473" s="358"/>
      <c r="BN473" s="358"/>
      <c r="BO473" s="358"/>
      <c r="BP473" s="358"/>
      <c r="BQ473" s="358"/>
      <c r="BR473" s="358"/>
      <c r="BS473" s="358"/>
      <c r="BT473" s="358"/>
      <c r="BU473" s="358"/>
      <c r="BV473" s="358"/>
    </row>
    <row r="474" spans="2:74" x14ac:dyDescent="0.2">
      <c r="B474" s="358"/>
      <c r="D474" s="358"/>
      <c r="E474" s="358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  <c r="AI474" s="358"/>
      <c r="AJ474" s="358"/>
      <c r="AK474" s="358"/>
      <c r="AL474" s="358"/>
      <c r="AM474" s="358"/>
      <c r="AN474" s="358"/>
      <c r="AO474" s="358"/>
      <c r="AP474" s="358"/>
      <c r="AQ474" s="358"/>
      <c r="AR474" s="358"/>
      <c r="AS474" s="358"/>
      <c r="AT474" s="358"/>
      <c r="AU474" s="358"/>
      <c r="AV474" s="358"/>
      <c r="AW474" s="358"/>
      <c r="AX474" s="358"/>
      <c r="AY474" s="358"/>
      <c r="AZ474" s="358"/>
      <c r="BA474" s="358"/>
      <c r="BB474" s="358"/>
      <c r="BC474" s="358"/>
      <c r="BD474" s="358"/>
      <c r="BE474" s="358"/>
      <c r="BF474" s="358"/>
      <c r="BG474" s="358"/>
      <c r="BH474" s="358"/>
      <c r="BI474" s="358"/>
      <c r="BJ474" s="358"/>
      <c r="BK474" s="358"/>
      <c r="BL474" s="358"/>
      <c r="BM474" s="358"/>
      <c r="BN474" s="358"/>
      <c r="BO474" s="358"/>
      <c r="BP474" s="358"/>
      <c r="BQ474" s="358"/>
      <c r="BR474" s="358"/>
      <c r="BS474" s="358"/>
      <c r="BT474" s="358"/>
      <c r="BU474" s="358"/>
      <c r="BV474" s="358"/>
    </row>
    <row r="475" spans="2:74" x14ac:dyDescent="0.2">
      <c r="B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  <c r="AA475" s="358"/>
      <c r="AB475" s="358"/>
      <c r="AC475" s="358"/>
      <c r="AD475" s="358"/>
      <c r="AE475" s="358"/>
      <c r="AF475" s="358"/>
      <c r="AG475" s="358"/>
      <c r="AH475" s="358"/>
      <c r="AI475" s="358"/>
      <c r="AJ475" s="358"/>
      <c r="AK475" s="358"/>
      <c r="AL475" s="358"/>
      <c r="AM475" s="358"/>
      <c r="AN475" s="358"/>
      <c r="AO475" s="358"/>
      <c r="AP475" s="358"/>
      <c r="AQ475" s="358"/>
      <c r="AR475" s="358"/>
      <c r="AS475" s="358"/>
      <c r="AT475" s="358"/>
      <c r="AU475" s="358"/>
      <c r="AV475" s="358"/>
      <c r="AW475" s="358"/>
      <c r="AX475" s="358"/>
      <c r="AY475" s="358"/>
      <c r="AZ475" s="358"/>
      <c r="BA475" s="358"/>
      <c r="BB475" s="358"/>
      <c r="BC475" s="358"/>
      <c r="BD475" s="358"/>
      <c r="BE475" s="358"/>
      <c r="BF475" s="358"/>
      <c r="BG475" s="358"/>
      <c r="BH475" s="358"/>
      <c r="BI475" s="358"/>
      <c r="BJ475" s="358"/>
      <c r="BK475" s="358"/>
      <c r="BL475" s="358"/>
      <c r="BM475" s="358"/>
      <c r="BN475" s="358"/>
      <c r="BO475" s="358"/>
      <c r="BP475" s="358"/>
      <c r="BQ475" s="358"/>
      <c r="BR475" s="358"/>
      <c r="BS475" s="358"/>
      <c r="BT475" s="358"/>
      <c r="BU475" s="358"/>
      <c r="BV475" s="358"/>
    </row>
    <row r="476" spans="2:74" x14ac:dyDescent="0.2">
      <c r="B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  <c r="AI476" s="358"/>
      <c r="AJ476" s="358"/>
      <c r="AK476" s="358"/>
      <c r="AL476" s="358"/>
      <c r="AM476" s="358"/>
      <c r="AN476" s="358"/>
      <c r="AO476" s="358"/>
      <c r="AP476" s="358"/>
      <c r="AQ476" s="358"/>
      <c r="AR476" s="358"/>
      <c r="AS476" s="358"/>
      <c r="AT476" s="358"/>
      <c r="AU476" s="358"/>
      <c r="AV476" s="358"/>
      <c r="AW476" s="358"/>
      <c r="AX476" s="358"/>
      <c r="AY476" s="358"/>
      <c r="AZ476" s="358"/>
      <c r="BA476" s="358"/>
      <c r="BB476" s="358"/>
      <c r="BC476" s="358"/>
      <c r="BD476" s="358"/>
      <c r="BE476" s="358"/>
      <c r="BF476" s="358"/>
      <c r="BG476" s="358"/>
      <c r="BH476" s="358"/>
      <c r="BI476" s="358"/>
      <c r="BJ476" s="358"/>
      <c r="BK476" s="358"/>
      <c r="BL476" s="358"/>
      <c r="BM476" s="358"/>
      <c r="BN476" s="358"/>
      <c r="BO476" s="358"/>
      <c r="BP476" s="358"/>
      <c r="BQ476" s="358"/>
      <c r="BR476" s="358"/>
      <c r="BS476" s="358"/>
      <c r="BT476" s="358"/>
      <c r="BU476" s="358"/>
      <c r="BV476" s="358"/>
    </row>
    <row r="477" spans="2:74" x14ac:dyDescent="0.2">
      <c r="B477" s="358"/>
      <c r="D477" s="358"/>
      <c r="E477" s="358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  <c r="AA477" s="358"/>
      <c r="AB477" s="358"/>
      <c r="AC477" s="358"/>
      <c r="AD477" s="358"/>
      <c r="AE477" s="358"/>
      <c r="AF477" s="358"/>
      <c r="AG477" s="358"/>
      <c r="AH477" s="358"/>
      <c r="AI477" s="358"/>
      <c r="AJ477" s="358"/>
      <c r="AK477" s="358"/>
      <c r="AL477" s="358"/>
      <c r="AM477" s="358"/>
      <c r="AN477" s="358"/>
      <c r="AO477" s="358"/>
      <c r="AP477" s="358"/>
      <c r="AQ477" s="358"/>
      <c r="AR477" s="358"/>
      <c r="AS477" s="358"/>
      <c r="AT477" s="358"/>
      <c r="AU477" s="358"/>
      <c r="AV477" s="358"/>
      <c r="AW477" s="358"/>
      <c r="AX477" s="358"/>
      <c r="AY477" s="358"/>
      <c r="AZ477" s="358"/>
      <c r="BA477" s="358"/>
      <c r="BB477" s="358"/>
      <c r="BC477" s="358"/>
      <c r="BD477" s="358"/>
      <c r="BE477" s="358"/>
      <c r="BF477" s="358"/>
      <c r="BG477" s="358"/>
      <c r="BH477" s="358"/>
      <c r="BI477" s="358"/>
      <c r="BJ477" s="358"/>
      <c r="BK477" s="358"/>
      <c r="BL477" s="358"/>
      <c r="BM477" s="358"/>
      <c r="BN477" s="358"/>
      <c r="BO477" s="358"/>
      <c r="BP477" s="358"/>
      <c r="BQ477" s="358"/>
      <c r="BR477" s="358"/>
      <c r="BS477" s="358"/>
      <c r="BT477" s="358"/>
      <c r="BU477" s="358"/>
      <c r="BV477" s="358"/>
    </row>
    <row r="478" spans="2:74" x14ac:dyDescent="0.2">
      <c r="B478" s="358"/>
      <c r="D478" s="358"/>
      <c r="E478" s="358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  <c r="AI478" s="358"/>
      <c r="AJ478" s="358"/>
      <c r="AK478" s="358"/>
      <c r="AL478" s="358"/>
      <c r="AM478" s="358"/>
      <c r="AN478" s="358"/>
      <c r="AO478" s="358"/>
      <c r="AP478" s="358"/>
      <c r="AQ478" s="358"/>
      <c r="AR478" s="358"/>
      <c r="AS478" s="358"/>
      <c r="AT478" s="358"/>
      <c r="AU478" s="358"/>
      <c r="AV478" s="358"/>
      <c r="AW478" s="358"/>
      <c r="AX478" s="358"/>
      <c r="AY478" s="358"/>
      <c r="AZ478" s="358"/>
      <c r="BA478" s="358"/>
      <c r="BB478" s="358"/>
      <c r="BC478" s="358"/>
      <c r="BD478" s="358"/>
      <c r="BE478" s="358"/>
      <c r="BF478" s="358"/>
      <c r="BG478" s="358"/>
      <c r="BH478" s="358"/>
      <c r="BI478" s="358"/>
      <c r="BJ478" s="358"/>
      <c r="BK478" s="358"/>
      <c r="BL478" s="358"/>
      <c r="BM478" s="358"/>
      <c r="BN478" s="358"/>
      <c r="BO478" s="358"/>
      <c r="BP478" s="358"/>
      <c r="BQ478" s="358"/>
      <c r="BR478" s="358"/>
      <c r="BS478" s="358"/>
      <c r="BT478" s="358"/>
      <c r="BU478" s="358"/>
      <c r="BV478" s="358"/>
    </row>
    <row r="479" spans="2:74" x14ac:dyDescent="0.2">
      <c r="B479" s="358"/>
      <c r="D479" s="358"/>
      <c r="E479" s="358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  <c r="AA479" s="358"/>
      <c r="AB479" s="358"/>
      <c r="AC479" s="358"/>
      <c r="AD479" s="358"/>
      <c r="AE479" s="358"/>
      <c r="AF479" s="358"/>
      <c r="AG479" s="358"/>
      <c r="AH479" s="358"/>
      <c r="AI479" s="358"/>
      <c r="AJ479" s="358"/>
      <c r="AK479" s="358"/>
      <c r="AL479" s="358"/>
      <c r="AM479" s="358"/>
      <c r="AN479" s="358"/>
      <c r="AO479" s="358"/>
      <c r="AP479" s="358"/>
      <c r="AQ479" s="358"/>
      <c r="AR479" s="358"/>
      <c r="AS479" s="358"/>
      <c r="AT479" s="358"/>
      <c r="AU479" s="358"/>
      <c r="AV479" s="358"/>
      <c r="AW479" s="358"/>
      <c r="AX479" s="358"/>
      <c r="AY479" s="358"/>
      <c r="AZ479" s="358"/>
      <c r="BA479" s="358"/>
      <c r="BB479" s="358"/>
      <c r="BC479" s="358"/>
      <c r="BD479" s="358"/>
      <c r="BE479" s="358"/>
      <c r="BF479" s="358"/>
      <c r="BG479" s="358"/>
      <c r="BH479" s="358"/>
      <c r="BI479" s="358"/>
      <c r="BJ479" s="358"/>
      <c r="BK479" s="358"/>
      <c r="BL479" s="358"/>
      <c r="BM479" s="358"/>
      <c r="BN479" s="358"/>
      <c r="BO479" s="358"/>
      <c r="BP479" s="358"/>
      <c r="BQ479" s="358"/>
      <c r="BR479" s="358"/>
      <c r="BS479" s="358"/>
      <c r="BT479" s="358"/>
      <c r="BU479" s="358"/>
      <c r="BV479" s="358"/>
    </row>
    <row r="480" spans="2:74" x14ac:dyDescent="0.2">
      <c r="B480" s="358"/>
      <c r="D480" s="358"/>
      <c r="E480" s="358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  <c r="AI480" s="358"/>
      <c r="AJ480" s="358"/>
      <c r="AK480" s="358"/>
      <c r="AL480" s="358"/>
      <c r="AM480" s="358"/>
      <c r="AN480" s="358"/>
      <c r="AO480" s="358"/>
      <c r="AP480" s="358"/>
      <c r="AQ480" s="358"/>
      <c r="AR480" s="358"/>
      <c r="AS480" s="358"/>
      <c r="AT480" s="358"/>
      <c r="AU480" s="358"/>
      <c r="AV480" s="358"/>
      <c r="AW480" s="358"/>
      <c r="AX480" s="358"/>
      <c r="AY480" s="358"/>
      <c r="AZ480" s="358"/>
      <c r="BA480" s="358"/>
      <c r="BB480" s="358"/>
      <c r="BC480" s="358"/>
      <c r="BD480" s="358"/>
      <c r="BE480" s="358"/>
      <c r="BF480" s="358"/>
      <c r="BG480" s="358"/>
      <c r="BH480" s="358"/>
      <c r="BI480" s="358"/>
      <c r="BJ480" s="358"/>
      <c r="BK480" s="358"/>
      <c r="BL480" s="358"/>
      <c r="BM480" s="358"/>
      <c r="BN480" s="358"/>
      <c r="BO480" s="358"/>
      <c r="BP480" s="358"/>
      <c r="BQ480" s="358"/>
      <c r="BR480" s="358"/>
      <c r="BS480" s="358"/>
      <c r="BT480" s="358"/>
      <c r="BU480" s="358"/>
      <c r="BV480" s="358"/>
    </row>
    <row r="481" spans="2:74" x14ac:dyDescent="0.2">
      <c r="B481" s="358"/>
      <c r="D481" s="358"/>
      <c r="E481" s="358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  <c r="AA481" s="358"/>
      <c r="AB481" s="358"/>
      <c r="AC481" s="358"/>
      <c r="AD481" s="358"/>
      <c r="AE481" s="358"/>
      <c r="AF481" s="358"/>
      <c r="AG481" s="358"/>
      <c r="AH481" s="358"/>
      <c r="AI481" s="358"/>
      <c r="AJ481" s="358"/>
      <c r="AK481" s="358"/>
      <c r="AL481" s="358"/>
      <c r="AM481" s="358"/>
      <c r="AN481" s="358"/>
      <c r="AO481" s="358"/>
      <c r="AP481" s="358"/>
      <c r="AQ481" s="358"/>
      <c r="AR481" s="358"/>
      <c r="AS481" s="358"/>
      <c r="AT481" s="358"/>
      <c r="AU481" s="358"/>
      <c r="AV481" s="358"/>
      <c r="AW481" s="358"/>
      <c r="AX481" s="358"/>
      <c r="AY481" s="358"/>
      <c r="AZ481" s="358"/>
      <c r="BA481" s="358"/>
      <c r="BB481" s="358"/>
      <c r="BC481" s="358"/>
      <c r="BD481" s="358"/>
      <c r="BE481" s="358"/>
      <c r="BF481" s="358"/>
      <c r="BG481" s="358"/>
      <c r="BH481" s="358"/>
      <c r="BI481" s="358"/>
      <c r="BJ481" s="358"/>
      <c r="BK481" s="358"/>
      <c r="BL481" s="358"/>
      <c r="BM481" s="358"/>
      <c r="BN481" s="358"/>
      <c r="BO481" s="358"/>
      <c r="BP481" s="358"/>
      <c r="BQ481" s="358"/>
      <c r="BR481" s="358"/>
      <c r="BS481" s="358"/>
      <c r="BT481" s="358"/>
      <c r="BU481" s="358"/>
      <c r="BV481" s="358"/>
    </row>
    <row r="482" spans="2:74" x14ac:dyDescent="0.2">
      <c r="B482" s="358"/>
      <c r="D482" s="358"/>
      <c r="E482" s="358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  <c r="AI482" s="358"/>
      <c r="AJ482" s="358"/>
      <c r="AK482" s="358"/>
      <c r="AL482" s="358"/>
      <c r="AM482" s="358"/>
      <c r="AN482" s="358"/>
      <c r="AO482" s="358"/>
      <c r="AP482" s="358"/>
      <c r="AQ482" s="358"/>
      <c r="AR482" s="358"/>
      <c r="AS482" s="358"/>
      <c r="AT482" s="358"/>
      <c r="AU482" s="358"/>
      <c r="AV482" s="358"/>
      <c r="AW482" s="358"/>
      <c r="AX482" s="358"/>
      <c r="AY482" s="358"/>
      <c r="AZ482" s="358"/>
      <c r="BA482" s="358"/>
      <c r="BB482" s="358"/>
      <c r="BC482" s="358"/>
      <c r="BD482" s="358"/>
      <c r="BE482" s="358"/>
      <c r="BF482" s="358"/>
      <c r="BG482" s="358"/>
      <c r="BH482" s="358"/>
      <c r="BI482" s="358"/>
      <c r="BJ482" s="358"/>
      <c r="BK482" s="358"/>
      <c r="BL482" s="358"/>
      <c r="BM482" s="358"/>
      <c r="BN482" s="358"/>
      <c r="BO482" s="358"/>
      <c r="BP482" s="358"/>
      <c r="BQ482" s="358"/>
      <c r="BR482" s="358"/>
      <c r="BS482" s="358"/>
      <c r="BT482" s="358"/>
      <c r="BU482" s="358"/>
      <c r="BV482" s="358"/>
    </row>
    <row r="483" spans="2:74" x14ac:dyDescent="0.2">
      <c r="B483" s="358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  <c r="AA483" s="358"/>
      <c r="AB483" s="358"/>
      <c r="AC483" s="358"/>
      <c r="AD483" s="358"/>
      <c r="AE483" s="358"/>
      <c r="AF483" s="358"/>
      <c r="AG483" s="358"/>
      <c r="AH483" s="358"/>
      <c r="AI483" s="358"/>
      <c r="AJ483" s="358"/>
      <c r="AK483" s="358"/>
      <c r="AL483" s="358"/>
      <c r="AM483" s="358"/>
      <c r="AN483" s="358"/>
      <c r="AO483" s="358"/>
      <c r="AP483" s="358"/>
      <c r="AQ483" s="358"/>
      <c r="AR483" s="358"/>
      <c r="AS483" s="358"/>
      <c r="AT483" s="358"/>
      <c r="AU483" s="358"/>
      <c r="AV483" s="358"/>
      <c r="AW483" s="358"/>
      <c r="AX483" s="358"/>
      <c r="AY483" s="358"/>
      <c r="AZ483" s="358"/>
      <c r="BA483" s="358"/>
      <c r="BB483" s="358"/>
      <c r="BC483" s="358"/>
      <c r="BD483" s="358"/>
      <c r="BE483" s="358"/>
      <c r="BF483" s="358"/>
      <c r="BG483" s="358"/>
      <c r="BH483" s="358"/>
      <c r="BI483" s="358"/>
      <c r="BJ483" s="358"/>
      <c r="BK483" s="358"/>
      <c r="BL483" s="358"/>
      <c r="BM483" s="358"/>
      <c r="BN483" s="358"/>
      <c r="BO483" s="358"/>
      <c r="BP483" s="358"/>
      <c r="BQ483" s="358"/>
      <c r="BR483" s="358"/>
      <c r="BS483" s="358"/>
      <c r="BT483" s="358"/>
      <c r="BU483" s="358"/>
      <c r="BV483" s="358"/>
    </row>
    <row r="484" spans="2:74" x14ac:dyDescent="0.2">
      <c r="B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  <c r="AI484" s="358"/>
      <c r="AJ484" s="358"/>
      <c r="AK484" s="358"/>
      <c r="AL484" s="358"/>
      <c r="AM484" s="358"/>
      <c r="AN484" s="358"/>
      <c r="AO484" s="358"/>
      <c r="AP484" s="358"/>
      <c r="AQ484" s="358"/>
      <c r="AR484" s="358"/>
      <c r="AS484" s="358"/>
      <c r="AT484" s="358"/>
      <c r="AU484" s="358"/>
      <c r="AV484" s="358"/>
      <c r="AW484" s="358"/>
      <c r="AX484" s="358"/>
      <c r="AY484" s="358"/>
      <c r="AZ484" s="358"/>
      <c r="BA484" s="358"/>
      <c r="BB484" s="358"/>
      <c r="BC484" s="358"/>
      <c r="BD484" s="358"/>
      <c r="BE484" s="358"/>
      <c r="BF484" s="358"/>
      <c r="BG484" s="358"/>
      <c r="BH484" s="358"/>
      <c r="BI484" s="358"/>
      <c r="BJ484" s="358"/>
      <c r="BK484" s="358"/>
      <c r="BL484" s="358"/>
      <c r="BM484" s="358"/>
      <c r="BN484" s="358"/>
      <c r="BO484" s="358"/>
      <c r="BP484" s="358"/>
      <c r="BQ484" s="358"/>
      <c r="BR484" s="358"/>
      <c r="BS484" s="358"/>
      <c r="BT484" s="358"/>
      <c r="BU484" s="358"/>
      <c r="BV484" s="358"/>
    </row>
    <row r="485" spans="2:74" x14ac:dyDescent="0.2">
      <c r="B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358"/>
      <c r="AB485" s="358"/>
      <c r="AC485" s="358"/>
      <c r="AD485" s="358"/>
      <c r="AE485" s="358"/>
      <c r="AF485" s="358"/>
      <c r="AG485" s="358"/>
      <c r="AH485" s="358"/>
      <c r="AI485" s="358"/>
      <c r="AJ485" s="358"/>
      <c r="AK485" s="358"/>
      <c r="AL485" s="358"/>
      <c r="AM485" s="358"/>
      <c r="AN485" s="358"/>
      <c r="AO485" s="358"/>
      <c r="AP485" s="358"/>
      <c r="AQ485" s="358"/>
      <c r="AR485" s="358"/>
      <c r="AS485" s="358"/>
      <c r="AT485" s="358"/>
      <c r="AU485" s="358"/>
      <c r="AV485" s="358"/>
      <c r="AW485" s="358"/>
      <c r="AX485" s="358"/>
      <c r="AY485" s="358"/>
      <c r="AZ485" s="358"/>
      <c r="BA485" s="358"/>
      <c r="BB485" s="358"/>
      <c r="BC485" s="358"/>
      <c r="BD485" s="358"/>
      <c r="BE485" s="358"/>
      <c r="BF485" s="358"/>
      <c r="BG485" s="358"/>
      <c r="BH485" s="358"/>
      <c r="BI485" s="358"/>
      <c r="BJ485" s="358"/>
      <c r="BK485" s="358"/>
      <c r="BL485" s="358"/>
      <c r="BM485" s="358"/>
      <c r="BN485" s="358"/>
      <c r="BO485" s="358"/>
      <c r="BP485" s="358"/>
      <c r="BQ485" s="358"/>
      <c r="BR485" s="358"/>
      <c r="BS485" s="358"/>
      <c r="BT485" s="358"/>
      <c r="BU485" s="358"/>
      <c r="BV485" s="358"/>
    </row>
    <row r="486" spans="2:74" x14ac:dyDescent="0.2">
      <c r="B486" s="358"/>
      <c r="D486" s="358"/>
      <c r="E486" s="358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  <c r="AI486" s="358"/>
      <c r="AJ486" s="358"/>
      <c r="AK486" s="358"/>
      <c r="AL486" s="358"/>
      <c r="AM486" s="358"/>
      <c r="AN486" s="358"/>
      <c r="AO486" s="358"/>
      <c r="AP486" s="358"/>
      <c r="AQ486" s="358"/>
      <c r="AR486" s="358"/>
      <c r="AS486" s="358"/>
      <c r="AT486" s="358"/>
      <c r="AU486" s="358"/>
      <c r="AV486" s="358"/>
      <c r="AW486" s="358"/>
      <c r="AX486" s="358"/>
      <c r="AY486" s="358"/>
      <c r="AZ486" s="358"/>
      <c r="BA486" s="358"/>
      <c r="BB486" s="358"/>
      <c r="BC486" s="358"/>
      <c r="BD486" s="358"/>
      <c r="BE486" s="358"/>
      <c r="BF486" s="358"/>
      <c r="BG486" s="358"/>
      <c r="BH486" s="358"/>
      <c r="BI486" s="358"/>
      <c r="BJ486" s="358"/>
      <c r="BK486" s="358"/>
      <c r="BL486" s="358"/>
      <c r="BM486" s="358"/>
      <c r="BN486" s="358"/>
      <c r="BO486" s="358"/>
      <c r="BP486" s="358"/>
      <c r="BQ486" s="358"/>
      <c r="BR486" s="358"/>
      <c r="BS486" s="358"/>
      <c r="BT486" s="358"/>
      <c r="BU486" s="358"/>
      <c r="BV486" s="358"/>
    </row>
    <row r="487" spans="2:74" x14ac:dyDescent="0.2">
      <c r="B487" s="358"/>
      <c r="D487" s="358"/>
      <c r="E487" s="358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  <c r="AA487" s="358"/>
      <c r="AB487" s="358"/>
      <c r="AC487" s="358"/>
      <c r="AD487" s="358"/>
      <c r="AE487" s="358"/>
      <c r="AF487" s="358"/>
      <c r="AG487" s="358"/>
      <c r="AH487" s="358"/>
      <c r="AI487" s="358"/>
      <c r="AJ487" s="358"/>
      <c r="AK487" s="358"/>
      <c r="AL487" s="358"/>
      <c r="AM487" s="358"/>
      <c r="AN487" s="358"/>
      <c r="AO487" s="358"/>
      <c r="AP487" s="358"/>
      <c r="AQ487" s="358"/>
      <c r="AR487" s="358"/>
      <c r="AS487" s="358"/>
      <c r="AT487" s="358"/>
      <c r="AU487" s="358"/>
      <c r="AV487" s="358"/>
      <c r="AW487" s="358"/>
      <c r="AX487" s="358"/>
      <c r="AY487" s="358"/>
      <c r="AZ487" s="358"/>
      <c r="BA487" s="358"/>
      <c r="BB487" s="358"/>
      <c r="BC487" s="358"/>
      <c r="BD487" s="358"/>
      <c r="BE487" s="358"/>
      <c r="BF487" s="358"/>
      <c r="BG487" s="358"/>
      <c r="BH487" s="358"/>
      <c r="BI487" s="358"/>
      <c r="BJ487" s="358"/>
      <c r="BK487" s="358"/>
      <c r="BL487" s="358"/>
      <c r="BM487" s="358"/>
      <c r="BN487" s="358"/>
      <c r="BO487" s="358"/>
      <c r="BP487" s="358"/>
      <c r="BQ487" s="358"/>
      <c r="BR487" s="358"/>
      <c r="BS487" s="358"/>
      <c r="BT487" s="358"/>
      <c r="BU487" s="358"/>
      <c r="BV487" s="358"/>
    </row>
    <row r="488" spans="2:74" x14ac:dyDescent="0.2">
      <c r="B488" s="358"/>
      <c r="D488" s="358"/>
      <c r="E488" s="358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  <c r="AA488" s="358"/>
      <c r="AB488" s="358"/>
      <c r="AC488" s="358"/>
      <c r="AD488" s="358"/>
      <c r="AE488" s="358"/>
      <c r="AF488" s="358"/>
      <c r="AG488" s="358"/>
      <c r="AH488" s="358"/>
      <c r="AI488" s="358"/>
      <c r="AJ488" s="358"/>
      <c r="AK488" s="358"/>
      <c r="AL488" s="358"/>
      <c r="AM488" s="358"/>
      <c r="AN488" s="358"/>
      <c r="AO488" s="358"/>
      <c r="AP488" s="358"/>
      <c r="AQ488" s="358"/>
      <c r="AR488" s="358"/>
      <c r="AS488" s="358"/>
      <c r="AT488" s="358"/>
      <c r="AU488" s="358"/>
      <c r="AV488" s="358"/>
      <c r="AW488" s="358"/>
      <c r="AX488" s="358"/>
      <c r="AY488" s="358"/>
      <c r="AZ488" s="358"/>
      <c r="BA488" s="358"/>
      <c r="BB488" s="358"/>
      <c r="BC488" s="358"/>
      <c r="BD488" s="358"/>
      <c r="BE488" s="358"/>
      <c r="BF488" s="358"/>
      <c r="BG488" s="358"/>
      <c r="BH488" s="358"/>
      <c r="BI488" s="358"/>
      <c r="BJ488" s="358"/>
      <c r="BK488" s="358"/>
      <c r="BL488" s="358"/>
      <c r="BM488" s="358"/>
      <c r="BN488" s="358"/>
      <c r="BO488" s="358"/>
      <c r="BP488" s="358"/>
      <c r="BQ488" s="358"/>
      <c r="BR488" s="358"/>
      <c r="BS488" s="358"/>
      <c r="BT488" s="358"/>
      <c r="BU488" s="358"/>
      <c r="BV488" s="358"/>
    </row>
    <row r="489" spans="2:74" x14ac:dyDescent="0.2">
      <c r="B489" s="358"/>
      <c r="D489" s="358"/>
      <c r="E489" s="358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8"/>
      <c r="AA489" s="358"/>
      <c r="AB489" s="358"/>
      <c r="AC489" s="358"/>
      <c r="AD489" s="358"/>
      <c r="AE489" s="358"/>
      <c r="AF489" s="358"/>
      <c r="AG489" s="358"/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58"/>
      <c r="AX489" s="358"/>
      <c r="AY489" s="358"/>
      <c r="AZ489" s="358"/>
      <c r="BA489" s="358"/>
      <c r="BB489" s="358"/>
      <c r="BC489" s="358"/>
      <c r="BD489" s="358"/>
      <c r="BE489" s="358"/>
      <c r="BF489" s="358"/>
      <c r="BG489" s="358"/>
      <c r="BH489" s="358"/>
      <c r="BI489" s="358"/>
      <c r="BJ489" s="358"/>
      <c r="BK489" s="358"/>
      <c r="BL489" s="358"/>
      <c r="BM489" s="358"/>
      <c r="BN489" s="358"/>
      <c r="BO489" s="358"/>
      <c r="BP489" s="358"/>
      <c r="BQ489" s="358"/>
      <c r="BR489" s="358"/>
      <c r="BS489" s="358"/>
      <c r="BT489" s="358"/>
      <c r="BU489" s="358"/>
      <c r="BV489" s="358"/>
    </row>
    <row r="490" spans="2:74" x14ac:dyDescent="0.2">
      <c r="B490" s="358"/>
      <c r="D490" s="358"/>
      <c r="E490" s="358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  <c r="AA490" s="358"/>
      <c r="AB490" s="358"/>
      <c r="AC490" s="358"/>
      <c r="AD490" s="358"/>
      <c r="AE490" s="358"/>
      <c r="AF490" s="358"/>
      <c r="AG490" s="358"/>
      <c r="AH490" s="358"/>
      <c r="AI490" s="358"/>
      <c r="AJ490" s="358"/>
      <c r="AK490" s="358"/>
      <c r="AL490" s="358"/>
      <c r="AM490" s="358"/>
      <c r="AN490" s="358"/>
      <c r="AO490" s="358"/>
      <c r="AP490" s="358"/>
      <c r="AQ490" s="358"/>
      <c r="AR490" s="358"/>
      <c r="AS490" s="358"/>
      <c r="AT490" s="358"/>
      <c r="AU490" s="358"/>
      <c r="AV490" s="358"/>
      <c r="AW490" s="358"/>
      <c r="AX490" s="358"/>
      <c r="AY490" s="358"/>
      <c r="AZ490" s="358"/>
      <c r="BA490" s="358"/>
      <c r="BB490" s="358"/>
      <c r="BC490" s="358"/>
      <c r="BD490" s="358"/>
      <c r="BE490" s="358"/>
      <c r="BF490" s="358"/>
      <c r="BG490" s="358"/>
      <c r="BH490" s="358"/>
      <c r="BI490" s="358"/>
      <c r="BJ490" s="358"/>
      <c r="BK490" s="358"/>
      <c r="BL490" s="358"/>
      <c r="BM490" s="358"/>
      <c r="BN490" s="358"/>
      <c r="BO490" s="358"/>
      <c r="BP490" s="358"/>
      <c r="BQ490" s="358"/>
      <c r="BR490" s="358"/>
      <c r="BS490" s="358"/>
      <c r="BT490" s="358"/>
      <c r="BU490" s="358"/>
      <c r="BV490" s="358"/>
    </row>
    <row r="491" spans="2:74" x14ac:dyDescent="0.2">
      <c r="B491" s="358"/>
      <c r="D491" s="358"/>
      <c r="E491" s="358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8"/>
      <c r="AA491" s="358"/>
      <c r="AB491" s="358"/>
      <c r="AC491" s="358"/>
      <c r="AD491" s="358"/>
      <c r="AE491" s="358"/>
      <c r="AF491" s="358"/>
      <c r="AG491" s="358"/>
      <c r="AH491" s="358"/>
      <c r="AI491" s="358"/>
      <c r="AJ491" s="358"/>
      <c r="AK491" s="358"/>
      <c r="AL491" s="358"/>
      <c r="AM491" s="358"/>
      <c r="AN491" s="358"/>
      <c r="AO491" s="358"/>
      <c r="AP491" s="358"/>
      <c r="AQ491" s="358"/>
      <c r="AR491" s="358"/>
      <c r="AS491" s="358"/>
      <c r="AT491" s="358"/>
      <c r="AU491" s="358"/>
      <c r="AV491" s="358"/>
      <c r="AW491" s="358"/>
      <c r="AX491" s="358"/>
      <c r="AY491" s="358"/>
      <c r="AZ491" s="358"/>
      <c r="BA491" s="358"/>
      <c r="BB491" s="358"/>
      <c r="BC491" s="358"/>
      <c r="BD491" s="358"/>
      <c r="BE491" s="358"/>
      <c r="BF491" s="358"/>
      <c r="BG491" s="358"/>
      <c r="BH491" s="358"/>
      <c r="BI491" s="358"/>
      <c r="BJ491" s="358"/>
      <c r="BK491" s="358"/>
      <c r="BL491" s="358"/>
      <c r="BM491" s="358"/>
      <c r="BN491" s="358"/>
      <c r="BO491" s="358"/>
      <c r="BP491" s="358"/>
      <c r="BQ491" s="358"/>
      <c r="BR491" s="358"/>
      <c r="BS491" s="358"/>
      <c r="BT491" s="358"/>
      <c r="BU491" s="358"/>
      <c r="BV491" s="358"/>
    </row>
    <row r="492" spans="2:74" x14ac:dyDescent="0.2">
      <c r="B492" s="358"/>
      <c r="D492" s="358"/>
      <c r="E492" s="358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  <c r="AA492" s="358"/>
      <c r="AB492" s="358"/>
      <c r="AC492" s="358"/>
      <c r="AD492" s="358"/>
      <c r="AE492" s="358"/>
      <c r="AF492" s="358"/>
      <c r="AG492" s="358"/>
      <c r="AH492" s="358"/>
      <c r="AI492" s="358"/>
      <c r="AJ492" s="358"/>
      <c r="AK492" s="358"/>
      <c r="AL492" s="358"/>
      <c r="AM492" s="358"/>
      <c r="AN492" s="358"/>
      <c r="AO492" s="358"/>
      <c r="AP492" s="358"/>
      <c r="AQ492" s="358"/>
      <c r="AR492" s="358"/>
      <c r="AS492" s="358"/>
      <c r="AT492" s="358"/>
      <c r="AU492" s="358"/>
      <c r="AV492" s="358"/>
      <c r="AW492" s="358"/>
      <c r="AX492" s="358"/>
      <c r="AY492" s="358"/>
      <c r="AZ492" s="358"/>
      <c r="BA492" s="358"/>
      <c r="BB492" s="358"/>
      <c r="BC492" s="358"/>
      <c r="BD492" s="358"/>
      <c r="BE492" s="358"/>
      <c r="BF492" s="358"/>
      <c r="BG492" s="358"/>
      <c r="BH492" s="358"/>
      <c r="BI492" s="358"/>
      <c r="BJ492" s="358"/>
      <c r="BK492" s="358"/>
      <c r="BL492" s="358"/>
      <c r="BM492" s="358"/>
      <c r="BN492" s="358"/>
      <c r="BO492" s="358"/>
      <c r="BP492" s="358"/>
      <c r="BQ492" s="358"/>
      <c r="BR492" s="358"/>
      <c r="BS492" s="358"/>
      <c r="BT492" s="358"/>
      <c r="BU492" s="358"/>
      <c r="BV492" s="358"/>
    </row>
    <row r="493" spans="2:74" x14ac:dyDescent="0.2">
      <c r="B493" s="358"/>
      <c r="D493" s="358"/>
      <c r="E493" s="358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8"/>
      <c r="AA493" s="358"/>
      <c r="AB493" s="358"/>
      <c r="AC493" s="358"/>
      <c r="AD493" s="358"/>
      <c r="AE493" s="358"/>
      <c r="AF493" s="358"/>
      <c r="AG493" s="358"/>
      <c r="AH493" s="358"/>
      <c r="AI493" s="358"/>
      <c r="AJ493" s="358"/>
      <c r="AK493" s="358"/>
      <c r="AL493" s="358"/>
      <c r="AM493" s="358"/>
      <c r="AN493" s="358"/>
      <c r="AO493" s="358"/>
      <c r="AP493" s="358"/>
      <c r="AQ493" s="358"/>
      <c r="AR493" s="358"/>
      <c r="AS493" s="358"/>
      <c r="AT493" s="358"/>
      <c r="AU493" s="358"/>
      <c r="AV493" s="358"/>
      <c r="AW493" s="358"/>
      <c r="AX493" s="358"/>
      <c r="AY493" s="358"/>
      <c r="AZ493" s="358"/>
      <c r="BA493" s="358"/>
      <c r="BB493" s="358"/>
      <c r="BC493" s="358"/>
      <c r="BD493" s="358"/>
      <c r="BE493" s="358"/>
      <c r="BF493" s="358"/>
      <c r="BG493" s="358"/>
      <c r="BH493" s="358"/>
      <c r="BI493" s="358"/>
      <c r="BJ493" s="358"/>
      <c r="BK493" s="358"/>
      <c r="BL493" s="358"/>
      <c r="BM493" s="358"/>
      <c r="BN493" s="358"/>
      <c r="BO493" s="358"/>
      <c r="BP493" s="358"/>
      <c r="BQ493" s="358"/>
      <c r="BR493" s="358"/>
      <c r="BS493" s="358"/>
      <c r="BT493" s="358"/>
      <c r="BU493" s="358"/>
      <c r="BV493" s="358"/>
    </row>
    <row r="494" spans="2:74" x14ac:dyDescent="0.2">
      <c r="B494" s="358"/>
      <c r="D494" s="358"/>
      <c r="E494" s="358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  <c r="AA494" s="358"/>
      <c r="AB494" s="358"/>
      <c r="AC494" s="358"/>
      <c r="AD494" s="358"/>
      <c r="AE494" s="358"/>
      <c r="AF494" s="358"/>
      <c r="AG494" s="358"/>
      <c r="AH494" s="358"/>
      <c r="AI494" s="358"/>
      <c r="AJ494" s="358"/>
      <c r="AK494" s="358"/>
      <c r="AL494" s="358"/>
      <c r="AM494" s="358"/>
      <c r="AN494" s="358"/>
      <c r="AO494" s="358"/>
      <c r="AP494" s="358"/>
      <c r="AQ494" s="358"/>
      <c r="AR494" s="358"/>
      <c r="AS494" s="358"/>
      <c r="AT494" s="358"/>
      <c r="AU494" s="358"/>
      <c r="AV494" s="358"/>
      <c r="AW494" s="358"/>
      <c r="AX494" s="358"/>
      <c r="AY494" s="358"/>
      <c r="AZ494" s="358"/>
      <c r="BA494" s="358"/>
      <c r="BB494" s="358"/>
      <c r="BC494" s="358"/>
      <c r="BD494" s="358"/>
      <c r="BE494" s="358"/>
      <c r="BF494" s="358"/>
      <c r="BG494" s="358"/>
      <c r="BH494" s="358"/>
      <c r="BI494" s="358"/>
      <c r="BJ494" s="358"/>
      <c r="BK494" s="358"/>
      <c r="BL494" s="358"/>
      <c r="BM494" s="358"/>
      <c r="BN494" s="358"/>
      <c r="BO494" s="358"/>
      <c r="BP494" s="358"/>
      <c r="BQ494" s="358"/>
      <c r="BR494" s="358"/>
      <c r="BS494" s="358"/>
      <c r="BT494" s="358"/>
      <c r="BU494" s="358"/>
      <c r="BV494" s="358"/>
    </row>
    <row r="495" spans="2:74" x14ac:dyDescent="0.2">
      <c r="B495" s="358"/>
      <c r="D495" s="358"/>
      <c r="E495" s="358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8"/>
      <c r="AA495" s="358"/>
      <c r="AB495" s="358"/>
      <c r="AC495" s="358"/>
      <c r="AD495" s="358"/>
      <c r="AE495" s="358"/>
      <c r="AF495" s="358"/>
      <c r="AG495" s="358"/>
      <c r="AH495" s="358"/>
      <c r="AI495" s="358"/>
      <c r="AJ495" s="358"/>
      <c r="AK495" s="358"/>
      <c r="AL495" s="358"/>
      <c r="AM495" s="358"/>
      <c r="AN495" s="358"/>
      <c r="AO495" s="358"/>
      <c r="AP495" s="358"/>
      <c r="AQ495" s="358"/>
      <c r="AR495" s="358"/>
      <c r="AS495" s="358"/>
      <c r="AT495" s="358"/>
      <c r="AU495" s="358"/>
      <c r="AV495" s="358"/>
      <c r="AW495" s="358"/>
      <c r="AX495" s="358"/>
      <c r="AY495" s="358"/>
      <c r="AZ495" s="358"/>
      <c r="BA495" s="358"/>
      <c r="BB495" s="358"/>
      <c r="BC495" s="358"/>
      <c r="BD495" s="358"/>
      <c r="BE495" s="358"/>
      <c r="BF495" s="358"/>
      <c r="BG495" s="358"/>
      <c r="BH495" s="358"/>
      <c r="BI495" s="358"/>
      <c r="BJ495" s="358"/>
      <c r="BK495" s="358"/>
      <c r="BL495" s="358"/>
      <c r="BM495" s="358"/>
      <c r="BN495" s="358"/>
      <c r="BO495" s="358"/>
      <c r="BP495" s="358"/>
      <c r="BQ495" s="358"/>
      <c r="BR495" s="358"/>
      <c r="BS495" s="358"/>
      <c r="BT495" s="358"/>
      <c r="BU495" s="358"/>
      <c r="BV495" s="358"/>
    </row>
    <row r="496" spans="2:74" x14ac:dyDescent="0.2">
      <c r="B496" s="358"/>
      <c r="D496" s="358"/>
      <c r="E496" s="358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  <c r="AA496" s="358"/>
      <c r="AB496" s="358"/>
      <c r="AC496" s="358"/>
      <c r="AD496" s="358"/>
      <c r="AE496" s="358"/>
      <c r="AF496" s="358"/>
      <c r="AG496" s="358"/>
      <c r="AH496" s="358"/>
      <c r="AI496" s="358"/>
      <c r="AJ496" s="358"/>
      <c r="AK496" s="358"/>
      <c r="AL496" s="358"/>
      <c r="AM496" s="358"/>
      <c r="AN496" s="358"/>
      <c r="AO496" s="358"/>
      <c r="AP496" s="358"/>
      <c r="AQ496" s="358"/>
      <c r="AR496" s="358"/>
      <c r="AS496" s="358"/>
      <c r="AT496" s="358"/>
      <c r="AU496" s="358"/>
      <c r="AV496" s="358"/>
      <c r="AW496" s="358"/>
      <c r="AX496" s="358"/>
      <c r="AY496" s="358"/>
      <c r="AZ496" s="358"/>
      <c r="BA496" s="358"/>
      <c r="BB496" s="358"/>
      <c r="BC496" s="358"/>
      <c r="BD496" s="358"/>
      <c r="BE496" s="358"/>
      <c r="BF496" s="358"/>
      <c r="BG496" s="358"/>
      <c r="BH496" s="358"/>
      <c r="BI496" s="358"/>
      <c r="BJ496" s="358"/>
      <c r="BK496" s="358"/>
      <c r="BL496" s="358"/>
      <c r="BM496" s="358"/>
      <c r="BN496" s="358"/>
      <c r="BO496" s="358"/>
      <c r="BP496" s="358"/>
      <c r="BQ496" s="358"/>
      <c r="BR496" s="358"/>
      <c r="BS496" s="358"/>
      <c r="BT496" s="358"/>
      <c r="BU496" s="358"/>
      <c r="BV496" s="358"/>
    </row>
    <row r="497" spans="2:74" x14ac:dyDescent="0.2">
      <c r="B497" s="358"/>
      <c r="D497" s="358"/>
      <c r="E497" s="358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8"/>
      <c r="AA497" s="358"/>
      <c r="AB497" s="358"/>
      <c r="AC497" s="358"/>
      <c r="AD497" s="358"/>
      <c r="AE497" s="358"/>
      <c r="AF497" s="358"/>
      <c r="AG497" s="358"/>
      <c r="AH497" s="358"/>
      <c r="AI497" s="358"/>
      <c r="AJ497" s="358"/>
      <c r="AK497" s="358"/>
      <c r="AL497" s="358"/>
      <c r="AM497" s="358"/>
      <c r="AN497" s="358"/>
      <c r="AO497" s="358"/>
      <c r="AP497" s="358"/>
      <c r="AQ497" s="358"/>
      <c r="AR497" s="358"/>
      <c r="AS497" s="358"/>
      <c r="AT497" s="358"/>
      <c r="AU497" s="358"/>
      <c r="AV497" s="358"/>
      <c r="AW497" s="358"/>
      <c r="AX497" s="358"/>
      <c r="AY497" s="358"/>
      <c r="AZ497" s="358"/>
      <c r="BA497" s="358"/>
      <c r="BB497" s="358"/>
      <c r="BC497" s="358"/>
      <c r="BD497" s="358"/>
      <c r="BE497" s="358"/>
      <c r="BF497" s="358"/>
      <c r="BG497" s="358"/>
      <c r="BH497" s="358"/>
      <c r="BI497" s="358"/>
      <c r="BJ497" s="358"/>
      <c r="BK497" s="358"/>
      <c r="BL497" s="358"/>
      <c r="BM497" s="358"/>
      <c r="BN497" s="358"/>
      <c r="BO497" s="358"/>
      <c r="BP497" s="358"/>
      <c r="BQ497" s="358"/>
      <c r="BR497" s="358"/>
      <c r="BS497" s="358"/>
      <c r="BT497" s="358"/>
      <c r="BU497" s="358"/>
      <c r="BV497" s="358"/>
    </row>
    <row r="498" spans="2:74" x14ac:dyDescent="0.2">
      <c r="B498" s="358"/>
      <c r="D498" s="358"/>
      <c r="E498" s="358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  <c r="AA498" s="358"/>
      <c r="AB498" s="358"/>
      <c r="AC498" s="358"/>
      <c r="AD498" s="358"/>
      <c r="AE498" s="358"/>
      <c r="AF498" s="358"/>
      <c r="AG498" s="358"/>
      <c r="AH498" s="358"/>
      <c r="AI498" s="358"/>
      <c r="AJ498" s="358"/>
      <c r="AK498" s="358"/>
      <c r="AL498" s="358"/>
      <c r="AM498" s="358"/>
      <c r="AN498" s="358"/>
      <c r="AO498" s="358"/>
      <c r="AP498" s="358"/>
      <c r="AQ498" s="358"/>
      <c r="AR498" s="358"/>
      <c r="AS498" s="358"/>
      <c r="AT498" s="358"/>
      <c r="AU498" s="358"/>
      <c r="AV498" s="358"/>
      <c r="AW498" s="358"/>
      <c r="AX498" s="358"/>
      <c r="AY498" s="358"/>
      <c r="AZ498" s="358"/>
      <c r="BA498" s="358"/>
      <c r="BB498" s="358"/>
      <c r="BC498" s="358"/>
      <c r="BD498" s="358"/>
      <c r="BE498" s="358"/>
      <c r="BF498" s="358"/>
      <c r="BG498" s="358"/>
      <c r="BH498" s="358"/>
      <c r="BI498" s="358"/>
      <c r="BJ498" s="358"/>
      <c r="BK498" s="358"/>
      <c r="BL498" s="358"/>
      <c r="BM498" s="358"/>
      <c r="BN498" s="358"/>
      <c r="BO498" s="358"/>
      <c r="BP498" s="358"/>
      <c r="BQ498" s="358"/>
      <c r="BR498" s="358"/>
      <c r="BS498" s="358"/>
      <c r="BT498" s="358"/>
      <c r="BU498" s="358"/>
      <c r="BV498" s="358"/>
    </row>
    <row r="499" spans="2:74" x14ac:dyDescent="0.2">
      <c r="B499" s="358"/>
      <c r="D499" s="358"/>
      <c r="E499" s="358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8"/>
      <c r="AA499" s="358"/>
      <c r="AB499" s="358"/>
      <c r="AC499" s="358"/>
      <c r="AD499" s="358"/>
      <c r="AE499" s="358"/>
      <c r="AF499" s="358"/>
      <c r="AG499" s="358"/>
      <c r="AH499" s="358"/>
      <c r="AI499" s="358"/>
      <c r="AJ499" s="358"/>
      <c r="AK499" s="358"/>
      <c r="AL499" s="358"/>
      <c r="AM499" s="358"/>
      <c r="AN499" s="358"/>
      <c r="AO499" s="358"/>
      <c r="AP499" s="358"/>
      <c r="AQ499" s="358"/>
      <c r="AR499" s="358"/>
      <c r="AS499" s="358"/>
      <c r="AT499" s="358"/>
      <c r="AU499" s="358"/>
      <c r="AV499" s="358"/>
      <c r="AW499" s="358"/>
      <c r="AX499" s="358"/>
      <c r="AY499" s="358"/>
      <c r="AZ499" s="358"/>
      <c r="BA499" s="358"/>
      <c r="BB499" s="358"/>
      <c r="BC499" s="358"/>
      <c r="BD499" s="358"/>
      <c r="BE499" s="358"/>
      <c r="BF499" s="358"/>
      <c r="BG499" s="358"/>
      <c r="BH499" s="358"/>
      <c r="BI499" s="358"/>
      <c r="BJ499" s="358"/>
      <c r="BK499" s="358"/>
      <c r="BL499" s="358"/>
      <c r="BM499" s="358"/>
      <c r="BN499" s="358"/>
      <c r="BO499" s="358"/>
      <c r="BP499" s="358"/>
      <c r="BQ499" s="358"/>
      <c r="BR499" s="358"/>
      <c r="BS499" s="358"/>
      <c r="BT499" s="358"/>
      <c r="BU499" s="358"/>
      <c r="BV499" s="358"/>
    </row>
    <row r="500" spans="2:74" x14ac:dyDescent="0.2">
      <c r="B500" s="358"/>
      <c r="D500" s="358"/>
      <c r="E500" s="358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  <c r="AA500" s="358"/>
      <c r="AB500" s="358"/>
      <c r="AC500" s="358"/>
      <c r="AD500" s="358"/>
      <c r="AE500" s="358"/>
      <c r="AF500" s="358"/>
      <c r="AG500" s="358"/>
      <c r="AH500" s="358"/>
      <c r="AI500" s="358"/>
      <c r="AJ500" s="358"/>
      <c r="AK500" s="358"/>
      <c r="AL500" s="358"/>
      <c r="AM500" s="358"/>
      <c r="AN500" s="358"/>
      <c r="AO500" s="358"/>
      <c r="AP500" s="358"/>
      <c r="AQ500" s="358"/>
      <c r="AR500" s="358"/>
      <c r="AS500" s="358"/>
      <c r="AT500" s="358"/>
      <c r="AU500" s="358"/>
      <c r="AV500" s="358"/>
      <c r="AW500" s="358"/>
      <c r="AX500" s="358"/>
      <c r="AY500" s="358"/>
      <c r="AZ500" s="358"/>
      <c r="BA500" s="358"/>
      <c r="BB500" s="358"/>
      <c r="BC500" s="358"/>
      <c r="BD500" s="358"/>
      <c r="BE500" s="358"/>
      <c r="BF500" s="358"/>
      <c r="BG500" s="358"/>
      <c r="BH500" s="358"/>
      <c r="BI500" s="358"/>
      <c r="BJ500" s="358"/>
      <c r="BK500" s="358"/>
      <c r="BL500" s="358"/>
      <c r="BM500" s="358"/>
      <c r="BN500" s="358"/>
      <c r="BO500" s="358"/>
      <c r="BP500" s="358"/>
      <c r="BQ500" s="358"/>
      <c r="BR500" s="358"/>
      <c r="BS500" s="358"/>
      <c r="BT500" s="358"/>
      <c r="BU500" s="358"/>
      <c r="BV500" s="358"/>
    </row>
    <row r="501" spans="2:74" x14ac:dyDescent="0.2">
      <c r="B501" s="358"/>
      <c r="D501" s="358"/>
      <c r="E501" s="358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8"/>
      <c r="AA501" s="358"/>
      <c r="AB501" s="358"/>
      <c r="AC501" s="358"/>
      <c r="AD501" s="358"/>
      <c r="AE501" s="358"/>
      <c r="AF501" s="358"/>
      <c r="AG501" s="358"/>
      <c r="AH501" s="358"/>
      <c r="AI501" s="358"/>
      <c r="AJ501" s="358"/>
      <c r="AK501" s="358"/>
      <c r="AL501" s="358"/>
      <c r="AM501" s="358"/>
      <c r="AN501" s="358"/>
      <c r="AO501" s="358"/>
      <c r="AP501" s="358"/>
      <c r="AQ501" s="358"/>
      <c r="AR501" s="358"/>
      <c r="AS501" s="358"/>
      <c r="AT501" s="358"/>
      <c r="AU501" s="358"/>
      <c r="AV501" s="358"/>
      <c r="AW501" s="358"/>
      <c r="AX501" s="358"/>
      <c r="AY501" s="358"/>
      <c r="AZ501" s="358"/>
      <c r="BA501" s="358"/>
      <c r="BB501" s="358"/>
      <c r="BC501" s="358"/>
      <c r="BD501" s="358"/>
      <c r="BE501" s="358"/>
      <c r="BF501" s="358"/>
      <c r="BG501" s="358"/>
      <c r="BH501" s="358"/>
      <c r="BI501" s="358"/>
      <c r="BJ501" s="358"/>
      <c r="BK501" s="358"/>
      <c r="BL501" s="358"/>
      <c r="BM501" s="358"/>
      <c r="BN501" s="358"/>
      <c r="BO501" s="358"/>
      <c r="BP501" s="358"/>
      <c r="BQ501" s="358"/>
      <c r="BR501" s="358"/>
      <c r="BS501" s="358"/>
      <c r="BT501" s="358"/>
      <c r="BU501" s="358"/>
      <c r="BV501" s="358"/>
    </row>
    <row r="502" spans="2:74" x14ac:dyDescent="0.2">
      <c r="B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  <c r="AA502" s="358"/>
      <c r="AB502" s="358"/>
      <c r="AC502" s="358"/>
      <c r="AD502" s="358"/>
      <c r="AE502" s="358"/>
      <c r="AF502" s="358"/>
      <c r="AG502" s="358"/>
      <c r="AH502" s="358"/>
      <c r="AI502" s="358"/>
      <c r="AJ502" s="358"/>
      <c r="AK502" s="358"/>
      <c r="AL502" s="358"/>
      <c r="AM502" s="358"/>
      <c r="AN502" s="358"/>
      <c r="AO502" s="358"/>
      <c r="AP502" s="358"/>
      <c r="AQ502" s="358"/>
      <c r="AR502" s="358"/>
      <c r="AS502" s="358"/>
      <c r="AT502" s="358"/>
      <c r="AU502" s="358"/>
      <c r="AV502" s="358"/>
      <c r="AW502" s="358"/>
      <c r="AX502" s="358"/>
      <c r="AY502" s="358"/>
      <c r="AZ502" s="358"/>
      <c r="BA502" s="358"/>
      <c r="BB502" s="358"/>
      <c r="BC502" s="358"/>
      <c r="BD502" s="358"/>
      <c r="BE502" s="358"/>
      <c r="BF502" s="358"/>
      <c r="BG502" s="358"/>
      <c r="BH502" s="358"/>
      <c r="BI502" s="358"/>
      <c r="BJ502" s="358"/>
      <c r="BK502" s="358"/>
      <c r="BL502" s="358"/>
      <c r="BM502" s="358"/>
      <c r="BN502" s="358"/>
      <c r="BO502" s="358"/>
      <c r="BP502" s="358"/>
      <c r="BQ502" s="358"/>
      <c r="BR502" s="358"/>
      <c r="BS502" s="358"/>
      <c r="BT502" s="358"/>
      <c r="BU502" s="358"/>
      <c r="BV502" s="358"/>
    </row>
    <row r="503" spans="2:74" x14ac:dyDescent="0.2">
      <c r="B503" s="358"/>
      <c r="D503" s="358"/>
      <c r="E503" s="358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8"/>
      <c r="AA503" s="358"/>
      <c r="AB503" s="358"/>
      <c r="AC503" s="358"/>
      <c r="AD503" s="358"/>
      <c r="AE503" s="358"/>
      <c r="AF503" s="358"/>
      <c r="AG503" s="358"/>
      <c r="AH503" s="358"/>
      <c r="AI503" s="358"/>
      <c r="AJ503" s="358"/>
      <c r="AK503" s="358"/>
      <c r="AL503" s="358"/>
      <c r="AM503" s="358"/>
      <c r="AN503" s="358"/>
      <c r="AO503" s="358"/>
      <c r="AP503" s="358"/>
      <c r="AQ503" s="358"/>
      <c r="AR503" s="358"/>
      <c r="AS503" s="358"/>
      <c r="AT503" s="358"/>
      <c r="AU503" s="358"/>
      <c r="AV503" s="358"/>
      <c r="AW503" s="358"/>
      <c r="AX503" s="358"/>
      <c r="AY503" s="358"/>
      <c r="AZ503" s="358"/>
      <c r="BA503" s="358"/>
      <c r="BB503" s="358"/>
      <c r="BC503" s="358"/>
      <c r="BD503" s="358"/>
      <c r="BE503" s="358"/>
      <c r="BF503" s="358"/>
      <c r="BG503" s="358"/>
      <c r="BH503" s="358"/>
      <c r="BI503" s="358"/>
      <c r="BJ503" s="358"/>
      <c r="BK503" s="358"/>
      <c r="BL503" s="358"/>
      <c r="BM503" s="358"/>
      <c r="BN503" s="358"/>
      <c r="BO503" s="358"/>
      <c r="BP503" s="358"/>
      <c r="BQ503" s="358"/>
      <c r="BR503" s="358"/>
      <c r="BS503" s="358"/>
      <c r="BT503" s="358"/>
      <c r="BU503" s="358"/>
      <c r="BV503" s="358"/>
    </row>
    <row r="504" spans="2:74" x14ac:dyDescent="0.2">
      <c r="B504" s="358"/>
      <c r="D504" s="358"/>
      <c r="E504" s="358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  <c r="AA504" s="358"/>
      <c r="AB504" s="358"/>
      <c r="AC504" s="358"/>
      <c r="AD504" s="358"/>
      <c r="AE504" s="358"/>
      <c r="AF504" s="358"/>
      <c r="AG504" s="358"/>
      <c r="AH504" s="358"/>
      <c r="AI504" s="358"/>
      <c r="AJ504" s="358"/>
      <c r="AK504" s="358"/>
      <c r="AL504" s="358"/>
      <c r="AM504" s="358"/>
      <c r="AN504" s="358"/>
      <c r="AO504" s="358"/>
      <c r="AP504" s="358"/>
      <c r="AQ504" s="358"/>
      <c r="AR504" s="358"/>
      <c r="AS504" s="358"/>
      <c r="AT504" s="358"/>
      <c r="AU504" s="358"/>
      <c r="AV504" s="358"/>
      <c r="AW504" s="358"/>
      <c r="AX504" s="358"/>
      <c r="AY504" s="358"/>
      <c r="AZ504" s="358"/>
      <c r="BA504" s="358"/>
      <c r="BB504" s="358"/>
      <c r="BC504" s="358"/>
      <c r="BD504" s="358"/>
      <c r="BE504" s="358"/>
      <c r="BF504" s="358"/>
      <c r="BG504" s="358"/>
      <c r="BH504" s="358"/>
      <c r="BI504" s="358"/>
      <c r="BJ504" s="358"/>
      <c r="BK504" s="358"/>
      <c r="BL504" s="358"/>
      <c r="BM504" s="358"/>
      <c r="BN504" s="358"/>
      <c r="BO504" s="358"/>
      <c r="BP504" s="358"/>
      <c r="BQ504" s="358"/>
      <c r="BR504" s="358"/>
      <c r="BS504" s="358"/>
      <c r="BT504" s="358"/>
      <c r="BU504" s="358"/>
      <c r="BV504" s="358"/>
    </row>
    <row r="505" spans="2:74" x14ac:dyDescent="0.2">
      <c r="B505" s="358"/>
      <c r="D505" s="358"/>
      <c r="E505" s="358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8"/>
      <c r="AA505" s="358"/>
      <c r="AB505" s="358"/>
      <c r="AC505" s="358"/>
      <c r="AD505" s="358"/>
      <c r="AE505" s="358"/>
      <c r="AF505" s="358"/>
      <c r="AG505" s="358"/>
      <c r="AH505" s="358"/>
      <c r="AI505" s="358"/>
      <c r="AJ505" s="358"/>
      <c r="AK505" s="358"/>
      <c r="AL505" s="358"/>
      <c r="AM505" s="358"/>
      <c r="AN505" s="358"/>
      <c r="AO505" s="358"/>
      <c r="AP505" s="358"/>
      <c r="AQ505" s="358"/>
      <c r="AR505" s="358"/>
      <c r="AS505" s="358"/>
      <c r="AT505" s="358"/>
      <c r="AU505" s="358"/>
      <c r="AV505" s="358"/>
      <c r="AW505" s="358"/>
      <c r="AX505" s="358"/>
      <c r="AY505" s="358"/>
      <c r="AZ505" s="358"/>
      <c r="BA505" s="358"/>
      <c r="BB505" s="358"/>
      <c r="BC505" s="358"/>
      <c r="BD505" s="358"/>
      <c r="BE505" s="358"/>
      <c r="BF505" s="358"/>
      <c r="BG505" s="358"/>
      <c r="BH505" s="358"/>
      <c r="BI505" s="358"/>
      <c r="BJ505" s="358"/>
      <c r="BK505" s="358"/>
      <c r="BL505" s="358"/>
      <c r="BM505" s="358"/>
      <c r="BN505" s="358"/>
      <c r="BO505" s="358"/>
      <c r="BP505" s="358"/>
      <c r="BQ505" s="358"/>
      <c r="BR505" s="358"/>
      <c r="BS505" s="358"/>
      <c r="BT505" s="358"/>
      <c r="BU505" s="358"/>
      <c r="BV505" s="358"/>
    </row>
    <row r="506" spans="2:74" x14ac:dyDescent="0.2">
      <c r="B506" s="358"/>
      <c r="D506" s="358"/>
      <c r="E506" s="358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  <c r="AA506" s="358"/>
      <c r="AB506" s="358"/>
      <c r="AC506" s="358"/>
      <c r="AD506" s="358"/>
      <c r="AE506" s="358"/>
      <c r="AF506" s="358"/>
      <c r="AG506" s="358"/>
      <c r="AH506" s="358"/>
      <c r="AI506" s="358"/>
      <c r="AJ506" s="358"/>
      <c r="AK506" s="358"/>
      <c r="AL506" s="358"/>
      <c r="AM506" s="358"/>
      <c r="AN506" s="358"/>
      <c r="AO506" s="358"/>
      <c r="AP506" s="358"/>
      <c r="AQ506" s="358"/>
      <c r="AR506" s="358"/>
      <c r="AS506" s="358"/>
      <c r="AT506" s="358"/>
      <c r="AU506" s="358"/>
      <c r="AV506" s="358"/>
      <c r="AW506" s="358"/>
      <c r="AX506" s="358"/>
      <c r="AY506" s="358"/>
      <c r="AZ506" s="358"/>
      <c r="BA506" s="358"/>
      <c r="BB506" s="358"/>
      <c r="BC506" s="358"/>
      <c r="BD506" s="358"/>
      <c r="BE506" s="358"/>
      <c r="BF506" s="358"/>
      <c r="BG506" s="358"/>
      <c r="BH506" s="358"/>
      <c r="BI506" s="358"/>
      <c r="BJ506" s="358"/>
      <c r="BK506" s="358"/>
      <c r="BL506" s="358"/>
      <c r="BM506" s="358"/>
      <c r="BN506" s="358"/>
      <c r="BO506" s="358"/>
      <c r="BP506" s="358"/>
      <c r="BQ506" s="358"/>
      <c r="BR506" s="358"/>
      <c r="BS506" s="358"/>
      <c r="BT506" s="358"/>
      <c r="BU506" s="358"/>
      <c r="BV506" s="358"/>
    </row>
    <row r="507" spans="2:74" x14ac:dyDescent="0.2">
      <c r="B507" s="358"/>
      <c r="D507" s="358"/>
      <c r="E507" s="358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8"/>
      <c r="AA507" s="358"/>
      <c r="AB507" s="358"/>
      <c r="AC507" s="358"/>
      <c r="AD507" s="358"/>
      <c r="AE507" s="358"/>
      <c r="AF507" s="358"/>
      <c r="AG507" s="358"/>
      <c r="AH507" s="358"/>
      <c r="AI507" s="358"/>
      <c r="AJ507" s="358"/>
      <c r="AK507" s="358"/>
      <c r="AL507" s="358"/>
      <c r="AM507" s="358"/>
      <c r="AN507" s="358"/>
      <c r="AO507" s="358"/>
      <c r="AP507" s="358"/>
      <c r="AQ507" s="358"/>
      <c r="AR507" s="358"/>
      <c r="AS507" s="358"/>
      <c r="AT507" s="358"/>
      <c r="AU507" s="358"/>
      <c r="AV507" s="358"/>
      <c r="AW507" s="358"/>
      <c r="AX507" s="358"/>
      <c r="AY507" s="358"/>
      <c r="AZ507" s="358"/>
      <c r="BA507" s="358"/>
      <c r="BB507" s="358"/>
      <c r="BC507" s="358"/>
      <c r="BD507" s="358"/>
      <c r="BE507" s="358"/>
      <c r="BF507" s="358"/>
      <c r="BG507" s="358"/>
      <c r="BH507" s="358"/>
      <c r="BI507" s="358"/>
      <c r="BJ507" s="358"/>
      <c r="BK507" s="358"/>
      <c r="BL507" s="358"/>
      <c r="BM507" s="358"/>
      <c r="BN507" s="358"/>
      <c r="BO507" s="358"/>
      <c r="BP507" s="358"/>
      <c r="BQ507" s="358"/>
      <c r="BR507" s="358"/>
      <c r="BS507" s="358"/>
      <c r="BT507" s="358"/>
      <c r="BU507" s="358"/>
      <c r="BV507" s="358"/>
    </row>
    <row r="508" spans="2:74" x14ac:dyDescent="0.2">
      <c r="B508" s="358"/>
      <c r="D508" s="358"/>
      <c r="E508" s="358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  <c r="AA508" s="358"/>
      <c r="AB508" s="358"/>
      <c r="AC508" s="358"/>
      <c r="AD508" s="358"/>
      <c r="AE508" s="358"/>
      <c r="AF508" s="358"/>
      <c r="AG508" s="358"/>
      <c r="AH508" s="358"/>
      <c r="AI508" s="358"/>
      <c r="AJ508" s="358"/>
      <c r="AK508" s="358"/>
      <c r="AL508" s="358"/>
      <c r="AM508" s="358"/>
      <c r="AN508" s="358"/>
      <c r="AO508" s="358"/>
      <c r="AP508" s="358"/>
      <c r="AQ508" s="358"/>
      <c r="AR508" s="358"/>
      <c r="AS508" s="358"/>
      <c r="AT508" s="358"/>
      <c r="AU508" s="358"/>
      <c r="AV508" s="358"/>
      <c r="AW508" s="358"/>
      <c r="AX508" s="358"/>
      <c r="AY508" s="358"/>
      <c r="AZ508" s="358"/>
      <c r="BA508" s="358"/>
      <c r="BB508" s="358"/>
      <c r="BC508" s="358"/>
      <c r="BD508" s="358"/>
      <c r="BE508" s="358"/>
      <c r="BF508" s="358"/>
      <c r="BG508" s="358"/>
      <c r="BH508" s="358"/>
      <c r="BI508" s="358"/>
      <c r="BJ508" s="358"/>
      <c r="BK508" s="358"/>
      <c r="BL508" s="358"/>
      <c r="BM508" s="358"/>
      <c r="BN508" s="358"/>
      <c r="BO508" s="358"/>
      <c r="BP508" s="358"/>
      <c r="BQ508" s="358"/>
      <c r="BR508" s="358"/>
      <c r="BS508" s="358"/>
      <c r="BT508" s="358"/>
      <c r="BU508" s="358"/>
      <c r="BV508" s="358"/>
    </row>
    <row r="509" spans="2:74" x14ac:dyDescent="0.2">
      <c r="B509" s="358"/>
      <c r="D509" s="358"/>
      <c r="E509" s="358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8"/>
      <c r="AA509" s="358"/>
      <c r="AB509" s="358"/>
      <c r="AC509" s="358"/>
      <c r="AD509" s="358"/>
      <c r="AE509" s="358"/>
      <c r="AF509" s="358"/>
      <c r="AG509" s="358"/>
      <c r="AH509" s="358"/>
      <c r="AI509" s="358"/>
      <c r="AJ509" s="358"/>
      <c r="AK509" s="358"/>
      <c r="AL509" s="358"/>
      <c r="AM509" s="358"/>
      <c r="AN509" s="358"/>
      <c r="AO509" s="358"/>
      <c r="AP509" s="358"/>
      <c r="AQ509" s="358"/>
      <c r="AR509" s="358"/>
      <c r="AS509" s="358"/>
      <c r="AT509" s="358"/>
      <c r="AU509" s="358"/>
      <c r="AV509" s="358"/>
      <c r="AW509" s="358"/>
      <c r="AX509" s="358"/>
      <c r="AY509" s="358"/>
      <c r="AZ509" s="358"/>
      <c r="BA509" s="358"/>
      <c r="BB509" s="358"/>
      <c r="BC509" s="358"/>
      <c r="BD509" s="358"/>
      <c r="BE509" s="358"/>
      <c r="BF509" s="358"/>
      <c r="BG509" s="358"/>
      <c r="BH509" s="358"/>
      <c r="BI509" s="358"/>
      <c r="BJ509" s="358"/>
      <c r="BK509" s="358"/>
      <c r="BL509" s="358"/>
      <c r="BM509" s="358"/>
      <c r="BN509" s="358"/>
      <c r="BO509" s="358"/>
      <c r="BP509" s="358"/>
      <c r="BQ509" s="358"/>
      <c r="BR509" s="358"/>
      <c r="BS509" s="358"/>
      <c r="BT509" s="358"/>
      <c r="BU509" s="358"/>
      <c r="BV509" s="358"/>
    </row>
    <row r="510" spans="2:74" x14ac:dyDescent="0.2">
      <c r="B510" s="358"/>
      <c r="D510" s="358"/>
      <c r="E510" s="358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  <c r="AI510" s="358"/>
      <c r="AJ510" s="358"/>
      <c r="AK510" s="358"/>
      <c r="AL510" s="358"/>
      <c r="AM510" s="358"/>
      <c r="AN510" s="358"/>
      <c r="AO510" s="358"/>
      <c r="AP510" s="358"/>
      <c r="AQ510" s="358"/>
      <c r="AR510" s="358"/>
      <c r="AS510" s="358"/>
      <c r="AT510" s="358"/>
      <c r="AU510" s="358"/>
      <c r="AV510" s="358"/>
      <c r="AW510" s="358"/>
      <c r="AX510" s="358"/>
      <c r="AY510" s="358"/>
      <c r="AZ510" s="358"/>
      <c r="BA510" s="358"/>
      <c r="BB510" s="358"/>
      <c r="BC510" s="358"/>
      <c r="BD510" s="358"/>
      <c r="BE510" s="358"/>
      <c r="BF510" s="358"/>
      <c r="BG510" s="358"/>
      <c r="BH510" s="358"/>
      <c r="BI510" s="358"/>
      <c r="BJ510" s="358"/>
      <c r="BK510" s="358"/>
      <c r="BL510" s="358"/>
      <c r="BM510" s="358"/>
      <c r="BN510" s="358"/>
      <c r="BO510" s="358"/>
      <c r="BP510" s="358"/>
      <c r="BQ510" s="358"/>
      <c r="BR510" s="358"/>
      <c r="BS510" s="358"/>
      <c r="BT510" s="358"/>
      <c r="BU510" s="358"/>
      <c r="BV510" s="358"/>
    </row>
    <row r="511" spans="2:74" x14ac:dyDescent="0.2">
      <c r="B511" s="358"/>
      <c r="D511" s="358"/>
      <c r="E511" s="358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8"/>
      <c r="AA511" s="358"/>
      <c r="AB511" s="358"/>
      <c r="AC511" s="358"/>
      <c r="AD511" s="358"/>
      <c r="AE511" s="358"/>
      <c r="AF511" s="358"/>
      <c r="AG511" s="358"/>
      <c r="AH511" s="358"/>
      <c r="AI511" s="358"/>
      <c r="AJ511" s="358"/>
      <c r="AK511" s="358"/>
      <c r="AL511" s="358"/>
      <c r="AM511" s="358"/>
      <c r="AN511" s="358"/>
      <c r="AO511" s="358"/>
      <c r="AP511" s="358"/>
      <c r="AQ511" s="358"/>
      <c r="AR511" s="358"/>
      <c r="AS511" s="358"/>
      <c r="AT511" s="358"/>
      <c r="AU511" s="358"/>
      <c r="AV511" s="358"/>
      <c r="AW511" s="358"/>
      <c r="AX511" s="358"/>
      <c r="AY511" s="358"/>
      <c r="AZ511" s="358"/>
      <c r="BA511" s="358"/>
      <c r="BB511" s="358"/>
      <c r="BC511" s="358"/>
      <c r="BD511" s="358"/>
      <c r="BE511" s="358"/>
      <c r="BF511" s="358"/>
      <c r="BG511" s="358"/>
      <c r="BH511" s="358"/>
      <c r="BI511" s="358"/>
      <c r="BJ511" s="358"/>
      <c r="BK511" s="358"/>
      <c r="BL511" s="358"/>
      <c r="BM511" s="358"/>
      <c r="BN511" s="358"/>
      <c r="BO511" s="358"/>
      <c r="BP511" s="358"/>
      <c r="BQ511" s="358"/>
      <c r="BR511" s="358"/>
      <c r="BS511" s="358"/>
      <c r="BT511" s="358"/>
      <c r="BU511" s="358"/>
      <c r="BV511" s="358"/>
    </row>
    <row r="512" spans="2:74" x14ac:dyDescent="0.2">
      <c r="B512" s="358"/>
      <c r="D512" s="358"/>
      <c r="E512" s="358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  <c r="AA512" s="358"/>
      <c r="AB512" s="358"/>
      <c r="AC512" s="358"/>
      <c r="AD512" s="358"/>
      <c r="AE512" s="358"/>
      <c r="AF512" s="358"/>
      <c r="AG512" s="358"/>
      <c r="AH512" s="358"/>
      <c r="AI512" s="358"/>
      <c r="AJ512" s="358"/>
      <c r="AK512" s="358"/>
      <c r="AL512" s="358"/>
      <c r="AM512" s="358"/>
      <c r="AN512" s="358"/>
      <c r="AO512" s="358"/>
      <c r="AP512" s="358"/>
      <c r="AQ512" s="358"/>
      <c r="AR512" s="358"/>
      <c r="AS512" s="358"/>
      <c r="AT512" s="358"/>
      <c r="AU512" s="358"/>
      <c r="AV512" s="358"/>
      <c r="AW512" s="358"/>
      <c r="AX512" s="358"/>
      <c r="AY512" s="358"/>
      <c r="AZ512" s="358"/>
      <c r="BA512" s="358"/>
      <c r="BB512" s="358"/>
      <c r="BC512" s="358"/>
      <c r="BD512" s="358"/>
      <c r="BE512" s="358"/>
      <c r="BF512" s="358"/>
      <c r="BG512" s="358"/>
      <c r="BH512" s="358"/>
      <c r="BI512" s="358"/>
      <c r="BJ512" s="358"/>
      <c r="BK512" s="358"/>
      <c r="BL512" s="358"/>
      <c r="BM512" s="358"/>
      <c r="BN512" s="358"/>
      <c r="BO512" s="358"/>
      <c r="BP512" s="358"/>
      <c r="BQ512" s="358"/>
      <c r="BR512" s="358"/>
      <c r="BS512" s="358"/>
      <c r="BT512" s="358"/>
      <c r="BU512" s="358"/>
      <c r="BV512" s="358"/>
    </row>
    <row r="513" spans="2:74" x14ac:dyDescent="0.2">
      <c r="B513" s="358"/>
      <c r="D513" s="358"/>
      <c r="E513" s="358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8"/>
      <c r="AA513" s="358"/>
      <c r="AB513" s="358"/>
      <c r="AC513" s="358"/>
      <c r="AD513" s="358"/>
      <c r="AE513" s="358"/>
      <c r="AF513" s="358"/>
      <c r="AG513" s="358"/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58"/>
      <c r="AX513" s="358"/>
      <c r="AY513" s="358"/>
      <c r="AZ513" s="358"/>
      <c r="BA513" s="358"/>
      <c r="BB513" s="358"/>
      <c r="BC513" s="358"/>
      <c r="BD513" s="358"/>
      <c r="BE513" s="358"/>
      <c r="BF513" s="358"/>
      <c r="BG513" s="358"/>
      <c r="BH513" s="358"/>
      <c r="BI513" s="358"/>
      <c r="BJ513" s="358"/>
      <c r="BK513" s="358"/>
      <c r="BL513" s="358"/>
      <c r="BM513" s="358"/>
      <c r="BN513" s="358"/>
      <c r="BO513" s="358"/>
      <c r="BP513" s="358"/>
      <c r="BQ513" s="358"/>
      <c r="BR513" s="358"/>
      <c r="BS513" s="358"/>
      <c r="BT513" s="358"/>
      <c r="BU513" s="358"/>
      <c r="BV513" s="358"/>
    </row>
    <row r="514" spans="2:74" x14ac:dyDescent="0.2">
      <c r="B514" s="358"/>
      <c r="D514" s="358"/>
      <c r="E514" s="358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  <c r="AA514" s="358"/>
      <c r="AB514" s="358"/>
      <c r="AC514" s="358"/>
      <c r="AD514" s="358"/>
      <c r="AE514" s="358"/>
      <c r="AF514" s="358"/>
      <c r="AG514" s="358"/>
      <c r="AH514" s="358"/>
      <c r="AI514" s="358"/>
      <c r="AJ514" s="358"/>
      <c r="AK514" s="358"/>
      <c r="AL514" s="358"/>
      <c r="AM514" s="358"/>
      <c r="AN514" s="358"/>
      <c r="AO514" s="358"/>
      <c r="AP514" s="358"/>
      <c r="AQ514" s="358"/>
      <c r="AR514" s="358"/>
      <c r="AS514" s="358"/>
      <c r="AT514" s="358"/>
      <c r="AU514" s="358"/>
      <c r="AV514" s="358"/>
      <c r="AW514" s="358"/>
      <c r="AX514" s="358"/>
      <c r="AY514" s="358"/>
      <c r="AZ514" s="358"/>
      <c r="BA514" s="358"/>
      <c r="BB514" s="358"/>
      <c r="BC514" s="358"/>
      <c r="BD514" s="358"/>
      <c r="BE514" s="358"/>
      <c r="BF514" s="358"/>
      <c r="BG514" s="358"/>
      <c r="BH514" s="358"/>
      <c r="BI514" s="358"/>
      <c r="BJ514" s="358"/>
      <c r="BK514" s="358"/>
      <c r="BL514" s="358"/>
      <c r="BM514" s="358"/>
      <c r="BN514" s="358"/>
      <c r="BO514" s="358"/>
      <c r="BP514" s="358"/>
      <c r="BQ514" s="358"/>
      <c r="BR514" s="358"/>
      <c r="BS514" s="358"/>
      <c r="BT514" s="358"/>
      <c r="BU514" s="358"/>
      <c r="BV514" s="358"/>
    </row>
    <row r="515" spans="2:74" x14ac:dyDescent="0.2">
      <c r="B515" s="358"/>
      <c r="D515" s="358"/>
      <c r="E515" s="358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8"/>
      <c r="AA515" s="358"/>
      <c r="AB515" s="358"/>
      <c r="AC515" s="358"/>
      <c r="AD515" s="358"/>
      <c r="AE515" s="358"/>
      <c r="AF515" s="358"/>
      <c r="AG515" s="358"/>
      <c r="AH515" s="358"/>
      <c r="AI515" s="358"/>
      <c r="AJ515" s="358"/>
      <c r="AK515" s="358"/>
      <c r="AL515" s="358"/>
      <c r="AM515" s="358"/>
      <c r="AN515" s="358"/>
      <c r="AO515" s="358"/>
      <c r="AP515" s="358"/>
      <c r="AQ515" s="358"/>
      <c r="AR515" s="358"/>
      <c r="AS515" s="358"/>
      <c r="AT515" s="358"/>
      <c r="AU515" s="358"/>
      <c r="AV515" s="358"/>
      <c r="AW515" s="358"/>
      <c r="AX515" s="358"/>
      <c r="AY515" s="358"/>
      <c r="AZ515" s="358"/>
      <c r="BA515" s="358"/>
      <c r="BB515" s="358"/>
      <c r="BC515" s="358"/>
      <c r="BD515" s="358"/>
      <c r="BE515" s="358"/>
      <c r="BF515" s="358"/>
      <c r="BG515" s="358"/>
      <c r="BH515" s="358"/>
      <c r="BI515" s="358"/>
      <c r="BJ515" s="358"/>
      <c r="BK515" s="358"/>
      <c r="BL515" s="358"/>
      <c r="BM515" s="358"/>
      <c r="BN515" s="358"/>
      <c r="BO515" s="358"/>
      <c r="BP515" s="358"/>
      <c r="BQ515" s="358"/>
      <c r="BR515" s="358"/>
      <c r="BS515" s="358"/>
      <c r="BT515" s="358"/>
      <c r="BU515" s="358"/>
      <c r="BV515" s="358"/>
    </row>
    <row r="516" spans="2:74" x14ac:dyDescent="0.2">
      <c r="B516" s="358"/>
      <c r="D516" s="358"/>
      <c r="E516" s="358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  <c r="AA516" s="358"/>
      <c r="AB516" s="358"/>
      <c r="AC516" s="358"/>
      <c r="AD516" s="358"/>
      <c r="AE516" s="358"/>
      <c r="AF516" s="358"/>
      <c r="AG516" s="358"/>
      <c r="AH516" s="358"/>
      <c r="AI516" s="358"/>
      <c r="AJ516" s="358"/>
      <c r="AK516" s="358"/>
      <c r="AL516" s="358"/>
      <c r="AM516" s="358"/>
      <c r="AN516" s="358"/>
      <c r="AO516" s="358"/>
      <c r="AP516" s="358"/>
      <c r="AQ516" s="358"/>
      <c r="AR516" s="358"/>
      <c r="AS516" s="358"/>
      <c r="AT516" s="358"/>
      <c r="AU516" s="358"/>
      <c r="AV516" s="358"/>
      <c r="AW516" s="358"/>
      <c r="AX516" s="358"/>
      <c r="AY516" s="358"/>
      <c r="AZ516" s="358"/>
      <c r="BA516" s="358"/>
      <c r="BB516" s="358"/>
      <c r="BC516" s="358"/>
      <c r="BD516" s="358"/>
      <c r="BE516" s="358"/>
      <c r="BF516" s="358"/>
      <c r="BG516" s="358"/>
      <c r="BH516" s="358"/>
      <c r="BI516" s="358"/>
      <c r="BJ516" s="358"/>
      <c r="BK516" s="358"/>
      <c r="BL516" s="358"/>
      <c r="BM516" s="358"/>
      <c r="BN516" s="358"/>
      <c r="BO516" s="358"/>
      <c r="BP516" s="358"/>
      <c r="BQ516" s="358"/>
      <c r="BR516" s="358"/>
      <c r="BS516" s="358"/>
      <c r="BT516" s="358"/>
      <c r="BU516" s="358"/>
      <c r="BV516" s="358"/>
    </row>
    <row r="517" spans="2:74" x14ac:dyDescent="0.2">
      <c r="B517" s="358"/>
      <c r="D517" s="358"/>
      <c r="E517" s="358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8"/>
      <c r="AA517" s="358"/>
      <c r="AB517" s="358"/>
      <c r="AC517" s="358"/>
      <c r="AD517" s="358"/>
      <c r="AE517" s="358"/>
      <c r="AF517" s="358"/>
      <c r="AG517" s="358"/>
      <c r="AH517" s="358"/>
      <c r="AI517" s="358"/>
      <c r="AJ517" s="358"/>
      <c r="AK517" s="358"/>
      <c r="AL517" s="358"/>
      <c r="AM517" s="358"/>
      <c r="AN517" s="358"/>
      <c r="AO517" s="358"/>
      <c r="AP517" s="358"/>
      <c r="AQ517" s="358"/>
      <c r="AR517" s="358"/>
      <c r="AS517" s="358"/>
      <c r="AT517" s="358"/>
      <c r="AU517" s="358"/>
      <c r="AV517" s="358"/>
      <c r="AW517" s="358"/>
      <c r="AX517" s="358"/>
      <c r="AY517" s="358"/>
      <c r="AZ517" s="358"/>
      <c r="BA517" s="358"/>
      <c r="BB517" s="358"/>
      <c r="BC517" s="358"/>
      <c r="BD517" s="358"/>
      <c r="BE517" s="358"/>
      <c r="BF517" s="358"/>
      <c r="BG517" s="358"/>
      <c r="BH517" s="358"/>
      <c r="BI517" s="358"/>
      <c r="BJ517" s="358"/>
      <c r="BK517" s="358"/>
      <c r="BL517" s="358"/>
      <c r="BM517" s="358"/>
      <c r="BN517" s="358"/>
      <c r="BO517" s="358"/>
      <c r="BP517" s="358"/>
      <c r="BQ517" s="358"/>
      <c r="BR517" s="358"/>
      <c r="BS517" s="358"/>
      <c r="BT517" s="358"/>
      <c r="BU517" s="358"/>
      <c r="BV517" s="358"/>
    </row>
    <row r="518" spans="2:74" x14ac:dyDescent="0.2">
      <c r="B518" s="358"/>
      <c r="D518" s="358"/>
      <c r="E518" s="358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  <c r="AA518" s="358"/>
      <c r="AB518" s="358"/>
      <c r="AC518" s="358"/>
      <c r="AD518" s="358"/>
      <c r="AE518" s="358"/>
      <c r="AF518" s="358"/>
      <c r="AG518" s="358"/>
      <c r="AH518" s="358"/>
      <c r="AI518" s="358"/>
      <c r="AJ518" s="358"/>
      <c r="AK518" s="358"/>
      <c r="AL518" s="358"/>
      <c r="AM518" s="358"/>
      <c r="AN518" s="358"/>
      <c r="AO518" s="358"/>
      <c r="AP518" s="358"/>
      <c r="AQ518" s="358"/>
      <c r="AR518" s="358"/>
      <c r="AS518" s="358"/>
      <c r="AT518" s="358"/>
      <c r="AU518" s="358"/>
      <c r="AV518" s="358"/>
      <c r="AW518" s="358"/>
      <c r="AX518" s="358"/>
      <c r="AY518" s="358"/>
      <c r="AZ518" s="358"/>
      <c r="BA518" s="358"/>
      <c r="BB518" s="358"/>
      <c r="BC518" s="358"/>
      <c r="BD518" s="358"/>
      <c r="BE518" s="358"/>
      <c r="BF518" s="358"/>
      <c r="BG518" s="358"/>
      <c r="BH518" s="358"/>
      <c r="BI518" s="358"/>
      <c r="BJ518" s="358"/>
      <c r="BK518" s="358"/>
      <c r="BL518" s="358"/>
      <c r="BM518" s="358"/>
      <c r="BN518" s="358"/>
      <c r="BO518" s="358"/>
      <c r="BP518" s="358"/>
      <c r="BQ518" s="358"/>
      <c r="BR518" s="358"/>
      <c r="BS518" s="358"/>
      <c r="BT518" s="358"/>
      <c r="BU518" s="358"/>
      <c r="BV518" s="358"/>
    </row>
    <row r="519" spans="2:74" x14ac:dyDescent="0.2">
      <c r="B519" s="358"/>
      <c r="D519" s="358"/>
      <c r="E519" s="358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8"/>
      <c r="AA519" s="358"/>
      <c r="AB519" s="358"/>
      <c r="AC519" s="358"/>
      <c r="AD519" s="358"/>
      <c r="AE519" s="358"/>
      <c r="AF519" s="358"/>
      <c r="AG519" s="358"/>
      <c r="AH519" s="358"/>
      <c r="AI519" s="358"/>
      <c r="AJ519" s="358"/>
      <c r="AK519" s="358"/>
      <c r="AL519" s="358"/>
      <c r="AM519" s="358"/>
      <c r="AN519" s="358"/>
      <c r="AO519" s="358"/>
      <c r="AP519" s="358"/>
      <c r="AQ519" s="358"/>
      <c r="AR519" s="358"/>
      <c r="AS519" s="358"/>
      <c r="AT519" s="358"/>
      <c r="AU519" s="358"/>
      <c r="AV519" s="358"/>
      <c r="AW519" s="358"/>
      <c r="AX519" s="358"/>
      <c r="AY519" s="358"/>
      <c r="AZ519" s="358"/>
      <c r="BA519" s="358"/>
      <c r="BB519" s="358"/>
      <c r="BC519" s="358"/>
      <c r="BD519" s="358"/>
      <c r="BE519" s="358"/>
      <c r="BF519" s="358"/>
      <c r="BG519" s="358"/>
      <c r="BH519" s="358"/>
      <c r="BI519" s="358"/>
      <c r="BJ519" s="358"/>
      <c r="BK519" s="358"/>
      <c r="BL519" s="358"/>
      <c r="BM519" s="358"/>
      <c r="BN519" s="358"/>
      <c r="BO519" s="358"/>
      <c r="BP519" s="358"/>
      <c r="BQ519" s="358"/>
      <c r="BR519" s="358"/>
      <c r="BS519" s="358"/>
      <c r="BT519" s="358"/>
      <c r="BU519" s="358"/>
      <c r="BV519" s="358"/>
    </row>
    <row r="520" spans="2:74" x14ac:dyDescent="0.2">
      <c r="B520" s="358"/>
      <c r="D520" s="358"/>
      <c r="E520" s="358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  <c r="AA520" s="358"/>
      <c r="AB520" s="358"/>
      <c r="AC520" s="358"/>
      <c r="AD520" s="358"/>
      <c r="AE520" s="358"/>
      <c r="AF520" s="358"/>
      <c r="AG520" s="358"/>
      <c r="AH520" s="358"/>
      <c r="AI520" s="358"/>
      <c r="AJ520" s="358"/>
      <c r="AK520" s="358"/>
      <c r="AL520" s="358"/>
      <c r="AM520" s="358"/>
      <c r="AN520" s="358"/>
      <c r="AO520" s="358"/>
      <c r="AP520" s="358"/>
      <c r="AQ520" s="358"/>
      <c r="AR520" s="358"/>
      <c r="AS520" s="358"/>
      <c r="AT520" s="358"/>
      <c r="AU520" s="358"/>
      <c r="AV520" s="358"/>
      <c r="AW520" s="358"/>
      <c r="AX520" s="358"/>
      <c r="AY520" s="358"/>
      <c r="AZ520" s="358"/>
      <c r="BA520" s="358"/>
      <c r="BB520" s="358"/>
      <c r="BC520" s="358"/>
      <c r="BD520" s="358"/>
      <c r="BE520" s="358"/>
      <c r="BF520" s="358"/>
      <c r="BG520" s="358"/>
      <c r="BH520" s="358"/>
      <c r="BI520" s="358"/>
      <c r="BJ520" s="358"/>
      <c r="BK520" s="358"/>
      <c r="BL520" s="358"/>
      <c r="BM520" s="358"/>
      <c r="BN520" s="358"/>
      <c r="BO520" s="358"/>
      <c r="BP520" s="358"/>
      <c r="BQ520" s="358"/>
      <c r="BR520" s="358"/>
      <c r="BS520" s="358"/>
      <c r="BT520" s="358"/>
      <c r="BU520" s="358"/>
      <c r="BV520" s="358"/>
    </row>
    <row r="521" spans="2:74" x14ac:dyDescent="0.2">
      <c r="B521" s="358"/>
      <c r="D521" s="358"/>
      <c r="E521" s="358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8"/>
      <c r="AA521" s="358"/>
      <c r="AB521" s="358"/>
      <c r="AC521" s="358"/>
      <c r="AD521" s="358"/>
      <c r="AE521" s="358"/>
      <c r="AF521" s="358"/>
      <c r="AG521" s="358"/>
      <c r="AH521" s="358"/>
      <c r="AI521" s="358"/>
      <c r="AJ521" s="358"/>
      <c r="AK521" s="358"/>
      <c r="AL521" s="358"/>
      <c r="AM521" s="358"/>
      <c r="AN521" s="358"/>
      <c r="AO521" s="358"/>
      <c r="AP521" s="358"/>
      <c r="AQ521" s="358"/>
      <c r="AR521" s="358"/>
      <c r="AS521" s="358"/>
      <c r="AT521" s="358"/>
      <c r="AU521" s="358"/>
      <c r="AV521" s="358"/>
      <c r="AW521" s="358"/>
      <c r="AX521" s="358"/>
      <c r="AY521" s="358"/>
      <c r="AZ521" s="358"/>
      <c r="BA521" s="358"/>
      <c r="BB521" s="358"/>
      <c r="BC521" s="358"/>
      <c r="BD521" s="358"/>
      <c r="BE521" s="358"/>
      <c r="BF521" s="358"/>
      <c r="BG521" s="358"/>
      <c r="BH521" s="358"/>
      <c r="BI521" s="358"/>
      <c r="BJ521" s="358"/>
      <c r="BK521" s="358"/>
      <c r="BL521" s="358"/>
      <c r="BM521" s="358"/>
      <c r="BN521" s="358"/>
      <c r="BO521" s="358"/>
      <c r="BP521" s="358"/>
      <c r="BQ521" s="358"/>
      <c r="BR521" s="358"/>
      <c r="BS521" s="358"/>
      <c r="BT521" s="358"/>
      <c r="BU521" s="358"/>
      <c r="BV521" s="358"/>
    </row>
    <row r="522" spans="2:74" x14ac:dyDescent="0.2">
      <c r="B522" s="358"/>
      <c r="D522" s="358"/>
      <c r="E522" s="358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  <c r="AA522" s="358"/>
      <c r="AB522" s="358"/>
      <c r="AC522" s="358"/>
      <c r="AD522" s="358"/>
      <c r="AE522" s="358"/>
      <c r="AF522" s="358"/>
      <c r="AG522" s="358"/>
      <c r="AH522" s="358"/>
      <c r="AI522" s="358"/>
      <c r="AJ522" s="358"/>
      <c r="AK522" s="358"/>
      <c r="AL522" s="358"/>
      <c r="AM522" s="358"/>
      <c r="AN522" s="358"/>
      <c r="AO522" s="358"/>
      <c r="AP522" s="358"/>
      <c r="AQ522" s="358"/>
      <c r="AR522" s="358"/>
      <c r="AS522" s="358"/>
      <c r="AT522" s="358"/>
      <c r="AU522" s="358"/>
      <c r="AV522" s="358"/>
      <c r="AW522" s="358"/>
      <c r="AX522" s="358"/>
      <c r="AY522" s="358"/>
      <c r="AZ522" s="358"/>
      <c r="BA522" s="358"/>
      <c r="BB522" s="358"/>
      <c r="BC522" s="358"/>
      <c r="BD522" s="358"/>
      <c r="BE522" s="358"/>
      <c r="BF522" s="358"/>
      <c r="BG522" s="358"/>
      <c r="BH522" s="358"/>
      <c r="BI522" s="358"/>
      <c r="BJ522" s="358"/>
      <c r="BK522" s="358"/>
      <c r="BL522" s="358"/>
      <c r="BM522" s="358"/>
      <c r="BN522" s="358"/>
      <c r="BO522" s="358"/>
      <c r="BP522" s="358"/>
      <c r="BQ522" s="358"/>
      <c r="BR522" s="358"/>
      <c r="BS522" s="358"/>
      <c r="BT522" s="358"/>
      <c r="BU522" s="358"/>
      <c r="BV522" s="358"/>
    </row>
    <row r="523" spans="2:74" x14ac:dyDescent="0.2">
      <c r="B523" s="358"/>
      <c r="D523" s="358"/>
      <c r="E523" s="358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8"/>
      <c r="AA523" s="358"/>
      <c r="AB523" s="358"/>
      <c r="AC523" s="358"/>
      <c r="AD523" s="358"/>
      <c r="AE523" s="358"/>
      <c r="AF523" s="358"/>
      <c r="AG523" s="358"/>
      <c r="AH523" s="358"/>
      <c r="AI523" s="358"/>
      <c r="AJ523" s="358"/>
      <c r="AK523" s="358"/>
      <c r="AL523" s="358"/>
      <c r="AM523" s="358"/>
      <c r="AN523" s="358"/>
      <c r="AO523" s="358"/>
      <c r="AP523" s="358"/>
      <c r="AQ523" s="358"/>
      <c r="AR523" s="358"/>
      <c r="AS523" s="358"/>
      <c r="AT523" s="358"/>
      <c r="AU523" s="358"/>
      <c r="AV523" s="358"/>
      <c r="AW523" s="358"/>
      <c r="AX523" s="358"/>
      <c r="AY523" s="358"/>
      <c r="AZ523" s="358"/>
      <c r="BA523" s="358"/>
      <c r="BB523" s="358"/>
      <c r="BC523" s="358"/>
      <c r="BD523" s="358"/>
      <c r="BE523" s="358"/>
      <c r="BF523" s="358"/>
      <c r="BG523" s="358"/>
      <c r="BH523" s="358"/>
      <c r="BI523" s="358"/>
      <c r="BJ523" s="358"/>
      <c r="BK523" s="358"/>
      <c r="BL523" s="358"/>
      <c r="BM523" s="358"/>
      <c r="BN523" s="358"/>
      <c r="BO523" s="358"/>
      <c r="BP523" s="358"/>
      <c r="BQ523" s="358"/>
      <c r="BR523" s="358"/>
      <c r="BS523" s="358"/>
      <c r="BT523" s="358"/>
      <c r="BU523" s="358"/>
      <c r="BV523" s="358"/>
    </row>
    <row r="524" spans="2:74" x14ac:dyDescent="0.2">
      <c r="B524" s="358"/>
      <c r="D524" s="358"/>
      <c r="E524" s="358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  <c r="AA524" s="358"/>
      <c r="AB524" s="358"/>
      <c r="AC524" s="358"/>
      <c r="AD524" s="358"/>
      <c r="AE524" s="358"/>
      <c r="AF524" s="358"/>
      <c r="AG524" s="358"/>
      <c r="AH524" s="358"/>
      <c r="AI524" s="358"/>
      <c r="AJ524" s="358"/>
      <c r="AK524" s="358"/>
      <c r="AL524" s="358"/>
      <c r="AM524" s="358"/>
      <c r="AN524" s="358"/>
      <c r="AO524" s="358"/>
      <c r="AP524" s="358"/>
      <c r="AQ524" s="358"/>
      <c r="AR524" s="358"/>
      <c r="AS524" s="358"/>
      <c r="AT524" s="358"/>
      <c r="AU524" s="358"/>
      <c r="AV524" s="358"/>
      <c r="AW524" s="358"/>
      <c r="AX524" s="358"/>
      <c r="AY524" s="358"/>
      <c r="AZ524" s="358"/>
      <c r="BA524" s="358"/>
      <c r="BB524" s="358"/>
      <c r="BC524" s="358"/>
      <c r="BD524" s="358"/>
      <c r="BE524" s="358"/>
      <c r="BF524" s="358"/>
      <c r="BG524" s="358"/>
      <c r="BH524" s="358"/>
      <c r="BI524" s="358"/>
      <c r="BJ524" s="358"/>
      <c r="BK524" s="358"/>
      <c r="BL524" s="358"/>
      <c r="BM524" s="358"/>
      <c r="BN524" s="358"/>
      <c r="BO524" s="358"/>
      <c r="BP524" s="358"/>
      <c r="BQ524" s="358"/>
      <c r="BR524" s="358"/>
      <c r="BS524" s="358"/>
      <c r="BT524" s="358"/>
      <c r="BU524" s="358"/>
      <c r="BV524" s="358"/>
    </row>
    <row r="525" spans="2:74" x14ac:dyDescent="0.2">
      <c r="B525" s="358"/>
      <c r="D525" s="358"/>
      <c r="E525" s="358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8"/>
      <c r="AA525" s="358"/>
      <c r="AB525" s="358"/>
      <c r="AC525" s="358"/>
      <c r="AD525" s="358"/>
      <c r="AE525" s="358"/>
      <c r="AF525" s="358"/>
      <c r="AG525" s="358"/>
      <c r="AH525" s="358"/>
      <c r="AI525" s="358"/>
      <c r="AJ525" s="358"/>
      <c r="AK525" s="358"/>
      <c r="AL525" s="358"/>
      <c r="AM525" s="358"/>
      <c r="AN525" s="358"/>
      <c r="AO525" s="358"/>
      <c r="AP525" s="358"/>
      <c r="AQ525" s="358"/>
      <c r="AR525" s="358"/>
      <c r="AS525" s="358"/>
      <c r="AT525" s="358"/>
      <c r="AU525" s="358"/>
      <c r="AV525" s="358"/>
      <c r="AW525" s="358"/>
      <c r="AX525" s="358"/>
      <c r="AY525" s="358"/>
      <c r="AZ525" s="358"/>
      <c r="BA525" s="358"/>
      <c r="BB525" s="358"/>
      <c r="BC525" s="358"/>
      <c r="BD525" s="358"/>
      <c r="BE525" s="358"/>
      <c r="BF525" s="358"/>
      <c r="BG525" s="358"/>
      <c r="BH525" s="358"/>
      <c r="BI525" s="358"/>
      <c r="BJ525" s="358"/>
      <c r="BK525" s="358"/>
      <c r="BL525" s="358"/>
      <c r="BM525" s="358"/>
      <c r="BN525" s="358"/>
      <c r="BO525" s="358"/>
      <c r="BP525" s="358"/>
      <c r="BQ525" s="358"/>
      <c r="BR525" s="358"/>
      <c r="BS525" s="358"/>
      <c r="BT525" s="358"/>
      <c r="BU525" s="358"/>
      <c r="BV525" s="358"/>
    </row>
    <row r="526" spans="2:74" x14ac:dyDescent="0.2">
      <c r="B526" s="358"/>
      <c r="D526" s="358"/>
      <c r="E526" s="358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  <c r="AA526" s="358"/>
      <c r="AB526" s="358"/>
      <c r="AC526" s="358"/>
      <c r="AD526" s="358"/>
      <c r="AE526" s="358"/>
      <c r="AF526" s="358"/>
      <c r="AG526" s="358"/>
      <c r="AH526" s="358"/>
      <c r="AI526" s="358"/>
      <c r="AJ526" s="358"/>
      <c r="AK526" s="358"/>
      <c r="AL526" s="358"/>
      <c r="AM526" s="358"/>
      <c r="AN526" s="358"/>
      <c r="AO526" s="358"/>
      <c r="AP526" s="358"/>
      <c r="AQ526" s="358"/>
      <c r="AR526" s="358"/>
      <c r="AS526" s="358"/>
      <c r="AT526" s="358"/>
      <c r="AU526" s="358"/>
      <c r="AV526" s="358"/>
      <c r="AW526" s="358"/>
      <c r="AX526" s="358"/>
      <c r="AY526" s="358"/>
      <c r="AZ526" s="358"/>
      <c r="BA526" s="358"/>
      <c r="BB526" s="358"/>
      <c r="BC526" s="358"/>
      <c r="BD526" s="358"/>
      <c r="BE526" s="358"/>
      <c r="BF526" s="358"/>
      <c r="BG526" s="358"/>
      <c r="BH526" s="358"/>
      <c r="BI526" s="358"/>
      <c r="BJ526" s="358"/>
      <c r="BK526" s="358"/>
      <c r="BL526" s="358"/>
      <c r="BM526" s="358"/>
      <c r="BN526" s="358"/>
      <c r="BO526" s="358"/>
      <c r="BP526" s="358"/>
      <c r="BQ526" s="358"/>
      <c r="BR526" s="358"/>
      <c r="BS526" s="358"/>
      <c r="BT526" s="358"/>
      <c r="BU526" s="358"/>
      <c r="BV526" s="358"/>
    </row>
    <row r="527" spans="2:74" x14ac:dyDescent="0.2">
      <c r="B527" s="358"/>
      <c r="D527" s="358"/>
      <c r="E527" s="358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8"/>
      <c r="AA527" s="358"/>
      <c r="AB527" s="358"/>
      <c r="AC527" s="358"/>
      <c r="AD527" s="358"/>
      <c r="AE527" s="358"/>
      <c r="AF527" s="358"/>
      <c r="AG527" s="358"/>
      <c r="AH527" s="358"/>
      <c r="AI527" s="358"/>
      <c r="AJ527" s="358"/>
      <c r="AK527" s="358"/>
      <c r="AL527" s="358"/>
      <c r="AM527" s="358"/>
      <c r="AN527" s="358"/>
      <c r="AO527" s="358"/>
      <c r="AP527" s="358"/>
      <c r="AQ527" s="358"/>
      <c r="AR527" s="358"/>
      <c r="AS527" s="358"/>
      <c r="AT527" s="358"/>
      <c r="AU527" s="358"/>
      <c r="AV527" s="358"/>
      <c r="AW527" s="358"/>
      <c r="AX527" s="358"/>
      <c r="AY527" s="358"/>
      <c r="AZ527" s="358"/>
      <c r="BA527" s="358"/>
      <c r="BB527" s="358"/>
      <c r="BC527" s="358"/>
      <c r="BD527" s="358"/>
      <c r="BE527" s="358"/>
      <c r="BF527" s="358"/>
      <c r="BG527" s="358"/>
      <c r="BH527" s="358"/>
      <c r="BI527" s="358"/>
      <c r="BJ527" s="358"/>
      <c r="BK527" s="358"/>
      <c r="BL527" s="358"/>
      <c r="BM527" s="358"/>
      <c r="BN527" s="358"/>
      <c r="BO527" s="358"/>
      <c r="BP527" s="358"/>
      <c r="BQ527" s="358"/>
      <c r="BR527" s="358"/>
      <c r="BS527" s="358"/>
      <c r="BT527" s="358"/>
      <c r="BU527" s="358"/>
      <c r="BV527" s="358"/>
    </row>
    <row r="528" spans="2:74" x14ac:dyDescent="0.2">
      <c r="B528" s="358"/>
      <c r="D528" s="358"/>
      <c r="E528" s="358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  <c r="AA528" s="358"/>
      <c r="AB528" s="358"/>
      <c r="AC528" s="358"/>
      <c r="AD528" s="358"/>
      <c r="AE528" s="358"/>
      <c r="AF528" s="358"/>
      <c r="AG528" s="358"/>
      <c r="AH528" s="358"/>
      <c r="AI528" s="358"/>
      <c r="AJ528" s="358"/>
      <c r="AK528" s="358"/>
      <c r="AL528" s="358"/>
      <c r="AM528" s="358"/>
      <c r="AN528" s="358"/>
      <c r="AO528" s="358"/>
      <c r="AP528" s="358"/>
      <c r="AQ528" s="358"/>
      <c r="AR528" s="358"/>
      <c r="AS528" s="358"/>
      <c r="AT528" s="358"/>
      <c r="AU528" s="358"/>
      <c r="AV528" s="358"/>
      <c r="AW528" s="358"/>
      <c r="AX528" s="358"/>
      <c r="AY528" s="358"/>
      <c r="AZ528" s="358"/>
      <c r="BA528" s="358"/>
      <c r="BB528" s="358"/>
      <c r="BC528" s="358"/>
      <c r="BD528" s="358"/>
      <c r="BE528" s="358"/>
      <c r="BF528" s="358"/>
      <c r="BG528" s="358"/>
      <c r="BH528" s="358"/>
      <c r="BI528" s="358"/>
      <c r="BJ528" s="358"/>
      <c r="BK528" s="358"/>
      <c r="BL528" s="358"/>
      <c r="BM528" s="358"/>
      <c r="BN528" s="358"/>
      <c r="BO528" s="358"/>
      <c r="BP528" s="358"/>
      <c r="BQ528" s="358"/>
      <c r="BR528" s="358"/>
      <c r="BS528" s="358"/>
      <c r="BT528" s="358"/>
      <c r="BU528" s="358"/>
      <c r="BV528" s="358"/>
    </row>
    <row r="529" spans="2:74" x14ac:dyDescent="0.2">
      <c r="B529" s="358"/>
      <c r="D529" s="358"/>
      <c r="E529" s="358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8"/>
      <c r="AA529" s="358"/>
      <c r="AB529" s="358"/>
      <c r="AC529" s="358"/>
      <c r="AD529" s="358"/>
      <c r="AE529" s="358"/>
      <c r="AF529" s="358"/>
      <c r="AG529" s="358"/>
      <c r="AH529" s="358"/>
      <c r="AI529" s="358"/>
      <c r="AJ529" s="358"/>
      <c r="AK529" s="358"/>
      <c r="AL529" s="358"/>
      <c r="AM529" s="358"/>
      <c r="AN529" s="358"/>
      <c r="AO529" s="358"/>
      <c r="AP529" s="358"/>
      <c r="AQ529" s="358"/>
      <c r="AR529" s="358"/>
      <c r="AS529" s="358"/>
      <c r="AT529" s="358"/>
      <c r="AU529" s="358"/>
      <c r="AV529" s="358"/>
      <c r="AW529" s="358"/>
      <c r="AX529" s="358"/>
      <c r="AY529" s="358"/>
      <c r="AZ529" s="358"/>
      <c r="BA529" s="358"/>
      <c r="BB529" s="358"/>
      <c r="BC529" s="358"/>
      <c r="BD529" s="358"/>
      <c r="BE529" s="358"/>
      <c r="BF529" s="358"/>
      <c r="BG529" s="358"/>
      <c r="BH529" s="358"/>
      <c r="BI529" s="358"/>
      <c r="BJ529" s="358"/>
      <c r="BK529" s="358"/>
      <c r="BL529" s="358"/>
      <c r="BM529" s="358"/>
      <c r="BN529" s="358"/>
      <c r="BO529" s="358"/>
      <c r="BP529" s="358"/>
      <c r="BQ529" s="358"/>
      <c r="BR529" s="358"/>
      <c r="BS529" s="358"/>
      <c r="BT529" s="358"/>
      <c r="BU529" s="358"/>
      <c r="BV529" s="358"/>
    </row>
    <row r="530" spans="2:74" x14ac:dyDescent="0.2">
      <c r="B530" s="358"/>
      <c r="D530" s="358"/>
      <c r="E530" s="358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  <c r="AA530" s="358"/>
      <c r="AB530" s="358"/>
      <c r="AC530" s="358"/>
      <c r="AD530" s="358"/>
      <c r="AE530" s="358"/>
      <c r="AF530" s="358"/>
      <c r="AG530" s="358"/>
      <c r="AH530" s="358"/>
      <c r="AI530" s="358"/>
      <c r="AJ530" s="358"/>
      <c r="AK530" s="358"/>
      <c r="AL530" s="358"/>
      <c r="AM530" s="358"/>
      <c r="AN530" s="358"/>
      <c r="AO530" s="358"/>
      <c r="AP530" s="358"/>
      <c r="AQ530" s="358"/>
      <c r="AR530" s="358"/>
      <c r="AS530" s="358"/>
      <c r="AT530" s="358"/>
      <c r="AU530" s="358"/>
      <c r="AV530" s="358"/>
      <c r="AW530" s="358"/>
      <c r="AX530" s="358"/>
      <c r="AY530" s="358"/>
      <c r="AZ530" s="358"/>
      <c r="BA530" s="358"/>
      <c r="BB530" s="358"/>
      <c r="BC530" s="358"/>
      <c r="BD530" s="358"/>
      <c r="BE530" s="358"/>
      <c r="BF530" s="358"/>
      <c r="BG530" s="358"/>
      <c r="BH530" s="358"/>
      <c r="BI530" s="358"/>
      <c r="BJ530" s="358"/>
      <c r="BK530" s="358"/>
      <c r="BL530" s="358"/>
      <c r="BM530" s="358"/>
      <c r="BN530" s="358"/>
      <c r="BO530" s="358"/>
      <c r="BP530" s="358"/>
      <c r="BQ530" s="358"/>
      <c r="BR530" s="358"/>
      <c r="BS530" s="358"/>
      <c r="BT530" s="358"/>
      <c r="BU530" s="358"/>
      <c r="BV530" s="358"/>
    </row>
    <row r="531" spans="2:74" x14ac:dyDescent="0.2">
      <c r="B531" s="358"/>
      <c r="D531" s="358"/>
      <c r="E531" s="358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8"/>
      <c r="AA531" s="358"/>
      <c r="AB531" s="358"/>
      <c r="AC531" s="358"/>
      <c r="AD531" s="358"/>
      <c r="AE531" s="358"/>
      <c r="AF531" s="358"/>
      <c r="AG531" s="358"/>
      <c r="AH531" s="358"/>
      <c r="AI531" s="358"/>
      <c r="AJ531" s="358"/>
      <c r="AK531" s="358"/>
      <c r="AL531" s="358"/>
      <c r="AM531" s="358"/>
      <c r="AN531" s="358"/>
      <c r="AO531" s="358"/>
      <c r="AP531" s="358"/>
      <c r="AQ531" s="358"/>
      <c r="AR531" s="358"/>
      <c r="AS531" s="358"/>
      <c r="AT531" s="358"/>
      <c r="AU531" s="358"/>
      <c r="AV531" s="358"/>
      <c r="AW531" s="358"/>
      <c r="AX531" s="358"/>
      <c r="AY531" s="358"/>
      <c r="AZ531" s="358"/>
      <c r="BA531" s="358"/>
      <c r="BB531" s="358"/>
      <c r="BC531" s="358"/>
      <c r="BD531" s="358"/>
      <c r="BE531" s="358"/>
      <c r="BF531" s="358"/>
      <c r="BG531" s="358"/>
      <c r="BH531" s="358"/>
      <c r="BI531" s="358"/>
      <c r="BJ531" s="358"/>
      <c r="BK531" s="358"/>
      <c r="BL531" s="358"/>
      <c r="BM531" s="358"/>
      <c r="BN531" s="358"/>
      <c r="BO531" s="358"/>
      <c r="BP531" s="358"/>
      <c r="BQ531" s="358"/>
      <c r="BR531" s="358"/>
      <c r="BS531" s="358"/>
      <c r="BT531" s="358"/>
      <c r="BU531" s="358"/>
      <c r="BV531" s="358"/>
    </row>
    <row r="532" spans="2:74" x14ac:dyDescent="0.2">
      <c r="B532" s="358"/>
      <c r="D532" s="358"/>
      <c r="E532" s="358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  <c r="AA532" s="358"/>
      <c r="AB532" s="358"/>
      <c r="AC532" s="358"/>
      <c r="AD532" s="358"/>
      <c r="AE532" s="358"/>
      <c r="AF532" s="358"/>
      <c r="AG532" s="358"/>
      <c r="AH532" s="358"/>
      <c r="AI532" s="358"/>
      <c r="AJ532" s="358"/>
      <c r="AK532" s="358"/>
      <c r="AL532" s="358"/>
      <c r="AM532" s="358"/>
      <c r="AN532" s="358"/>
      <c r="AO532" s="358"/>
      <c r="AP532" s="358"/>
      <c r="AQ532" s="358"/>
      <c r="AR532" s="358"/>
      <c r="AS532" s="358"/>
      <c r="AT532" s="358"/>
      <c r="AU532" s="358"/>
      <c r="AV532" s="358"/>
      <c r="AW532" s="358"/>
      <c r="AX532" s="358"/>
      <c r="AY532" s="358"/>
      <c r="AZ532" s="358"/>
      <c r="BA532" s="358"/>
      <c r="BB532" s="358"/>
      <c r="BC532" s="358"/>
      <c r="BD532" s="358"/>
      <c r="BE532" s="358"/>
      <c r="BF532" s="358"/>
      <c r="BG532" s="358"/>
      <c r="BH532" s="358"/>
      <c r="BI532" s="358"/>
      <c r="BJ532" s="358"/>
      <c r="BK532" s="358"/>
      <c r="BL532" s="358"/>
      <c r="BM532" s="358"/>
      <c r="BN532" s="358"/>
      <c r="BO532" s="358"/>
      <c r="BP532" s="358"/>
      <c r="BQ532" s="358"/>
      <c r="BR532" s="358"/>
      <c r="BS532" s="358"/>
      <c r="BT532" s="358"/>
      <c r="BU532" s="358"/>
      <c r="BV532" s="358"/>
    </row>
    <row r="533" spans="2:74" x14ac:dyDescent="0.2">
      <c r="B533" s="358"/>
      <c r="D533" s="358"/>
      <c r="E533" s="358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8"/>
      <c r="AA533" s="358"/>
      <c r="AB533" s="358"/>
      <c r="AC533" s="358"/>
      <c r="AD533" s="358"/>
      <c r="AE533" s="358"/>
      <c r="AF533" s="358"/>
      <c r="AG533" s="358"/>
      <c r="AH533" s="358"/>
      <c r="AI533" s="358"/>
      <c r="AJ533" s="358"/>
      <c r="AK533" s="358"/>
      <c r="AL533" s="358"/>
      <c r="AM533" s="358"/>
      <c r="AN533" s="358"/>
      <c r="AO533" s="358"/>
      <c r="AP533" s="358"/>
      <c r="AQ533" s="358"/>
      <c r="AR533" s="358"/>
      <c r="AS533" s="358"/>
      <c r="AT533" s="358"/>
      <c r="AU533" s="358"/>
      <c r="AV533" s="358"/>
      <c r="AW533" s="358"/>
      <c r="AX533" s="358"/>
      <c r="AY533" s="358"/>
      <c r="AZ533" s="358"/>
      <c r="BA533" s="358"/>
      <c r="BB533" s="358"/>
      <c r="BC533" s="358"/>
      <c r="BD533" s="358"/>
      <c r="BE533" s="358"/>
      <c r="BF533" s="358"/>
      <c r="BG533" s="358"/>
      <c r="BH533" s="358"/>
      <c r="BI533" s="358"/>
      <c r="BJ533" s="358"/>
      <c r="BK533" s="358"/>
      <c r="BL533" s="358"/>
      <c r="BM533" s="358"/>
      <c r="BN533" s="358"/>
      <c r="BO533" s="358"/>
      <c r="BP533" s="358"/>
      <c r="BQ533" s="358"/>
      <c r="BR533" s="358"/>
      <c r="BS533" s="358"/>
      <c r="BT533" s="358"/>
      <c r="BU533" s="358"/>
      <c r="BV533" s="358"/>
    </row>
    <row r="534" spans="2:74" x14ac:dyDescent="0.2">
      <c r="B534" s="358"/>
      <c r="D534" s="358"/>
      <c r="E534" s="358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  <c r="AA534" s="358"/>
      <c r="AB534" s="358"/>
      <c r="AC534" s="358"/>
      <c r="AD534" s="358"/>
      <c r="AE534" s="358"/>
      <c r="AF534" s="358"/>
      <c r="AG534" s="358"/>
      <c r="AH534" s="358"/>
      <c r="AI534" s="358"/>
      <c r="AJ534" s="358"/>
      <c r="AK534" s="358"/>
      <c r="AL534" s="358"/>
      <c r="AM534" s="358"/>
      <c r="AN534" s="358"/>
      <c r="AO534" s="358"/>
      <c r="AP534" s="358"/>
      <c r="AQ534" s="358"/>
      <c r="AR534" s="358"/>
      <c r="AS534" s="358"/>
      <c r="AT534" s="358"/>
      <c r="AU534" s="358"/>
      <c r="AV534" s="358"/>
      <c r="AW534" s="358"/>
      <c r="AX534" s="358"/>
      <c r="AY534" s="358"/>
      <c r="AZ534" s="358"/>
      <c r="BA534" s="358"/>
      <c r="BB534" s="358"/>
      <c r="BC534" s="358"/>
      <c r="BD534" s="358"/>
      <c r="BE534" s="358"/>
      <c r="BF534" s="358"/>
      <c r="BG534" s="358"/>
      <c r="BH534" s="358"/>
      <c r="BI534" s="358"/>
      <c r="BJ534" s="358"/>
      <c r="BK534" s="358"/>
      <c r="BL534" s="358"/>
      <c r="BM534" s="358"/>
      <c r="BN534" s="358"/>
      <c r="BO534" s="358"/>
      <c r="BP534" s="358"/>
      <c r="BQ534" s="358"/>
      <c r="BR534" s="358"/>
      <c r="BS534" s="358"/>
      <c r="BT534" s="358"/>
      <c r="BU534" s="358"/>
      <c r="BV534" s="358"/>
    </row>
    <row r="535" spans="2:74" x14ac:dyDescent="0.2">
      <c r="B535" s="358"/>
      <c r="D535" s="358"/>
      <c r="E535" s="358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8"/>
      <c r="AA535" s="358"/>
      <c r="AB535" s="358"/>
      <c r="AC535" s="358"/>
      <c r="AD535" s="358"/>
      <c r="AE535" s="358"/>
      <c r="AF535" s="358"/>
      <c r="AG535" s="358"/>
      <c r="AH535" s="358"/>
      <c r="AI535" s="358"/>
      <c r="AJ535" s="358"/>
      <c r="AK535" s="358"/>
      <c r="AL535" s="358"/>
      <c r="AM535" s="358"/>
      <c r="AN535" s="358"/>
      <c r="AO535" s="358"/>
      <c r="AP535" s="358"/>
      <c r="AQ535" s="358"/>
      <c r="AR535" s="358"/>
      <c r="AS535" s="358"/>
      <c r="AT535" s="358"/>
      <c r="AU535" s="358"/>
      <c r="AV535" s="358"/>
      <c r="AW535" s="358"/>
      <c r="AX535" s="358"/>
      <c r="AY535" s="358"/>
      <c r="AZ535" s="358"/>
      <c r="BA535" s="358"/>
      <c r="BB535" s="358"/>
      <c r="BC535" s="358"/>
      <c r="BD535" s="358"/>
      <c r="BE535" s="358"/>
      <c r="BF535" s="358"/>
      <c r="BG535" s="358"/>
      <c r="BH535" s="358"/>
      <c r="BI535" s="358"/>
      <c r="BJ535" s="358"/>
      <c r="BK535" s="358"/>
      <c r="BL535" s="358"/>
      <c r="BM535" s="358"/>
      <c r="BN535" s="358"/>
      <c r="BO535" s="358"/>
      <c r="BP535" s="358"/>
      <c r="BQ535" s="358"/>
      <c r="BR535" s="358"/>
      <c r="BS535" s="358"/>
      <c r="BT535" s="358"/>
      <c r="BU535" s="358"/>
      <c r="BV535" s="358"/>
    </row>
    <row r="536" spans="2:74" x14ac:dyDescent="0.2">
      <c r="B536" s="358"/>
      <c r="D536" s="358"/>
      <c r="E536" s="358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  <c r="AA536" s="358"/>
      <c r="AB536" s="358"/>
      <c r="AC536" s="358"/>
      <c r="AD536" s="358"/>
      <c r="AE536" s="358"/>
      <c r="AF536" s="358"/>
      <c r="AG536" s="358"/>
      <c r="AH536" s="358"/>
      <c r="AI536" s="358"/>
      <c r="AJ536" s="358"/>
      <c r="AK536" s="358"/>
      <c r="AL536" s="358"/>
      <c r="AM536" s="358"/>
      <c r="AN536" s="358"/>
      <c r="AO536" s="358"/>
      <c r="AP536" s="358"/>
      <c r="AQ536" s="358"/>
      <c r="AR536" s="358"/>
      <c r="AS536" s="358"/>
      <c r="AT536" s="358"/>
      <c r="AU536" s="358"/>
      <c r="AV536" s="358"/>
      <c r="AW536" s="358"/>
      <c r="AX536" s="358"/>
      <c r="AY536" s="358"/>
      <c r="AZ536" s="358"/>
      <c r="BA536" s="358"/>
      <c r="BB536" s="358"/>
      <c r="BC536" s="358"/>
      <c r="BD536" s="358"/>
      <c r="BE536" s="358"/>
      <c r="BF536" s="358"/>
      <c r="BG536" s="358"/>
      <c r="BH536" s="358"/>
      <c r="BI536" s="358"/>
      <c r="BJ536" s="358"/>
      <c r="BK536" s="358"/>
      <c r="BL536" s="358"/>
      <c r="BM536" s="358"/>
      <c r="BN536" s="358"/>
      <c r="BO536" s="358"/>
      <c r="BP536" s="358"/>
      <c r="BQ536" s="358"/>
      <c r="BR536" s="358"/>
      <c r="BS536" s="358"/>
      <c r="BT536" s="358"/>
      <c r="BU536" s="358"/>
      <c r="BV536" s="358"/>
    </row>
    <row r="537" spans="2:74" x14ac:dyDescent="0.2">
      <c r="B537" s="358"/>
      <c r="D537" s="358"/>
      <c r="E537" s="358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8"/>
      <c r="AA537" s="358"/>
      <c r="AB537" s="358"/>
      <c r="AC537" s="358"/>
      <c r="AD537" s="358"/>
      <c r="AE537" s="358"/>
      <c r="AF537" s="358"/>
      <c r="AG537" s="358"/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58"/>
      <c r="AX537" s="358"/>
      <c r="AY537" s="358"/>
      <c r="AZ537" s="358"/>
      <c r="BA537" s="358"/>
      <c r="BB537" s="358"/>
      <c r="BC537" s="358"/>
      <c r="BD537" s="358"/>
      <c r="BE537" s="358"/>
      <c r="BF537" s="358"/>
      <c r="BG537" s="358"/>
      <c r="BH537" s="358"/>
      <c r="BI537" s="358"/>
      <c r="BJ537" s="358"/>
      <c r="BK537" s="358"/>
      <c r="BL537" s="358"/>
      <c r="BM537" s="358"/>
      <c r="BN537" s="358"/>
      <c r="BO537" s="358"/>
      <c r="BP537" s="358"/>
      <c r="BQ537" s="358"/>
      <c r="BR537" s="358"/>
      <c r="BS537" s="358"/>
      <c r="BT537" s="358"/>
      <c r="BU537" s="358"/>
      <c r="BV537" s="358"/>
    </row>
    <row r="538" spans="2:74" x14ac:dyDescent="0.2">
      <c r="B538" s="358"/>
      <c r="D538" s="358"/>
      <c r="E538" s="358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  <c r="AA538" s="358"/>
      <c r="AB538" s="358"/>
      <c r="AC538" s="358"/>
      <c r="AD538" s="358"/>
      <c r="AE538" s="358"/>
      <c r="AF538" s="358"/>
      <c r="AG538" s="358"/>
      <c r="AH538" s="358"/>
      <c r="AI538" s="358"/>
      <c r="AJ538" s="358"/>
      <c r="AK538" s="358"/>
      <c r="AL538" s="358"/>
      <c r="AM538" s="358"/>
      <c r="AN538" s="358"/>
      <c r="AO538" s="358"/>
      <c r="AP538" s="358"/>
      <c r="AQ538" s="358"/>
      <c r="AR538" s="358"/>
      <c r="AS538" s="358"/>
      <c r="AT538" s="358"/>
      <c r="AU538" s="358"/>
      <c r="AV538" s="358"/>
      <c r="AW538" s="358"/>
      <c r="AX538" s="358"/>
      <c r="AY538" s="358"/>
      <c r="AZ538" s="358"/>
      <c r="BA538" s="358"/>
      <c r="BB538" s="358"/>
      <c r="BC538" s="358"/>
      <c r="BD538" s="358"/>
      <c r="BE538" s="358"/>
      <c r="BF538" s="358"/>
      <c r="BG538" s="358"/>
      <c r="BH538" s="358"/>
      <c r="BI538" s="358"/>
      <c r="BJ538" s="358"/>
      <c r="BK538" s="358"/>
      <c r="BL538" s="358"/>
      <c r="BM538" s="358"/>
      <c r="BN538" s="358"/>
      <c r="BO538" s="358"/>
      <c r="BP538" s="358"/>
      <c r="BQ538" s="358"/>
      <c r="BR538" s="358"/>
      <c r="BS538" s="358"/>
      <c r="BT538" s="358"/>
      <c r="BU538" s="358"/>
      <c r="BV538" s="358"/>
    </row>
    <row r="539" spans="2:74" x14ac:dyDescent="0.2">
      <c r="B539" s="358"/>
      <c r="D539" s="358"/>
      <c r="E539" s="358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8"/>
      <c r="AA539" s="358"/>
      <c r="AB539" s="358"/>
      <c r="AC539" s="358"/>
      <c r="AD539" s="358"/>
      <c r="AE539" s="358"/>
      <c r="AF539" s="358"/>
      <c r="AG539" s="358"/>
      <c r="AH539" s="358"/>
      <c r="AI539" s="358"/>
      <c r="AJ539" s="358"/>
      <c r="AK539" s="358"/>
      <c r="AL539" s="358"/>
      <c r="AM539" s="358"/>
      <c r="AN539" s="358"/>
      <c r="AO539" s="358"/>
      <c r="AP539" s="358"/>
      <c r="AQ539" s="358"/>
      <c r="AR539" s="358"/>
      <c r="AS539" s="358"/>
      <c r="AT539" s="358"/>
      <c r="AU539" s="358"/>
      <c r="AV539" s="358"/>
      <c r="AW539" s="358"/>
      <c r="AX539" s="358"/>
      <c r="AY539" s="358"/>
      <c r="AZ539" s="358"/>
      <c r="BA539" s="358"/>
      <c r="BB539" s="358"/>
      <c r="BC539" s="358"/>
      <c r="BD539" s="358"/>
      <c r="BE539" s="358"/>
      <c r="BF539" s="358"/>
      <c r="BG539" s="358"/>
      <c r="BH539" s="358"/>
      <c r="BI539" s="358"/>
      <c r="BJ539" s="358"/>
      <c r="BK539" s="358"/>
      <c r="BL539" s="358"/>
      <c r="BM539" s="358"/>
      <c r="BN539" s="358"/>
      <c r="BO539" s="358"/>
      <c r="BP539" s="358"/>
      <c r="BQ539" s="358"/>
      <c r="BR539" s="358"/>
      <c r="BS539" s="358"/>
      <c r="BT539" s="358"/>
      <c r="BU539" s="358"/>
      <c r="BV539" s="358"/>
    </row>
    <row r="540" spans="2:74" x14ac:dyDescent="0.2">
      <c r="B540" s="358"/>
      <c r="D540" s="358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358"/>
      <c r="AB540" s="358"/>
      <c r="AC540" s="358"/>
      <c r="AD540" s="358"/>
      <c r="AE540" s="358"/>
      <c r="AF540" s="358"/>
      <c r="AG540" s="358"/>
      <c r="AH540" s="358"/>
      <c r="AI540" s="358"/>
      <c r="AJ540" s="358"/>
      <c r="AK540" s="358"/>
      <c r="AL540" s="358"/>
      <c r="AM540" s="358"/>
      <c r="AN540" s="358"/>
      <c r="AO540" s="358"/>
      <c r="AP540" s="358"/>
      <c r="AQ540" s="358"/>
      <c r="AR540" s="358"/>
      <c r="AS540" s="358"/>
      <c r="AT540" s="358"/>
      <c r="AU540" s="358"/>
      <c r="AV540" s="358"/>
      <c r="AW540" s="358"/>
      <c r="AX540" s="358"/>
      <c r="AY540" s="358"/>
      <c r="AZ540" s="358"/>
      <c r="BA540" s="358"/>
      <c r="BB540" s="358"/>
      <c r="BC540" s="358"/>
      <c r="BD540" s="358"/>
      <c r="BE540" s="358"/>
      <c r="BF540" s="358"/>
      <c r="BG540" s="358"/>
      <c r="BH540" s="358"/>
      <c r="BI540" s="358"/>
      <c r="BJ540" s="358"/>
      <c r="BK540" s="358"/>
      <c r="BL540" s="358"/>
      <c r="BM540" s="358"/>
      <c r="BN540" s="358"/>
      <c r="BO540" s="358"/>
      <c r="BP540" s="358"/>
      <c r="BQ540" s="358"/>
      <c r="BR540" s="358"/>
      <c r="BS540" s="358"/>
      <c r="BT540" s="358"/>
      <c r="BU540" s="358"/>
      <c r="BV540" s="358"/>
    </row>
    <row r="541" spans="2:74" x14ac:dyDescent="0.2">
      <c r="B541" s="358"/>
      <c r="D541" s="358"/>
      <c r="E541" s="358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358"/>
      <c r="AN541" s="358"/>
      <c r="AO541" s="358"/>
      <c r="AP541" s="358"/>
      <c r="AQ541" s="358"/>
      <c r="AR541" s="358"/>
      <c r="AS541" s="358"/>
      <c r="AT541" s="358"/>
      <c r="AU541" s="358"/>
      <c r="AV541" s="358"/>
      <c r="AW541" s="358"/>
      <c r="AX541" s="358"/>
      <c r="AY541" s="358"/>
      <c r="AZ541" s="358"/>
      <c r="BA541" s="358"/>
      <c r="BB541" s="358"/>
      <c r="BC541" s="358"/>
      <c r="BD541" s="358"/>
      <c r="BE541" s="358"/>
      <c r="BF541" s="358"/>
      <c r="BG541" s="358"/>
      <c r="BH541" s="358"/>
      <c r="BI541" s="358"/>
      <c r="BJ541" s="358"/>
      <c r="BK541" s="358"/>
      <c r="BL541" s="358"/>
      <c r="BM541" s="358"/>
      <c r="BN541" s="358"/>
      <c r="BO541" s="358"/>
      <c r="BP541" s="358"/>
      <c r="BQ541" s="358"/>
      <c r="BR541" s="358"/>
      <c r="BS541" s="358"/>
      <c r="BT541" s="358"/>
      <c r="BU541" s="358"/>
      <c r="BV541" s="358"/>
    </row>
    <row r="542" spans="2:74" x14ac:dyDescent="0.2">
      <c r="B542" s="358"/>
      <c r="D542" s="358"/>
      <c r="E542" s="358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  <c r="AI542" s="358"/>
      <c r="AJ542" s="358"/>
      <c r="AK542" s="358"/>
      <c r="AL542" s="358"/>
      <c r="AM542" s="358"/>
      <c r="AN542" s="358"/>
      <c r="AO542" s="358"/>
      <c r="AP542" s="358"/>
      <c r="AQ542" s="358"/>
      <c r="AR542" s="358"/>
      <c r="AS542" s="358"/>
      <c r="AT542" s="358"/>
      <c r="AU542" s="358"/>
      <c r="AV542" s="358"/>
      <c r="AW542" s="358"/>
      <c r="AX542" s="358"/>
      <c r="AY542" s="358"/>
      <c r="AZ542" s="358"/>
      <c r="BA542" s="358"/>
      <c r="BB542" s="358"/>
      <c r="BC542" s="358"/>
      <c r="BD542" s="358"/>
      <c r="BE542" s="358"/>
      <c r="BF542" s="358"/>
      <c r="BG542" s="358"/>
      <c r="BH542" s="358"/>
      <c r="BI542" s="358"/>
      <c r="BJ542" s="358"/>
      <c r="BK542" s="358"/>
      <c r="BL542" s="358"/>
      <c r="BM542" s="358"/>
      <c r="BN542" s="358"/>
      <c r="BO542" s="358"/>
      <c r="BP542" s="358"/>
      <c r="BQ542" s="358"/>
      <c r="BR542" s="358"/>
      <c r="BS542" s="358"/>
      <c r="BT542" s="358"/>
      <c r="BU542" s="358"/>
      <c r="BV542" s="358"/>
    </row>
    <row r="543" spans="2:74" x14ac:dyDescent="0.2">
      <c r="B543" s="358"/>
      <c r="D543" s="358"/>
      <c r="E543" s="358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8"/>
      <c r="AA543" s="358"/>
      <c r="AB543" s="358"/>
      <c r="AC543" s="358"/>
      <c r="AD543" s="358"/>
      <c r="AE543" s="358"/>
      <c r="AF543" s="358"/>
      <c r="AG543" s="358"/>
      <c r="AH543" s="358"/>
      <c r="AI543" s="358"/>
      <c r="AJ543" s="358"/>
      <c r="AK543" s="358"/>
      <c r="AL543" s="358"/>
      <c r="AM543" s="358"/>
      <c r="AN543" s="358"/>
      <c r="AO543" s="358"/>
      <c r="AP543" s="358"/>
      <c r="AQ543" s="358"/>
      <c r="AR543" s="358"/>
      <c r="AS543" s="358"/>
      <c r="AT543" s="358"/>
      <c r="AU543" s="358"/>
      <c r="AV543" s="358"/>
      <c r="AW543" s="358"/>
      <c r="AX543" s="358"/>
      <c r="AY543" s="358"/>
      <c r="AZ543" s="358"/>
      <c r="BA543" s="358"/>
      <c r="BB543" s="358"/>
      <c r="BC543" s="358"/>
      <c r="BD543" s="358"/>
      <c r="BE543" s="358"/>
      <c r="BF543" s="358"/>
      <c r="BG543" s="358"/>
      <c r="BH543" s="358"/>
      <c r="BI543" s="358"/>
      <c r="BJ543" s="358"/>
      <c r="BK543" s="358"/>
      <c r="BL543" s="358"/>
      <c r="BM543" s="358"/>
      <c r="BN543" s="358"/>
      <c r="BO543" s="358"/>
      <c r="BP543" s="358"/>
      <c r="BQ543" s="358"/>
      <c r="BR543" s="358"/>
      <c r="BS543" s="358"/>
      <c r="BT543" s="358"/>
      <c r="BU543" s="358"/>
      <c r="BV543" s="358"/>
    </row>
    <row r="544" spans="2:74" x14ac:dyDescent="0.2">
      <c r="B544" s="358"/>
      <c r="D544" s="358"/>
      <c r="E544" s="358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  <c r="AA544" s="358"/>
      <c r="AB544" s="358"/>
      <c r="AC544" s="358"/>
      <c r="AD544" s="358"/>
      <c r="AE544" s="358"/>
      <c r="AF544" s="358"/>
      <c r="AG544" s="358"/>
      <c r="AH544" s="358"/>
      <c r="AI544" s="358"/>
      <c r="AJ544" s="358"/>
      <c r="AK544" s="358"/>
      <c r="AL544" s="358"/>
      <c r="AM544" s="358"/>
      <c r="AN544" s="358"/>
      <c r="AO544" s="358"/>
      <c r="AP544" s="358"/>
      <c r="AQ544" s="358"/>
      <c r="AR544" s="358"/>
      <c r="AS544" s="358"/>
      <c r="AT544" s="358"/>
      <c r="AU544" s="358"/>
      <c r="AV544" s="358"/>
      <c r="AW544" s="358"/>
      <c r="AX544" s="358"/>
      <c r="AY544" s="358"/>
      <c r="AZ544" s="358"/>
      <c r="BA544" s="358"/>
      <c r="BB544" s="358"/>
      <c r="BC544" s="358"/>
      <c r="BD544" s="358"/>
      <c r="BE544" s="358"/>
      <c r="BF544" s="358"/>
      <c r="BG544" s="358"/>
      <c r="BH544" s="358"/>
      <c r="BI544" s="358"/>
      <c r="BJ544" s="358"/>
      <c r="BK544" s="358"/>
      <c r="BL544" s="358"/>
      <c r="BM544" s="358"/>
      <c r="BN544" s="358"/>
      <c r="BO544" s="358"/>
      <c r="BP544" s="358"/>
      <c r="BQ544" s="358"/>
      <c r="BR544" s="358"/>
      <c r="BS544" s="358"/>
      <c r="BT544" s="358"/>
      <c r="BU544" s="358"/>
      <c r="BV544" s="358"/>
    </row>
    <row r="545" spans="2:74" x14ac:dyDescent="0.2">
      <c r="B545" s="358"/>
      <c r="D545" s="358"/>
      <c r="E545" s="358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8"/>
      <c r="AA545" s="358"/>
      <c r="AB545" s="358"/>
      <c r="AC545" s="358"/>
      <c r="AD545" s="358"/>
      <c r="AE545" s="358"/>
      <c r="AF545" s="358"/>
      <c r="AG545" s="358"/>
      <c r="AH545" s="358"/>
      <c r="AI545" s="358"/>
      <c r="AJ545" s="358"/>
      <c r="AK545" s="358"/>
      <c r="AL545" s="358"/>
      <c r="AM545" s="358"/>
      <c r="AN545" s="358"/>
      <c r="AO545" s="358"/>
      <c r="AP545" s="358"/>
      <c r="AQ545" s="358"/>
      <c r="AR545" s="358"/>
      <c r="AS545" s="358"/>
      <c r="AT545" s="358"/>
      <c r="AU545" s="358"/>
      <c r="AV545" s="358"/>
      <c r="AW545" s="358"/>
      <c r="AX545" s="358"/>
      <c r="AY545" s="358"/>
      <c r="AZ545" s="358"/>
      <c r="BA545" s="358"/>
      <c r="BB545" s="358"/>
      <c r="BC545" s="358"/>
      <c r="BD545" s="358"/>
      <c r="BE545" s="358"/>
      <c r="BF545" s="358"/>
      <c r="BG545" s="358"/>
      <c r="BH545" s="358"/>
      <c r="BI545" s="358"/>
      <c r="BJ545" s="358"/>
      <c r="BK545" s="358"/>
      <c r="BL545" s="358"/>
      <c r="BM545" s="358"/>
      <c r="BN545" s="358"/>
      <c r="BO545" s="358"/>
      <c r="BP545" s="358"/>
      <c r="BQ545" s="358"/>
      <c r="BR545" s="358"/>
      <c r="BS545" s="358"/>
      <c r="BT545" s="358"/>
      <c r="BU545" s="358"/>
      <c r="BV545" s="358"/>
    </row>
    <row r="546" spans="2:74" x14ac:dyDescent="0.2">
      <c r="B546" s="358"/>
      <c r="D546" s="358"/>
      <c r="E546" s="358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  <c r="AI546" s="358"/>
      <c r="AJ546" s="358"/>
      <c r="AK546" s="358"/>
      <c r="AL546" s="358"/>
      <c r="AM546" s="358"/>
      <c r="AN546" s="358"/>
      <c r="AO546" s="358"/>
      <c r="AP546" s="358"/>
      <c r="AQ546" s="358"/>
      <c r="AR546" s="358"/>
      <c r="AS546" s="358"/>
      <c r="AT546" s="358"/>
      <c r="AU546" s="358"/>
      <c r="AV546" s="358"/>
      <c r="AW546" s="358"/>
      <c r="AX546" s="358"/>
      <c r="AY546" s="358"/>
      <c r="AZ546" s="358"/>
      <c r="BA546" s="358"/>
      <c r="BB546" s="358"/>
      <c r="BC546" s="358"/>
      <c r="BD546" s="358"/>
      <c r="BE546" s="358"/>
      <c r="BF546" s="358"/>
      <c r="BG546" s="358"/>
      <c r="BH546" s="358"/>
      <c r="BI546" s="358"/>
      <c r="BJ546" s="358"/>
      <c r="BK546" s="358"/>
      <c r="BL546" s="358"/>
      <c r="BM546" s="358"/>
      <c r="BN546" s="358"/>
      <c r="BO546" s="358"/>
      <c r="BP546" s="358"/>
      <c r="BQ546" s="358"/>
      <c r="BR546" s="358"/>
      <c r="BS546" s="358"/>
      <c r="BT546" s="358"/>
      <c r="BU546" s="358"/>
      <c r="BV546" s="358"/>
    </row>
    <row r="547" spans="2:74" x14ac:dyDescent="0.2">
      <c r="B547" s="358"/>
      <c r="D547" s="358"/>
      <c r="E547" s="358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8"/>
      <c r="AA547" s="358"/>
      <c r="AB547" s="358"/>
      <c r="AC547" s="358"/>
      <c r="AD547" s="358"/>
      <c r="AE547" s="358"/>
      <c r="AF547" s="358"/>
      <c r="AG547" s="358"/>
      <c r="AH547" s="358"/>
      <c r="AI547" s="358"/>
      <c r="AJ547" s="358"/>
      <c r="AK547" s="358"/>
      <c r="AL547" s="358"/>
      <c r="AM547" s="358"/>
      <c r="AN547" s="358"/>
      <c r="AO547" s="358"/>
      <c r="AP547" s="358"/>
      <c r="AQ547" s="358"/>
      <c r="AR547" s="358"/>
      <c r="AS547" s="358"/>
      <c r="AT547" s="358"/>
      <c r="AU547" s="358"/>
      <c r="AV547" s="358"/>
      <c r="AW547" s="358"/>
      <c r="AX547" s="358"/>
      <c r="AY547" s="358"/>
      <c r="AZ547" s="358"/>
      <c r="BA547" s="358"/>
      <c r="BB547" s="358"/>
      <c r="BC547" s="358"/>
      <c r="BD547" s="358"/>
      <c r="BE547" s="358"/>
      <c r="BF547" s="358"/>
      <c r="BG547" s="358"/>
      <c r="BH547" s="358"/>
      <c r="BI547" s="358"/>
      <c r="BJ547" s="358"/>
      <c r="BK547" s="358"/>
      <c r="BL547" s="358"/>
      <c r="BM547" s="358"/>
      <c r="BN547" s="358"/>
      <c r="BO547" s="358"/>
      <c r="BP547" s="358"/>
      <c r="BQ547" s="358"/>
      <c r="BR547" s="358"/>
      <c r="BS547" s="358"/>
      <c r="BT547" s="358"/>
      <c r="BU547" s="358"/>
      <c r="BV547" s="358"/>
    </row>
    <row r="548" spans="2:74" x14ac:dyDescent="0.2">
      <c r="B548" s="358"/>
      <c r="D548" s="358"/>
      <c r="E548" s="358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  <c r="AA548" s="358"/>
      <c r="AB548" s="358"/>
      <c r="AC548" s="358"/>
      <c r="AD548" s="358"/>
      <c r="AE548" s="358"/>
      <c r="AF548" s="358"/>
      <c r="AG548" s="358"/>
      <c r="AH548" s="358"/>
      <c r="AI548" s="358"/>
      <c r="AJ548" s="358"/>
      <c r="AK548" s="358"/>
      <c r="AL548" s="358"/>
      <c r="AM548" s="358"/>
      <c r="AN548" s="358"/>
      <c r="AO548" s="358"/>
      <c r="AP548" s="358"/>
      <c r="AQ548" s="358"/>
      <c r="AR548" s="358"/>
      <c r="AS548" s="358"/>
      <c r="AT548" s="358"/>
      <c r="AU548" s="358"/>
      <c r="AV548" s="358"/>
      <c r="AW548" s="358"/>
      <c r="AX548" s="358"/>
      <c r="AY548" s="358"/>
      <c r="AZ548" s="358"/>
      <c r="BA548" s="358"/>
      <c r="BB548" s="358"/>
      <c r="BC548" s="358"/>
      <c r="BD548" s="358"/>
      <c r="BE548" s="358"/>
      <c r="BF548" s="358"/>
      <c r="BG548" s="358"/>
      <c r="BH548" s="358"/>
      <c r="BI548" s="358"/>
      <c r="BJ548" s="358"/>
      <c r="BK548" s="358"/>
      <c r="BL548" s="358"/>
      <c r="BM548" s="358"/>
      <c r="BN548" s="358"/>
      <c r="BO548" s="358"/>
      <c r="BP548" s="358"/>
      <c r="BQ548" s="358"/>
      <c r="BR548" s="358"/>
      <c r="BS548" s="358"/>
      <c r="BT548" s="358"/>
      <c r="BU548" s="358"/>
      <c r="BV548" s="358"/>
    </row>
    <row r="549" spans="2:74" x14ac:dyDescent="0.2">
      <c r="B549" s="358"/>
      <c r="D549" s="358"/>
      <c r="E549" s="358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8"/>
      <c r="AA549" s="358"/>
      <c r="AB549" s="358"/>
      <c r="AC549" s="358"/>
      <c r="AD549" s="358"/>
      <c r="AE549" s="358"/>
      <c r="AF549" s="358"/>
      <c r="AG549" s="358"/>
      <c r="AH549" s="358"/>
      <c r="AI549" s="358"/>
      <c r="AJ549" s="358"/>
      <c r="AK549" s="358"/>
      <c r="AL549" s="358"/>
      <c r="AM549" s="358"/>
      <c r="AN549" s="358"/>
      <c r="AO549" s="358"/>
      <c r="AP549" s="358"/>
      <c r="AQ549" s="358"/>
      <c r="AR549" s="358"/>
      <c r="AS549" s="358"/>
      <c r="AT549" s="358"/>
      <c r="AU549" s="358"/>
      <c r="AV549" s="358"/>
      <c r="AW549" s="358"/>
      <c r="AX549" s="358"/>
      <c r="AY549" s="358"/>
      <c r="AZ549" s="358"/>
      <c r="BA549" s="358"/>
      <c r="BB549" s="358"/>
      <c r="BC549" s="358"/>
      <c r="BD549" s="358"/>
      <c r="BE549" s="358"/>
      <c r="BF549" s="358"/>
      <c r="BG549" s="358"/>
      <c r="BH549" s="358"/>
      <c r="BI549" s="358"/>
      <c r="BJ549" s="358"/>
      <c r="BK549" s="358"/>
      <c r="BL549" s="358"/>
      <c r="BM549" s="358"/>
      <c r="BN549" s="358"/>
      <c r="BO549" s="358"/>
      <c r="BP549" s="358"/>
      <c r="BQ549" s="358"/>
      <c r="BR549" s="358"/>
      <c r="BS549" s="358"/>
      <c r="BT549" s="358"/>
      <c r="BU549" s="358"/>
      <c r="BV549" s="358"/>
    </row>
    <row r="550" spans="2:74" x14ac:dyDescent="0.2">
      <c r="B550" s="358"/>
      <c r="D550" s="358"/>
      <c r="E550" s="358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  <c r="AA550" s="358"/>
      <c r="AB550" s="358"/>
      <c r="AC550" s="358"/>
      <c r="AD550" s="358"/>
      <c r="AE550" s="358"/>
      <c r="AF550" s="358"/>
      <c r="AG550" s="358"/>
      <c r="AH550" s="358"/>
      <c r="AI550" s="358"/>
      <c r="AJ550" s="358"/>
      <c r="AK550" s="358"/>
      <c r="AL550" s="358"/>
      <c r="AM550" s="358"/>
      <c r="AN550" s="358"/>
      <c r="AO550" s="358"/>
      <c r="AP550" s="358"/>
      <c r="AQ550" s="358"/>
      <c r="AR550" s="358"/>
      <c r="AS550" s="358"/>
      <c r="AT550" s="358"/>
      <c r="AU550" s="358"/>
      <c r="AV550" s="358"/>
      <c r="AW550" s="358"/>
      <c r="AX550" s="358"/>
      <c r="AY550" s="358"/>
      <c r="AZ550" s="358"/>
      <c r="BA550" s="358"/>
      <c r="BB550" s="358"/>
      <c r="BC550" s="358"/>
      <c r="BD550" s="358"/>
      <c r="BE550" s="358"/>
      <c r="BF550" s="358"/>
      <c r="BG550" s="358"/>
      <c r="BH550" s="358"/>
      <c r="BI550" s="358"/>
      <c r="BJ550" s="358"/>
      <c r="BK550" s="358"/>
      <c r="BL550" s="358"/>
      <c r="BM550" s="358"/>
      <c r="BN550" s="358"/>
      <c r="BO550" s="358"/>
      <c r="BP550" s="358"/>
      <c r="BQ550" s="358"/>
      <c r="BR550" s="358"/>
      <c r="BS550" s="358"/>
      <c r="BT550" s="358"/>
      <c r="BU550" s="358"/>
      <c r="BV550" s="358"/>
    </row>
    <row r="551" spans="2:74" x14ac:dyDescent="0.2">
      <c r="B551" s="358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8"/>
      <c r="AA551" s="358"/>
      <c r="AB551" s="358"/>
      <c r="AC551" s="358"/>
      <c r="AD551" s="358"/>
      <c r="AE551" s="358"/>
      <c r="AF551" s="358"/>
      <c r="AG551" s="358"/>
      <c r="AH551" s="358"/>
      <c r="AI551" s="358"/>
      <c r="AJ551" s="358"/>
      <c r="AK551" s="358"/>
      <c r="AL551" s="358"/>
      <c r="AM551" s="358"/>
      <c r="AN551" s="358"/>
      <c r="AO551" s="358"/>
      <c r="AP551" s="358"/>
      <c r="AQ551" s="358"/>
      <c r="AR551" s="358"/>
      <c r="AS551" s="358"/>
      <c r="AT551" s="358"/>
      <c r="AU551" s="358"/>
      <c r="AV551" s="358"/>
      <c r="AW551" s="358"/>
      <c r="AX551" s="358"/>
      <c r="AY551" s="358"/>
      <c r="AZ551" s="358"/>
      <c r="BA551" s="358"/>
      <c r="BB551" s="358"/>
      <c r="BC551" s="358"/>
      <c r="BD551" s="358"/>
      <c r="BE551" s="358"/>
      <c r="BF551" s="358"/>
      <c r="BG551" s="358"/>
      <c r="BH551" s="358"/>
      <c r="BI551" s="358"/>
      <c r="BJ551" s="358"/>
      <c r="BK551" s="358"/>
      <c r="BL551" s="358"/>
      <c r="BM551" s="358"/>
      <c r="BN551" s="358"/>
      <c r="BO551" s="358"/>
      <c r="BP551" s="358"/>
      <c r="BQ551" s="358"/>
      <c r="BR551" s="358"/>
      <c r="BS551" s="358"/>
      <c r="BT551" s="358"/>
      <c r="BU551" s="358"/>
      <c r="BV551" s="358"/>
    </row>
    <row r="552" spans="2:74" x14ac:dyDescent="0.2">
      <c r="B552" s="358"/>
      <c r="D552" s="358"/>
      <c r="E552" s="358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  <c r="AA552" s="358"/>
      <c r="AB552" s="358"/>
      <c r="AC552" s="358"/>
      <c r="AD552" s="358"/>
      <c r="AE552" s="358"/>
      <c r="AF552" s="358"/>
      <c r="AG552" s="358"/>
      <c r="AH552" s="358"/>
      <c r="AI552" s="358"/>
      <c r="AJ552" s="358"/>
      <c r="AK552" s="358"/>
      <c r="AL552" s="358"/>
      <c r="AM552" s="358"/>
      <c r="AN552" s="358"/>
      <c r="AO552" s="358"/>
      <c r="AP552" s="358"/>
      <c r="AQ552" s="358"/>
      <c r="AR552" s="358"/>
      <c r="AS552" s="358"/>
      <c r="AT552" s="358"/>
      <c r="AU552" s="358"/>
      <c r="AV552" s="358"/>
      <c r="AW552" s="358"/>
      <c r="AX552" s="358"/>
      <c r="AY552" s="358"/>
      <c r="AZ552" s="358"/>
      <c r="BA552" s="358"/>
      <c r="BB552" s="358"/>
      <c r="BC552" s="358"/>
      <c r="BD552" s="358"/>
      <c r="BE552" s="358"/>
      <c r="BF552" s="358"/>
      <c r="BG552" s="358"/>
      <c r="BH552" s="358"/>
      <c r="BI552" s="358"/>
      <c r="BJ552" s="358"/>
      <c r="BK552" s="358"/>
      <c r="BL552" s="358"/>
      <c r="BM552" s="358"/>
      <c r="BN552" s="358"/>
      <c r="BO552" s="358"/>
      <c r="BP552" s="358"/>
      <c r="BQ552" s="358"/>
      <c r="BR552" s="358"/>
      <c r="BS552" s="358"/>
      <c r="BT552" s="358"/>
      <c r="BU552" s="358"/>
      <c r="BV552" s="358"/>
    </row>
    <row r="553" spans="2:74" x14ac:dyDescent="0.2">
      <c r="B553" s="358"/>
      <c r="D553" s="358"/>
      <c r="E553" s="358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8"/>
      <c r="AA553" s="358"/>
      <c r="AB553" s="358"/>
      <c r="AC553" s="358"/>
      <c r="AD553" s="358"/>
      <c r="AE553" s="358"/>
      <c r="AF553" s="358"/>
      <c r="AG553" s="358"/>
      <c r="AH553" s="358"/>
      <c r="AI553" s="358"/>
      <c r="AJ553" s="358"/>
      <c r="AK553" s="358"/>
      <c r="AL553" s="358"/>
      <c r="AM553" s="358"/>
      <c r="AN553" s="358"/>
      <c r="AO553" s="358"/>
      <c r="AP553" s="358"/>
      <c r="AQ553" s="358"/>
      <c r="AR553" s="358"/>
      <c r="AS553" s="358"/>
      <c r="AT553" s="358"/>
      <c r="AU553" s="358"/>
      <c r="AV553" s="358"/>
      <c r="AW553" s="358"/>
      <c r="AX553" s="358"/>
      <c r="AY553" s="358"/>
      <c r="AZ553" s="358"/>
      <c r="BA553" s="358"/>
      <c r="BB553" s="358"/>
      <c r="BC553" s="358"/>
      <c r="BD553" s="358"/>
      <c r="BE553" s="358"/>
      <c r="BF553" s="358"/>
      <c r="BG553" s="358"/>
      <c r="BH553" s="358"/>
      <c r="BI553" s="358"/>
      <c r="BJ553" s="358"/>
      <c r="BK553" s="358"/>
      <c r="BL553" s="358"/>
      <c r="BM553" s="358"/>
      <c r="BN553" s="358"/>
      <c r="BO553" s="358"/>
      <c r="BP553" s="358"/>
      <c r="BQ553" s="358"/>
      <c r="BR553" s="358"/>
      <c r="BS553" s="358"/>
      <c r="BT553" s="358"/>
      <c r="BU553" s="358"/>
      <c r="BV553" s="358"/>
    </row>
    <row r="554" spans="2:74" x14ac:dyDescent="0.2">
      <c r="B554" s="358"/>
      <c r="D554" s="358"/>
      <c r="E554" s="358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  <c r="AA554" s="358"/>
      <c r="AB554" s="358"/>
      <c r="AC554" s="358"/>
      <c r="AD554" s="358"/>
      <c r="AE554" s="358"/>
      <c r="AF554" s="358"/>
      <c r="AG554" s="358"/>
      <c r="AH554" s="358"/>
      <c r="AI554" s="358"/>
      <c r="AJ554" s="358"/>
      <c r="AK554" s="358"/>
      <c r="AL554" s="358"/>
      <c r="AM554" s="358"/>
      <c r="AN554" s="358"/>
      <c r="AO554" s="358"/>
      <c r="AP554" s="358"/>
      <c r="AQ554" s="358"/>
      <c r="AR554" s="358"/>
      <c r="AS554" s="358"/>
      <c r="AT554" s="358"/>
      <c r="AU554" s="358"/>
      <c r="AV554" s="358"/>
      <c r="AW554" s="358"/>
      <c r="AX554" s="358"/>
      <c r="AY554" s="358"/>
      <c r="AZ554" s="358"/>
      <c r="BA554" s="358"/>
      <c r="BB554" s="358"/>
      <c r="BC554" s="358"/>
      <c r="BD554" s="358"/>
      <c r="BE554" s="358"/>
      <c r="BF554" s="358"/>
      <c r="BG554" s="358"/>
      <c r="BH554" s="358"/>
      <c r="BI554" s="358"/>
      <c r="BJ554" s="358"/>
      <c r="BK554" s="358"/>
      <c r="BL554" s="358"/>
      <c r="BM554" s="358"/>
      <c r="BN554" s="358"/>
      <c r="BO554" s="358"/>
      <c r="BP554" s="358"/>
      <c r="BQ554" s="358"/>
      <c r="BR554" s="358"/>
      <c r="BS554" s="358"/>
      <c r="BT554" s="358"/>
      <c r="BU554" s="358"/>
      <c r="BV554" s="358"/>
    </row>
    <row r="555" spans="2:74" x14ac:dyDescent="0.2">
      <c r="B555" s="358"/>
      <c r="D555" s="358"/>
      <c r="E555" s="358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8"/>
      <c r="AA555" s="358"/>
      <c r="AB555" s="358"/>
      <c r="AC555" s="358"/>
      <c r="AD555" s="358"/>
      <c r="AE555" s="358"/>
      <c r="AF555" s="358"/>
      <c r="AG555" s="358"/>
      <c r="AH555" s="358"/>
      <c r="AI555" s="358"/>
      <c r="AJ555" s="358"/>
      <c r="AK555" s="358"/>
      <c r="AL555" s="358"/>
      <c r="AM555" s="358"/>
      <c r="AN555" s="358"/>
      <c r="AO555" s="358"/>
      <c r="AP555" s="358"/>
      <c r="AQ555" s="358"/>
      <c r="AR555" s="358"/>
      <c r="AS555" s="358"/>
      <c r="AT555" s="358"/>
      <c r="AU555" s="358"/>
      <c r="AV555" s="358"/>
      <c r="AW555" s="358"/>
      <c r="AX555" s="358"/>
      <c r="AY555" s="358"/>
      <c r="AZ555" s="358"/>
      <c r="BA555" s="358"/>
      <c r="BB555" s="358"/>
      <c r="BC555" s="358"/>
      <c r="BD555" s="358"/>
      <c r="BE555" s="358"/>
      <c r="BF555" s="358"/>
      <c r="BG555" s="358"/>
      <c r="BH555" s="358"/>
      <c r="BI555" s="358"/>
      <c r="BJ555" s="358"/>
      <c r="BK555" s="358"/>
      <c r="BL555" s="358"/>
      <c r="BM555" s="358"/>
      <c r="BN555" s="358"/>
      <c r="BO555" s="358"/>
      <c r="BP555" s="358"/>
      <c r="BQ555" s="358"/>
      <c r="BR555" s="358"/>
      <c r="BS555" s="358"/>
      <c r="BT555" s="358"/>
      <c r="BU555" s="358"/>
      <c r="BV555" s="358"/>
    </row>
    <row r="556" spans="2:74" x14ac:dyDescent="0.2">
      <c r="B556" s="358"/>
      <c r="D556" s="358"/>
      <c r="E556" s="358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  <c r="AA556" s="358"/>
      <c r="AB556" s="358"/>
      <c r="AC556" s="358"/>
      <c r="AD556" s="358"/>
      <c r="AE556" s="358"/>
      <c r="AF556" s="358"/>
      <c r="AG556" s="358"/>
      <c r="AH556" s="358"/>
      <c r="AI556" s="358"/>
      <c r="AJ556" s="358"/>
      <c r="AK556" s="358"/>
      <c r="AL556" s="358"/>
      <c r="AM556" s="358"/>
      <c r="AN556" s="358"/>
      <c r="AO556" s="358"/>
      <c r="AP556" s="358"/>
      <c r="AQ556" s="358"/>
      <c r="AR556" s="358"/>
      <c r="AS556" s="358"/>
      <c r="AT556" s="358"/>
      <c r="AU556" s="358"/>
      <c r="AV556" s="358"/>
      <c r="AW556" s="358"/>
      <c r="AX556" s="358"/>
      <c r="AY556" s="358"/>
      <c r="AZ556" s="358"/>
      <c r="BA556" s="358"/>
      <c r="BB556" s="358"/>
      <c r="BC556" s="358"/>
      <c r="BD556" s="358"/>
      <c r="BE556" s="358"/>
      <c r="BF556" s="358"/>
      <c r="BG556" s="358"/>
      <c r="BH556" s="358"/>
      <c r="BI556" s="358"/>
      <c r="BJ556" s="358"/>
      <c r="BK556" s="358"/>
      <c r="BL556" s="358"/>
      <c r="BM556" s="358"/>
      <c r="BN556" s="358"/>
      <c r="BO556" s="358"/>
      <c r="BP556" s="358"/>
      <c r="BQ556" s="358"/>
      <c r="BR556" s="358"/>
      <c r="BS556" s="358"/>
      <c r="BT556" s="358"/>
      <c r="BU556" s="358"/>
      <c r="BV556" s="358"/>
    </row>
    <row r="557" spans="2:74" x14ac:dyDescent="0.2">
      <c r="B557" s="358"/>
      <c r="D557" s="358"/>
      <c r="E557" s="358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8"/>
      <c r="AA557" s="358"/>
      <c r="AB557" s="358"/>
      <c r="AC557" s="358"/>
      <c r="AD557" s="358"/>
      <c r="AE557" s="358"/>
      <c r="AF557" s="358"/>
      <c r="AG557" s="358"/>
      <c r="AH557" s="358"/>
      <c r="AI557" s="358"/>
      <c r="AJ557" s="358"/>
      <c r="AK557" s="358"/>
      <c r="AL557" s="358"/>
      <c r="AM557" s="358"/>
      <c r="AN557" s="358"/>
      <c r="AO557" s="358"/>
      <c r="AP557" s="358"/>
      <c r="AQ557" s="358"/>
      <c r="AR557" s="358"/>
      <c r="AS557" s="358"/>
      <c r="AT557" s="358"/>
      <c r="AU557" s="358"/>
      <c r="AV557" s="358"/>
      <c r="AW557" s="358"/>
      <c r="AX557" s="358"/>
      <c r="AY557" s="358"/>
      <c r="AZ557" s="358"/>
      <c r="BA557" s="358"/>
      <c r="BB557" s="358"/>
      <c r="BC557" s="358"/>
      <c r="BD557" s="358"/>
      <c r="BE557" s="358"/>
      <c r="BF557" s="358"/>
      <c r="BG557" s="358"/>
      <c r="BH557" s="358"/>
      <c r="BI557" s="358"/>
      <c r="BJ557" s="358"/>
      <c r="BK557" s="358"/>
      <c r="BL557" s="358"/>
      <c r="BM557" s="358"/>
      <c r="BN557" s="358"/>
      <c r="BO557" s="358"/>
      <c r="BP557" s="358"/>
      <c r="BQ557" s="358"/>
      <c r="BR557" s="358"/>
      <c r="BS557" s="358"/>
      <c r="BT557" s="358"/>
      <c r="BU557" s="358"/>
      <c r="BV557" s="358"/>
    </row>
    <row r="558" spans="2:74" x14ac:dyDescent="0.2">
      <c r="B558" s="358"/>
      <c r="D558" s="358"/>
      <c r="E558" s="358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  <c r="AA558" s="358"/>
      <c r="AB558" s="358"/>
      <c r="AC558" s="358"/>
      <c r="AD558" s="358"/>
      <c r="AE558" s="358"/>
      <c r="AF558" s="358"/>
      <c r="AG558" s="358"/>
      <c r="AH558" s="358"/>
      <c r="AI558" s="358"/>
      <c r="AJ558" s="358"/>
      <c r="AK558" s="358"/>
      <c r="AL558" s="358"/>
      <c r="AM558" s="358"/>
      <c r="AN558" s="358"/>
      <c r="AO558" s="358"/>
      <c r="AP558" s="358"/>
      <c r="AQ558" s="358"/>
      <c r="AR558" s="358"/>
      <c r="AS558" s="358"/>
      <c r="AT558" s="358"/>
      <c r="AU558" s="358"/>
      <c r="AV558" s="358"/>
      <c r="AW558" s="358"/>
      <c r="AX558" s="358"/>
      <c r="AY558" s="358"/>
      <c r="AZ558" s="358"/>
      <c r="BA558" s="358"/>
      <c r="BB558" s="358"/>
      <c r="BC558" s="358"/>
      <c r="BD558" s="358"/>
      <c r="BE558" s="358"/>
      <c r="BF558" s="358"/>
      <c r="BG558" s="358"/>
      <c r="BH558" s="358"/>
      <c r="BI558" s="358"/>
      <c r="BJ558" s="358"/>
      <c r="BK558" s="358"/>
      <c r="BL558" s="358"/>
      <c r="BM558" s="358"/>
      <c r="BN558" s="358"/>
      <c r="BO558" s="358"/>
      <c r="BP558" s="358"/>
      <c r="BQ558" s="358"/>
      <c r="BR558" s="358"/>
      <c r="BS558" s="358"/>
      <c r="BT558" s="358"/>
      <c r="BU558" s="358"/>
      <c r="BV558" s="358"/>
    </row>
    <row r="559" spans="2:74" x14ac:dyDescent="0.2">
      <c r="B559" s="358"/>
      <c r="D559" s="358"/>
      <c r="E559" s="358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8"/>
      <c r="AA559" s="358"/>
      <c r="AB559" s="358"/>
      <c r="AC559" s="358"/>
      <c r="AD559" s="358"/>
      <c r="AE559" s="358"/>
      <c r="AF559" s="358"/>
      <c r="AG559" s="358"/>
      <c r="AH559" s="358"/>
      <c r="AI559" s="358"/>
      <c r="AJ559" s="358"/>
      <c r="AK559" s="358"/>
      <c r="AL559" s="358"/>
      <c r="AM559" s="358"/>
      <c r="AN559" s="358"/>
      <c r="AO559" s="358"/>
      <c r="AP559" s="358"/>
      <c r="AQ559" s="358"/>
      <c r="AR559" s="358"/>
      <c r="AS559" s="358"/>
      <c r="AT559" s="358"/>
      <c r="AU559" s="358"/>
      <c r="AV559" s="358"/>
      <c r="AW559" s="358"/>
      <c r="AX559" s="358"/>
      <c r="AY559" s="358"/>
      <c r="AZ559" s="358"/>
      <c r="BA559" s="358"/>
      <c r="BB559" s="358"/>
      <c r="BC559" s="358"/>
      <c r="BD559" s="358"/>
      <c r="BE559" s="358"/>
      <c r="BF559" s="358"/>
      <c r="BG559" s="358"/>
      <c r="BH559" s="358"/>
      <c r="BI559" s="358"/>
      <c r="BJ559" s="358"/>
      <c r="BK559" s="358"/>
      <c r="BL559" s="358"/>
      <c r="BM559" s="358"/>
      <c r="BN559" s="358"/>
      <c r="BO559" s="358"/>
      <c r="BP559" s="358"/>
      <c r="BQ559" s="358"/>
      <c r="BR559" s="358"/>
      <c r="BS559" s="358"/>
      <c r="BT559" s="358"/>
      <c r="BU559" s="358"/>
      <c r="BV559" s="358"/>
    </row>
    <row r="560" spans="2:74" x14ac:dyDescent="0.2">
      <c r="B560" s="358"/>
      <c r="D560" s="358"/>
      <c r="E560" s="358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  <c r="AA560" s="358"/>
      <c r="AB560" s="358"/>
      <c r="AC560" s="358"/>
      <c r="AD560" s="358"/>
      <c r="AE560" s="358"/>
      <c r="AF560" s="358"/>
      <c r="AG560" s="358"/>
      <c r="AH560" s="358"/>
      <c r="AI560" s="358"/>
      <c r="AJ560" s="358"/>
      <c r="AK560" s="358"/>
      <c r="AL560" s="358"/>
      <c r="AM560" s="358"/>
      <c r="AN560" s="358"/>
      <c r="AO560" s="358"/>
      <c r="AP560" s="358"/>
      <c r="AQ560" s="358"/>
      <c r="AR560" s="358"/>
      <c r="AS560" s="358"/>
      <c r="AT560" s="358"/>
      <c r="AU560" s="358"/>
      <c r="AV560" s="358"/>
      <c r="AW560" s="358"/>
      <c r="AX560" s="358"/>
      <c r="AY560" s="358"/>
      <c r="AZ560" s="358"/>
      <c r="BA560" s="358"/>
      <c r="BB560" s="358"/>
      <c r="BC560" s="358"/>
      <c r="BD560" s="358"/>
      <c r="BE560" s="358"/>
      <c r="BF560" s="358"/>
      <c r="BG560" s="358"/>
      <c r="BH560" s="358"/>
      <c r="BI560" s="358"/>
      <c r="BJ560" s="358"/>
      <c r="BK560" s="358"/>
      <c r="BL560" s="358"/>
      <c r="BM560" s="358"/>
      <c r="BN560" s="358"/>
      <c r="BO560" s="358"/>
      <c r="BP560" s="358"/>
      <c r="BQ560" s="358"/>
      <c r="BR560" s="358"/>
      <c r="BS560" s="358"/>
      <c r="BT560" s="358"/>
      <c r="BU560" s="358"/>
      <c r="BV560" s="358"/>
    </row>
    <row r="561" spans="2:74" x14ac:dyDescent="0.2">
      <c r="B561" s="358"/>
      <c r="D561" s="358"/>
      <c r="E561" s="358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8"/>
      <c r="AA561" s="358"/>
      <c r="AB561" s="358"/>
      <c r="AC561" s="358"/>
      <c r="AD561" s="358"/>
      <c r="AE561" s="358"/>
      <c r="AF561" s="358"/>
      <c r="AG561" s="358"/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58"/>
      <c r="AX561" s="358"/>
      <c r="AY561" s="358"/>
      <c r="AZ561" s="358"/>
      <c r="BA561" s="358"/>
      <c r="BB561" s="358"/>
      <c r="BC561" s="358"/>
      <c r="BD561" s="358"/>
      <c r="BE561" s="358"/>
      <c r="BF561" s="358"/>
      <c r="BG561" s="358"/>
      <c r="BH561" s="358"/>
      <c r="BI561" s="358"/>
      <c r="BJ561" s="358"/>
      <c r="BK561" s="358"/>
      <c r="BL561" s="358"/>
      <c r="BM561" s="358"/>
      <c r="BN561" s="358"/>
      <c r="BO561" s="358"/>
      <c r="BP561" s="358"/>
      <c r="BQ561" s="358"/>
      <c r="BR561" s="358"/>
      <c r="BS561" s="358"/>
      <c r="BT561" s="358"/>
      <c r="BU561" s="358"/>
      <c r="BV561" s="358"/>
    </row>
    <row r="562" spans="2:74" x14ac:dyDescent="0.2">
      <c r="B562" s="358"/>
      <c r="D562" s="358"/>
      <c r="E562" s="358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  <c r="AI562" s="358"/>
      <c r="AJ562" s="358"/>
      <c r="AK562" s="358"/>
      <c r="AL562" s="358"/>
      <c r="AM562" s="358"/>
      <c r="AN562" s="358"/>
      <c r="AO562" s="358"/>
      <c r="AP562" s="358"/>
      <c r="AQ562" s="358"/>
      <c r="AR562" s="358"/>
      <c r="AS562" s="358"/>
      <c r="AT562" s="358"/>
      <c r="AU562" s="358"/>
      <c r="AV562" s="358"/>
      <c r="AW562" s="358"/>
      <c r="AX562" s="358"/>
      <c r="AY562" s="358"/>
      <c r="AZ562" s="358"/>
      <c r="BA562" s="358"/>
      <c r="BB562" s="358"/>
      <c r="BC562" s="358"/>
      <c r="BD562" s="358"/>
      <c r="BE562" s="358"/>
      <c r="BF562" s="358"/>
      <c r="BG562" s="358"/>
      <c r="BH562" s="358"/>
      <c r="BI562" s="358"/>
      <c r="BJ562" s="358"/>
      <c r="BK562" s="358"/>
      <c r="BL562" s="358"/>
      <c r="BM562" s="358"/>
      <c r="BN562" s="358"/>
      <c r="BO562" s="358"/>
      <c r="BP562" s="358"/>
      <c r="BQ562" s="358"/>
      <c r="BR562" s="358"/>
      <c r="BS562" s="358"/>
      <c r="BT562" s="358"/>
      <c r="BU562" s="358"/>
      <c r="BV562" s="358"/>
    </row>
    <row r="563" spans="2:74" x14ac:dyDescent="0.2">
      <c r="B563" s="358"/>
      <c r="D563" s="358"/>
      <c r="E563" s="358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8"/>
      <c r="AA563" s="358"/>
      <c r="AB563" s="358"/>
      <c r="AC563" s="358"/>
      <c r="AD563" s="358"/>
      <c r="AE563" s="358"/>
      <c r="AF563" s="358"/>
      <c r="AG563" s="358"/>
      <c r="AH563" s="358"/>
      <c r="AI563" s="358"/>
      <c r="AJ563" s="358"/>
      <c r="AK563" s="358"/>
      <c r="AL563" s="358"/>
      <c r="AM563" s="358"/>
      <c r="AN563" s="358"/>
      <c r="AO563" s="358"/>
      <c r="AP563" s="358"/>
      <c r="AQ563" s="358"/>
      <c r="AR563" s="358"/>
      <c r="AS563" s="358"/>
      <c r="AT563" s="358"/>
      <c r="AU563" s="358"/>
      <c r="AV563" s="358"/>
      <c r="AW563" s="358"/>
      <c r="AX563" s="358"/>
      <c r="AY563" s="358"/>
      <c r="AZ563" s="358"/>
      <c r="BA563" s="358"/>
      <c r="BB563" s="358"/>
      <c r="BC563" s="358"/>
      <c r="BD563" s="358"/>
      <c r="BE563" s="358"/>
      <c r="BF563" s="358"/>
      <c r="BG563" s="358"/>
      <c r="BH563" s="358"/>
      <c r="BI563" s="358"/>
      <c r="BJ563" s="358"/>
      <c r="BK563" s="358"/>
      <c r="BL563" s="358"/>
      <c r="BM563" s="358"/>
      <c r="BN563" s="358"/>
      <c r="BO563" s="358"/>
      <c r="BP563" s="358"/>
      <c r="BQ563" s="358"/>
      <c r="BR563" s="358"/>
      <c r="BS563" s="358"/>
      <c r="BT563" s="358"/>
      <c r="BU563" s="358"/>
      <c r="BV563" s="358"/>
    </row>
    <row r="564" spans="2:74" x14ac:dyDescent="0.2">
      <c r="B564" s="358"/>
      <c r="D564" s="358"/>
      <c r="E564" s="358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  <c r="AA564" s="358"/>
      <c r="AB564" s="358"/>
      <c r="AC564" s="358"/>
      <c r="AD564" s="358"/>
      <c r="AE564" s="358"/>
      <c r="AF564" s="358"/>
      <c r="AG564" s="358"/>
      <c r="AH564" s="358"/>
      <c r="AI564" s="358"/>
      <c r="AJ564" s="358"/>
      <c r="AK564" s="358"/>
      <c r="AL564" s="358"/>
      <c r="AM564" s="358"/>
      <c r="AN564" s="358"/>
      <c r="AO564" s="358"/>
      <c r="AP564" s="358"/>
      <c r="AQ564" s="358"/>
      <c r="AR564" s="358"/>
      <c r="AS564" s="358"/>
      <c r="AT564" s="358"/>
      <c r="AU564" s="358"/>
      <c r="AV564" s="358"/>
      <c r="AW564" s="358"/>
      <c r="AX564" s="358"/>
      <c r="AY564" s="358"/>
      <c r="AZ564" s="358"/>
      <c r="BA564" s="358"/>
      <c r="BB564" s="358"/>
      <c r="BC564" s="358"/>
      <c r="BD564" s="358"/>
      <c r="BE564" s="358"/>
      <c r="BF564" s="358"/>
      <c r="BG564" s="358"/>
      <c r="BH564" s="358"/>
      <c r="BI564" s="358"/>
      <c r="BJ564" s="358"/>
      <c r="BK564" s="358"/>
      <c r="BL564" s="358"/>
      <c r="BM564" s="358"/>
      <c r="BN564" s="358"/>
      <c r="BO564" s="358"/>
      <c r="BP564" s="358"/>
      <c r="BQ564" s="358"/>
      <c r="BR564" s="358"/>
      <c r="BS564" s="358"/>
      <c r="BT564" s="358"/>
      <c r="BU564" s="358"/>
      <c r="BV564" s="358"/>
    </row>
    <row r="565" spans="2:74" x14ac:dyDescent="0.2">
      <c r="B565" s="358"/>
      <c r="D565" s="358"/>
      <c r="E565" s="358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8"/>
      <c r="AA565" s="358"/>
      <c r="AB565" s="358"/>
      <c r="AC565" s="358"/>
      <c r="AD565" s="358"/>
      <c r="AE565" s="358"/>
      <c r="AF565" s="358"/>
      <c r="AG565" s="358"/>
      <c r="AH565" s="358"/>
      <c r="AI565" s="358"/>
      <c r="AJ565" s="358"/>
      <c r="AK565" s="358"/>
      <c r="AL565" s="358"/>
      <c r="AM565" s="358"/>
      <c r="AN565" s="358"/>
      <c r="AO565" s="358"/>
      <c r="AP565" s="358"/>
      <c r="AQ565" s="358"/>
      <c r="AR565" s="358"/>
      <c r="AS565" s="358"/>
      <c r="AT565" s="358"/>
      <c r="AU565" s="358"/>
      <c r="AV565" s="358"/>
      <c r="AW565" s="358"/>
      <c r="AX565" s="358"/>
      <c r="AY565" s="358"/>
      <c r="AZ565" s="358"/>
      <c r="BA565" s="358"/>
      <c r="BB565" s="358"/>
      <c r="BC565" s="358"/>
      <c r="BD565" s="358"/>
      <c r="BE565" s="358"/>
      <c r="BF565" s="358"/>
      <c r="BG565" s="358"/>
      <c r="BH565" s="358"/>
      <c r="BI565" s="358"/>
      <c r="BJ565" s="358"/>
      <c r="BK565" s="358"/>
      <c r="BL565" s="358"/>
      <c r="BM565" s="358"/>
      <c r="BN565" s="358"/>
      <c r="BO565" s="358"/>
      <c r="BP565" s="358"/>
      <c r="BQ565" s="358"/>
      <c r="BR565" s="358"/>
      <c r="BS565" s="358"/>
      <c r="BT565" s="358"/>
      <c r="BU565" s="358"/>
      <c r="BV565" s="358"/>
    </row>
    <row r="566" spans="2:74" x14ac:dyDescent="0.2">
      <c r="B566" s="358"/>
      <c r="D566" s="358"/>
      <c r="E566" s="358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  <c r="AA566" s="358"/>
      <c r="AB566" s="358"/>
      <c r="AC566" s="358"/>
      <c r="AD566" s="358"/>
      <c r="AE566" s="358"/>
      <c r="AF566" s="358"/>
      <c r="AG566" s="358"/>
      <c r="AH566" s="358"/>
      <c r="AI566" s="358"/>
      <c r="AJ566" s="358"/>
      <c r="AK566" s="358"/>
      <c r="AL566" s="358"/>
      <c r="AM566" s="358"/>
      <c r="AN566" s="358"/>
      <c r="AO566" s="358"/>
      <c r="AP566" s="358"/>
      <c r="AQ566" s="358"/>
      <c r="AR566" s="358"/>
      <c r="AS566" s="358"/>
      <c r="AT566" s="358"/>
      <c r="AU566" s="358"/>
      <c r="AV566" s="358"/>
      <c r="AW566" s="358"/>
      <c r="AX566" s="358"/>
      <c r="AY566" s="358"/>
      <c r="AZ566" s="358"/>
      <c r="BA566" s="358"/>
      <c r="BB566" s="358"/>
      <c r="BC566" s="358"/>
      <c r="BD566" s="358"/>
      <c r="BE566" s="358"/>
      <c r="BF566" s="358"/>
      <c r="BG566" s="358"/>
      <c r="BH566" s="358"/>
      <c r="BI566" s="358"/>
      <c r="BJ566" s="358"/>
      <c r="BK566" s="358"/>
      <c r="BL566" s="358"/>
      <c r="BM566" s="358"/>
      <c r="BN566" s="358"/>
      <c r="BO566" s="358"/>
      <c r="BP566" s="358"/>
      <c r="BQ566" s="358"/>
      <c r="BR566" s="358"/>
      <c r="BS566" s="358"/>
      <c r="BT566" s="358"/>
      <c r="BU566" s="358"/>
      <c r="BV566" s="358"/>
    </row>
    <row r="567" spans="2:74" x14ac:dyDescent="0.2">
      <c r="B567" s="358"/>
      <c r="D567" s="358"/>
      <c r="E567" s="358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8"/>
      <c r="AA567" s="358"/>
      <c r="AB567" s="358"/>
      <c r="AC567" s="358"/>
      <c r="AD567" s="358"/>
      <c r="AE567" s="358"/>
      <c r="AF567" s="358"/>
      <c r="AG567" s="358"/>
      <c r="AH567" s="358"/>
      <c r="AI567" s="358"/>
      <c r="AJ567" s="358"/>
      <c r="AK567" s="358"/>
      <c r="AL567" s="358"/>
      <c r="AM567" s="358"/>
      <c r="AN567" s="358"/>
      <c r="AO567" s="358"/>
      <c r="AP567" s="358"/>
      <c r="AQ567" s="358"/>
      <c r="AR567" s="358"/>
      <c r="AS567" s="358"/>
      <c r="AT567" s="358"/>
      <c r="AU567" s="358"/>
      <c r="AV567" s="358"/>
      <c r="AW567" s="358"/>
      <c r="AX567" s="358"/>
      <c r="AY567" s="358"/>
      <c r="AZ567" s="358"/>
      <c r="BA567" s="358"/>
      <c r="BB567" s="358"/>
      <c r="BC567" s="358"/>
      <c r="BD567" s="358"/>
      <c r="BE567" s="358"/>
      <c r="BF567" s="358"/>
      <c r="BG567" s="358"/>
      <c r="BH567" s="358"/>
      <c r="BI567" s="358"/>
      <c r="BJ567" s="358"/>
      <c r="BK567" s="358"/>
      <c r="BL567" s="358"/>
      <c r="BM567" s="358"/>
      <c r="BN567" s="358"/>
      <c r="BO567" s="358"/>
      <c r="BP567" s="358"/>
      <c r="BQ567" s="358"/>
      <c r="BR567" s="358"/>
      <c r="BS567" s="358"/>
      <c r="BT567" s="358"/>
      <c r="BU567" s="358"/>
      <c r="BV567" s="358"/>
    </row>
    <row r="568" spans="2:74" x14ac:dyDescent="0.2">
      <c r="B568" s="358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  <c r="AC568" s="358"/>
      <c r="AD568" s="358"/>
      <c r="AE568" s="358"/>
      <c r="AF568" s="358"/>
      <c r="AG568" s="358"/>
      <c r="AH568" s="358"/>
      <c r="AI568" s="358"/>
      <c r="AJ568" s="358"/>
      <c r="AK568" s="358"/>
      <c r="AL568" s="358"/>
      <c r="AM568" s="358"/>
      <c r="AN568" s="358"/>
      <c r="AO568" s="358"/>
      <c r="AP568" s="358"/>
      <c r="AQ568" s="358"/>
      <c r="AR568" s="358"/>
      <c r="AS568" s="358"/>
      <c r="AT568" s="358"/>
      <c r="AU568" s="358"/>
      <c r="AV568" s="358"/>
      <c r="AW568" s="358"/>
      <c r="AX568" s="358"/>
      <c r="AY568" s="358"/>
      <c r="AZ568" s="358"/>
      <c r="BA568" s="358"/>
      <c r="BB568" s="358"/>
      <c r="BC568" s="358"/>
      <c r="BD568" s="358"/>
      <c r="BE568" s="358"/>
      <c r="BF568" s="358"/>
      <c r="BG568" s="358"/>
      <c r="BH568" s="358"/>
      <c r="BI568" s="358"/>
      <c r="BJ568" s="358"/>
      <c r="BK568" s="358"/>
      <c r="BL568" s="358"/>
      <c r="BM568" s="358"/>
      <c r="BN568" s="358"/>
      <c r="BO568" s="358"/>
      <c r="BP568" s="358"/>
      <c r="BQ568" s="358"/>
      <c r="BR568" s="358"/>
      <c r="BS568" s="358"/>
      <c r="BT568" s="358"/>
      <c r="BU568" s="358"/>
      <c r="BV568" s="358"/>
    </row>
    <row r="569" spans="2:74" x14ac:dyDescent="0.2">
      <c r="B569" s="358"/>
      <c r="D569" s="358"/>
      <c r="E569" s="358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8"/>
      <c r="AA569" s="358"/>
      <c r="AB569" s="358"/>
      <c r="AC569" s="358"/>
      <c r="AD569" s="358"/>
      <c r="AE569" s="358"/>
      <c r="AF569" s="358"/>
      <c r="AG569" s="358"/>
      <c r="AH569" s="358"/>
      <c r="AI569" s="358"/>
      <c r="AJ569" s="358"/>
      <c r="AK569" s="358"/>
      <c r="AL569" s="358"/>
      <c r="AM569" s="358"/>
      <c r="AN569" s="358"/>
      <c r="AO569" s="358"/>
      <c r="AP569" s="358"/>
      <c r="AQ569" s="358"/>
      <c r="AR569" s="358"/>
      <c r="AS569" s="358"/>
      <c r="AT569" s="358"/>
      <c r="AU569" s="358"/>
      <c r="AV569" s="358"/>
      <c r="AW569" s="358"/>
      <c r="AX569" s="358"/>
      <c r="AY569" s="358"/>
      <c r="AZ569" s="358"/>
      <c r="BA569" s="358"/>
      <c r="BB569" s="358"/>
      <c r="BC569" s="358"/>
      <c r="BD569" s="358"/>
      <c r="BE569" s="358"/>
      <c r="BF569" s="358"/>
      <c r="BG569" s="358"/>
      <c r="BH569" s="358"/>
      <c r="BI569" s="358"/>
      <c r="BJ569" s="358"/>
      <c r="BK569" s="358"/>
      <c r="BL569" s="358"/>
      <c r="BM569" s="358"/>
      <c r="BN569" s="358"/>
      <c r="BO569" s="358"/>
      <c r="BP569" s="358"/>
      <c r="BQ569" s="358"/>
      <c r="BR569" s="358"/>
      <c r="BS569" s="358"/>
      <c r="BT569" s="358"/>
      <c r="BU569" s="358"/>
      <c r="BV569" s="358"/>
    </row>
    <row r="570" spans="2:74" x14ac:dyDescent="0.2">
      <c r="B570" s="358"/>
      <c r="D570" s="358"/>
      <c r="E570" s="358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  <c r="AA570" s="358"/>
      <c r="AB570" s="358"/>
      <c r="AC570" s="358"/>
      <c r="AD570" s="358"/>
      <c r="AE570" s="358"/>
      <c r="AF570" s="358"/>
      <c r="AG570" s="358"/>
      <c r="AH570" s="358"/>
      <c r="AI570" s="358"/>
      <c r="AJ570" s="358"/>
      <c r="AK570" s="358"/>
      <c r="AL570" s="358"/>
      <c r="AM570" s="358"/>
      <c r="AN570" s="358"/>
      <c r="AO570" s="358"/>
      <c r="AP570" s="358"/>
      <c r="AQ570" s="358"/>
      <c r="AR570" s="358"/>
      <c r="AS570" s="358"/>
      <c r="AT570" s="358"/>
      <c r="AU570" s="358"/>
      <c r="AV570" s="358"/>
      <c r="AW570" s="358"/>
      <c r="AX570" s="358"/>
      <c r="AY570" s="358"/>
      <c r="AZ570" s="358"/>
      <c r="BA570" s="358"/>
      <c r="BB570" s="358"/>
      <c r="BC570" s="358"/>
      <c r="BD570" s="358"/>
      <c r="BE570" s="358"/>
      <c r="BF570" s="358"/>
      <c r="BG570" s="358"/>
      <c r="BH570" s="358"/>
      <c r="BI570" s="358"/>
      <c r="BJ570" s="358"/>
      <c r="BK570" s="358"/>
      <c r="BL570" s="358"/>
      <c r="BM570" s="358"/>
      <c r="BN570" s="358"/>
      <c r="BO570" s="358"/>
      <c r="BP570" s="358"/>
      <c r="BQ570" s="358"/>
      <c r="BR570" s="358"/>
      <c r="BS570" s="358"/>
      <c r="BT570" s="358"/>
      <c r="BU570" s="358"/>
      <c r="BV570" s="358"/>
    </row>
    <row r="571" spans="2:74" x14ac:dyDescent="0.2">
      <c r="B571" s="358"/>
      <c r="D571" s="358"/>
      <c r="E571" s="358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8"/>
      <c r="AA571" s="358"/>
      <c r="AB571" s="358"/>
      <c r="AC571" s="358"/>
      <c r="AD571" s="358"/>
      <c r="AE571" s="358"/>
      <c r="AF571" s="358"/>
      <c r="AG571" s="358"/>
      <c r="AH571" s="358"/>
      <c r="AI571" s="358"/>
      <c r="AJ571" s="358"/>
      <c r="AK571" s="358"/>
      <c r="AL571" s="358"/>
      <c r="AM571" s="358"/>
      <c r="AN571" s="358"/>
      <c r="AO571" s="358"/>
      <c r="AP571" s="358"/>
      <c r="AQ571" s="358"/>
      <c r="AR571" s="358"/>
      <c r="AS571" s="358"/>
      <c r="AT571" s="358"/>
      <c r="AU571" s="358"/>
      <c r="AV571" s="358"/>
      <c r="AW571" s="358"/>
      <c r="AX571" s="358"/>
      <c r="AY571" s="358"/>
      <c r="AZ571" s="358"/>
      <c r="BA571" s="358"/>
      <c r="BB571" s="358"/>
      <c r="BC571" s="358"/>
      <c r="BD571" s="358"/>
      <c r="BE571" s="358"/>
      <c r="BF571" s="358"/>
      <c r="BG571" s="358"/>
      <c r="BH571" s="358"/>
      <c r="BI571" s="358"/>
      <c r="BJ571" s="358"/>
      <c r="BK571" s="358"/>
      <c r="BL571" s="358"/>
      <c r="BM571" s="358"/>
      <c r="BN571" s="358"/>
      <c r="BO571" s="358"/>
      <c r="BP571" s="358"/>
      <c r="BQ571" s="358"/>
      <c r="BR571" s="358"/>
      <c r="BS571" s="358"/>
      <c r="BT571" s="358"/>
      <c r="BU571" s="358"/>
      <c r="BV571" s="358"/>
    </row>
    <row r="572" spans="2:74" x14ac:dyDescent="0.2">
      <c r="B572" s="358"/>
      <c r="D572" s="358"/>
      <c r="E572" s="358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  <c r="AA572" s="358"/>
      <c r="AB572" s="358"/>
      <c r="AC572" s="358"/>
      <c r="AD572" s="358"/>
      <c r="AE572" s="358"/>
      <c r="AF572" s="358"/>
      <c r="AG572" s="358"/>
      <c r="AH572" s="358"/>
      <c r="AI572" s="358"/>
      <c r="AJ572" s="358"/>
      <c r="AK572" s="358"/>
      <c r="AL572" s="358"/>
      <c r="AM572" s="358"/>
      <c r="AN572" s="358"/>
      <c r="AO572" s="358"/>
      <c r="AP572" s="358"/>
      <c r="AQ572" s="358"/>
      <c r="AR572" s="358"/>
      <c r="AS572" s="358"/>
      <c r="AT572" s="358"/>
      <c r="AU572" s="358"/>
      <c r="AV572" s="358"/>
      <c r="AW572" s="358"/>
      <c r="AX572" s="358"/>
      <c r="AY572" s="358"/>
      <c r="AZ572" s="358"/>
      <c r="BA572" s="358"/>
      <c r="BB572" s="358"/>
      <c r="BC572" s="358"/>
      <c r="BD572" s="358"/>
      <c r="BE572" s="358"/>
      <c r="BF572" s="358"/>
      <c r="BG572" s="358"/>
      <c r="BH572" s="358"/>
      <c r="BI572" s="358"/>
      <c r="BJ572" s="358"/>
      <c r="BK572" s="358"/>
      <c r="BL572" s="358"/>
      <c r="BM572" s="358"/>
      <c r="BN572" s="358"/>
      <c r="BO572" s="358"/>
      <c r="BP572" s="358"/>
      <c r="BQ572" s="358"/>
      <c r="BR572" s="358"/>
      <c r="BS572" s="358"/>
      <c r="BT572" s="358"/>
      <c r="BU572" s="358"/>
      <c r="BV572" s="358"/>
    </row>
    <row r="573" spans="2:74" x14ac:dyDescent="0.2">
      <c r="B573" s="358"/>
      <c r="D573" s="358"/>
      <c r="E573" s="358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8"/>
      <c r="AA573" s="358"/>
      <c r="AB573" s="358"/>
      <c r="AC573" s="358"/>
      <c r="AD573" s="358"/>
      <c r="AE573" s="358"/>
      <c r="AF573" s="358"/>
      <c r="AG573" s="358"/>
      <c r="AH573" s="358"/>
      <c r="AI573" s="358"/>
      <c r="AJ573" s="358"/>
      <c r="AK573" s="358"/>
      <c r="AL573" s="358"/>
      <c r="AM573" s="358"/>
      <c r="AN573" s="358"/>
      <c r="AO573" s="358"/>
      <c r="AP573" s="358"/>
      <c r="AQ573" s="358"/>
      <c r="AR573" s="358"/>
      <c r="AS573" s="358"/>
      <c r="AT573" s="358"/>
      <c r="AU573" s="358"/>
      <c r="AV573" s="358"/>
      <c r="AW573" s="358"/>
      <c r="AX573" s="358"/>
      <c r="AY573" s="358"/>
      <c r="AZ573" s="358"/>
      <c r="BA573" s="358"/>
      <c r="BB573" s="358"/>
      <c r="BC573" s="358"/>
      <c r="BD573" s="358"/>
      <c r="BE573" s="358"/>
      <c r="BF573" s="358"/>
      <c r="BG573" s="358"/>
      <c r="BH573" s="358"/>
      <c r="BI573" s="358"/>
      <c r="BJ573" s="358"/>
      <c r="BK573" s="358"/>
      <c r="BL573" s="358"/>
      <c r="BM573" s="358"/>
      <c r="BN573" s="358"/>
      <c r="BO573" s="358"/>
      <c r="BP573" s="358"/>
      <c r="BQ573" s="358"/>
      <c r="BR573" s="358"/>
      <c r="BS573" s="358"/>
      <c r="BT573" s="358"/>
      <c r="BU573" s="358"/>
      <c r="BV573" s="358"/>
    </row>
    <row r="574" spans="2:74" x14ac:dyDescent="0.2">
      <c r="B574" s="358"/>
      <c r="D574" s="358"/>
      <c r="E574" s="358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  <c r="AA574" s="358"/>
      <c r="AB574" s="358"/>
      <c r="AC574" s="358"/>
      <c r="AD574" s="358"/>
      <c r="AE574" s="358"/>
      <c r="AF574" s="358"/>
      <c r="AG574" s="358"/>
      <c r="AH574" s="358"/>
      <c r="AI574" s="358"/>
      <c r="AJ574" s="358"/>
      <c r="AK574" s="358"/>
      <c r="AL574" s="358"/>
      <c r="AM574" s="358"/>
      <c r="AN574" s="358"/>
      <c r="AO574" s="358"/>
      <c r="AP574" s="358"/>
      <c r="AQ574" s="358"/>
      <c r="AR574" s="358"/>
      <c r="AS574" s="358"/>
      <c r="AT574" s="358"/>
      <c r="AU574" s="358"/>
      <c r="AV574" s="358"/>
      <c r="AW574" s="358"/>
      <c r="AX574" s="358"/>
      <c r="AY574" s="358"/>
      <c r="AZ574" s="358"/>
      <c r="BA574" s="358"/>
      <c r="BB574" s="358"/>
      <c r="BC574" s="358"/>
      <c r="BD574" s="358"/>
      <c r="BE574" s="358"/>
      <c r="BF574" s="358"/>
      <c r="BG574" s="358"/>
      <c r="BH574" s="358"/>
      <c r="BI574" s="358"/>
      <c r="BJ574" s="358"/>
      <c r="BK574" s="358"/>
      <c r="BL574" s="358"/>
      <c r="BM574" s="358"/>
      <c r="BN574" s="358"/>
      <c r="BO574" s="358"/>
      <c r="BP574" s="358"/>
      <c r="BQ574" s="358"/>
      <c r="BR574" s="358"/>
      <c r="BS574" s="358"/>
      <c r="BT574" s="358"/>
      <c r="BU574" s="358"/>
      <c r="BV574" s="358"/>
    </row>
    <row r="575" spans="2:74" x14ac:dyDescent="0.2">
      <c r="B575" s="358"/>
      <c r="D575" s="358"/>
      <c r="E575" s="358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8"/>
      <c r="AA575" s="358"/>
      <c r="AB575" s="358"/>
      <c r="AC575" s="358"/>
      <c r="AD575" s="358"/>
      <c r="AE575" s="358"/>
      <c r="AF575" s="358"/>
      <c r="AG575" s="358"/>
      <c r="AH575" s="358"/>
      <c r="AI575" s="358"/>
      <c r="AJ575" s="358"/>
      <c r="AK575" s="358"/>
      <c r="AL575" s="358"/>
      <c r="AM575" s="358"/>
      <c r="AN575" s="358"/>
      <c r="AO575" s="358"/>
      <c r="AP575" s="358"/>
      <c r="AQ575" s="358"/>
      <c r="AR575" s="358"/>
      <c r="AS575" s="358"/>
      <c r="AT575" s="358"/>
      <c r="AU575" s="358"/>
      <c r="AV575" s="358"/>
      <c r="AW575" s="358"/>
      <c r="AX575" s="358"/>
      <c r="AY575" s="358"/>
      <c r="AZ575" s="358"/>
      <c r="BA575" s="358"/>
      <c r="BB575" s="358"/>
      <c r="BC575" s="358"/>
      <c r="BD575" s="358"/>
      <c r="BE575" s="358"/>
      <c r="BF575" s="358"/>
      <c r="BG575" s="358"/>
      <c r="BH575" s="358"/>
      <c r="BI575" s="358"/>
      <c r="BJ575" s="358"/>
      <c r="BK575" s="358"/>
      <c r="BL575" s="358"/>
      <c r="BM575" s="358"/>
      <c r="BN575" s="358"/>
      <c r="BO575" s="358"/>
      <c r="BP575" s="358"/>
      <c r="BQ575" s="358"/>
      <c r="BR575" s="358"/>
      <c r="BS575" s="358"/>
      <c r="BT575" s="358"/>
      <c r="BU575" s="358"/>
      <c r="BV575" s="358"/>
    </row>
    <row r="576" spans="2:74" x14ac:dyDescent="0.2">
      <c r="B576" s="358"/>
      <c r="D576" s="358"/>
      <c r="E576" s="358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  <c r="AA576" s="358"/>
      <c r="AB576" s="358"/>
      <c r="AC576" s="358"/>
      <c r="AD576" s="358"/>
      <c r="AE576" s="358"/>
      <c r="AF576" s="358"/>
      <c r="AG576" s="358"/>
      <c r="AH576" s="358"/>
      <c r="AI576" s="358"/>
      <c r="AJ576" s="358"/>
      <c r="AK576" s="358"/>
      <c r="AL576" s="358"/>
      <c r="AM576" s="358"/>
      <c r="AN576" s="358"/>
      <c r="AO576" s="358"/>
      <c r="AP576" s="358"/>
      <c r="AQ576" s="358"/>
      <c r="AR576" s="358"/>
      <c r="AS576" s="358"/>
      <c r="AT576" s="358"/>
      <c r="AU576" s="358"/>
      <c r="AV576" s="358"/>
      <c r="AW576" s="358"/>
      <c r="AX576" s="358"/>
      <c r="AY576" s="358"/>
      <c r="AZ576" s="358"/>
      <c r="BA576" s="358"/>
      <c r="BB576" s="358"/>
      <c r="BC576" s="358"/>
      <c r="BD576" s="358"/>
      <c r="BE576" s="358"/>
      <c r="BF576" s="358"/>
      <c r="BG576" s="358"/>
      <c r="BH576" s="358"/>
      <c r="BI576" s="358"/>
      <c r="BJ576" s="358"/>
      <c r="BK576" s="358"/>
      <c r="BL576" s="358"/>
      <c r="BM576" s="358"/>
      <c r="BN576" s="358"/>
      <c r="BO576" s="358"/>
      <c r="BP576" s="358"/>
      <c r="BQ576" s="358"/>
      <c r="BR576" s="358"/>
      <c r="BS576" s="358"/>
      <c r="BT576" s="358"/>
      <c r="BU576" s="358"/>
      <c r="BV576" s="358"/>
    </row>
    <row r="577" spans="2:74" x14ac:dyDescent="0.2">
      <c r="B577" s="358"/>
      <c r="D577" s="358"/>
      <c r="E577" s="358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8"/>
      <c r="AA577" s="358"/>
      <c r="AB577" s="358"/>
      <c r="AC577" s="358"/>
      <c r="AD577" s="358"/>
      <c r="AE577" s="358"/>
      <c r="AF577" s="358"/>
      <c r="AG577" s="358"/>
      <c r="AH577" s="358"/>
      <c r="AI577" s="358"/>
      <c r="AJ577" s="358"/>
      <c r="AK577" s="358"/>
      <c r="AL577" s="358"/>
      <c r="AM577" s="358"/>
      <c r="AN577" s="358"/>
      <c r="AO577" s="358"/>
      <c r="AP577" s="358"/>
      <c r="AQ577" s="358"/>
      <c r="AR577" s="358"/>
      <c r="AS577" s="358"/>
      <c r="AT577" s="358"/>
      <c r="AU577" s="358"/>
      <c r="AV577" s="358"/>
      <c r="AW577" s="358"/>
      <c r="AX577" s="358"/>
      <c r="AY577" s="358"/>
      <c r="AZ577" s="358"/>
      <c r="BA577" s="358"/>
      <c r="BB577" s="358"/>
      <c r="BC577" s="358"/>
      <c r="BD577" s="358"/>
      <c r="BE577" s="358"/>
      <c r="BF577" s="358"/>
      <c r="BG577" s="358"/>
      <c r="BH577" s="358"/>
      <c r="BI577" s="358"/>
      <c r="BJ577" s="358"/>
      <c r="BK577" s="358"/>
      <c r="BL577" s="358"/>
      <c r="BM577" s="358"/>
      <c r="BN577" s="358"/>
      <c r="BO577" s="358"/>
      <c r="BP577" s="358"/>
      <c r="BQ577" s="358"/>
      <c r="BR577" s="358"/>
      <c r="BS577" s="358"/>
      <c r="BT577" s="358"/>
      <c r="BU577" s="358"/>
      <c r="BV577" s="358"/>
    </row>
    <row r="578" spans="2:74" x14ac:dyDescent="0.2">
      <c r="B578" s="358"/>
      <c r="D578" s="358"/>
      <c r="E578" s="358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  <c r="AA578" s="358"/>
      <c r="AB578" s="358"/>
      <c r="AC578" s="358"/>
      <c r="AD578" s="358"/>
      <c r="AE578" s="358"/>
      <c r="AF578" s="358"/>
      <c r="AG578" s="358"/>
      <c r="AH578" s="358"/>
      <c r="AI578" s="358"/>
      <c r="AJ578" s="358"/>
      <c r="AK578" s="358"/>
      <c r="AL578" s="358"/>
      <c r="AM578" s="358"/>
      <c r="AN578" s="358"/>
      <c r="AO578" s="358"/>
      <c r="AP578" s="358"/>
      <c r="AQ578" s="358"/>
      <c r="AR578" s="358"/>
      <c r="AS578" s="358"/>
      <c r="AT578" s="358"/>
      <c r="AU578" s="358"/>
      <c r="AV578" s="358"/>
      <c r="AW578" s="358"/>
      <c r="AX578" s="358"/>
      <c r="AY578" s="358"/>
      <c r="AZ578" s="358"/>
      <c r="BA578" s="358"/>
      <c r="BB578" s="358"/>
      <c r="BC578" s="358"/>
      <c r="BD578" s="358"/>
      <c r="BE578" s="358"/>
      <c r="BF578" s="358"/>
      <c r="BG578" s="358"/>
      <c r="BH578" s="358"/>
      <c r="BI578" s="358"/>
      <c r="BJ578" s="358"/>
      <c r="BK578" s="358"/>
      <c r="BL578" s="358"/>
      <c r="BM578" s="358"/>
      <c r="BN578" s="358"/>
      <c r="BO578" s="358"/>
      <c r="BP578" s="358"/>
      <c r="BQ578" s="358"/>
      <c r="BR578" s="358"/>
      <c r="BS578" s="358"/>
      <c r="BT578" s="358"/>
      <c r="BU578" s="358"/>
      <c r="BV578" s="358"/>
    </row>
    <row r="579" spans="2:74" x14ac:dyDescent="0.2">
      <c r="B579" s="358"/>
      <c r="D579" s="358"/>
      <c r="E579" s="358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8"/>
      <c r="AA579" s="358"/>
      <c r="AB579" s="358"/>
      <c r="AC579" s="358"/>
      <c r="AD579" s="358"/>
      <c r="AE579" s="358"/>
      <c r="AF579" s="358"/>
      <c r="AG579" s="358"/>
      <c r="AH579" s="358"/>
      <c r="AI579" s="358"/>
      <c r="AJ579" s="358"/>
      <c r="AK579" s="358"/>
      <c r="AL579" s="358"/>
      <c r="AM579" s="358"/>
      <c r="AN579" s="358"/>
      <c r="AO579" s="358"/>
      <c r="AP579" s="358"/>
      <c r="AQ579" s="358"/>
      <c r="AR579" s="358"/>
      <c r="AS579" s="358"/>
      <c r="AT579" s="358"/>
      <c r="AU579" s="358"/>
      <c r="AV579" s="358"/>
      <c r="AW579" s="358"/>
      <c r="AX579" s="358"/>
      <c r="AY579" s="358"/>
      <c r="AZ579" s="358"/>
      <c r="BA579" s="358"/>
      <c r="BB579" s="358"/>
      <c r="BC579" s="358"/>
      <c r="BD579" s="358"/>
      <c r="BE579" s="358"/>
      <c r="BF579" s="358"/>
      <c r="BG579" s="358"/>
      <c r="BH579" s="358"/>
      <c r="BI579" s="358"/>
      <c r="BJ579" s="358"/>
      <c r="BK579" s="358"/>
      <c r="BL579" s="358"/>
      <c r="BM579" s="358"/>
      <c r="BN579" s="358"/>
      <c r="BO579" s="358"/>
      <c r="BP579" s="358"/>
      <c r="BQ579" s="358"/>
      <c r="BR579" s="358"/>
      <c r="BS579" s="358"/>
      <c r="BT579" s="358"/>
      <c r="BU579" s="358"/>
      <c r="BV579" s="358"/>
    </row>
    <row r="580" spans="2:74" x14ac:dyDescent="0.2">
      <c r="B580" s="358"/>
      <c r="D580" s="358"/>
      <c r="E580" s="358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  <c r="AA580" s="358"/>
      <c r="AB580" s="358"/>
      <c r="AC580" s="358"/>
      <c r="AD580" s="358"/>
      <c r="AE580" s="358"/>
      <c r="AF580" s="358"/>
      <c r="AG580" s="358"/>
      <c r="AH580" s="358"/>
      <c r="AI580" s="358"/>
      <c r="AJ580" s="358"/>
      <c r="AK580" s="358"/>
      <c r="AL580" s="358"/>
      <c r="AM580" s="358"/>
      <c r="AN580" s="358"/>
      <c r="AO580" s="358"/>
      <c r="AP580" s="358"/>
      <c r="AQ580" s="358"/>
      <c r="AR580" s="358"/>
      <c r="AS580" s="358"/>
      <c r="AT580" s="358"/>
      <c r="AU580" s="358"/>
      <c r="AV580" s="358"/>
      <c r="AW580" s="358"/>
      <c r="AX580" s="358"/>
      <c r="AY580" s="358"/>
      <c r="AZ580" s="358"/>
      <c r="BA580" s="358"/>
      <c r="BB580" s="358"/>
      <c r="BC580" s="358"/>
      <c r="BD580" s="358"/>
      <c r="BE580" s="358"/>
      <c r="BF580" s="358"/>
      <c r="BG580" s="358"/>
      <c r="BH580" s="358"/>
      <c r="BI580" s="358"/>
      <c r="BJ580" s="358"/>
      <c r="BK580" s="358"/>
      <c r="BL580" s="358"/>
      <c r="BM580" s="358"/>
      <c r="BN580" s="358"/>
      <c r="BO580" s="358"/>
      <c r="BP580" s="358"/>
      <c r="BQ580" s="358"/>
      <c r="BR580" s="358"/>
      <c r="BS580" s="358"/>
      <c r="BT580" s="358"/>
      <c r="BU580" s="358"/>
      <c r="BV580" s="358"/>
    </row>
    <row r="581" spans="2:74" x14ac:dyDescent="0.2">
      <c r="B581" s="358"/>
      <c r="D581" s="358"/>
      <c r="E581" s="358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8"/>
      <c r="AA581" s="358"/>
      <c r="AB581" s="358"/>
      <c r="AC581" s="358"/>
      <c r="AD581" s="358"/>
      <c r="AE581" s="358"/>
      <c r="AF581" s="358"/>
      <c r="AG581" s="358"/>
      <c r="AH581" s="358"/>
      <c r="AI581" s="358"/>
      <c r="AJ581" s="358"/>
      <c r="AK581" s="358"/>
      <c r="AL581" s="358"/>
      <c r="AM581" s="358"/>
      <c r="AN581" s="358"/>
      <c r="AO581" s="358"/>
      <c r="AP581" s="358"/>
      <c r="AQ581" s="358"/>
      <c r="AR581" s="358"/>
      <c r="AS581" s="358"/>
      <c r="AT581" s="358"/>
      <c r="AU581" s="358"/>
      <c r="AV581" s="358"/>
      <c r="AW581" s="358"/>
      <c r="AX581" s="358"/>
      <c r="AY581" s="358"/>
      <c r="AZ581" s="358"/>
      <c r="BA581" s="358"/>
      <c r="BB581" s="358"/>
      <c r="BC581" s="358"/>
      <c r="BD581" s="358"/>
      <c r="BE581" s="358"/>
      <c r="BF581" s="358"/>
      <c r="BG581" s="358"/>
      <c r="BH581" s="358"/>
      <c r="BI581" s="358"/>
      <c r="BJ581" s="358"/>
      <c r="BK581" s="358"/>
      <c r="BL581" s="358"/>
      <c r="BM581" s="358"/>
      <c r="BN581" s="358"/>
      <c r="BO581" s="358"/>
      <c r="BP581" s="358"/>
      <c r="BQ581" s="358"/>
      <c r="BR581" s="358"/>
      <c r="BS581" s="358"/>
      <c r="BT581" s="358"/>
      <c r="BU581" s="358"/>
      <c r="BV581" s="358"/>
    </row>
    <row r="582" spans="2:74" x14ac:dyDescent="0.2">
      <c r="B582" s="358"/>
      <c r="D582" s="358"/>
      <c r="E582" s="358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  <c r="AA582" s="358"/>
      <c r="AB582" s="358"/>
      <c r="AC582" s="358"/>
      <c r="AD582" s="358"/>
      <c r="AE582" s="358"/>
      <c r="AF582" s="358"/>
      <c r="AG582" s="358"/>
      <c r="AH582" s="358"/>
      <c r="AI582" s="358"/>
      <c r="AJ582" s="358"/>
      <c r="AK582" s="358"/>
      <c r="AL582" s="358"/>
      <c r="AM582" s="358"/>
      <c r="AN582" s="358"/>
      <c r="AO582" s="358"/>
      <c r="AP582" s="358"/>
      <c r="AQ582" s="358"/>
      <c r="AR582" s="358"/>
      <c r="AS582" s="358"/>
      <c r="AT582" s="358"/>
      <c r="AU582" s="358"/>
      <c r="AV582" s="358"/>
      <c r="AW582" s="358"/>
      <c r="AX582" s="358"/>
      <c r="AY582" s="358"/>
      <c r="AZ582" s="358"/>
      <c r="BA582" s="358"/>
      <c r="BB582" s="358"/>
      <c r="BC582" s="358"/>
      <c r="BD582" s="358"/>
      <c r="BE582" s="358"/>
      <c r="BF582" s="358"/>
      <c r="BG582" s="358"/>
      <c r="BH582" s="358"/>
      <c r="BI582" s="358"/>
      <c r="BJ582" s="358"/>
      <c r="BK582" s="358"/>
      <c r="BL582" s="358"/>
      <c r="BM582" s="358"/>
      <c r="BN582" s="358"/>
      <c r="BO582" s="358"/>
      <c r="BP582" s="358"/>
      <c r="BQ582" s="358"/>
      <c r="BR582" s="358"/>
      <c r="BS582" s="358"/>
      <c r="BT582" s="358"/>
      <c r="BU582" s="358"/>
      <c r="BV582" s="358"/>
    </row>
    <row r="583" spans="2:74" x14ac:dyDescent="0.2">
      <c r="B583" s="358"/>
      <c r="D583" s="358"/>
      <c r="E583" s="358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8"/>
      <c r="AA583" s="358"/>
      <c r="AB583" s="358"/>
      <c r="AC583" s="358"/>
      <c r="AD583" s="358"/>
      <c r="AE583" s="358"/>
      <c r="AF583" s="358"/>
      <c r="AG583" s="358"/>
      <c r="AH583" s="358"/>
      <c r="AI583" s="358"/>
      <c r="AJ583" s="358"/>
      <c r="AK583" s="358"/>
      <c r="AL583" s="358"/>
      <c r="AM583" s="358"/>
      <c r="AN583" s="358"/>
      <c r="AO583" s="358"/>
      <c r="AP583" s="358"/>
      <c r="AQ583" s="358"/>
      <c r="AR583" s="358"/>
      <c r="AS583" s="358"/>
      <c r="AT583" s="358"/>
      <c r="AU583" s="358"/>
      <c r="AV583" s="358"/>
      <c r="AW583" s="358"/>
      <c r="AX583" s="358"/>
      <c r="AY583" s="358"/>
      <c r="AZ583" s="358"/>
      <c r="BA583" s="358"/>
      <c r="BB583" s="358"/>
      <c r="BC583" s="358"/>
      <c r="BD583" s="358"/>
      <c r="BE583" s="358"/>
      <c r="BF583" s="358"/>
      <c r="BG583" s="358"/>
      <c r="BH583" s="358"/>
      <c r="BI583" s="358"/>
      <c r="BJ583" s="358"/>
      <c r="BK583" s="358"/>
      <c r="BL583" s="358"/>
      <c r="BM583" s="358"/>
      <c r="BN583" s="358"/>
      <c r="BO583" s="358"/>
      <c r="BP583" s="358"/>
      <c r="BQ583" s="358"/>
      <c r="BR583" s="358"/>
      <c r="BS583" s="358"/>
      <c r="BT583" s="358"/>
      <c r="BU583" s="358"/>
      <c r="BV583" s="358"/>
    </row>
    <row r="584" spans="2:74" x14ac:dyDescent="0.2">
      <c r="B584" s="358"/>
      <c r="D584" s="358"/>
      <c r="E584" s="358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  <c r="AA584" s="358"/>
      <c r="AB584" s="358"/>
      <c r="AC584" s="358"/>
      <c r="AD584" s="358"/>
      <c r="AE584" s="358"/>
      <c r="AF584" s="358"/>
      <c r="AG584" s="358"/>
      <c r="AH584" s="358"/>
      <c r="AI584" s="358"/>
      <c r="AJ584" s="358"/>
      <c r="AK584" s="358"/>
      <c r="AL584" s="358"/>
      <c r="AM584" s="358"/>
      <c r="AN584" s="358"/>
      <c r="AO584" s="358"/>
      <c r="AP584" s="358"/>
      <c r="AQ584" s="358"/>
      <c r="AR584" s="358"/>
      <c r="AS584" s="358"/>
      <c r="AT584" s="358"/>
      <c r="AU584" s="358"/>
      <c r="AV584" s="358"/>
      <c r="AW584" s="358"/>
      <c r="AX584" s="358"/>
      <c r="AY584" s="358"/>
      <c r="AZ584" s="358"/>
      <c r="BA584" s="358"/>
      <c r="BB584" s="358"/>
      <c r="BC584" s="358"/>
      <c r="BD584" s="358"/>
      <c r="BE584" s="358"/>
      <c r="BF584" s="358"/>
      <c r="BG584" s="358"/>
      <c r="BH584" s="358"/>
      <c r="BI584" s="358"/>
      <c r="BJ584" s="358"/>
      <c r="BK584" s="358"/>
      <c r="BL584" s="358"/>
      <c r="BM584" s="358"/>
      <c r="BN584" s="358"/>
      <c r="BO584" s="358"/>
      <c r="BP584" s="358"/>
      <c r="BQ584" s="358"/>
      <c r="BR584" s="358"/>
      <c r="BS584" s="358"/>
      <c r="BT584" s="358"/>
      <c r="BU584" s="358"/>
      <c r="BV584" s="358"/>
    </row>
    <row r="585" spans="2:74" x14ac:dyDescent="0.2">
      <c r="B585" s="358"/>
      <c r="D585" s="358"/>
      <c r="E585" s="358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8"/>
      <c r="AA585" s="358"/>
      <c r="AB585" s="358"/>
      <c r="AC585" s="358"/>
      <c r="AD585" s="358"/>
      <c r="AE585" s="358"/>
      <c r="AF585" s="358"/>
      <c r="AG585" s="358"/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58"/>
      <c r="AX585" s="358"/>
      <c r="AY585" s="358"/>
      <c r="AZ585" s="358"/>
      <c r="BA585" s="358"/>
      <c r="BB585" s="358"/>
      <c r="BC585" s="358"/>
      <c r="BD585" s="358"/>
      <c r="BE585" s="358"/>
      <c r="BF585" s="358"/>
      <c r="BG585" s="358"/>
      <c r="BH585" s="358"/>
      <c r="BI585" s="358"/>
      <c r="BJ585" s="358"/>
      <c r="BK585" s="358"/>
      <c r="BL585" s="358"/>
      <c r="BM585" s="358"/>
      <c r="BN585" s="358"/>
      <c r="BO585" s="358"/>
      <c r="BP585" s="358"/>
      <c r="BQ585" s="358"/>
      <c r="BR585" s="358"/>
      <c r="BS585" s="358"/>
      <c r="BT585" s="358"/>
      <c r="BU585" s="358"/>
      <c r="BV585" s="358"/>
    </row>
    <row r="586" spans="2:74" x14ac:dyDescent="0.2">
      <c r="B586" s="358"/>
      <c r="D586" s="358"/>
      <c r="E586" s="358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  <c r="AA586" s="358"/>
      <c r="AB586" s="358"/>
      <c r="AC586" s="358"/>
      <c r="AD586" s="358"/>
      <c r="AE586" s="358"/>
      <c r="AF586" s="358"/>
      <c r="AG586" s="358"/>
      <c r="AH586" s="358"/>
      <c r="AI586" s="358"/>
      <c r="AJ586" s="358"/>
      <c r="AK586" s="358"/>
      <c r="AL586" s="358"/>
      <c r="AM586" s="358"/>
      <c r="AN586" s="358"/>
      <c r="AO586" s="358"/>
      <c r="AP586" s="358"/>
      <c r="AQ586" s="358"/>
      <c r="AR586" s="358"/>
      <c r="AS586" s="358"/>
      <c r="AT586" s="358"/>
      <c r="AU586" s="358"/>
      <c r="AV586" s="358"/>
      <c r="AW586" s="358"/>
      <c r="AX586" s="358"/>
      <c r="AY586" s="358"/>
      <c r="AZ586" s="358"/>
      <c r="BA586" s="358"/>
      <c r="BB586" s="358"/>
      <c r="BC586" s="358"/>
      <c r="BD586" s="358"/>
      <c r="BE586" s="358"/>
      <c r="BF586" s="358"/>
      <c r="BG586" s="358"/>
      <c r="BH586" s="358"/>
      <c r="BI586" s="358"/>
      <c r="BJ586" s="358"/>
      <c r="BK586" s="358"/>
      <c r="BL586" s="358"/>
      <c r="BM586" s="358"/>
      <c r="BN586" s="358"/>
      <c r="BO586" s="358"/>
      <c r="BP586" s="358"/>
      <c r="BQ586" s="358"/>
      <c r="BR586" s="358"/>
      <c r="BS586" s="358"/>
      <c r="BT586" s="358"/>
      <c r="BU586" s="358"/>
      <c r="BV586" s="358"/>
    </row>
    <row r="587" spans="2:74" x14ac:dyDescent="0.2">
      <c r="B587" s="358"/>
      <c r="D587" s="358"/>
      <c r="E587" s="358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8"/>
      <c r="AA587" s="358"/>
      <c r="AB587" s="358"/>
      <c r="AC587" s="358"/>
      <c r="AD587" s="358"/>
      <c r="AE587" s="358"/>
      <c r="AF587" s="358"/>
      <c r="AG587" s="358"/>
      <c r="AH587" s="358"/>
      <c r="AI587" s="358"/>
      <c r="AJ587" s="358"/>
      <c r="AK587" s="358"/>
      <c r="AL587" s="358"/>
      <c r="AM587" s="358"/>
      <c r="AN587" s="358"/>
      <c r="AO587" s="358"/>
      <c r="AP587" s="358"/>
      <c r="AQ587" s="358"/>
      <c r="AR587" s="358"/>
      <c r="AS587" s="358"/>
      <c r="AT587" s="358"/>
      <c r="AU587" s="358"/>
      <c r="AV587" s="358"/>
      <c r="AW587" s="358"/>
      <c r="AX587" s="358"/>
      <c r="AY587" s="358"/>
      <c r="AZ587" s="358"/>
      <c r="BA587" s="358"/>
      <c r="BB587" s="358"/>
      <c r="BC587" s="358"/>
      <c r="BD587" s="358"/>
      <c r="BE587" s="358"/>
      <c r="BF587" s="358"/>
      <c r="BG587" s="358"/>
      <c r="BH587" s="358"/>
      <c r="BI587" s="358"/>
      <c r="BJ587" s="358"/>
      <c r="BK587" s="358"/>
      <c r="BL587" s="358"/>
      <c r="BM587" s="358"/>
      <c r="BN587" s="358"/>
      <c r="BO587" s="358"/>
      <c r="BP587" s="358"/>
      <c r="BQ587" s="358"/>
      <c r="BR587" s="358"/>
      <c r="BS587" s="358"/>
      <c r="BT587" s="358"/>
      <c r="BU587" s="358"/>
      <c r="BV587" s="358"/>
    </row>
    <row r="588" spans="2:74" x14ac:dyDescent="0.2">
      <c r="B588" s="358"/>
      <c r="D588" s="358"/>
      <c r="E588" s="358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358"/>
      <c r="AB588" s="358"/>
      <c r="AC588" s="358"/>
      <c r="AD588" s="358"/>
      <c r="AE588" s="358"/>
      <c r="AF588" s="358"/>
      <c r="AG588" s="358"/>
      <c r="AH588" s="358"/>
      <c r="AI588" s="358"/>
      <c r="AJ588" s="358"/>
      <c r="AK588" s="358"/>
      <c r="AL588" s="358"/>
      <c r="AM588" s="358"/>
      <c r="AN588" s="358"/>
      <c r="AO588" s="358"/>
      <c r="AP588" s="358"/>
      <c r="AQ588" s="358"/>
      <c r="AR588" s="358"/>
      <c r="AS588" s="358"/>
      <c r="AT588" s="358"/>
      <c r="AU588" s="358"/>
      <c r="AV588" s="358"/>
      <c r="AW588" s="358"/>
      <c r="AX588" s="358"/>
      <c r="AY588" s="358"/>
      <c r="AZ588" s="358"/>
      <c r="BA588" s="358"/>
      <c r="BB588" s="358"/>
      <c r="BC588" s="358"/>
      <c r="BD588" s="358"/>
      <c r="BE588" s="358"/>
      <c r="BF588" s="358"/>
      <c r="BG588" s="358"/>
      <c r="BH588" s="358"/>
      <c r="BI588" s="358"/>
      <c r="BJ588" s="358"/>
      <c r="BK588" s="358"/>
      <c r="BL588" s="358"/>
      <c r="BM588" s="358"/>
      <c r="BN588" s="358"/>
      <c r="BO588" s="358"/>
      <c r="BP588" s="358"/>
      <c r="BQ588" s="358"/>
      <c r="BR588" s="358"/>
      <c r="BS588" s="358"/>
      <c r="BT588" s="358"/>
      <c r="BU588" s="358"/>
      <c r="BV588" s="358"/>
    </row>
    <row r="589" spans="2:74" x14ac:dyDescent="0.2">
      <c r="B589" s="358"/>
      <c r="D589" s="358"/>
      <c r="E589" s="358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8"/>
      <c r="AA589" s="358"/>
      <c r="AB589" s="358"/>
      <c r="AC589" s="358"/>
      <c r="AD589" s="358"/>
      <c r="AE589" s="358"/>
      <c r="AF589" s="358"/>
      <c r="AG589" s="358"/>
      <c r="AH589" s="358"/>
      <c r="AI589" s="358"/>
      <c r="AJ589" s="358"/>
      <c r="AK589" s="358"/>
      <c r="AL589" s="358"/>
      <c r="AM589" s="358"/>
      <c r="AN589" s="358"/>
      <c r="AO589" s="358"/>
      <c r="AP589" s="358"/>
      <c r="AQ589" s="358"/>
      <c r="AR589" s="358"/>
      <c r="AS589" s="358"/>
      <c r="AT589" s="358"/>
      <c r="AU589" s="358"/>
      <c r="AV589" s="358"/>
      <c r="AW589" s="358"/>
      <c r="AX589" s="358"/>
      <c r="AY589" s="358"/>
      <c r="AZ589" s="358"/>
      <c r="BA589" s="358"/>
      <c r="BB589" s="358"/>
      <c r="BC589" s="358"/>
      <c r="BD589" s="358"/>
      <c r="BE589" s="358"/>
      <c r="BF589" s="358"/>
      <c r="BG589" s="358"/>
      <c r="BH589" s="358"/>
      <c r="BI589" s="358"/>
      <c r="BJ589" s="358"/>
      <c r="BK589" s="358"/>
      <c r="BL589" s="358"/>
      <c r="BM589" s="358"/>
      <c r="BN589" s="358"/>
      <c r="BO589" s="358"/>
      <c r="BP589" s="358"/>
      <c r="BQ589" s="358"/>
      <c r="BR589" s="358"/>
      <c r="BS589" s="358"/>
      <c r="BT589" s="358"/>
      <c r="BU589" s="358"/>
      <c r="BV589" s="358"/>
    </row>
    <row r="590" spans="2:74" x14ac:dyDescent="0.2">
      <c r="B590" s="358"/>
      <c r="D590" s="358"/>
      <c r="E590" s="358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  <c r="AA590" s="358"/>
      <c r="AB590" s="358"/>
      <c r="AC590" s="358"/>
      <c r="AD590" s="358"/>
      <c r="AE590" s="358"/>
      <c r="AF590" s="358"/>
      <c r="AG590" s="358"/>
      <c r="AH590" s="358"/>
      <c r="AI590" s="358"/>
      <c r="AJ590" s="358"/>
      <c r="AK590" s="358"/>
      <c r="AL590" s="358"/>
      <c r="AM590" s="358"/>
      <c r="AN590" s="358"/>
      <c r="AO590" s="358"/>
      <c r="AP590" s="358"/>
      <c r="AQ590" s="358"/>
      <c r="AR590" s="358"/>
      <c r="AS590" s="358"/>
      <c r="AT590" s="358"/>
      <c r="AU590" s="358"/>
      <c r="AV590" s="358"/>
      <c r="AW590" s="358"/>
      <c r="AX590" s="358"/>
      <c r="AY590" s="358"/>
      <c r="AZ590" s="358"/>
      <c r="BA590" s="358"/>
      <c r="BB590" s="358"/>
      <c r="BC590" s="358"/>
      <c r="BD590" s="358"/>
      <c r="BE590" s="358"/>
      <c r="BF590" s="358"/>
      <c r="BG590" s="358"/>
      <c r="BH590" s="358"/>
      <c r="BI590" s="358"/>
      <c r="BJ590" s="358"/>
      <c r="BK590" s="358"/>
      <c r="BL590" s="358"/>
      <c r="BM590" s="358"/>
      <c r="BN590" s="358"/>
      <c r="BO590" s="358"/>
      <c r="BP590" s="358"/>
      <c r="BQ590" s="358"/>
      <c r="BR590" s="358"/>
      <c r="BS590" s="358"/>
      <c r="BT590" s="358"/>
      <c r="BU590" s="358"/>
      <c r="BV590" s="358"/>
    </row>
    <row r="591" spans="2:74" x14ac:dyDescent="0.2">
      <c r="B591" s="358"/>
      <c r="D591" s="358"/>
      <c r="E591" s="358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8"/>
      <c r="AA591" s="358"/>
      <c r="AB591" s="358"/>
      <c r="AC591" s="358"/>
      <c r="AD591" s="358"/>
      <c r="AE591" s="358"/>
      <c r="AF591" s="358"/>
      <c r="AG591" s="358"/>
      <c r="AH591" s="358"/>
      <c r="AI591" s="358"/>
      <c r="AJ591" s="358"/>
      <c r="AK591" s="358"/>
      <c r="AL591" s="358"/>
      <c r="AM591" s="358"/>
      <c r="AN591" s="358"/>
      <c r="AO591" s="358"/>
      <c r="AP591" s="358"/>
      <c r="AQ591" s="358"/>
      <c r="AR591" s="358"/>
      <c r="AS591" s="358"/>
      <c r="AT591" s="358"/>
      <c r="AU591" s="358"/>
      <c r="AV591" s="358"/>
      <c r="AW591" s="358"/>
      <c r="AX591" s="358"/>
      <c r="AY591" s="358"/>
      <c r="AZ591" s="358"/>
      <c r="BA591" s="358"/>
      <c r="BB591" s="358"/>
      <c r="BC591" s="358"/>
      <c r="BD591" s="358"/>
      <c r="BE591" s="358"/>
      <c r="BF591" s="358"/>
      <c r="BG591" s="358"/>
      <c r="BH591" s="358"/>
      <c r="BI591" s="358"/>
      <c r="BJ591" s="358"/>
      <c r="BK591" s="358"/>
      <c r="BL591" s="358"/>
      <c r="BM591" s="358"/>
      <c r="BN591" s="358"/>
      <c r="BO591" s="358"/>
      <c r="BP591" s="358"/>
      <c r="BQ591" s="358"/>
      <c r="BR591" s="358"/>
      <c r="BS591" s="358"/>
      <c r="BT591" s="358"/>
      <c r="BU591" s="358"/>
      <c r="BV591" s="358"/>
    </row>
    <row r="592" spans="2:74" x14ac:dyDescent="0.2">
      <c r="B592" s="358"/>
      <c r="D592" s="358"/>
      <c r="E592" s="358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  <c r="AA592" s="358"/>
      <c r="AB592" s="358"/>
      <c r="AC592" s="358"/>
      <c r="AD592" s="358"/>
      <c r="AE592" s="358"/>
      <c r="AF592" s="358"/>
      <c r="AG592" s="358"/>
      <c r="AH592" s="358"/>
      <c r="AI592" s="358"/>
      <c r="AJ592" s="358"/>
      <c r="AK592" s="358"/>
      <c r="AL592" s="358"/>
      <c r="AM592" s="358"/>
      <c r="AN592" s="358"/>
      <c r="AO592" s="358"/>
      <c r="AP592" s="358"/>
      <c r="AQ592" s="358"/>
      <c r="AR592" s="358"/>
      <c r="AS592" s="358"/>
      <c r="AT592" s="358"/>
      <c r="AU592" s="358"/>
      <c r="AV592" s="358"/>
      <c r="AW592" s="358"/>
      <c r="AX592" s="358"/>
      <c r="AY592" s="358"/>
      <c r="AZ592" s="358"/>
      <c r="BA592" s="358"/>
      <c r="BB592" s="358"/>
      <c r="BC592" s="358"/>
      <c r="BD592" s="358"/>
      <c r="BE592" s="358"/>
      <c r="BF592" s="358"/>
      <c r="BG592" s="358"/>
      <c r="BH592" s="358"/>
      <c r="BI592" s="358"/>
      <c r="BJ592" s="358"/>
      <c r="BK592" s="358"/>
      <c r="BL592" s="358"/>
      <c r="BM592" s="358"/>
      <c r="BN592" s="358"/>
      <c r="BO592" s="358"/>
      <c r="BP592" s="358"/>
      <c r="BQ592" s="358"/>
      <c r="BR592" s="358"/>
      <c r="BS592" s="358"/>
      <c r="BT592" s="358"/>
      <c r="BU592" s="358"/>
      <c r="BV592" s="358"/>
    </row>
    <row r="593" spans="2:74" x14ac:dyDescent="0.2">
      <c r="B593" s="358"/>
      <c r="D593" s="358"/>
      <c r="E593" s="358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8"/>
      <c r="AA593" s="358"/>
      <c r="AB593" s="358"/>
      <c r="AC593" s="358"/>
      <c r="AD593" s="358"/>
      <c r="AE593" s="358"/>
      <c r="AF593" s="358"/>
      <c r="AG593" s="358"/>
      <c r="AH593" s="358"/>
      <c r="AI593" s="358"/>
      <c r="AJ593" s="358"/>
      <c r="AK593" s="358"/>
      <c r="AL593" s="358"/>
      <c r="AM593" s="358"/>
      <c r="AN593" s="358"/>
      <c r="AO593" s="358"/>
      <c r="AP593" s="358"/>
      <c r="AQ593" s="358"/>
      <c r="AR593" s="358"/>
      <c r="AS593" s="358"/>
      <c r="AT593" s="358"/>
      <c r="AU593" s="358"/>
      <c r="AV593" s="358"/>
      <c r="AW593" s="358"/>
      <c r="AX593" s="358"/>
      <c r="AY593" s="358"/>
      <c r="AZ593" s="358"/>
      <c r="BA593" s="358"/>
      <c r="BB593" s="358"/>
      <c r="BC593" s="358"/>
      <c r="BD593" s="358"/>
      <c r="BE593" s="358"/>
      <c r="BF593" s="358"/>
      <c r="BG593" s="358"/>
      <c r="BH593" s="358"/>
      <c r="BI593" s="358"/>
      <c r="BJ593" s="358"/>
      <c r="BK593" s="358"/>
      <c r="BL593" s="358"/>
      <c r="BM593" s="358"/>
      <c r="BN593" s="358"/>
      <c r="BO593" s="358"/>
      <c r="BP593" s="358"/>
      <c r="BQ593" s="358"/>
      <c r="BR593" s="358"/>
      <c r="BS593" s="358"/>
      <c r="BT593" s="358"/>
      <c r="BU593" s="358"/>
      <c r="BV593" s="358"/>
    </row>
    <row r="594" spans="2:74" x14ac:dyDescent="0.2">
      <c r="B594" s="358"/>
      <c r="D594" s="358"/>
      <c r="E594" s="358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  <c r="AA594" s="358"/>
      <c r="AB594" s="358"/>
      <c r="AC594" s="358"/>
      <c r="AD594" s="358"/>
      <c r="AE594" s="358"/>
      <c r="AF594" s="358"/>
      <c r="AG594" s="358"/>
      <c r="AH594" s="358"/>
      <c r="AI594" s="358"/>
      <c r="AJ594" s="358"/>
      <c r="AK594" s="358"/>
      <c r="AL594" s="358"/>
      <c r="AM594" s="358"/>
      <c r="AN594" s="358"/>
      <c r="AO594" s="358"/>
      <c r="AP594" s="358"/>
      <c r="AQ594" s="358"/>
      <c r="AR594" s="358"/>
      <c r="AS594" s="358"/>
      <c r="AT594" s="358"/>
      <c r="AU594" s="358"/>
      <c r="AV594" s="358"/>
      <c r="AW594" s="358"/>
      <c r="AX594" s="358"/>
      <c r="AY594" s="358"/>
      <c r="AZ594" s="358"/>
      <c r="BA594" s="358"/>
      <c r="BB594" s="358"/>
      <c r="BC594" s="358"/>
      <c r="BD594" s="358"/>
      <c r="BE594" s="358"/>
      <c r="BF594" s="358"/>
      <c r="BG594" s="358"/>
      <c r="BH594" s="358"/>
      <c r="BI594" s="358"/>
      <c r="BJ594" s="358"/>
      <c r="BK594" s="358"/>
      <c r="BL594" s="358"/>
      <c r="BM594" s="358"/>
      <c r="BN594" s="358"/>
      <c r="BO594" s="358"/>
      <c r="BP594" s="358"/>
      <c r="BQ594" s="358"/>
      <c r="BR594" s="358"/>
      <c r="BS594" s="358"/>
      <c r="BT594" s="358"/>
      <c r="BU594" s="358"/>
      <c r="BV594" s="358"/>
    </row>
    <row r="595" spans="2:74" x14ac:dyDescent="0.2">
      <c r="B595" s="358"/>
      <c r="D595" s="358"/>
      <c r="E595" s="358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8"/>
      <c r="AA595" s="358"/>
      <c r="AB595" s="358"/>
      <c r="AC595" s="358"/>
      <c r="AD595" s="358"/>
      <c r="AE595" s="358"/>
      <c r="AF595" s="358"/>
      <c r="AG595" s="358"/>
      <c r="AH595" s="358"/>
      <c r="AI595" s="358"/>
      <c r="AJ595" s="358"/>
      <c r="AK595" s="358"/>
      <c r="AL595" s="358"/>
      <c r="AM595" s="358"/>
      <c r="AN595" s="358"/>
      <c r="AO595" s="358"/>
      <c r="AP595" s="358"/>
      <c r="AQ595" s="358"/>
      <c r="AR595" s="358"/>
      <c r="AS595" s="358"/>
      <c r="AT595" s="358"/>
      <c r="AU595" s="358"/>
      <c r="AV595" s="358"/>
      <c r="AW595" s="358"/>
      <c r="AX595" s="358"/>
      <c r="AY595" s="358"/>
      <c r="AZ595" s="358"/>
      <c r="BA595" s="358"/>
      <c r="BB595" s="358"/>
      <c r="BC595" s="358"/>
      <c r="BD595" s="358"/>
      <c r="BE595" s="358"/>
      <c r="BF595" s="358"/>
      <c r="BG595" s="358"/>
      <c r="BH595" s="358"/>
      <c r="BI595" s="358"/>
      <c r="BJ595" s="358"/>
      <c r="BK595" s="358"/>
      <c r="BL595" s="358"/>
      <c r="BM595" s="358"/>
      <c r="BN595" s="358"/>
      <c r="BO595" s="358"/>
      <c r="BP595" s="358"/>
      <c r="BQ595" s="358"/>
      <c r="BR595" s="358"/>
      <c r="BS595" s="358"/>
      <c r="BT595" s="358"/>
      <c r="BU595" s="358"/>
      <c r="BV595" s="358"/>
    </row>
    <row r="596" spans="2:74" x14ac:dyDescent="0.2">
      <c r="B596" s="358"/>
      <c r="D596" s="358"/>
      <c r="E596" s="358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  <c r="AA596" s="358"/>
      <c r="AB596" s="358"/>
      <c r="AC596" s="358"/>
      <c r="AD596" s="358"/>
      <c r="AE596" s="358"/>
      <c r="AF596" s="358"/>
      <c r="AG596" s="358"/>
      <c r="AH596" s="358"/>
      <c r="AI596" s="358"/>
      <c r="AJ596" s="358"/>
      <c r="AK596" s="358"/>
      <c r="AL596" s="358"/>
      <c r="AM596" s="358"/>
      <c r="AN596" s="358"/>
      <c r="AO596" s="358"/>
      <c r="AP596" s="358"/>
      <c r="AQ596" s="358"/>
      <c r="AR596" s="358"/>
      <c r="AS596" s="358"/>
      <c r="AT596" s="358"/>
      <c r="AU596" s="358"/>
      <c r="AV596" s="358"/>
      <c r="AW596" s="358"/>
      <c r="AX596" s="358"/>
      <c r="AY596" s="358"/>
      <c r="AZ596" s="358"/>
      <c r="BA596" s="358"/>
      <c r="BB596" s="358"/>
      <c r="BC596" s="358"/>
      <c r="BD596" s="358"/>
      <c r="BE596" s="358"/>
      <c r="BF596" s="358"/>
      <c r="BG596" s="358"/>
      <c r="BH596" s="358"/>
      <c r="BI596" s="358"/>
      <c r="BJ596" s="358"/>
      <c r="BK596" s="358"/>
      <c r="BL596" s="358"/>
      <c r="BM596" s="358"/>
      <c r="BN596" s="358"/>
      <c r="BO596" s="358"/>
      <c r="BP596" s="358"/>
      <c r="BQ596" s="358"/>
      <c r="BR596" s="358"/>
      <c r="BS596" s="358"/>
      <c r="BT596" s="358"/>
      <c r="BU596" s="358"/>
      <c r="BV596" s="358"/>
    </row>
    <row r="597" spans="2:74" x14ac:dyDescent="0.2">
      <c r="B597" s="358"/>
      <c r="D597" s="358"/>
      <c r="E597" s="358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8"/>
      <c r="AA597" s="358"/>
      <c r="AB597" s="358"/>
      <c r="AC597" s="358"/>
      <c r="AD597" s="358"/>
      <c r="AE597" s="358"/>
      <c r="AF597" s="358"/>
      <c r="AG597" s="358"/>
      <c r="AH597" s="358"/>
      <c r="AI597" s="358"/>
      <c r="AJ597" s="358"/>
      <c r="AK597" s="358"/>
      <c r="AL597" s="358"/>
      <c r="AM597" s="358"/>
      <c r="AN597" s="358"/>
      <c r="AO597" s="358"/>
      <c r="AP597" s="358"/>
      <c r="AQ597" s="358"/>
      <c r="AR597" s="358"/>
      <c r="AS597" s="358"/>
      <c r="AT597" s="358"/>
      <c r="AU597" s="358"/>
      <c r="AV597" s="358"/>
      <c r="AW597" s="358"/>
      <c r="AX597" s="358"/>
      <c r="AY597" s="358"/>
      <c r="AZ597" s="358"/>
      <c r="BA597" s="358"/>
      <c r="BB597" s="358"/>
      <c r="BC597" s="358"/>
      <c r="BD597" s="358"/>
      <c r="BE597" s="358"/>
      <c r="BF597" s="358"/>
      <c r="BG597" s="358"/>
      <c r="BH597" s="358"/>
      <c r="BI597" s="358"/>
      <c r="BJ597" s="358"/>
      <c r="BK597" s="358"/>
      <c r="BL597" s="358"/>
      <c r="BM597" s="358"/>
      <c r="BN597" s="358"/>
      <c r="BO597" s="358"/>
      <c r="BP597" s="358"/>
      <c r="BQ597" s="358"/>
      <c r="BR597" s="358"/>
      <c r="BS597" s="358"/>
      <c r="BT597" s="358"/>
      <c r="BU597" s="358"/>
      <c r="BV597" s="358"/>
    </row>
    <row r="598" spans="2:74" x14ac:dyDescent="0.2">
      <c r="B598" s="358"/>
      <c r="D598" s="358"/>
      <c r="E598" s="358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358"/>
      <c r="AB598" s="358"/>
      <c r="AC598" s="358"/>
      <c r="AD598" s="358"/>
      <c r="AE598" s="358"/>
      <c r="AF598" s="358"/>
      <c r="AG598" s="358"/>
      <c r="AH598" s="358"/>
      <c r="AI598" s="358"/>
      <c r="AJ598" s="358"/>
      <c r="AK598" s="358"/>
      <c r="AL598" s="358"/>
      <c r="AM598" s="358"/>
      <c r="AN598" s="358"/>
      <c r="AO598" s="358"/>
      <c r="AP598" s="358"/>
      <c r="AQ598" s="358"/>
      <c r="AR598" s="358"/>
      <c r="AS598" s="358"/>
      <c r="AT598" s="358"/>
      <c r="AU598" s="358"/>
      <c r="AV598" s="358"/>
      <c r="AW598" s="358"/>
      <c r="AX598" s="358"/>
      <c r="AY598" s="358"/>
      <c r="AZ598" s="358"/>
      <c r="BA598" s="358"/>
      <c r="BB598" s="358"/>
      <c r="BC598" s="358"/>
      <c r="BD598" s="358"/>
      <c r="BE598" s="358"/>
      <c r="BF598" s="358"/>
      <c r="BG598" s="358"/>
      <c r="BH598" s="358"/>
      <c r="BI598" s="358"/>
      <c r="BJ598" s="358"/>
      <c r="BK598" s="358"/>
      <c r="BL598" s="358"/>
      <c r="BM598" s="358"/>
      <c r="BN598" s="358"/>
      <c r="BO598" s="358"/>
      <c r="BP598" s="358"/>
      <c r="BQ598" s="358"/>
      <c r="BR598" s="358"/>
      <c r="BS598" s="358"/>
      <c r="BT598" s="358"/>
      <c r="BU598" s="358"/>
      <c r="BV598" s="358"/>
    </row>
    <row r="599" spans="2:74" x14ac:dyDescent="0.2">
      <c r="B599" s="358"/>
      <c r="D599" s="358"/>
      <c r="E599" s="358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  <c r="AA599" s="358"/>
      <c r="AB599" s="358"/>
      <c r="AC599" s="358"/>
      <c r="AD599" s="358"/>
      <c r="AE599" s="358"/>
      <c r="AF599" s="358"/>
      <c r="AG599" s="358"/>
      <c r="AH599" s="358"/>
      <c r="AI599" s="358"/>
      <c r="AJ599" s="358"/>
      <c r="AK599" s="358"/>
      <c r="AL599" s="358"/>
      <c r="AM599" s="358"/>
      <c r="AN599" s="358"/>
      <c r="AO599" s="358"/>
      <c r="AP599" s="358"/>
      <c r="AQ599" s="358"/>
      <c r="AR599" s="358"/>
      <c r="AS599" s="358"/>
      <c r="AT599" s="358"/>
      <c r="AU599" s="358"/>
      <c r="AV599" s="358"/>
      <c r="AW599" s="358"/>
      <c r="AX599" s="358"/>
      <c r="AY599" s="358"/>
      <c r="AZ599" s="358"/>
      <c r="BA599" s="358"/>
      <c r="BB599" s="358"/>
      <c r="BC599" s="358"/>
      <c r="BD599" s="358"/>
      <c r="BE599" s="358"/>
      <c r="BF599" s="358"/>
      <c r="BG599" s="358"/>
      <c r="BH599" s="358"/>
      <c r="BI599" s="358"/>
      <c r="BJ599" s="358"/>
      <c r="BK599" s="358"/>
      <c r="BL599" s="358"/>
      <c r="BM599" s="358"/>
      <c r="BN599" s="358"/>
      <c r="BO599" s="358"/>
      <c r="BP599" s="358"/>
      <c r="BQ599" s="358"/>
      <c r="BR599" s="358"/>
      <c r="BS599" s="358"/>
      <c r="BT599" s="358"/>
      <c r="BU599" s="358"/>
      <c r="BV599" s="358"/>
    </row>
    <row r="600" spans="2:74" x14ac:dyDescent="0.2">
      <c r="B600" s="358"/>
      <c r="D600" s="358"/>
      <c r="E600" s="358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  <c r="AI600" s="358"/>
      <c r="AJ600" s="358"/>
      <c r="AK600" s="358"/>
      <c r="AL600" s="358"/>
      <c r="AM600" s="358"/>
      <c r="AN600" s="358"/>
      <c r="AO600" s="358"/>
      <c r="AP600" s="358"/>
      <c r="AQ600" s="358"/>
      <c r="AR600" s="358"/>
      <c r="AS600" s="358"/>
      <c r="AT600" s="358"/>
      <c r="AU600" s="358"/>
      <c r="AV600" s="358"/>
      <c r="AW600" s="358"/>
      <c r="AX600" s="358"/>
      <c r="AY600" s="358"/>
      <c r="AZ600" s="358"/>
      <c r="BA600" s="358"/>
      <c r="BB600" s="358"/>
      <c r="BC600" s="358"/>
      <c r="BD600" s="358"/>
      <c r="BE600" s="358"/>
      <c r="BF600" s="358"/>
      <c r="BG600" s="358"/>
      <c r="BH600" s="358"/>
      <c r="BI600" s="358"/>
      <c r="BJ600" s="358"/>
      <c r="BK600" s="358"/>
      <c r="BL600" s="358"/>
      <c r="BM600" s="358"/>
      <c r="BN600" s="358"/>
      <c r="BO600" s="358"/>
      <c r="BP600" s="358"/>
      <c r="BQ600" s="358"/>
      <c r="BR600" s="358"/>
      <c r="BS600" s="358"/>
      <c r="BT600" s="358"/>
      <c r="BU600" s="358"/>
      <c r="BV600" s="358"/>
    </row>
    <row r="601" spans="2:74" x14ac:dyDescent="0.2">
      <c r="B601" s="358"/>
      <c r="D601" s="358"/>
      <c r="E601" s="358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8"/>
      <c r="AA601" s="358"/>
      <c r="AB601" s="358"/>
      <c r="AC601" s="358"/>
      <c r="AD601" s="358"/>
      <c r="AE601" s="358"/>
      <c r="AF601" s="358"/>
      <c r="AG601" s="358"/>
      <c r="AH601" s="358"/>
      <c r="AI601" s="358"/>
      <c r="AJ601" s="358"/>
      <c r="AK601" s="358"/>
      <c r="AL601" s="358"/>
      <c r="AM601" s="358"/>
      <c r="AN601" s="358"/>
      <c r="AO601" s="358"/>
      <c r="AP601" s="358"/>
      <c r="AQ601" s="358"/>
      <c r="AR601" s="358"/>
      <c r="AS601" s="358"/>
      <c r="AT601" s="358"/>
      <c r="AU601" s="358"/>
      <c r="AV601" s="358"/>
      <c r="AW601" s="358"/>
      <c r="AX601" s="358"/>
      <c r="AY601" s="358"/>
      <c r="AZ601" s="358"/>
      <c r="BA601" s="358"/>
      <c r="BB601" s="358"/>
      <c r="BC601" s="358"/>
      <c r="BD601" s="358"/>
      <c r="BE601" s="358"/>
      <c r="BF601" s="358"/>
      <c r="BG601" s="358"/>
      <c r="BH601" s="358"/>
      <c r="BI601" s="358"/>
      <c r="BJ601" s="358"/>
      <c r="BK601" s="358"/>
      <c r="BL601" s="358"/>
      <c r="BM601" s="358"/>
      <c r="BN601" s="358"/>
      <c r="BO601" s="358"/>
      <c r="BP601" s="358"/>
      <c r="BQ601" s="358"/>
      <c r="BR601" s="358"/>
      <c r="BS601" s="358"/>
      <c r="BT601" s="358"/>
      <c r="BU601" s="358"/>
      <c r="BV601" s="358"/>
    </row>
    <row r="602" spans="2:74" x14ac:dyDescent="0.2">
      <c r="B602" s="358"/>
      <c r="D602" s="358"/>
      <c r="E602" s="358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  <c r="AA602" s="358"/>
      <c r="AB602" s="358"/>
      <c r="AC602" s="358"/>
      <c r="AD602" s="358"/>
      <c r="AE602" s="358"/>
      <c r="AF602" s="358"/>
      <c r="AG602" s="358"/>
      <c r="AH602" s="358"/>
      <c r="AI602" s="358"/>
      <c r="AJ602" s="358"/>
      <c r="AK602" s="358"/>
      <c r="AL602" s="358"/>
      <c r="AM602" s="358"/>
      <c r="AN602" s="358"/>
      <c r="AO602" s="358"/>
      <c r="AP602" s="358"/>
      <c r="AQ602" s="358"/>
      <c r="AR602" s="358"/>
      <c r="AS602" s="358"/>
      <c r="AT602" s="358"/>
      <c r="AU602" s="358"/>
      <c r="AV602" s="358"/>
      <c r="AW602" s="358"/>
      <c r="AX602" s="358"/>
      <c r="AY602" s="358"/>
      <c r="AZ602" s="358"/>
      <c r="BA602" s="358"/>
      <c r="BB602" s="358"/>
      <c r="BC602" s="358"/>
      <c r="BD602" s="358"/>
      <c r="BE602" s="358"/>
      <c r="BF602" s="358"/>
      <c r="BG602" s="358"/>
      <c r="BH602" s="358"/>
      <c r="BI602" s="358"/>
      <c r="BJ602" s="358"/>
      <c r="BK602" s="358"/>
      <c r="BL602" s="358"/>
      <c r="BM602" s="358"/>
      <c r="BN602" s="358"/>
      <c r="BO602" s="358"/>
      <c r="BP602" s="358"/>
      <c r="BQ602" s="358"/>
      <c r="BR602" s="358"/>
      <c r="BS602" s="358"/>
      <c r="BT602" s="358"/>
      <c r="BU602" s="358"/>
      <c r="BV602" s="358"/>
    </row>
    <row r="603" spans="2:74" x14ac:dyDescent="0.2">
      <c r="B603" s="358"/>
      <c r="D603" s="358"/>
      <c r="E603" s="358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8"/>
      <c r="AA603" s="358"/>
      <c r="AB603" s="358"/>
      <c r="AC603" s="358"/>
      <c r="AD603" s="358"/>
      <c r="AE603" s="358"/>
      <c r="AF603" s="358"/>
      <c r="AG603" s="358"/>
      <c r="AH603" s="358"/>
      <c r="AI603" s="358"/>
      <c r="AJ603" s="358"/>
      <c r="AK603" s="358"/>
      <c r="AL603" s="358"/>
      <c r="AM603" s="358"/>
      <c r="AN603" s="358"/>
      <c r="AO603" s="358"/>
      <c r="AP603" s="358"/>
      <c r="AQ603" s="358"/>
      <c r="AR603" s="358"/>
      <c r="AS603" s="358"/>
      <c r="AT603" s="358"/>
      <c r="AU603" s="358"/>
      <c r="AV603" s="358"/>
      <c r="AW603" s="358"/>
      <c r="AX603" s="358"/>
      <c r="AY603" s="358"/>
      <c r="AZ603" s="358"/>
      <c r="BA603" s="358"/>
      <c r="BB603" s="358"/>
      <c r="BC603" s="358"/>
      <c r="BD603" s="358"/>
      <c r="BE603" s="358"/>
      <c r="BF603" s="358"/>
      <c r="BG603" s="358"/>
      <c r="BH603" s="358"/>
      <c r="BI603" s="358"/>
      <c r="BJ603" s="358"/>
      <c r="BK603" s="358"/>
      <c r="BL603" s="358"/>
      <c r="BM603" s="358"/>
      <c r="BN603" s="358"/>
      <c r="BO603" s="358"/>
      <c r="BP603" s="358"/>
      <c r="BQ603" s="358"/>
      <c r="BR603" s="358"/>
      <c r="BS603" s="358"/>
      <c r="BT603" s="358"/>
      <c r="BU603" s="358"/>
      <c r="BV603" s="358"/>
    </row>
    <row r="604" spans="2:74" x14ac:dyDescent="0.2">
      <c r="B604" s="358"/>
      <c r="D604" s="358"/>
      <c r="E604" s="358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  <c r="AA604" s="358"/>
      <c r="AB604" s="358"/>
      <c r="AC604" s="358"/>
      <c r="AD604" s="358"/>
      <c r="AE604" s="358"/>
      <c r="AF604" s="358"/>
      <c r="AG604" s="358"/>
      <c r="AH604" s="358"/>
      <c r="AI604" s="358"/>
      <c r="AJ604" s="358"/>
      <c r="AK604" s="358"/>
      <c r="AL604" s="358"/>
      <c r="AM604" s="358"/>
      <c r="AN604" s="358"/>
      <c r="AO604" s="358"/>
      <c r="AP604" s="358"/>
      <c r="AQ604" s="358"/>
      <c r="AR604" s="358"/>
      <c r="AS604" s="358"/>
      <c r="AT604" s="358"/>
      <c r="AU604" s="358"/>
      <c r="AV604" s="358"/>
      <c r="AW604" s="358"/>
      <c r="AX604" s="358"/>
      <c r="AY604" s="358"/>
      <c r="AZ604" s="358"/>
      <c r="BA604" s="358"/>
      <c r="BB604" s="358"/>
      <c r="BC604" s="358"/>
      <c r="BD604" s="358"/>
      <c r="BE604" s="358"/>
      <c r="BF604" s="358"/>
      <c r="BG604" s="358"/>
      <c r="BH604" s="358"/>
      <c r="BI604" s="358"/>
      <c r="BJ604" s="358"/>
      <c r="BK604" s="358"/>
      <c r="BL604" s="358"/>
      <c r="BM604" s="358"/>
      <c r="BN604" s="358"/>
      <c r="BO604" s="358"/>
      <c r="BP604" s="358"/>
      <c r="BQ604" s="358"/>
      <c r="BR604" s="358"/>
      <c r="BS604" s="358"/>
      <c r="BT604" s="358"/>
      <c r="BU604" s="358"/>
      <c r="BV604" s="358"/>
    </row>
    <row r="605" spans="2:74" x14ac:dyDescent="0.2">
      <c r="B605" s="358"/>
      <c r="D605" s="358"/>
      <c r="E605" s="358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8"/>
      <c r="AA605" s="358"/>
      <c r="AB605" s="358"/>
      <c r="AC605" s="358"/>
      <c r="AD605" s="358"/>
      <c r="AE605" s="358"/>
      <c r="AF605" s="358"/>
      <c r="AG605" s="358"/>
      <c r="AH605" s="358"/>
      <c r="AI605" s="358"/>
      <c r="AJ605" s="358"/>
      <c r="AK605" s="358"/>
      <c r="AL605" s="358"/>
      <c r="AM605" s="358"/>
      <c r="AN605" s="358"/>
      <c r="AO605" s="358"/>
      <c r="AP605" s="358"/>
      <c r="AQ605" s="358"/>
      <c r="AR605" s="358"/>
      <c r="AS605" s="358"/>
      <c r="AT605" s="358"/>
      <c r="AU605" s="358"/>
      <c r="AV605" s="358"/>
      <c r="AW605" s="358"/>
      <c r="AX605" s="358"/>
      <c r="AY605" s="358"/>
      <c r="AZ605" s="358"/>
      <c r="BA605" s="358"/>
      <c r="BB605" s="358"/>
      <c r="BC605" s="358"/>
      <c r="BD605" s="358"/>
      <c r="BE605" s="358"/>
      <c r="BF605" s="358"/>
      <c r="BG605" s="358"/>
      <c r="BH605" s="358"/>
      <c r="BI605" s="358"/>
      <c r="BJ605" s="358"/>
      <c r="BK605" s="358"/>
      <c r="BL605" s="358"/>
      <c r="BM605" s="358"/>
      <c r="BN605" s="358"/>
      <c r="BO605" s="358"/>
      <c r="BP605" s="358"/>
      <c r="BQ605" s="358"/>
      <c r="BR605" s="358"/>
      <c r="BS605" s="358"/>
      <c r="BT605" s="358"/>
      <c r="BU605" s="358"/>
      <c r="BV605" s="358"/>
    </row>
    <row r="606" spans="2:74" x14ac:dyDescent="0.2">
      <c r="B606" s="358"/>
      <c r="D606" s="358"/>
      <c r="E606" s="358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  <c r="AA606" s="358"/>
      <c r="AB606" s="358"/>
      <c r="AC606" s="358"/>
      <c r="AD606" s="358"/>
      <c r="AE606" s="358"/>
      <c r="AF606" s="358"/>
      <c r="AG606" s="358"/>
      <c r="AH606" s="358"/>
      <c r="AI606" s="358"/>
      <c r="AJ606" s="358"/>
      <c r="AK606" s="358"/>
      <c r="AL606" s="358"/>
      <c r="AM606" s="358"/>
      <c r="AN606" s="358"/>
      <c r="AO606" s="358"/>
      <c r="AP606" s="358"/>
      <c r="AQ606" s="358"/>
      <c r="AR606" s="358"/>
      <c r="AS606" s="358"/>
      <c r="AT606" s="358"/>
      <c r="AU606" s="358"/>
      <c r="AV606" s="358"/>
      <c r="AW606" s="358"/>
      <c r="AX606" s="358"/>
      <c r="AY606" s="358"/>
      <c r="AZ606" s="358"/>
      <c r="BA606" s="358"/>
      <c r="BB606" s="358"/>
      <c r="BC606" s="358"/>
      <c r="BD606" s="358"/>
      <c r="BE606" s="358"/>
      <c r="BF606" s="358"/>
      <c r="BG606" s="358"/>
      <c r="BH606" s="358"/>
      <c r="BI606" s="358"/>
      <c r="BJ606" s="358"/>
      <c r="BK606" s="358"/>
      <c r="BL606" s="358"/>
      <c r="BM606" s="358"/>
      <c r="BN606" s="358"/>
      <c r="BO606" s="358"/>
      <c r="BP606" s="358"/>
      <c r="BQ606" s="358"/>
      <c r="BR606" s="358"/>
      <c r="BS606" s="358"/>
      <c r="BT606" s="358"/>
      <c r="BU606" s="358"/>
      <c r="BV606" s="358"/>
    </row>
    <row r="607" spans="2:74" x14ac:dyDescent="0.2">
      <c r="B607" s="358"/>
      <c r="D607" s="358"/>
      <c r="E607" s="358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8"/>
      <c r="AA607" s="358"/>
      <c r="AB607" s="358"/>
      <c r="AC607" s="358"/>
      <c r="AD607" s="358"/>
      <c r="AE607" s="358"/>
      <c r="AF607" s="358"/>
      <c r="AG607" s="358"/>
      <c r="AH607" s="358"/>
      <c r="AI607" s="358"/>
      <c r="AJ607" s="358"/>
      <c r="AK607" s="358"/>
      <c r="AL607" s="358"/>
      <c r="AM607" s="358"/>
      <c r="AN607" s="358"/>
      <c r="AO607" s="358"/>
      <c r="AP607" s="358"/>
      <c r="AQ607" s="358"/>
      <c r="AR607" s="358"/>
      <c r="AS607" s="358"/>
      <c r="AT607" s="358"/>
      <c r="AU607" s="358"/>
      <c r="AV607" s="358"/>
      <c r="AW607" s="358"/>
      <c r="AX607" s="358"/>
      <c r="AY607" s="358"/>
      <c r="AZ607" s="358"/>
      <c r="BA607" s="358"/>
      <c r="BB607" s="358"/>
      <c r="BC607" s="358"/>
      <c r="BD607" s="358"/>
      <c r="BE607" s="358"/>
      <c r="BF607" s="358"/>
      <c r="BG607" s="358"/>
      <c r="BH607" s="358"/>
      <c r="BI607" s="358"/>
      <c r="BJ607" s="358"/>
      <c r="BK607" s="358"/>
      <c r="BL607" s="358"/>
      <c r="BM607" s="358"/>
      <c r="BN607" s="358"/>
      <c r="BO607" s="358"/>
      <c r="BP607" s="358"/>
      <c r="BQ607" s="358"/>
      <c r="BR607" s="358"/>
      <c r="BS607" s="358"/>
      <c r="BT607" s="358"/>
      <c r="BU607" s="358"/>
      <c r="BV607" s="358"/>
    </row>
    <row r="608" spans="2:74" x14ac:dyDescent="0.2">
      <c r="B608" s="358"/>
      <c r="D608" s="358"/>
      <c r="E608" s="358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  <c r="AA608" s="358"/>
      <c r="AB608" s="358"/>
      <c r="AC608" s="358"/>
      <c r="AD608" s="358"/>
      <c r="AE608" s="358"/>
      <c r="AF608" s="358"/>
      <c r="AG608" s="358"/>
      <c r="AH608" s="358"/>
      <c r="AI608" s="358"/>
      <c r="AJ608" s="358"/>
      <c r="AK608" s="358"/>
      <c r="AL608" s="358"/>
      <c r="AM608" s="358"/>
      <c r="AN608" s="358"/>
      <c r="AO608" s="358"/>
      <c r="AP608" s="358"/>
      <c r="AQ608" s="358"/>
      <c r="AR608" s="358"/>
      <c r="AS608" s="358"/>
      <c r="AT608" s="358"/>
      <c r="AU608" s="358"/>
      <c r="AV608" s="358"/>
      <c r="AW608" s="358"/>
      <c r="AX608" s="358"/>
      <c r="AY608" s="358"/>
      <c r="AZ608" s="358"/>
      <c r="BA608" s="358"/>
      <c r="BB608" s="358"/>
      <c r="BC608" s="358"/>
      <c r="BD608" s="358"/>
      <c r="BE608" s="358"/>
      <c r="BF608" s="358"/>
      <c r="BG608" s="358"/>
      <c r="BH608" s="358"/>
      <c r="BI608" s="358"/>
      <c r="BJ608" s="358"/>
      <c r="BK608" s="358"/>
      <c r="BL608" s="358"/>
      <c r="BM608" s="358"/>
      <c r="BN608" s="358"/>
      <c r="BO608" s="358"/>
      <c r="BP608" s="358"/>
      <c r="BQ608" s="358"/>
      <c r="BR608" s="358"/>
      <c r="BS608" s="358"/>
      <c r="BT608" s="358"/>
      <c r="BU608" s="358"/>
      <c r="BV608" s="358"/>
    </row>
    <row r="609" spans="2:74" x14ac:dyDescent="0.2">
      <c r="B609" s="358"/>
      <c r="D609" s="358"/>
      <c r="E609" s="358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8"/>
      <c r="AA609" s="358"/>
      <c r="AB609" s="358"/>
      <c r="AC609" s="358"/>
      <c r="AD609" s="358"/>
      <c r="AE609" s="358"/>
      <c r="AF609" s="358"/>
      <c r="AG609" s="358"/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58"/>
      <c r="AX609" s="358"/>
      <c r="AY609" s="358"/>
      <c r="AZ609" s="358"/>
      <c r="BA609" s="358"/>
      <c r="BB609" s="358"/>
      <c r="BC609" s="358"/>
      <c r="BD609" s="358"/>
      <c r="BE609" s="358"/>
      <c r="BF609" s="358"/>
      <c r="BG609" s="358"/>
      <c r="BH609" s="358"/>
      <c r="BI609" s="358"/>
      <c r="BJ609" s="358"/>
      <c r="BK609" s="358"/>
      <c r="BL609" s="358"/>
      <c r="BM609" s="358"/>
      <c r="BN609" s="358"/>
      <c r="BO609" s="358"/>
      <c r="BP609" s="358"/>
      <c r="BQ609" s="358"/>
      <c r="BR609" s="358"/>
      <c r="BS609" s="358"/>
      <c r="BT609" s="358"/>
      <c r="BU609" s="358"/>
      <c r="BV609" s="358"/>
    </row>
    <row r="610" spans="2:74" x14ac:dyDescent="0.2">
      <c r="B610" s="358"/>
      <c r="D610" s="358"/>
      <c r="E610" s="358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  <c r="AA610" s="358"/>
      <c r="AB610" s="358"/>
      <c r="AC610" s="358"/>
      <c r="AD610" s="358"/>
      <c r="AE610" s="358"/>
      <c r="AF610" s="358"/>
      <c r="AG610" s="358"/>
      <c r="AH610" s="358"/>
      <c r="AI610" s="358"/>
      <c r="AJ610" s="358"/>
      <c r="AK610" s="358"/>
      <c r="AL610" s="358"/>
      <c r="AM610" s="358"/>
      <c r="AN610" s="358"/>
      <c r="AO610" s="358"/>
      <c r="AP610" s="358"/>
      <c r="AQ610" s="358"/>
      <c r="AR610" s="358"/>
      <c r="AS610" s="358"/>
      <c r="AT610" s="358"/>
      <c r="AU610" s="358"/>
      <c r="AV610" s="358"/>
      <c r="AW610" s="358"/>
      <c r="AX610" s="358"/>
      <c r="AY610" s="358"/>
      <c r="AZ610" s="358"/>
      <c r="BA610" s="358"/>
      <c r="BB610" s="358"/>
      <c r="BC610" s="358"/>
      <c r="BD610" s="358"/>
      <c r="BE610" s="358"/>
      <c r="BF610" s="358"/>
      <c r="BG610" s="358"/>
      <c r="BH610" s="358"/>
      <c r="BI610" s="358"/>
      <c r="BJ610" s="358"/>
      <c r="BK610" s="358"/>
      <c r="BL610" s="358"/>
      <c r="BM610" s="358"/>
      <c r="BN610" s="358"/>
      <c r="BO610" s="358"/>
      <c r="BP610" s="358"/>
      <c r="BQ610" s="358"/>
      <c r="BR610" s="358"/>
      <c r="BS610" s="358"/>
      <c r="BT610" s="358"/>
      <c r="BU610" s="358"/>
      <c r="BV610" s="358"/>
    </row>
    <row r="611" spans="2:74" x14ac:dyDescent="0.2">
      <c r="B611" s="358"/>
      <c r="D611" s="358"/>
      <c r="E611" s="358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8"/>
      <c r="AA611" s="358"/>
      <c r="AB611" s="358"/>
      <c r="AC611" s="358"/>
      <c r="AD611" s="358"/>
      <c r="AE611" s="358"/>
      <c r="AF611" s="358"/>
      <c r="AG611" s="358"/>
      <c r="AH611" s="358"/>
      <c r="AI611" s="358"/>
      <c r="AJ611" s="358"/>
      <c r="AK611" s="358"/>
      <c r="AL611" s="358"/>
      <c r="AM611" s="358"/>
      <c r="AN611" s="358"/>
      <c r="AO611" s="358"/>
      <c r="AP611" s="358"/>
      <c r="AQ611" s="358"/>
      <c r="AR611" s="358"/>
      <c r="AS611" s="358"/>
      <c r="AT611" s="358"/>
      <c r="AU611" s="358"/>
      <c r="AV611" s="358"/>
      <c r="AW611" s="358"/>
      <c r="AX611" s="358"/>
      <c r="AY611" s="358"/>
      <c r="AZ611" s="358"/>
      <c r="BA611" s="358"/>
      <c r="BB611" s="358"/>
      <c r="BC611" s="358"/>
      <c r="BD611" s="358"/>
      <c r="BE611" s="358"/>
      <c r="BF611" s="358"/>
      <c r="BG611" s="358"/>
      <c r="BH611" s="358"/>
      <c r="BI611" s="358"/>
      <c r="BJ611" s="358"/>
      <c r="BK611" s="358"/>
      <c r="BL611" s="358"/>
      <c r="BM611" s="358"/>
      <c r="BN611" s="358"/>
      <c r="BO611" s="358"/>
      <c r="BP611" s="358"/>
      <c r="BQ611" s="358"/>
      <c r="BR611" s="358"/>
      <c r="BS611" s="358"/>
      <c r="BT611" s="358"/>
      <c r="BU611" s="358"/>
      <c r="BV611" s="358"/>
    </row>
    <row r="612" spans="2:74" x14ac:dyDescent="0.2">
      <c r="B612" s="358"/>
      <c r="D612" s="358"/>
      <c r="E612" s="358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  <c r="AA612" s="358"/>
      <c r="AB612" s="358"/>
      <c r="AC612" s="358"/>
      <c r="AD612" s="358"/>
      <c r="AE612" s="358"/>
      <c r="AF612" s="358"/>
      <c r="AG612" s="358"/>
      <c r="AH612" s="358"/>
      <c r="AI612" s="358"/>
      <c r="AJ612" s="358"/>
      <c r="AK612" s="358"/>
      <c r="AL612" s="358"/>
      <c r="AM612" s="358"/>
      <c r="AN612" s="358"/>
      <c r="AO612" s="358"/>
      <c r="AP612" s="358"/>
      <c r="AQ612" s="358"/>
      <c r="AR612" s="358"/>
      <c r="AS612" s="358"/>
      <c r="AT612" s="358"/>
      <c r="AU612" s="358"/>
      <c r="AV612" s="358"/>
      <c r="AW612" s="358"/>
      <c r="AX612" s="358"/>
      <c r="AY612" s="358"/>
      <c r="AZ612" s="358"/>
      <c r="BA612" s="358"/>
      <c r="BB612" s="358"/>
      <c r="BC612" s="358"/>
      <c r="BD612" s="358"/>
      <c r="BE612" s="358"/>
      <c r="BF612" s="358"/>
      <c r="BG612" s="358"/>
      <c r="BH612" s="358"/>
      <c r="BI612" s="358"/>
      <c r="BJ612" s="358"/>
      <c r="BK612" s="358"/>
      <c r="BL612" s="358"/>
      <c r="BM612" s="358"/>
      <c r="BN612" s="358"/>
      <c r="BO612" s="358"/>
      <c r="BP612" s="358"/>
      <c r="BQ612" s="358"/>
      <c r="BR612" s="358"/>
      <c r="BS612" s="358"/>
      <c r="BT612" s="358"/>
      <c r="BU612" s="358"/>
      <c r="BV612" s="358"/>
    </row>
    <row r="613" spans="2:74" x14ac:dyDescent="0.2">
      <c r="B613" s="358"/>
      <c r="D613" s="358"/>
      <c r="E613" s="358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8"/>
      <c r="AA613" s="358"/>
      <c r="AB613" s="358"/>
      <c r="AC613" s="358"/>
      <c r="AD613" s="358"/>
      <c r="AE613" s="358"/>
      <c r="AF613" s="358"/>
      <c r="AG613" s="358"/>
      <c r="AH613" s="358"/>
      <c r="AI613" s="358"/>
      <c r="AJ613" s="358"/>
      <c r="AK613" s="358"/>
      <c r="AL613" s="358"/>
      <c r="AM613" s="358"/>
      <c r="AN613" s="358"/>
      <c r="AO613" s="358"/>
      <c r="AP613" s="358"/>
      <c r="AQ613" s="358"/>
      <c r="AR613" s="358"/>
      <c r="AS613" s="358"/>
      <c r="AT613" s="358"/>
      <c r="AU613" s="358"/>
      <c r="AV613" s="358"/>
      <c r="AW613" s="358"/>
      <c r="AX613" s="358"/>
      <c r="AY613" s="358"/>
      <c r="AZ613" s="358"/>
      <c r="BA613" s="358"/>
      <c r="BB613" s="358"/>
      <c r="BC613" s="358"/>
      <c r="BD613" s="358"/>
      <c r="BE613" s="358"/>
      <c r="BF613" s="358"/>
      <c r="BG613" s="358"/>
      <c r="BH613" s="358"/>
      <c r="BI613" s="358"/>
      <c r="BJ613" s="358"/>
      <c r="BK613" s="358"/>
      <c r="BL613" s="358"/>
      <c r="BM613" s="358"/>
      <c r="BN613" s="358"/>
      <c r="BO613" s="358"/>
      <c r="BP613" s="358"/>
      <c r="BQ613" s="358"/>
      <c r="BR613" s="358"/>
      <c r="BS613" s="358"/>
      <c r="BT613" s="358"/>
      <c r="BU613" s="358"/>
      <c r="BV613" s="358"/>
    </row>
    <row r="614" spans="2:74" x14ac:dyDescent="0.2">
      <c r="B614" s="358"/>
      <c r="D614" s="358"/>
      <c r="E614" s="358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  <c r="AI614" s="358"/>
      <c r="AJ614" s="358"/>
      <c r="AK614" s="358"/>
      <c r="AL614" s="358"/>
      <c r="AM614" s="358"/>
      <c r="AN614" s="358"/>
      <c r="AO614" s="358"/>
      <c r="AP614" s="358"/>
      <c r="AQ614" s="358"/>
      <c r="AR614" s="358"/>
      <c r="AS614" s="358"/>
      <c r="AT614" s="358"/>
      <c r="AU614" s="358"/>
      <c r="AV614" s="358"/>
      <c r="AW614" s="358"/>
      <c r="AX614" s="358"/>
      <c r="AY614" s="358"/>
      <c r="AZ614" s="358"/>
      <c r="BA614" s="358"/>
      <c r="BB614" s="358"/>
      <c r="BC614" s="358"/>
      <c r="BD614" s="358"/>
      <c r="BE614" s="358"/>
      <c r="BF614" s="358"/>
      <c r="BG614" s="358"/>
      <c r="BH614" s="358"/>
      <c r="BI614" s="358"/>
      <c r="BJ614" s="358"/>
      <c r="BK614" s="358"/>
      <c r="BL614" s="358"/>
      <c r="BM614" s="358"/>
      <c r="BN614" s="358"/>
      <c r="BO614" s="358"/>
      <c r="BP614" s="358"/>
      <c r="BQ614" s="358"/>
      <c r="BR614" s="358"/>
      <c r="BS614" s="358"/>
      <c r="BT614" s="358"/>
      <c r="BU614" s="358"/>
      <c r="BV614" s="358"/>
    </row>
    <row r="615" spans="2:74" x14ac:dyDescent="0.2">
      <c r="B615" s="358"/>
      <c r="D615" s="358"/>
      <c r="E615" s="358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  <c r="AA615" s="358"/>
      <c r="AB615" s="358"/>
      <c r="AC615" s="358"/>
      <c r="AD615" s="358"/>
      <c r="AE615" s="358"/>
      <c r="AF615" s="358"/>
      <c r="AG615" s="358"/>
      <c r="AH615" s="358"/>
      <c r="AI615" s="358"/>
      <c r="AJ615" s="358"/>
      <c r="AK615" s="358"/>
      <c r="AL615" s="358"/>
      <c r="AM615" s="358"/>
      <c r="AN615" s="358"/>
      <c r="AO615" s="358"/>
      <c r="AP615" s="358"/>
      <c r="AQ615" s="358"/>
      <c r="AR615" s="358"/>
      <c r="AS615" s="358"/>
      <c r="AT615" s="358"/>
      <c r="AU615" s="358"/>
      <c r="AV615" s="358"/>
      <c r="AW615" s="358"/>
      <c r="AX615" s="358"/>
      <c r="AY615" s="358"/>
      <c r="AZ615" s="358"/>
      <c r="BA615" s="358"/>
      <c r="BB615" s="358"/>
      <c r="BC615" s="358"/>
      <c r="BD615" s="358"/>
      <c r="BE615" s="358"/>
      <c r="BF615" s="358"/>
      <c r="BG615" s="358"/>
      <c r="BH615" s="358"/>
      <c r="BI615" s="358"/>
      <c r="BJ615" s="358"/>
      <c r="BK615" s="358"/>
      <c r="BL615" s="358"/>
      <c r="BM615" s="358"/>
      <c r="BN615" s="358"/>
      <c r="BO615" s="358"/>
      <c r="BP615" s="358"/>
      <c r="BQ615" s="358"/>
      <c r="BR615" s="358"/>
      <c r="BS615" s="358"/>
      <c r="BT615" s="358"/>
      <c r="BU615" s="358"/>
      <c r="BV615" s="358"/>
    </row>
    <row r="616" spans="2:74" x14ac:dyDescent="0.2">
      <c r="B616" s="358"/>
      <c r="D616" s="358"/>
      <c r="E616" s="358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  <c r="AA616" s="358"/>
      <c r="AB616" s="358"/>
      <c r="AC616" s="358"/>
      <c r="AD616" s="358"/>
      <c r="AE616" s="358"/>
      <c r="AF616" s="358"/>
      <c r="AG616" s="358"/>
      <c r="AH616" s="358"/>
      <c r="AI616" s="358"/>
      <c r="AJ616" s="358"/>
      <c r="AK616" s="358"/>
      <c r="AL616" s="358"/>
      <c r="AM616" s="358"/>
      <c r="AN616" s="358"/>
      <c r="AO616" s="358"/>
      <c r="AP616" s="358"/>
      <c r="AQ616" s="358"/>
      <c r="AR616" s="358"/>
      <c r="AS616" s="358"/>
      <c r="AT616" s="358"/>
      <c r="AU616" s="358"/>
      <c r="AV616" s="358"/>
      <c r="AW616" s="358"/>
      <c r="AX616" s="358"/>
      <c r="AY616" s="358"/>
      <c r="AZ616" s="358"/>
      <c r="BA616" s="358"/>
      <c r="BB616" s="358"/>
      <c r="BC616" s="358"/>
      <c r="BD616" s="358"/>
      <c r="BE616" s="358"/>
      <c r="BF616" s="358"/>
      <c r="BG616" s="358"/>
      <c r="BH616" s="358"/>
      <c r="BI616" s="358"/>
      <c r="BJ616" s="358"/>
      <c r="BK616" s="358"/>
      <c r="BL616" s="358"/>
      <c r="BM616" s="358"/>
      <c r="BN616" s="358"/>
      <c r="BO616" s="358"/>
      <c r="BP616" s="358"/>
      <c r="BQ616" s="358"/>
      <c r="BR616" s="358"/>
      <c r="BS616" s="358"/>
      <c r="BT616" s="358"/>
      <c r="BU616" s="358"/>
      <c r="BV616" s="358"/>
    </row>
    <row r="617" spans="2:74" x14ac:dyDescent="0.2">
      <c r="B617" s="358"/>
      <c r="D617" s="358"/>
      <c r="E617" s="358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8"/>
      <c r="AA617" s="358"/>
      <c r="AB617" s="358"/>
      <c r="AC617" s="358"/>
      <c r="AD617" s="358"/>
      <c r="AE617" s="358"/>
      <c r="AF617" s="358"/>
      <c r="AG617" s="358"/>
      <c r="AH617" s="358"/>
      <c r="AI617" s="358"/>
      <c r="AJ617" s="358"/>
      <c r="AK617" s="358"/>
      <c r="AL617" s="358"/>
      <c r="AM617" s="358"/>
      <c r="AN617" s="358"/>
      <c r="AO617" s="358"/>
      <c r="AP617" s="358"/>
      <c r="AQ617" s="358"/>
      <c r="AR617" s="358"/>
      <c r="AS617" s="358"/>
      <c r="AT617" s="358"/>
      <c r="AU617" s="358"/>
      <c r="AV617" s="358"/>
      <c r="AW617" s="358"/>
      <c r="AX617" s="358"/>
      <c r="AY617" s="358"/>
      <c r="AZ617" s="358"/>
      <c r="BA617" s="358"/>
      <c r="BB617" s="358"/>
      <c r="BC617" s="358"/>
      <c r="BD617" s="358"/>
      <c r="BE617" s="358"/>
      <c r="BF617" s="358"/>
      <c r="BG617" s="358"/>
      <c r="BH617" s="358"/>
      <c r="BI617" s="358"/>
      <c r="BJ617" s="358"/>
      <c r="BK617" s="358"/>
      <c r="BL617" s="358"/>
      <c r="BM617" s="358"/>
      <c r="BN617" s="358"/>
      <c r="BO617" s="358"/>
      <c r="BP617" s="358"/>
      <c r="BQ617" s="358"/>
      <c r="BR617" s="358"/>
      <c r="BS617" s="358"/>
      <c r="BT617" s="358"/>
      <c r="BU617" s="358"/>
      <c r="BV617" s="358"/>
    </row>
    <row r="618" spans="2:74" x14ac:dyDescent="0.2">
      <c r="B618" s="358"/>
      <c r="D618" s="358"/>
      <c r="E618" s="358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  <c r="AA618" s="358"/>
      <c r="AB618" s="358"/>
      <c r="AC618" s="358"/>
      <c r="AD618" s="358"/>
      <c r="AE618" s="358"/>
      <c r="AF618" s="358"/>
      <c r="AG618" s="358"/>
      <c r="AH618" s="358"/>
      <c r="AI618" s="358"/>
      <c r="AJ618" s="358"/>
      <c r="AK618" s="358"/>
      <c r="AL618" s="358"/>
      <c r="AM618" s="358"/>
      <c r="AN618" s="358"/>
      <c r="AO618" s="358"/>
      <c r="AP618" s="358"/>
      <c r="AQ618" s="358"/>
      <c r="AR618" s="358"/>
      <c r="AS618" s="358"/>
      <c r="AT618" s="358"/>
      <c r="AU618" s="358"/>
      <c r="AV618" s="358"/>
      <c r="AW618" s="358"/>
      <c r="AX618" s="358"/>
      <c r="AY618" s="358"/>
      <c r="AZ618" s="358"/>
      <c r="BA618" s="358"/>
      <c r="BB618" s="358"/>
      <c r="BC618" s="358"/>
      <c r="BD618" s="358"/>
      <c r="BE618" s="358"/>
      <c r="BF618" s="358"/>
      <c r="BG618" s="358"/>
      <c r="BH618" s="358"/>
      <c r="BI618" s="358"/>
      <c r="BJ618" s="358"/>
      <c r="BK618" s="358"/>
      <c r="BL618" s="358"/>
      <c r="BM618" s="358"/>
      <c r="BN618" s="358"/>
      <c r="BO618" s="358"/>
      <c r="BP618" s="358"/>
      <c r="BQ618" s="358"/>
      <c r="BR618" s="358"/>
      <c r="BS618" s="358"/>
      <c r="BT618" s="358"/>
      <c r="BU618" s="358"/>
      <c r="BV618" s="358"/>
    </row>
    <row r="619" spans="2:74" x14ac:dyDescent="0.2">
      <c r="B619" s="358"/>
      <c r="D619" s="358"/>
      <c r="E619" s="358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8"/>
      <c r="AA619" s="358"/>
      <c r="AB619" s="358"/>
      <c r="AC619" s="358"/>
      <c r="AD619" s="358"/>
      <c r="AE619" s="358"/>
      <c r="AF619" s="358"/>
      <c r="AG619" s="358"/>
      <c r="AH619" s="358"/>
      <c r="AI619" s="358"/>
      <c r="AJ619" s="358"/>
      <c r="AK619" s="358"/>
      <c r="AL619" s="358"/>
      <c r="AM619" s="358"/>
      <c r="AN619" s="358"/>
      <c r="AO619" s="358"/>
      <c r="AP619" s="358"/>
      <c r="AQ619" s="358"/>
      <c r="AR619" s="358"/>
      <c r="AS619" s="358"/>
      <c r="AT619" s="358"/>
      <c r="AU619" s="358"/>
      <c r="AV619" s="358"/>
      <c r="AW619" s="358"/>
      <c r="AX619" s="358"/>
      <c r="AY619" s="358"/>
      <c r="AZ619" s="358"/>
      <c r="BA619" s="358"/>
      <c r="BB619" s="358"/>
      <c r="BC619" s="358"/>
      <c r="BD619" s="358"/>
      <c r="BE619" s="358"/>
      <c r="BF619" s="358"/>
      <c r="BG619" s="358"/>
      <c r="BH619" s="358"/>
      <c r="BI619" s="358"/>
      <c r="BJ619" s="358"/>
      <c r="BK619" s="358"/>
      <c r="BL619" s="358"/>
      <c r="BM619" s="358"/>
      <c r="BN619" s="358"/>
      <c r="BO619" s="358"/>
      <c r="BP619" s="358"/>
      <c r="BQ619" s="358"/>
      <c r="BR619" s="358"/>
      <c r="BS619" s="358"/>
      <c r="BT619" s="358"/>
      <c r="BU619" s="358"/>
      <c r="BV619" s="358"/>
    </row>
    <row r="620" spans="2:74" x14ac:dyDescent="0.2">
      <c r="B620" s="358"/>
      <c r="D620" s="358"/>
      <c r="E620" s="358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  <c r="AA620" s="358"/>
      <c r="AB620" s="358"/>
      <c r="AC620" s="358"/>
      <c r="AD620" s="358"/>
      <c r="AE620" s="358"/>
      <c r="AF620" s="358"/>
      <c r="AG620" s="358"/>
      <c r="AH620" s="358"/>
      <c r="AI620" s="358"/>
      <c r="AJ620" s="358"/>
      <c r="AK620" s="358"/>
      <c r="AL620" s="358"/>
      <c r="AM620" s="358"/>
      <c r="AN620" s="358"/>
      <c r="AO620" s="358"/>
      <c r="AP620" s="358"/>
      <c r="AQ620" s="358"/>
      <c r="AR620" s="358"/>
      <c r="AS620" s="358"/>
      <c r="AT620" s="358"/>
      <c r="AU620" s="358"/>
      <c r="AV620" s="358"/>
      <c r="AW620" s="358"/>
      <c r="AX620" s="358"/>
      <c r="AY620" s="358"/>
      <c r="AZ620" s="358"/>
      <c r="BA620" s="358"/>
      <c r="BB620" s="358"/>
      <c r="BC620" s="358"/>
      <c r="BD620" s="358"/>
      <c r="BE620" s="358"/>
      <c r="BF620" s="358"/>
      <c r="BG620" s="358"/>
      <c r="BH620" s="358"/>
      <c r="BI620" s="358"/>
      <c r="BJ620" s="358"/>
      <c r="BK620" s="358"/>
      <c r="BL620" s="358"/>
      <c r="BM620" s="358"/>
      <c r="BN620" s="358"/>
      <c r="BO620" s="358"/>
      <c r="BP620" s="358"/>
      <c r="BQ620" s="358"/>
      <c r="BR620" s="358"/>
      <c r="BS620" s="358"/>
      <c r="BT620" s="358"/>
      <c r="BU620" s="358"/>
      <c r="BV620" s="358"/>
    </row>
    <row r="621" spans="2:74" x14ac:dyDescent="0.2">
      <c r="B621" s="358"/>
      <c r="D621" s="358"/>
      <c r="E621" s="358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8"/>
      <c r="AA621" s="358"/>
      <c r="AB621" s="358"/>
      <c r="AC621" s="358"/>
      <c r="AD621" s="358"/>
      <c r="AE621" s="358"/>
      <c r="AF621" s="358"/>
      <c r="AG621" s="358"/>
      <c r="AH621" s="358"/>
      <c r="AI621" s="358"/>
      <c r="AJ621" s="358"/>
      <c r="AK621" s="358"/>
      <c r="AL621" s="358"/>
      <c r="AM621" s="358"/>
      <c r="AN621" s="358"/>
      <c r="AO621" s="358"/>
      <c r="AP621" s="358"/>
      <c r="AQ621" s="358"/>
      <c r="AR621" s="358"/>
      <c r="AS621" s="358"/>
      <c r="AT621" s="358"/>
      <c r="AU621" s="358"/>
      <c r="AV621" s="358"/>
      <c r="AW621" s="358"/>
      <c r="AX621" s="358"/>
      <c r="AY621" s="358"/>
      <c r="AZ621" s="358"/>
      <c r="BA621" s="358"/>
      <c r="BB621" s="358"/>
      <c r="BC621" s="358"/>
      <c r="BD621" s="358"/>
      <c r="BE621" s="358"/>
      <c r="BF621" s="358"/>
      <c r="BG621" s="358"/>
      <c r="BH621" s="358"/>
      <c r="BI621" s="358"/>
      <c r="BJ621" s="358"/>
      <c r="BK621" s="358"/>
      <c r="BL621" s="358"/>
      <c r="BM621" s="358"/>
      <c r="BN621" s="358"/>
      <c r="BO621" s="358"/>
      <c r="BP621" s="358"/>
      <c r="BQ621" s="358"/>
      <c r="BR621" s="358"/>
      <c r="BS621" s="358"/>
      <c r="BT621" s="358"/>
      <c r="BU621" s="358"/>
      <c r="BV621" s="358"/>
    </row>
    <row r="622" spans="2:74" x14ac:dyDescent="0.2">
      <c r="B622" s="358"/>
      <c r="D622" s="358"/>
      <c r="E622" s="358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  <c r="AA622" s="358"/>
      <c r="AB622" s="358"/>
      <c r="AC622" s="358"/>
      <c r="AD622" s="358"/>
      <c r="AE622" s="358"/>
      <c r="AF622" s="358"/>
      <c r="AG622" s="358"/>
      <c r="AH622" s="358"/>
      <c r="AI622" s="358"/>
      <c r="AJ622" s="358"/>
      <c r="AK622" s="358"/>
      <c r="AL622" s="358"/>
      <c r="AM622" s="358"/>
      <c r="AN622" s="358"/>
      <c r="AO622" s="358"/>
      <c r="AP622" s="358"/>
      <c r="AQ622" s="358"/>
      <c r="AR622" s="358"/>
      <c r="AS622" s="358"/>
      <c r="AT622" s="358"/>
      <c r="AU622" s="358"/>
      <c r="AV622" s="358"/>
      <c r="AW622" s="358"/>
      <c r="AX622" s="358"/>
      <c r="AY622" s="358"/>
      <c r="AZ622" s="358"/>
      <c r="BA622" s="358"/>
      <c r="BB622" s="358"/>
      <c r="BC622" s="358"/>
      <c r="BD622" s="358"/>
      <c r="BE622" s="358"/>
      <c r="BF622" s="358"/>
      <c r="BG622" s="358"/>
      <c r="BH622" s="358"/>
      <c r="BI622" s="358"/>
      <c r="BJ622" s="358"/>
      <c r="BK622" s="358"/>
      <c r="BL622" s="358"/>
      <c r="BM622" s="358"/>
      <c r="BN622" s="358"/>
      <c r="BO622" s="358"/>
      <c r="BP622" s="358"/>
      <c r="BQ622" s="358"/>
      <c r="BR622" s="358"/>
      <c r="BS622" s="358"/>
      <c r="BT622" s="358"/>
      <c r="BU622" s="358"/>
      <c r="BV622" s="358"/>
    </row>
    <row r="623" spans="2:74" x14ac:dyDescent="0.2">
      <c r="B623" s="358"/>
      <c r="D623" s="358"/>
      <c r="E623" s="358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8"/>
      <c r="AA623" s="358"/>
      <c r="AB623" s="358"/>
      <c r="AC623" s="358"/>
      <c r="AD623" s="358"/>
      <c r="AE623" s="358"/>
      <c r="AF623" s="358"/>
      <c r="AG623" s="358"/>
      <c r="AH623" s="358"/>
      <c r="AI623" s="358"/>
      <c r="AJ623" s="358"/>
      <c r="AK623" s="358"/>
      <c r="AL623" s="358"/>
      <c r="AM623" s="358"/>
      <c r="AN623" s="358"/>
      <c r="AO623" s="358"/>
      <c r="AP623" s="358"/>
      <c r="AQ623" s="358"/>
      <c r="AR623" s="358"/>
      <c r="AS623" s="358"/>
      <c r="AT623" s="358"/>
      <c r="AU623" s="358"/>
      <c r="AV623" s="358"/>
      <c r="AW623" s="358"/>
      <c r="AX623" s="358"/>
      <c r="AY623" s="358"/>
      <c r="AZ623" s="358"/>
      <c r="BA623" s="358"/>
      <c r="BB623" s="358"/>
      <c r="BC623" s="358"/>
      <c r="BD623" s="358"/>
      <c r="BE623" s="358"/>
      <c r="BF623" s="358"/>
      <c r="BG623" s="358"/>
      <c r="BH623" s="358"/>
      <c r="BI623" s="358"/>
      <c r="BJ623" s="358"/>
      <c r="BK623" s="358"/>
      <c r="BL623" s="358"/>
      <c r="BM623" s="358"/>
      <c r="BN623" s="358"/>
      <c r="BO623" s="358"/>
      <c r="BP623" s="358"/>
      <c r="BQ623" s="358"/>
      <c r="BR623" s="358"/>
      <c r="BS623" s="358"/>
      <c r="BT623" s="358"/>
      <c r="BU623" s="358"/>
      <c r="BV623" s="358"/>
    </row>
    <row r="624" spans="2:74" x14ac:dyDescent="0.2">
      <c r="B624" s="358"/>
      <c r="D624" s="358"/>
      <c r="E624" s="358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  <c r="AA624" s="358"/>
      <c r="AB624" s="358"/>
      <c r="AC624" s="358"/>
      <c r="AD624" s="358"/>
      <c r="AE624" s="358"/>
      <c r="AF624" s="358"/>
      <c r="AG624" s="358"/>
      <c r="AH624" s="358"/>
      <c r="AI624" s="358"/>
      <c r="AJ624" s="358"/>
      <c r="AK624" s="358"/>
      <c r="AL624" s="358"/>
      <c r="AM624" s="358"/>
      <c r="AN624" s="358"/>
      <c r="AO624" s="358"/>
      <c r="AP624" s="358"/>
      <c r="AQ624" s="358"/>
      <c r="AR624" s="358"/>
      <c r="AS624" s="358"/>
      <c r="AT624" s="358"/>
      <c r="AU624" s="358"/>
      <c r="AV624" s="358"/>
      <c r="AW624" s="358"/>
      <c r="AX624" s="358"/>
      <c r="AY624" s="358"/>
      <c r="AZ624" s="358"/>
      <c r="BA624" s="358"/>
      <c r="BB624" s="358"/>
      <c r="BC624" s="358"/>
      <c r="BD624" s="358"/>
      <c r="BE624" s="358"/>
      <c r="BF624" s="358"/>
      <c r="BG624" s="358"/>
      <c r="BH624" s="358"/>
      <c r="BI624" s="358"/>
      <c r="BJ624" s="358"/>
      <c r="BK624" s="358"/>
      <c r="BL624" s="358"/>
      <c r="BM624" s="358"/>
      <c r="BN624" s="358"/>
      <c r="BO624" s="358"/>
      <c r="BP624" s="358"/>
      <c r="BQ624" s="358"/>
      <c r="BR624" s="358"/>
      <c r="BS624" s="358"/>
      <c r="BT624" s="358"/>
      <c r="BU624" s="358"/>
      <c r="BV624" s="358"/>
    </row>
    <row r="625" spans="2:74" x14ac:dyDescent="0.2">
      <c r="B625" s="358"/>
      <c r="D625" s="358"/>
      <c r="E625" s="358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8"/>
      <c r="AA625" s="358"/>
      <c r="AB625" s="358"/>
      <c r="AC625" s="358"/>
      <c r="AD625" s="358"/>
      <c r="AE625" s="358"/>
      <c r="AF625" s="358"/>
      <c r="AG625" s="358"/>
      <c r="AH625" s="358"/>
      <c r="AI625" s="358"/>
      <c r="AJ625" s="358"/>
      <c r="AK625" s="358"/>
      <c r="AL625" s="358"/>
      <c r="AM625" s="358"/>
      <c r="AN625" s="358"/>
      <c r="AO625" s="358"/>
      <c r="AP625" s="358"/>
      <c r="AQ625" s="358"/>
      <c r="AR625" s="358"/>
      <c r="AS625" s="358"/>
      <c r="AT625" s="358"/>
      <c r="AU625" s="358"/>
      <c r="AV625" s="358"/>
      <c r="AW625" s="358"/>
      <c r="AX625" s="358"/>
      <c r="AY625" s="358"/>
      <c r="AZ625" s="358"/>
      <c r="BA625" s="358"/>
      <c r="BB625" s="358"/>
      <c r="BC625" s="358"/>
      <c r="BD625" s="358"/>
      <c r="BE625" s="358"/>
      <c r="BF625" s="358"/>
      <c r="BG625" s="358"/>
      <c r="BH625" s="358"/>
      <c r="BI625" s="358"/>
      <c r="BJ625" s="358"/>
      <c r="BK625" s="358"/>
      <c r="BL625" s="358"/>
      <c r="BM625" s="358"/>
      <c r="BN625" s="358"/>
      <c r="BO625" s="358"/>
      <c r="BP625" s="358"/>
      <c r="BQ625" s="358"/>
      <c r="BR625" s="358"/>
      <c r="BS625" s="358"/>
      <c r="BT625" s="358"/>
      <c r="BU625" s="358"/>
      <c r="BV625" s="358"/>
    </row>
    <row r="626" spans="2:74" x14ac:dyDescent="0.2">
      <c r="B626" s="358"/>
      <c r="D626" s="358"/>
      <c r="E626" s="358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  <c r="AA626" s="358"/>
      <c r="AB626" s="358"/>
      <c r="AC626" s="358"/>
      <c r="AD626" s="358"/>
      <c r="AE626" s="358"/>
      <c r="AF626" s="358"/>
      <c r="AG626" s="358"/>
      <c r="AH626" s="358"/>
      <c r="AI626" s="358"/>
      <c r="AJ626" s="358"/>
      <c r="AK626" s="358"/>
      <c r="AL626" s="358"/>
      <c r="AM626" s="358"/>
      <c r="AN626" s="358"/>
      <c r="AO626" s="358"/>
      <c r="AP626" s="358"/>
      <c r="AQ626" s="358"/>
      <c r="AR626" s="358"/>
      <c r="AS626" s="358"/>
      <c r="AT626" s="358"/>
      <c r="AU626" s="358"/>
      <c r="AV626" s="358"/>
      <c r="AW626" s="358"/>
      <c r="AX626" s="358"/>
      <c r="AY626" s="358"/>
      <c r="AZ626" s="358"/>
      <c r="BA626" s="358"/>
      <c r="BB626" s="358"/>
      <c r="BC626" s="358"/>
      <c r="BD626" s="358"/>
      <c r="BE626" s="358"/>
      <c r="BF626" s="358"/>
      <c r="BG626" s="358"/>
      <c r="BH626" s="358"/>
      <c r="BI626" s="358"/>
      <c r="BJ626" s="358"/>
      <c r="BK626" s="358"/>
      <c r="BL626" s="358"/>
      <c r="BM626" s="358"/>
      <c r="BN626" s="358"/>
      <c r="BO626" s="358"/>
      <c r="BP626" s="358"/>
      <c r="BQ626" s="358"/>
      <c r="BR626" s="358"/>
      <c r="BS626" s="358"/>
      <c r="BT626" s="358"/>
      <c r="BU626" s="358"/>
      <c r="BV626" s="358"/>
    </row>
    <row r="627" spans="2:74" x14ac:dyDescent="0.2">
      <c r="B627" s="358"/>
      <c r="D627" s="358"/>
      <c r="E627" s="358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8"/>
      <c r="AA627" s="358"/>
      <c r="AB627" s="358"/>
      <c r="AC627" s="358"/>
      <c r="AD627" s="358"/>
      <c r="AE627" s="358"/>
      <c r="AF627" s="358"/>
      <c r="AG627" s="358"/>
      <c r="AH627" s="358"/>
      <c r="AI627" s="358"/>
      <c r="AJ627" s="358"/>
      <c r="AK627" s="358"/>
      <c r="AL627" s="358"/>
      <c r="AM627" s="358"/>
      <c r="AN627" s="358"/>
      <c r="AO627" s="358"/>
      <c r="AP627" s="358"/>
      <c r="AQ627" s="358"/>
      <c r="AR627" s="358"/>
      <c r="AS627" s="358"/>
      <c r="AT627" s="358"/>
      <c r="AU627" s="358"/>
      <c r="AV627" s="358"/>
      <c r="AW627" s="358"/>
      <c r="AX627" s="358"/>
      <c r="AY627" s="358"/>
      <c r="AZ627" s="358"/>
      <c r="BA627" s="358"/>
      <c r="BB627" s="358"/>
      <c r="BC627" s="358"/>
      <c r="BD627" s="358"/>
      <c r="BE627" s="358"/>
      <c r="BF627" s="358"/>
      <c r="BG627" s="358"/>
      <c r="BH627" s="358"/>
      <c r="BI627" s="358"/>
      <c r="BJ627" s="358"/>
      <c r="BK627" s="358"/>
      <c r="BL627" s="358"/>
      <c r="BM627" s="358"/>
      <c r="BN627" s="358"/>
      <c r="BO627" s="358"/>
      <c r="BP627" s="358"/>
      <c r="BQ627" s="358"/>
      <c r="BR627" s="358"/>
      <c r="BS627" s="358"/>
      <c r="BT627" s="358"/>
      <c r="BU627" s="358"/>
      <c r="BV627" s="358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scale="45" orientation="landscape" horizontalDpi="300" verticalDpi="300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631"/>
  <sheetViews>
    <sheetView view="pageBreakPreview" topLeftCell="F1" zoomScale="106" zoomScaleNormal="100" zoomScaleSheetLayoutView="106" workbookViewId="0">
      <selection activeCell="O27" sqref="O27"/>
    </sheetView>
  </sheetViews>
  <sheetFormatPr defaultRowHeight="12.75" x14ac:dyDescent="0.2"/>
  <cols>
    <col min="1" max="1" width="2.85546875" style="359" customWidth="1"/>
    <col min="2" max="2" width="3.28515625" style="359" customWidth="1"/>
    <col min="3" max="3" width="69.28515625" style="358" customWidth="1"/>
    <col min="4" max="4" width="6" style="359" customWidth="1"/>
    <col min="5" max="9" width="13.5703125" style="359" customWidth="1"/>
    <col min="10" max="14" width="13.5703125" style="359" hidden="1" customWidth="1"/>
    <col min="15" max="15" width="12.7109375" style="359" customWidth="1"/>
    <col min="16" max="17" width="11.28515625" style="359" customWidth="1"/>
    <col min="18" max="18" width="12.7109375" style="359" customWidth="1"/>
    <col min="19" max="19" width="13.140625" style="359" customWidth="1"/>
    <col min="20" max="22" width="11.28515625" style="359" hidden="1" customWidth="1"/>
    <col min="23" max="24" width="12.7109375" style="359" hidden="1" customWidth="1"/>
    <col min="25" max="27" width="11.28515625" style="359" hidden="1" customWidth="1"/>
    <col min="28" max="28" width="12.7109375" style="359" hidden="1" customWidth="1"/>
    <col min="29" max="29" width="11.28515625" style="359" hidden="1" customWidth="1"/>
    <col min="30" max="30" width="12.28515625" style="359" hidden="1" customWidth="1"/>
    <col min="31" max="31" width="12.7109375" style="359" hidden="1" customWidth="1"/>
    <col min="32" max="32" width="11.28515625" style="359" hidden="1" customWidth="1"/>
    <col min="33" max="33" width="12.7109375" style="359" hidden="1" customWidth="1"/>
    <col min="34" max="34" width="10.85546875" style="359" hidden="1" customWidth="1"/>
    <col min="35" max="35" width="11.28515625" style="359" hidden="1" customWidth="1"/>
    <col min="36" max="36" width="13.5703125" style="359" hidden="1" customWidth="1"/>
    <col min="37" max="37" width="11.28515625" style="359" hidden="1" customWidth="1"/>
    <col min="38" max="38" width="13.28515625" style="359" hidden="1" customWidth="1"/>
    <col min="39" max="42" width="11.28515625" style="359" hidden="1" customWidth="1"/>
    <col min="43" max="43" width="12.7109375" style="359" hidden="1" customWidth="1"/>
    <col min="44" max="47" width="11.28515625" style="359" hidden="1" customWidth="1"/>
    <col min="48" max="48" width="12.7109375" style="359" hidden="1" customWidth="1"/>
    <col min="49" max="52" width="11.28515625" style="359" hidden="1" customWidth="1"/>
    <col min="53" max="53" width="12.7109375" style="359" hidden="1" customWidth="1"/>
    <col min="54" max="57" width="11.28515625" style="359" hidden="1" customWidth="1"/>
    <col min="58" max="58" width="12.7109375" style="359" hidden="1" customWidth="1"/>
    <col min="59" max="62" width="11.28515625" style="359" hidden="1" customWidth="1"/>
    <col min="63" max="63" width="13.140625" style="359" hidden="1" customWidth="1"/>
    <col min="64" max="64" width="11.28515625" style="359" hidden="1" customWidth="1"/>
    <col min="65" max="66" width="12.85546875" style="359" hidden="1" customWidth="1"/>
    <col min="67" max="67" width="12" style="359" hidden="1" customWidth="1"/>
    <col min="68" max="68" width="13.140625" style="359" hidden="1" customWidth="1"/>
    <col min="69" max="69" width="12.85546875" style="359" hidden="1" customWidth="1"/>
    <col min="70" max="70" width="12.7109375" style="359" customWidth="1"/>
    <col min="71" max="71" width="13.140625" style="359" customWidth="1"/>
    <col min="72" max="72" width="11.28515625" style="359" customWidth="1"/>
    <col min="73" max="73" width="12.7109375" style="359" customWidth="1"/>
    <col min="74" max="74" width="12.5703125" style="359" customWidth="1"/>
    <col min="75" max="75" width="3.28515625" style="359" customWidth="1"/>
    <col min="76" max="76" width="7.85546875" style="359" hidden="1" customWidth="1"/>
    <col min="77" max="77" width="3.28515625" style="359" customWidth="1"/>
    <col min="78" max="78" width="9.85546875" style="359" bestFit="1" customWidth="1"/>
    <col min="79" max="79" width="9.5703125" style="359" bestFit="1" customWidth="1"/>
    <col min="80" max="256" width="9.140625" style="359"/>
    <col min="257" max="257" width="2.85546875" style="359" customWidth="1"/>
    <col min="258" max="258" width="3.28515625" style="359" customWidth="1"/>
    <col min="259" max="259" width="69.28515625" style="359" customWidth="1"/>
    <col min="260" max="260" width="6" style="359" customWidth="1"/>
    <col min="261" max="270" width="13.5703125" style="359" customWidth="1"/>
    <col min="271" max="271" width="12.7109375" style="359" customWidth="1"/>
    <col min="272" max="273" width="11.28515625" style="359" customWidth="1"/>
    <col min="274" max="274" width="12.7109375" style="359" customWidth="1"/>
    <col min="275" max="275" width="13.140625" style="359" customWidth="1"/>
    <col min="276" max="325" width="0" style="359" hidden="1" customWidth="1"/>
    <col min="326" max="326" width="12.7109375" style="359" customWidth="1"/>
    <col min="327" max="327" width="13.140625" style="359" customWidth="1"/>
    <col min="328" max="328" width="11.28515625" style="359" customWidth="1"/>
    <col min="329" max="329" width="12.7109375" style="359" customWidth="1"/>
    <col min="330" max="330" width="12.5703125" style="359" customWidth="1"/>
    <col min="331" max="331" width="3.28515625" style="359" customWidth="1"/>
    <col min="332" max="332" width="0" style="359" hidden="1" customWidth="1"/>
    <col min="333" max="333" width="3.28515625" style="359" customWidth="1"/>
    <col min="334" max="334" width="9.85546875" style="359" bestFit="1" customWidth="1"/>
    <col min="335" max="335" width="9.5703125" style="359" bestFit="1" customWidth="1"/>
    <col min="336" max="512" width="9.140625" style="359"/>
    <col min="513" max="513" width="2.85546875" style="359" customWidth="1"/>
    <col min="514" max="514" width="3.28515625" style="359" customWidth="1"/>
    <col min="515" max="515" width="69.28515625" style="359" customWidth="1"/>
    <col min="516" max="516" width="6" style="359" customWidth="1"/>
    <col min="517" max="526" width="13.5703125" style="359" customWidth="1"/>
    <col min="527" max="527" width="12.7109375" style="359" customWidth="1"/>
    <col min="528" max="529" width="11.28515625" style="359" customWidth="1"/>
    <col min="530" max="530" width="12.7109375" style="359" customWidth="1"/>
    <col min="531" max="531" width="13.140625" style="359" customWidth="1"/>
    <col min="532" max="581" width="0" style="359" hidden="1" customWidth="1"/>
    <col min="582" max="582" width="12.7109375" style="359" customWidth="1"/>
    <col min="583" max="583" width="13.140625" style="359" customWidth="1"/>
    <col min="584" max="584" width="11.28515625" style="359" customWidth="1"/>
    <col min="585" max="585" width="12.7109375" style="359" customWidth="1"/>
    <col min="586" max="586" width="12.5703125" style="359" customWidth="1"/>
    <col min="587" max="587" width="3.28515625" style="359" customWidth="1"/>
    <col min="588" max="588" width="0" style="359" hidden="1" customWidth="1"/>
    <col min="589" max="589" width="3.28515625" style="359" customWidth="1"/>
    <col min="590" max="590" width="9.85546875" style="359" bestFit="1" customWidth="1"/>
    <col min="591" max="591" width="9.5703125" style="359" bestFit="1" customWidth="1"/>
    <col min="592" max="768" width="9.140625" style="359"/>
    <col min="769" max="769" width="2.85546875" style="359" customWidth="1"/>
    <col min="770" max="770" width="3.28515625" style="359" customWidth="1"/>
    <col min="771" max="771" width="69.28515625" style="359" customWidth="1"/>
    <col min="772" max="772" width="6" style="359" customWidth="1"/>
    <col min="773" max="782" width="13.5703125" style="359" customWidth="1"/>
    <col min="783" max="783" width="12.7109375" style="359" customWidth="1"/>
    <col min="784" max="785" width="11.28515625" style="359" customWidth="1"/>
    <col min="786" max="786" width="12.7109375" style="359" customWidth="1"/>
    <col min="787" max="787" width="13.140625" style="359" customWidth="1"/>
    <col min="788" max="837" width="0" style="359" hidden="1" customWidth="1"/>
    <col min="838" max="838" width="12.7109375" style="359" customWidth="1"/>
    <col min="839" max="839" width="13.140625" style="359" customWidth="1"/>
    <col min="840" max="840" width="11.28515625" style="359" customWidth="1"/>
    <col min="841" max="841" width="12.7109375" style="359" customWidth="1"/>
    <col min="842" max="842" width="12.5703125" style="359" customWidth="1"/>
    <col min="843" max="843" width="3.28515625" style="359" customWidth="1"/>
    <col min="844" max="844" width="0" style="359" hidden="1" customWidth="1"/>
    <col min="845" max="845" width="3.28515625" style="359" customWidth="1"/>
    <col min="846" max="846" width="9.85546875" style="359" bestFit="1" customWidth="1"/>
    <col min="847" max="847" width="9.5703125" style="359" bestFit="1" customWidth="1"/>
    <col min="848" max="1024" width="9.140625" style="359"/>
    <col min="1025" max="1025" width="2.85546875" style="359" customWidth="1"/>
    <col min="1026" max="1026" width="3.28515625" style="359" customWidth="1"/>
    <col min="1027" max="1027" width="69.28515625" style="359" customWidth="1"/>
    <col min="1028" max="1028" width="6" style="359" customWidth="1"/>
    <col min="1029" max="1038" width="13.5703125" style="359" customWidth="1"/>
    <col min="1039" max="1039" width="12.7109375" style="359" customWidth="1"/>
    <col min="1040" max="1041" width="11.28515625" style="359" customWidth="1"/>
    <col min="1042" max="1042" width="12.7109375" style="359" customWidth="1"/>
    <col min="1043" max="1043" width="13.140625" style="359" customWidth="1"/>
    <col min="1044" max="1093" width="0" style="359" hidden="1" customWidth="1"/>
    <col min="1094" max="1094" width="12.7109375" style="359" customWidth="1"/>
    <col min="1095" max="1095" width="13.140625" style="359" customWidth="1"/>
    <col min="1096" max="1096" width="11.28515625" style="359" customWidth="1"/>
    <col min="1097" max="1097" width="12.7109375" style="359" customWidth="1"/>
    <col min="1098" max="1098" width="12.5703125" style="359" customWidth="1"/>
    <col min="1099" max="1099" width="3.28515625" style="359" customWidth="1"/>
    <col min="1100" max="1100" width="0" style="359" hidden="1" customWidth="1"/>
    <col min="1101" max="1101" width="3.28515625" style="359" customWidth="1"/>
    <col min="1102" max="1102" width="9.85546875" style="359" bestFit="1" customWidth="1"/>
    <col min="1103" max="1103" width="9.5703125" style="359" bestFit="1" customWidth="1"/>
    <col min="1104" max="1280" width="9.140625" style="359"/>
    <col min="1281" max="1281" width="2.85546875" style="359" customWidth="1"/>
    <col min="1282" max="1282" width="3.28515625" style="359" customWidth="1"/>
    <col min="1283" max="1283" width="69.28515625" style="359" customWidth="1"/>
    <col min="1284" max="1284" width="6" style="359" customWidth="1"/>
    <col min="1285" max="1294" width="13.5703125" style="359" customWidth="1"/>
    <col min="1295" max="1295" width="12.7109375" style="359" customWidth="1"/>
    <col min="1296" max="1297" width="11.28515625" style="359" customWidth="1"/>
    <col min="1298" max="1298" width="12.7109375" style="359" customWidth="1"/>
    <col min="1299" max="1299" width="13.140625" style="359" customWidth="1"/>
    <col min="1300" max="1349" width="0" style="359" hidden="1" customWidth="1"/>
    <col min="1350" max="1350" width="12.7109375" style="359" customWidth="1"/>
    <col min="1351" max="1351" width="13.140625" style="359" customWidth="1"/>
    <col min="1352" max="1352" width="11.28515625" style="359" customWidth="1"/>
    <col min="1353" max="1353" width="12.7109375" style="359" customWidth="1"/>
    <col min="1354" max="1354" width="12.5703125" style="359" customWidth="1"/>
    <col min="1355" max="1355" width="3.28515625" style="359" customWidth="1"/>
    <col min="1356" max="1356" width="0" style="359" hidden="1" customWidth="1"/>
    <col min="1357" max="1357" width="3.28515625" style="359" customWidth="1"/>
    <col min="1358" max="1358" width="9.85546875" style="359" bestFit="1" customWidth="1"/>
    <col min="1359" max="1359" width="9.5703125" style="359" bestFit="1" customWidth="1"/>
    <col min="1360" max="1536" width="9.140625" style="359"/>
    <col min="1537" max="1537" width="2.85546875" style="359" customWidth="1"/>
    <col min="1538" max="1538" width="3.28515625" style="359" customWidth="1"/>
    <col min="1539" max="1539" width="69.28515625" style="359" customWidth="1"/>
    <col min="1540" max="1540" width="6" style="359" customWidth="1"/>
    <col min="1541" max="1550" width="13.5703125" style="359" customWidth="1"/>
    <col min="1551" max="1551" width="12.7109375" style="359" customWidth="1"/>
    <col min="1552" max="1553" width="11.28515625" style="359" customWidth="1"/>
    <col min="1554" max="1554" width="12.7109375" style="359" customWidth="1"/>
    <col min="1555" max="1555" width="13.140625" style="359" customWidth="1"/>
    <col min="1556" max="1605" width="0" style="359" hidden="1" customWidth="1"/>
    <col min="1606" max="1606" width="12.7109375" style="359" customWidth="1"/>
    <col min="1607" max="1607" width="13.140625" style="359" customWidth="1"/>
    <col min="1608" max="1608" width="11.28515625" style="359" customWidth="1"/>
    <col min="1609" max="1609" width="12.7109375" style="359" customWidth="1"/>
    <col min="1610" max="1610" width="12.5703125" style="359" customWidth="1"/>
    <col min="1611" max="1611" width="3.28515625" style="359" customWidth="1"/>
    <col min="1612" max="1612" width="0" style="359" hidden="1" customWidth="1"/>
    <col min="1613" max="1613" width="3.28515625" style="359" customWidth="1"/>
    <col min="1614" max="1614" width="9.85546875" style="359" bestFit="1" customWidth="1"/>
    <col min="1615" max="1615" width="9.5703125" style="359" bestFit="1" customWidth="1"/>
    <col min="1616" max="1792" width="9.140625" style="359"/>
    <col min="1793" max="1793" width="2.85546875" style="359" customWidth="1"/>
    <col min="1794" max="1794" width="3.28515625" style="359" customWidth="1"/>
    <col min="1795" max="1795" width="69.28515625" style="359" customWidth="1"/>
    <col min="1796" max="1796" width="6" style="359" customWidth="1"/>
    <col min="1797" max="1806" width="13.5703125" style="359" customWidth="1"/>
    <col min="1807" max="1807" width="12.7109375" style="359" customWidth="1"/>
    <col min="1808" max="1809" width="11.28515625" style="359" customWidth="1"/>
    <col min="1810" max="1810" width="12.7109375" style="359" customWidth="1"/>
    <col min="1811" max="1811" width="13.140625" style="359" customWidth="1"/>
    <col min="1812" max="1861" width="0" style="359" hidden="1" customWidth="1"/>
    <col min="1862" max="1862" width="12.7109375" style="359" customWidth="1"/>
    <col min="1863" max="1863" width="13.140625" style="359" customWidth="1"/>
    <col min="1864" max="1864" width="11.28515625" style="359" customWidth="1"/>
    <col min="1865" max="1865" width="12.7109375" style="359" customWidth="1"/>
    <col min="1866" max="1866" width="12.5703125" style="359" customWidth="1"/>
    <col min="1867" max="1867" width="3.28515625" style="359" customWidth="1"/>
    <col min="1868" max="1868" width="0" style="359" hidden="1" customWidth="1"/>
    <col min="1869" max="1869" width="3.28515625" style="359" customWidth="1"/>
    <col min="1870" max="1870" width="9.85546875" style="359" bestFit="1" customWidth="1"/>
    <col min="1871" max="1871" width="9.5703125" style="359" bestFit="1" customWidth="1"/>
    <col min="1872" max="2048" width="9.140625" style="359"/>
    <col min="2049" max="2049" width="2.85546875" style="359" customWidth="1"/>
    <col min="2050" max="2050" width="3.28515625" style="359" customWidth="1"/>
    <col min="2051" max="2051" width="69.28515625" style="359" customWidth="1"/>
    <col min="2052" max="2052" width="6" style="359" customWidth="1"/>
    <col min="2053" max="2062" width="13.5703125" style="359" customWidth="1"/>
    <col min="2063" max="2063" width="12.7109375" style="359" customWidth="1"/>
    <col min="2064" max="2065" width="11.28515625" style="359" customWidth="1"/>
    <col min="2066" max="2066" width="12.7109375" style="359" customWidth="1"/>
    <col min="2067" max="2067" width="13.140625" style="359" customWidth="1"/>
    <col min="2068" max="2117" width="0" style="359" hidden="1" customWidth="1"/>
    <col min="2118" max="2118" width="12.7109375" style="359" customWidth="1"/>
    <col min="2119" max="2119" width="13.140625" style="359" customWidth="1"/>
    <col min="2120" max="2120" width="11.28515625" style="359" customWidth="1"/>
    <col min="2121" max="2121" width="12.7109375" style="359" customWidth="1"/>
    <col min="2122" max="2122" width="12.5703125" style="359" customWidth="1"/>
    <col min="2123" max="2123" width="3.28515625" style="359" customWidth="1"/>
    <col min="2124" max="2124" width="0" style="359" hidden="1" customWidth="1"/>
    <col min="2125" max="2125" width="3.28515625" style="359" customWidth="1"/>
    <col min="2126" max="2126" width="9.85546875" style="359" bestFit="1" customWidth="1"/>
    <col min="2127" max="2127" width="9.5703125" style="359" bestFit="1" customWidth="1"/>
    <col min="2128" max="2304" width="9.140625" style="359"/>
    <col min="2305" max="2305" width="2.85546875" style="359" customWidth="1"/>
    <col min="2306" max="2306" width="3.28515625" style="359" customWidth="1"/>
    <col min="2307" max="2307" width="69.28515625" style="359" customWidth="1"/>
    <col min="2308" max="2308" width="6" style="359" customWidth="1"/>
    <col min="2309" max="2318" width="13.5703125" style="359" customWidth="1"/>
    <col min="2319" max="2319" width="12.7109375" style="359" customWidth="1"/>
    <col min="2320" max="2321" width="11.28515625" style="359" customWidth="1"/>
    <col min="2322" max="2322" width="12.7109375" style="359" customWidth="1"/>
    <col min="2323" max="2323" width="13.140625" style="359" customWidth="1"/>
    <col min="2324" max="2373" width="0" style="359" hidden="1" customWidth="1"/>
    <col min="2374" max="2374" width="12.7109375" style="359" customWidth="1"/>
    <col min="2375" max="2375" width="13.140625" style="359" customWidth="1"/>
    <col min="2376" max="2376" width="11.28515625" style="359" customWidth="1"/>
    <col min="2377" max="2377" width="12.7109375" style="359" customWidth="1"/>
    <col min="2378" max="2378" width="12.5703125" style="359" customWidth="1"/>
    <col min="2379" max="2379" width="3.28515625" style="359" customWidth="1"/>
    <col min="2380" max="2380" width="0" style="359" hidden="1" customWidth="1"/>
    <col min="2381" max="2381" width="3.28515625" style="359" customWidth="1"/>
    <col min="2382" max="2382" width="9.85546875" style="359" bestFit="1" customWidth="1"/>
    <col min="2383" max="2383" width="9.5703125" style="359" bestFit="1" customWidth="1"/>
    <col min="2384" max="2560" width="9.140625" style="359"/>
    <col min="2561" max="2561" width="2.85546875" style="359" customWidth="1"/>
    <col min="2562" max="2562" width="3.28515625" style="359" customWidth="1"/>
    <col min="2563" max="2563" width="69.28515625" style="359" customWidth="1"/>
    <col min="2564" max="2564" width="6" style="359" customWidth="1"/>
    <col min="2565" max="2574" width="13.5703125" style="359" customWidth="1"/>
    <col min="2575" max="2575" width="12.7109375" style="359" customWidth="1"/>
    <col min="2576" max="2577" width="11.28515625" style="359" customWidth="1"/>
    <col min="2578" max="2578" width="12.7109375" style="359" customWidth="1"/>
    <col min="2579" max="2579" width="13.140625" style="359" customWidth="1"/>
    <col min="2580" max="2629" width="0" style="359" hidden="1" customWidth="1"/>
    <col min="2630" max="2630" width="12.7109375" style="359" customWidth="1"/>
    <col min="2631" max="2631" width="13.140625" style="359" customWidth="1"/>
    <col min="2632" max="2632" width="11.28515625" style="359" customWidth="1"/>
    <col min="2633" max="2633" width="12.7109375" style="359" customWidth="1"/>
    <col min="2634" max="2634" width="12.5703125" style="359" customWidth="1"/>
    <col min="2635" max="2635" width="3.28515625" style="359" customWidth="1"/>
    <col min="2636" max="2636" width="0" style="359" hidden="1" customWidth="1"/>
    <col min="2637" max="2637" width="3.28515625" style="359" customWidth="1"/>
    <col min="2638" max="2638" width="9.85546875" style="359" bestFit="1" customWidth="1"/>
    <col min="2639" max="2639" width="9.5703125" style="359" bestFit="1" customWidth="1"/>
    <col min="2640" max="2816" width="9.140625" style="359"/>
    <col min="2817" max="2817" width="2.85546875" style="359" customWidth="1"/>
    <col min="2818" max="2818" width="3.28515625" style="359" customWidth="1"/>
    <col min="2819" max="2819" width="69.28515625" style="359" customWidth="1"/>
    <col min="2820" max="2820" width="6" style="359" customWidth="1"/>
    <col min="2821" max="2830" width="13.5703125" style="359" customWidth="1"/>
    <col min="2831" max="2831" width="12.7109375" style="359" customWidth="1"/>
    <col min="2832" max="2833" width="11.28515625" style="359" customWidth="1"/>
    <col min="2834" max="2834" width="12.7109375" style="359" customWidth="1"/>
    <col min="2835" max="2835" width="13.140625" style="359" customWidth="1"/>
    <col min="2836" max="2885" width="0" style="359" hidden="1" customWidth="1"/>
    <col min="2886" max="2886" width="12.7109375" style="359" customWidth="1"/>
    <col min="2887" max="2887" width="13.140625" style="359" customWidth="1"/>
    <col min="2888" max="2888" width="11.28515625" style="359" customWidth="1"/>
    <col min="2889" max="2889" width="12.7109375" style="359" customWidth="1"/>
    <col min="2890" max="2890" width="12.5703125" style="359" customWidth="1"/>
    <col min="2891" max="2891" width="3.28515625" style="359" customWidth="1"/>
    <col min="2892" max="2892" width="0" style="359" hidden="1" customWidth="1"/>
    <col min="2893" max="2893" width="3.28515625" style="359" customWidth="1"/>
    <col min="2894" max="2894" width="9.85546875" style="359" bestFit="1" customWidth="1"/>
    <col min="2895" max="2895" width="9.5703125" style="359" bestFit="1" customWidth="1"/>
    <col min="2896" max="3072" width="9.140625" style="359"/>
    <col min="3073" max="3073" width="2.85546875" style="359" customWidth="1"/>
    <col min="3074" max="3074" width="3.28515625" style="359" customWidth="1"/>
    <col min="3075" max="3075" width="69.28515625" style="359" customWidth="1"/>
    <col min="3076" max="3076" width="6" style="359" customWidth="1"/>
    <col min="3077" max="3086" width="13.5703125" style="359" customWidth="1"/>
    <col min="3087" max="3087" width="12.7109375" style="359" customWidth="1"/>
    <col min="3088" max="3089" width="11.28515625" style="359" customWidth="1"/>
    <col min="3090" max="3090" width="12.7109375" style="359" customWidth="1"/>
    <col min="3091" max="3091" width="13.140625" style="359" customWidth="1"/>
    <col min="3092" max="3141" width="0" style="359" hidden="1" customWidth="1"/>
    <col min="3142" max="3142" width="12.7109375" style="359" customWidth="1"/>
    <col min="3143" max="3143" width="13.140625" style="359" customWidth="1"/>
    <col min="3144" max="3144" width="11.28515625" style="359" customWidth="1"/>
    <col min="3145" max="3145" width="12.7109375" style="359" customWidth="1"/>
    <col min="3146" max="3146" width="12.5703125" style="359" customWidth="1"/>
    <col min="3147" max="3147" width="3.28515625" style="359" customWidth="1"/>
    <col min="3148" max="3148" width="0" style="359" hidden="1" customWidth="1"/>
    <col min="3149" max="3149" width="3.28515625" style="359" customWidth="1"/>
    <col min="3150" max="3150" width="9.85546875" style="359" bestFit="1" customWidth="1"/>
    <col min="3151" max="3151" width="9.5703125" style="359" bestFit="1" customWidth="1"/>
    <col min="3152" max="3328" width="9.140625" style="359"/>
    <col min="3329" max="3329" width="2.85546875" style="359" customWidth="1"/>
    <col min="3330" max="3330" width="3.28515625" style="359" customWidth="1"/>
    <col min="3331" max="3331" width="69.28515625" style="359" customWidth="1"/>
    <col min="3332" max="3332" width="6" style="359" customWidth="1"/>
    <col min="3333" max="3342" width="13.5703125" style="359" customWidth="1"/>
    <col min="3343" max="3343" width="12.7109375" style="359" customWidth="1"/>
    <col min="3344" max="3345" width="11.28515625" style="359" customWidth="1"/>
    <col min="3346" max="3346" width="12.7109375" style="359" customWidth="1"/>
    <col min="3347" max="3347" width="13.140625" style="359" customWidth="1"/>
    <col min="3348" max="3397" width="0" style="359" hidden="1" customWidth="1"/>
    <col min="3398" max="3398" width="12.7109375" style="359" customWidth="1"/>
    <col min="3399" max="3399" width="13.140625" style="359" customWidth="1"/>
    <col min="3400" max="3400" width="11.28515625" style="359" customWidth="1"/>
    <col min="3401" max="3401" width="12.7109375" style="359" customWidth="1"/>
    <col min="3402" max="3402" width="12.5703125" style="359" customWidth="1"/>
    <col min="3403" max="3403" width="3.28515625" style="359" customWidth="1"/>
    <col min="3404" max="3404" width="0" style="359" hidden="1" customWidth="1"/>
    <col min="3405" max="3405" width="3.28515625" style="359" customWidth="1"/>
    <col min="3406" max="3406" width="9.85546875" style="359" bestFit="1" customWidth="1"/>
    <col min="3407" max="3407" width="9.5703125" style="359" bestFit="1" customWidth="1"/>
    <col min="3408" max="3584" width="9.140625" style="359"/>
    <col min="3585" max="3585" width="2.85546875" style="359" customWidth="1"/>
    <col min="3586" max="3586" width="3.28515625" style="359" customWidth="1"/>
    <col min="3587" max="3587" width="69.28515625" style="359" customWidth="1"/>
    <col min="3588" max="3588" width="6" style="359" customWidth="1"/>
    <col min="3589" max="3598" width="13.5703125" style="359" customWidth="1"/>
    <col min="3599" max="3599" width="12.7109375" style="359" customWidth="1"/>
    <col min="3600" max="3601" width="11.28515625" style="359" customWidth="1"/>
    <col min="3602" max="3602" width="12.7109375" style="359" customWidth="1"/>
    <col min="3603" max="3603" width="13.140625" style="359" customWidth="1"/>
    <col min="3604" max="3653" width="0" style="359" hidden="1" customWidth="1"/>
    <col min="3654" max="3654" width="12.7109375" style="359" customWidth="1"/>
    <col min="3655" max="3655" width="13.140625" style="359" customWidth="1"/>
    <col min="3656" max="3656" width="11.28515625" style="359" customWidth="1"/>
    <col min="3657" max="3657" width="12.7109375" style="359" customWidth="1"/>
    <col min="3658" max="3658" width="12.5703125" style="359" customWidth="1"/>
    <col min="3659" max="3659" width="3.28515625" style="359" customWidth="1"/>
    <col min="3660" max="3660" width="0" style="359" hidden="1" customWidth="1"/>
    <col min="3661" max="3661" width="3.28515625" style="359" customWidth="1"/>
    <col min="3662" max="3662" width="9.85546875" style="359" bestFit="1" customWidth="1"/>
    <col min="3663" max="3663" width="9.5703125" style="359" bestFit="1" customWidth="1"/>
    <col min="3664" max="3840" width="9.140625" style="359"/>
    <col min="3841" max="3841" width="2.85546875" style="359" customWidth="1"/>
    <col min="3842" max="3842" width="3.28515625" style="359" customWidth="1"/>
    <col min="3843" max="3843" width="69.28515625" style="359" customWidth="1"/>
    <col min="3844" max="3844" width="6" style="359" customWidth="1"/>
    <col min="3845" max="3854" width="13.5703125" style="359" customWidth="1"/>
    <col min="3855" max="3855" width="12.7109375" style="359" customWidth="1"/>
    <col min="3856" max="3857" width="11.28515625" style="359" customWidth="1"/>
    <col min="3858" max="3858" width="12.7109375" style="359" customWidth="1"/>
    <col min="3859" max="3859" width="13.140625" style="359" customWidth="1"/>
    <col min="3860" max="3909" width="0" style="359" hidden="1" customWidth="1"/>
    <col min="3910" max="3910" width="12.7109375" style="359" customWidth="1"/>
    <col min="3911" max="3911" width="13.140625" style="359" customWidth="1"/>
    <col min="3912" max="3912" width="11.28515625" style="359" customWidth="1"/>
    <col min="3913" max="3913" width="12.7109375" style="359" customWidth="1"/>
    <col min="3914" max="3914" width="12.5703125" style="359" customWidth="1"/>
    <col min="3915" max="3915" width="3.28515625" style="359" customWidth="1"/>
    <col min="3916" max="3916" width="0" style="359" hidden="1" customWidth="1"/>
    <col min="3917" max="3917" width="3.28515625" style="359" customWidth="1"/>
    <col min="3918" max="3918" width="9.85546875" style="359" bestFit="1" customWidth="1"/>
    <col min="3919" max="3919" width="9.5703125" style="359" bestFit="1" customWidth="1"/>
    <col min="3920" max="4096" width="9.140625" style="359"/>
    <col min="4097" max="4097" width="2.85546875" style="359" customWidth="1"/>
    <col min="4098" max="4098" width="3.28515625" style="359" customWidth="1"/>
    <col min="4099" max="4099" width="69.28515625" style="359" customWidth="1"/>
    <col min="4100" max="4100" width="6" style="359" customWidth="1"/>
    <col min="4101" max="4110" width="13.5703125" style="359" customWidth="1"/>
    <col min="4111" max="4111" width="12.7109375" style="359" customWidth="1"/>
    <col min="4112" max="4113" width="11.28515625" style="359" customWidth="1"/>
    <col min="4114" max="4114" width="12.7109375" style="359" customWidth="1"/>
    <col min="4115" max="4115" width="13.140625" style="359" customWidth="1"/>
    <col min="4116" max="4165" width="0" style="359" hidden="1" customWidth="1"/>
    <col min="4166" max="4166" width="12.7109375" style="359" customWidth="1"/>
    <col min="4167" max="4167" width="13.140625" style="359" customWidth="1"/>
    <col min="4168" max="4168" width="11.28515625" style="359" customWidth="1"/>
    <col min="4169" max="4169" width="12.7109375" style="359" customWidth="1"/>
    <col min="4170" max="4170" width="12.5703125" style="359" customWidth="1"/>
    <col min="4171" max="4171" width="3.28515625" style="359" customWidth="1"/>
    <col min="4172" max="4172" width="0" style="359" hidden="1" customWidth="1"/>
    <col min="4173" max="4173" width="3.28515625" style="359" customWidth="1"/>
    <col min="4174" max="4174" width="9.85546875" style="359" bestFit="1" customWidth="1"/>
    <col min="4175" max="4175" width="9.5703125" style="359" bestFit="1" customWidth="1"/>
    <col min="4176" max="4352" width="9.140625" style="359"/>
    <col min="4353" max="4353" width="2.85546875" style="359" customWidth="1"/>
    <col min="4354" max="4354" width="3.28515625" style="359" customWidth="1"/>
    <col min="4355" max="4355" width="69.28515625" style="359" customWidth="1"/>
    <col min="4356" max="4356" width="6" style="359" customWidth="1"/>
    <col min="4357" max="4366" width="13.5703125" style="359" customWidth="1"/>
    <col min="4367" max="4367" width="12.7109375" style="359" customWidth="1"/>
    <col min="4368" max="4369" width="11.28515625" style="359" customWidth="1"/>
    <col min="4370" max="4370" width="12.7109375" style="359" customWidth="1"/>
    <col min="4371" max="4371" width="13.140625" style="359" customWidth="1"/>
    <col min="4372" max="4421" width="0" style="359" hidden="1" customWidth="1"/>
    <col min="4422" max="4422" width="12.7109375" style="359" customWidth="1"/>
    <col min="4423" max="4423" width="13.140625" style="359" customWidth="1"/>
    <col min="4424" max="4424" width="11.28515625" style="359" customWidth="1"/>
    <col min="4425" max="4425" width="12.7109375" style="359" customWidth="1"/>
    <col min="4426" max="4426" width="12.5703125" style="359" customWidth="1"/>
    <col min="4427" max="4427" width="3.28515625" style="359" customWidth="1"/>
    <col min="4428" max="4428" width="0" style="359" hidden="1" customWidth="1"/>
    <col min="4429" max="4429" width="3.28515625" style="359" customWidth="1"/>
    <col min="4430" max="4430" width="9.85546875" style="359" bestFit="1" customWidth="1"/>
    <col min="4431" max="4431" width="9.5703125" style="359" bestFit="1" customWidth="1"/>
    <col min="4432" max="4608" width="9.140625" style="359"/>
    <col min="4609" max="4609" width="2.85546875" style="359" customWidth="1"/>
    <col min="4610" max="4610" width="3.28515625" style="359" customWidth="1"/>
    <col min="4611" max="4611" width="69.28515625" style="359" customWidth="1"/>
    <col min="4612" max="4612" width="6" style="359" customWidth="1"/>
    <col min="4613" max="4622" width="13.5703125" style="359" customWidth="1"/>
    <col min="4623" max="4623" width="12.7109375" style="359" customWidth="1"/>
    <col min="4624" max="4625" width="11.28515625" style="359" customWidth="1"/>
    <col min="4626" max="4626" width="12.7109375" style="359" customWidth="1"/>
    <col min="4627" max="4627" width="13.140625" style="359" customWidth="1"/>
    <col min="4628" max="4677" width="0" style="359" hidden="1" customWidth="1"/>
    <col min="4678" max="4678" width="12.7109375" style="359" customWidth="1"/>
    <col min="4679" max="4679" width="13.140625" style="359" customWidth="1"/>
    <col min="4680" max="4680" width="11.28515625" style="359" customWidth="1"/>
    <col min="4681" max="4681" width="12.7109375" style="359" customWidth="1"/>
    <col min="4682" max="4682" width="12.5703125" style="359" customWidth="1"/>
    <col min="4683" max="4683" width="3.28515625" style="359" customWidth="1"/>
    <col min="4684" max="4684" width="0" style="359" hidden="1" customWidth="1"/>
    <col min="4685" max="4685" width="3.28515625" style="359" customWidth="1"/>
    <col min="4686" max="4686" width="9.85546875" style="359" bestFit="1" customWidth="1"/>
    <col min="4687" max="4687" width="9.5703125" style="359" bestFit="1" customWidth="1"/>
    <col min="4688" max="4864" width="9.140625" style="359"/>
    <col min="4865" max="4865" width="2.85546875" style="359" customWidth="1"/>
    <col min="4866" max="4866" width="3.28515625" style="359" customWidth="1"/>
    <col min="4867" max="4867" width="69.28515625" style="359" customWidth="1"/>
    <col min="4868" max="4868" width="6" style="359" customWidth="1"/>
    <col min="4869" max="4878" width="13.5703125" style="359" customWidth="1"/>
    <col min="4879" max="4879" width="12.7109375" style="359" customWidth="1"/>
    <col min="4880" max="4881" width="11.28515625" style="359" customWidth="1"/>
    <col min="4882" max="4882" width="12.7109375" style="359" customWidth="1"/>
    <col min="4883" max="4883" width="13.140625" style="359" customWidth="1"/>
    <col min="4884" max="4933" width="0" style="359" hidden="1" customWidth="1"/>
    <col min="4934" max="4934" width="12.7109375" style="359" customWidth="1"/>
    <col min="4935" max="4935" width="13.140625" style="359" customWidth="1"/>
    <col min="4936" max="4936" width="11.28515625" style="359" customWidth="1"/>
    <col min="4937" max="4937" width="12.7109375" style="359" customWidth="1"/>
    <col min="4938" max="4938" width="12.5703125" style="359" customWidth="1"/>
    <col min="4939" max="4939" width="3.28515625" style="359" customWidth="1"/>
    <col min="4940" max="4940" width="0" style="359" hidden="1" customWidth="1"/>
    <col min="4941" max="4941" width="3.28515625" style="359" customWidth="1"/>
    <col min="4942" max="4942" width="9.85546875" style="359" bestFit="1" customWidth="1"/>
    <col min="4943" max="4943" width="9.5703125" style="359" bestFit="1" customWidth="1"/>
    <col min="4944" max="5120" width="9.140625" style="359"/>
    <col min="5121" max="5121" width="2.85546875" style="359" customWidth="1"/>
    <col min="5122" max="5122" width="3.28515625" style="359" customWidth="1"/>
    <col min="5123" max="5123" width="69.28515625" style="359" customWidth="1"/>
    <col min="5124" max="5124" width="6" style="359" customWidth="1"/>
    <col min="5125" max="5134" width="13.5703125" style="359" customWidth="1"/>
    <col min="5135" max="5135" width="12.7109375" style="359" customWidth="1"/>
    <col min="5136" max="5137" width="11.28515625" style="359" customWidth="1"/>
    <col min="5138" max="5138" width="12.7109375" style="359" customWidth="1"/>
    <col min="5139" max="5139" width="13.140625" style="359" customWidth="1"/>
    <col min="5140" max="5189" width="0" style="359" hidden="1" customWidth="1"/>
    <col min="5190" max="5190" width="12.7109375" style="359" customWidth="1"/>
    <col min="5191" max="5191" width="13.140625" style="359" customWidth="1"/>
    <col min="5192" max="5192" width="11.28515625" style="359" customWidth="1"/>
    <col min="5193" max="5193" width="12.7109375" style="359" customWidth="1"/>
    <col min="5194" max="5194" width="12.5703125" style="359" customWidth="1"/>
    <col min="5195" max="5195" width="3.28515625" style="359" customWidth="1"/>
    <col min="5196" max="5196" width="0" style="359" hidden="1" customWidth="1"/>
    <col min="5197" max="5197" width="3.28515625" style="359" customWidth="1"/>
    <col min="5198" max="5198" width="9.85546875" style="359" bestFit="1" customWidth="1"/>
    <col min="5199" max="5199" width="9.5703125" style="359" bestFit="1" customWidth="1"/>
    <col min="5200" max="5376" width="9.140625" style="359"/>
    <col min="5377" max="5377" width="2.85546875" style="359" customWidth="1"/>
    <col min="5378" max="5378" width="3.28515625" style="359" customWidth="1"/>
    <col min="5379" max="5379" width="69.28515625" style="359" customWidth="1"/>
    <col min="5380" max="5380" width="6" style="359" customWidth="1"/>
    <col min="5381" max="5390" width="13.5703125" style="359" customWidth="1"/>
    <col min="5391" max="5391" width="12.7109375" style="359" customWidth="1"/>
    <col min="5392" max="5393" width="11.28515625" style="359" customWidth="1"/>
    <col min="5394" max="5394" width="12.7109375" style="359" customWidth="1"/>
    <col min="5395" max="5395" width="13.140625" style="359" customWidth="1"/>
    <col min="5396" max="5445" width="0" style="359" hidden="1" customWidth="1"/>
    <col min="5446" max="5446" width="12.7109375" style="359" customWidth="1"/>
    <col min="5447" max="5447" width="13.140625" style="359" customWidth="1"/>
    <col min="5448" max="5448" width="11.28515625" style="359" customWidth="1"/>
    <col min="5449" max="5449" width="12.7109375" style="359" customWidth="1"/>
    <col min="5450" max="5450" width="12.5703125" style="359" customWidth="1"/>
    <col min="5451" max="5451" width="3.28515625" style="359" customWidth="1"/>
    <col min="5452" max="5452" width="0" style="359" hidden="1" customWidth="1"/>
    <col min="5453" max="5453" width="3.28515625" style="359" customWidth="1"/>
    <col min="5454" max="5454" width="9.85546875" style="359" bestFit="1" customWidth="1"/>
    <col min="5455" max="5455" width="9.5703125" style="359" bestFit="1" customWidth="1"/>
    <col min="5456" max="5632" width="9.140625" style="359"/>
    <col min="5633" max="5633" width="2.85546875" style="359" customWidth="1"/>
    <col min="5634" max="5634" width="3.28515625" style="359" customWidth="1"/>
    <col min="5635" max="5635" width="69.28515625" style="359" customWidth="1"/>
    <col min="5636" max="5636" width="6" style="359" customWidth="1"/>
    <col min="5637" max="5646" width="13.5703125" style="359" customWidth="1"/>
    <col min="5647" max="5647" width="12.7109375" style="359" customWidth="1"/>
    <col min="5648" max="5649" width="11.28515625" style="359" customWidth="1"/>
    <col min="5650" max="5650" width="12.7109375" style="359" customWidth="1"/>
    <col min="5651" max="5651" width="13.140625" style="359" customWidth="1"/>
    <col min="5652" max="5701" width="0" style="359" hidden="1" customWidth="1"/>
    <col min="5702" max="5702" width="12.7109375" style="359" customWidth="1"/>
    <col min="5703" max="5703" width="13.140625" style="359" customWidth="1"/>
    <col min="5704" max="5704" width="11.28515625" style="359" customWidth="1"/>
    <col min="5705" max="5705" width="12.7109375" style="359" customWidth="1"/>
    <col min="5706" max="5706" width="12.5703125" style="359" customWidth="1"/>
    <col min="5707" max="5707" width="3.28515625" style="359" customWidth="1"/>
    <col min="5708" max="5708" width="0" style="359" hidden="1" customWidth="1"/>
    <col min="5709" max="5709" width="3.28515625" style="359" customWidth="1"/>
    <col min="5710" max="5710" width="9.85546875" style="359" bestFit="1" customWidth="1"/>
    <col min="5711" max="5711" width="9.5703125" style="359" bestFit="1" customWidth="1"/>
    <col min="5712" max="5888" width="9.140625" style="359"/>
    <col min="5889" max="5889" width="2.85546875" style="359" customWidth="1"/>
    <col min="5890" max="5890" width="3.28515625" style="359" customWidth="1"/>
    <col min="5891" max="5891" width="69.28515625" style="359" customWidth="1"/>
    <col min="5892" max="5892" width="6" style="359" customWidth="1"/>
    <col min="5893" max="5902" width="13.5703125" style="359" customWidth="1"/>
    <col min="5903" max="5903" width="12.7109375" style="359" customWidth="1"/>
    <col min="5904" max="5905" width="11.28515625" style="359" customWidth="1"/>
    <col min="5906" max="5906" width="12.7109375" style="359" customWidth="1"/>
    <col min="5907" max="5907" width="13.140625" style="359" customWidth="1"/>
    <col min="5908" max="5957" width="0" style="359" hidden="1" customWidth="1"/>
    <col min="5958" max="5958" width="12.7109375" style="359" customWidth="1"/>
    <col min="5959" max="5959" width="13.140625" style="359" customWidth="1"/>
    <col min="5960" max="5960" width="11.28515625" style="359" customWidth="1"/>
    <col min="5961" max="5961" width="12.7109375" style="359" customWidth="1"/>
    <col min="5962" max="5962" width="12.5703125" style="359" customWidth="1"/>
    <col min="5963" max="5963" width="3.28515625" style="359" customWidth="1"/>
    <col min="5964" max="5964" width="0" style="359" hidden="1" customWidth="1"/>
    <col min="5965" max="5965" width="3.28515625" style="359" customWidth="1"/>
    <col min="5966" max="5966" width="9.85546875" style="359" bestFit="1" customWidth="1"/>
    <col min="5967" max="5967" width="9.5703125" style="359" bestFit="1" customWidth="1"/>
    <col min="5968" max="6144" width="9.140625" style="359"/>
    <col min="6145" max="6145" width="2.85546875" style="359" customWidth="1"/>
    <col min="6146" max="6146" width="3.28515625" style="359" customWidth="1"/>
    <col min="6147" max="6147" width="69.28515625" style="359" customWidth="1"/>
    <col min="6148" max="6148" width="6" style="359" customWidth="1"/>
    <col min="6149" max="6158" width="13.5703125" style="359" customWidth="1"/>
    <col min="6159" max="6159" width="12.7109375" style="359" customWidth="1"/>
    <col min="6160" max="6161" width="11.28515625" style="359" customWidth="1"/>
    <col min="6162" max="6162" width="12.7109375" style="359" customWidth="1"/>
    <col min="6163" max="6163" width="13.140625" style="359" customWidth="1"/>
    <col min="6164" max="6213" width="0" style="359" hidden="1" customWidth="1"/>
    <col min="6214" max="6214" width="12.7109375" style="359" customWidth="1"/>
    <col min="6215" max="6215" width="13.140625" style="359" customWidth="1"/>
    <col min="6216" max="6216" width="11.28515625" style="359" customWidth="1"/>
    <col min="6217" max="6217" width="12.7109375" style="359" customWidth="1"/>
    <col min="6218" max="6218" width="12.5703125" style="359" customWidth="1"/>
    <col min="6219" max="6219" width="3.28515625" style="359" customWidth="1"/>
    <col min="6220" max="6220" width="0" style="359" hidden="1" customWidth="1"/>
    <col min="6221" max="6221" width="3.28515625" style="359" customWidth="1"/>
    <col min="6222" max="6222" width="9.85546875" style="359" bestFit="1" customWidth="1"/>
    <col min="6223" max="6223" width="9.5703125" style="359" bestFit="1" customWidth="1"/>
    <col min="6224" max="6400" width="9.140625" style="359"/>
    <col min="6401" max="6401" width="2.85546875" style="359" customWidth="1"/>
    <col min="6402" max="6402" width="3.28515625" style="359" customWidth="1"/>
    <col min="6403" max="6403" width="69.28515625" style="359" customWidth="1"/>
    <col min="6404" max="6404" width="6" style="359" customWidth="1"/>
    <col min="6405" max="6414" width="13.5703125" style="359" customWidth="1"/>
    <col min="6415" max="6415" width="12.7109375" style="359" customWidth="1"/>
    <col min="6416" max="6417" width="11.28515625" style="359" customWidth="1"/>
    <col min="6418" max="6418" width="12.7109375" style="359" customWidth="1"/>
    <col min="6419" max="6419" width="13.140625" style="359" customWidth="1"/>
    <col min="6420" max="6469" width="0" style="359" hidden="1" customWidth="1"/>
    <col min="6470" max="6470" width="12.7109375" style="359" customWidth="1"/>
    <col min="6471" max="6471" width="13.140625" style="359" customWidth="1"/>
    <col min="6472" max="6472" width="11.28515625" style="359" customWidth="1"/>
    <col min="6473" max="6473" width="12.7109375" style="359" customWidth="1"/>
    <col min="6474" max="6474" width="12.5703125" style="359" customWidth="1"/>
    <col min="6475" max="6475" width="3.28515625" style="359" customWidth="1"/>
    <col min="6476" max="6476" width="0" style="359" hidden="1" customWidth="1"/>
    <col min="6477" max="6477" width="3.28515625" style="359" customWidth="1"/>
    <col min="6478" max="6478" width="9.85546875" style="359" bestFit="1" customWidth="1"/>
    <col min="6479" max="6479" width="9.5703125" style="359" bestFit="1" customWidth="1"/>
    <col min="6480" max="6656" width="9.140625" style="359"/>
    <col min="6657" max="6657" width="2.85546875" style="359" customWidth="1"/>
    <col min="6658" max="6658" width="3.28515625" style="359" customWidth="1"/>
    <col min="6659" max="6659" width="69.28515625" style="359" customWidth="1"/>
    <col min="6660" max="6660" width="6" style="359" customWidth="1"/>
    <col min="6661" max="6670" width="13.5703125" style="359" customWidth="1"/>
    <col min="6671" max="6671" width="12.7109375" style="359" customWidth="1"/>
    <col min="6672" max="6673" width="11.28515625" style="359" customWidth="1"/>
    <col min="6674" max="6674" width="12.7109375" style="359" customWidth="1"/>
    <col min="6675" max="6675" width="13.140625" style="359" customWidth="1"/>
    <col min="6676" max="6725" width="0" style="359" hidden="1" customWidth="1"/>
    <col min="6726" max="6726" width="12.7109375" style="359" customWidth="1"/>
    <col min="6727" max="6727" width="13.140625" style="359" customWidth="1"/>
    <col min="6728" max="6728" width="11.28515625" style="359" customWidth="1"/>
    <col min="6729" max="6729" width="12.7109375" style="359" customWidth="1"/>
    <col min="6730" max="6730" width="12.5703125" style="359" customWidth="1"/>
    <col min="6731" max="6731" width="3.28515625" style="359" customWidth="1"/>
    <col min="6732" max="6732" width="0" style="359" hidden="1" customWidth="1"/>
    <col min="6733" max="6733" width="3.28515625" style="359" customWidth="1"/>
    <col min="6734" max="6734" width="9.85546875" style="359" bestFit="1" customWidth="1"/>
    <col min="6735" max="6735" width="9.5703125" style="359" bestFit="1" customWidth="1"/>
    <col min="6736" max="6912" width="9.140625" style="359"/>
    <col min="6913" max="6913" width="2.85546875" style="359" customWidth="1"/>
    <col min="6914" max="6914" width="3.28515625" style="359" customWidth="1"/>
    <col min="6915" max="6915" width="69.28515625" style="359" customWidth="1"/>
    <col min="6916" max="6916" width="6" style="359" customWidth="1"/>
    <col min="6917" max="6926" width="13.5703125" style="359" customWidth="1"/>
    <col min="6927" max="6927" width="12.7109375" style="359" customWidth="1"/>
    <col min="6928" max="6929" width="11.28515625" style="359" customWidth="1"/>
    <col min="6930" max="6930" width="12.7109375" style="359" customWidth="1"/>
    <col min="6931" max="6931" width="13.140625" style="359" customWidth="1"/>
    <col min="6932" max="6981" width="0" style="359" hidden="1" customWidth="1"/>
    <col min="6982" max="6982" width="12.7109375" style="359" customWidth="1"/>
    <col min="6983" max="6983" width="13.140625" style="359" customWidth="1"/>
    <col min="6984" max="6984" width="11.28515625" style="359" customWidth="1"/>
    <col min="6985" max="6985" width="12.7109375" style="359" customWidth="1"/>
    <col min="6986" max="6986" width="12.5703125" style="359" customWidth="1"/>
    <col min="6987" max="6987" width="3.28515625" style="359" customWidth="1"/>
    <col min="6988" max="6988" width="0" style="359" hidden="1" customWidth="1"/>
    <col min="6989" max="6989" width="3.28515625" style="359" customWidth="1"/>
    <col min="6990" max="6990" width="9.85546875" style="359" bestFit="1" customWidth="1"/>
    <col min="6991" max="6991" width="9.5703125" style="359" bestFit="1" customWidth="1"/>
    <col min="6992" max="7168" width="9.140625" style="359"/>
    <col min="7169" max="7169" width="2.85546875" style="359" customWidth="1"/>
    <col min="7170" max="7170" width="3.28515625" style="359" customWidth="1"/>
    <col min="7171" max="7171" width="69.28515625" style="359" customWidth="1"/>
    <col min="7172" max="7172" width="6" style="359" customWidth="1"/>
    <col min="7173" max="7182" width="13.5703125" style="359" customWidth="1"/>
    <col min="7183" max="7183" width="12.7109375" style="359" customWidth="1"/>
    <col min="7184" max="7185" width="11.28515625" style="359" customWidth="1"/>
    <col min="7186" max="7186" width="12.7109375" style="359" customWidth="1"/>
    <col min="7187" max="7187" width="13.140625" style="359" customWidth="1"/>
    <col min="7188" max="7237" width="0" style="359" hidden="1" customWidth="1"/>
    <col min="7238" max="7238" width="12.7109375" style="359" customWidth="1"/>
    <col min="7239" max="7239" width="13.140625" style="359" customWidth="1"/>
    <col min="7240" max="7240" width="11.28515625" style="359" customWidth="1"/>
    <col min="7241" max="7241" width="12.7109375" style="359" customWidth="1"/>
    <col min="7242" max="7242" width="12.5703125" style="359" customWidth="1"/>
    <col min="7243" max="7243" width="3.28515625" style="359" customWidth="1"/>
    <col min="7244" max="7244" width="0" style="359" hidden="1" customWidth="1"/>
    <col min="7245" max="7245" width="3.28515625" style="359" customWidth="1"/>
    <col min="7246" max="7246" width="9.85546875" style="359" bestFit="1" customWidth="1"/>
    <col min="7247" max="7247" width="9.5703125" style="359" bestFit="1" customWidth="1"/>
    <col min="7248" max="7424" width="9.140625" style="359"/>
    <col min="7425" max="7425" width="2.85546875" style="359" customWidth="1"/>
    <col min="7426" max="7426" width="3.28515625" style="359" customWidth="1"/>
    <col min="7427" max="7427" width="69.28515625" style="359" customWidth="1"/>
    <col min="7428" max="7428" width="6" style="359" customWidth="1"/>
    <col min="7429" max="7438" width="13.5703125" style="359" customWidth="1"/>
    <col min="7439" max="7439" width="12.7109375" style="359" customWidth="1"/>
    <col min="7440" max="7441" width="11.28515625" style="359" customWidth="1"/>
    <col min="7442" max="7442" width="12.7109375" style="359" customWidth="1"/>
    <col min="7443" max="7443" width="13.140625" style="359" customWidth="1"/>
    <col min="7444" max="7493" width="0" style="359" hidden="1" customWidth="1"/>
    <col min="7494" max="7494" width="12.7109375" style="359" customWidth="1"/>
    <col min="7495" max="7495" width="13.140625" style="359" customWidth="1"/>
    <col min="7496" max="7496" width="11.28515625" style="359" customWidth="1"/>
    <col min="7497" max="7497" width="12.7109375" style="359" customWidth="1"/>
    <col min="7498" max="7498" width="12.5703125" style="359" customWidth="1"/>
    <col min="7499" max="7499" width="3.28515625" style="359" customWidth="1"/>
    <col min="7500" max="7500" width="0" style="359" hidden="1" customWidth="1"/>
    <col min="7501" max="7501" width="3.28515625" style="359" customWidth="1"/>
    <col min="7502" max="7502" width="9.85546875" style="359" bestFit="1" customWidth="1"/>
    <col min="7503" max="7503" width="9.5703125" style="359" bestFit="1" customWidth="1"/>
    <col min="7504" max="7680" width="9.140625" style="359"/>
    <col min="7681" max="7681" width="2.85546875" style="359" customWidth="1"/>
    <col min="7682" max="7682" width="3.28515625" style="359" customWidth="1"/>
    <col min="7683" max="7683" width="69.28515625" style="359" customWidth="1"/>
    <col min="7684" max="7684" width="6" style="359" customWidth="1"/>
    <col min="7685" max="7694" width="13.5703125" style="359" customWidth="1"/>
    <col min="7695" max="7695" width="12.7109375" style="359" customWidth="1"/>
    <col min="7696" max="7697" width="11.28515625" style="359" customWidth="1"/>
    <col min="7698" max="7698" width="12.7109375" style="359" customWidth="1"/>
    <col min="7699" max="7699" width="13.140625" style="359" customWidth="1"/>
    <col min="7700" max="7749" width="0" style="359" hidden="1" customWidth="1"/>
    <col min="7750" max="7750" width="12.7109375" style="359" customWidth="1"/>
    <col min="7751" max="7751" width="13.140625" style="359" customWidth="1"/>
    <col min="7752" max="7752" width="11.28515625" style="359" customWidth="1"/>
    <col min="7753" max="7753" width="12.7109375" style="359" customWidth="1"/>
    <col min="7754" max="7754" width="12.5703125" style="359" customWidth="1"/>
    <col min="7755" max="7755" width="3.28515625" style="359" customWidth="1"/>
    <col min="7756" max="7756" width="0" style="359" hidden="1" customWidth="1"/>
    <col min="7757" max="7757" width="3.28515625" style="359" customWidth="1"/>
    <col min="7758" max="7758" width="9.85546875" style="359" bestFit="1" customWidth="1"/>
    <col min="7759" max="7759" width="9.5703125" style="359" bestFit="1" customWidth="1"/>
    <col min="7760" max="7936" width="9.140625" style="359"/>
    <col min="7937" max="7937" width="2.85546875" style="359" customWidth="1"/>
    <col min="7938" max="7938" width="3.28515625" style="359" customWidth="1"/>
    <col min="7939" max="7939" width="69.28515625" style="359" customWidth="1"/>
    <col min="7940" max="7940" width="6" style="359" customWidth="1"/>
    <col min="7941" max="7950" width="13.5703125" style="359" customWidth="1"/>
    <col min="7951" max="7951" width="12.7109375" style="359" customWidth="1"/>
    <col min="7952" max="7953" width="11.28515625" style="359" customWidth="1"/>
    <col min="7954" max="7954" width="12.7109375" style="359" customWidth="1"/>
    <col min="7955" max="7955" width="13.140625" style="359" customWidth="1"/>
    <col min="7956" max="8005" width="0" style="359" hidden="1" customWidth="1"/>
    <col min="8006" max="8006" width="12.7109375" style="359" customWidth="1"/>
    <col min="8007" max="8007" width="13.140625" style="359" customWidth="1"/>
    <col min="8008" max="8008" width="11.28515625" style="359" customWidth="1"/>
    <col min="8009" max="8009" width="12.7109375" style="359" customWidth="1"/>
    <col min="8010" max="8010" width="12.5703125" style="359" customWidth="1"/>
    <col min="8011" max="8011" width="3.28515625" style="359" customWidth="1"/>
    <col min="8012" max="8012" width="0" style="359" hidden="1" customWidth="1"/>
    <col min="8013" max="8013" width="3.28515625" style="359" customWidth="1"/>
    <col min="8014" max="8014" width="9.85546875" style="359" bestFit="1" customWidth="1"/>
    <col min="8015" max="8015" width="9.5703125" style="359" bestFit="1" customWidth="1"/>
    <col min="8016" max="8192" width="9.140625" style="359"/>
    <col min="8193" max="8193" width="2.85546875" style="359" customWidth="1"/>
    <col min="8194" max="8194" width="3.28515625" style="359" customWidth="1"/>
    <col min="8195" max="8195" width="69.28515625" style="359" customWidth="1"/>
    <col min="8196" max="8196" width="6" style="359" customWidth="1"/>
    <col min="8197" max="8206" width="13.5703125" style="359" customWidth="1"/>
    <col min="8207" max="8207" width="12.7109375" style="359" customWidth="1"/>
    <col min="8208" max="8209" width="11.28515625" style="359" customWidth="1"/>
    <col min="8210" max="8210" width="12.7109375" style="359" customWidth="1"/>
    <col min="8211" max="8211" width="13.140625" style="359" customWidth="1"/>
    <col min="8212" max="8261" width="0" style="359" hidden="1" customWidth="1"/>
    <col min="8262" max="8262" width="12.7109375" style="359" customWidth="1"/>
    <col min="8263" max="8263" width="13.140625" style="359" customWidth="1"/>
    <col min="8264" max="8264" width="11.28515625" style="359" customWidth="1"/>
    <col min="8265" max="8265" width="12.7109375" style="359" customWidth="1"/>
    <col min="8266" max="8266" width="12.5703125" style="359" customWidth="1"/>
    <col min="8267" max="8267" width="3.28515625" style="359" customWidth="1"/>
    <col min="8268" max="8268" width="0" style="359" hidden="1" customWidth="1"/>
    <col min="8269" max="8269" width="3.28515625" style="359" customWidth="1"/>
    <col min="8270" max="8270" width="9.85546875" style="359" bestFit="1" customWidth="1"/>
    <col min="8271" max="8271" width="9.5703125" style="359" bestFit="1" customWidth="1"/>
    <col min="8272" max="8448" width="9.140625" style="359"/>
    <col min="8449" max="8449" width="2.85546875" style="359" customWidth="1"/>
    <col min="8450" max="8450" width="3.28515625" style="359" customWidth="1"/>
    <col min="8451" max="8451" width="69.28515625" style="359" customWidth="1"/>
    <col min="8452" max="8452" width="6" style="359" customWidth="1"/>
    <col min="8453" max="8462" width="13.5703125" style="359" customWidth="1"/>
    <col min="8463" max="8463" width="12.7109375" style="359" customWidth="1"/>
    <col min="8464" max="8465" width="11.28515625" style="359" customWidth="1"/>
    <col min="8466" max="8466" width="12.7109375" style="359" customWidth="1"/>
    <col min="8467" max="8467" width="13.140625" style="359" customWidth="1"/>
    <col min="8468" max="8517" width="0" style="359" hidden="1" customWidth="1"/>
    <col min="8518" max="8518" width="12.7109375" style="359" customWidth="1"/>
    <col min="8519" max="8519" width="13.140625" style="359" customWidth="1"/>
    <col min="8520" max="8520" width="11.28515625" style="359" customWidth="1"/>
    <col min="8521" max="8521" width="12.7109375" style="359" customWidth="1"/>
    <col min="8522" max="8522" width="12.5703125" style="359" customWidth="1"/>
    <col min="8523" max="8523" width="3.28515625" style="359" customWidth="1"/>
    <col min="8524" max="8524" width="0" style="359" hidden="1" customWidth="1"/>
    <col min="8525" max="8525" width="3.28515625" style="359" customWidth="1"/>
    <col min="8526" max="8526" width="9.85546875" style="359" bestFit="1" customWidth="1"/>
    <col min="8527" max="8527" width="9.5703125" style="359" bestFit="1" customWidth="1"/>
    <col min="8528" max="8704" width="9.140625" style="359"/>
    <col min="8705" max="8705" width="2.85546875" style="359" customWidth="1"/>
    <col min="8706" max="8706" width="3.28515625" style="359" customWidth="1"/>
    <col min="8707" max="8707" width="69.28515625" style="359" customWidth="1"/>
    <col min="8708" max="8708" width="6" style="359" customWidth="1"/>
    <col min="8709" max="8718" width="13.5703125" style="359" customWidth="1"/>
    <col min="8719" max="8719" width="12.7109375" style="359" customWidth="1"/>
    <col min="8720" max="8721" width="11.28515625" style="359" customWidth="1"/>
    <col min="8722" max="8722" width="12.7109375" style="359" customWidth="1"/>
    <col min="8723" max="8723" width="13.140625" style="359" customWidth="1"/>
    <col min="8724" max="8773" width="0" style="359" hidden="1" customWidth="1"/>
    <col min="8774" max="8774" width="12.7109375" style="359" customWidth="1"/>
    <col min="8775" max="8775" width="13.140625" style="359" customWidth="1"/>
    <col min="8776" max="8776" width="11.28515625" style="359" customWidth="1"/>
    <col min="8777" max="8777" width="12.7109375" style="359" customWidth="1"/>
    <col min="8778" max="8778" width="12.5703125" style="359" customWidth="1"/>
    <col min="8779" max="8779" width="3.28515625" style="359" customWidth="1"/>
    <col min="8780" max="8780" width="0" style="359" hidden="1" customWidth="1"/>
    <col min="8781" max="8781" width="3.28515625" style="359" customWidth="1"/>
    <col min="8782" max="8782" width="9.85546875" style="359" bestFit="1" customWidth="1"/>
    <col min="8783" max="8783" width="9.5703125" style="359" bestFit="1" customWidth="1"/>
    <col min="8784" max="8960" width="9.140625" style="359"/>
    <col min="8961" max="8961" width="2.85546875" style="359" customWidth="1"/>
    <col min="8962" max="8962" width="3.28515625" style="359" customWidth="1"/>
    <col min="8963" max="8963" width="69.28515625" style="359" customWidth="1"/>
    <col min="8964" max="8964" width="6" style="359" customWidth="1"/>
    <col min="8965" max="8974" width="13.5703125" style="359" customWidth="1"/>
    <col min="8975" max="8975" width="12.7109375" style="359" customWidth="1"/>
    <col min="8976" max="8977" width="11.28515625" style="359" customWidth="1"/>
    <col min="8978" max="8978" width="12.7109375" style="359" customWidth="1"/>
    <col min="8979" max="8979" width="13.140625" style="359" customWidth="1"/>
    <col min="8980" max="9029" width="0" style="359" hidden="1" customWidth="1"/>
    <col min="9030" max="9030" width="12.7109375" style="359" customWidth="1"/>
    <col min="9031" max="9031" width="13.140625" style="359" customWidth="1"/>
    <col min="9032" max="9032" width="11.28515625" style="359" customWidth="1"/>
    <col min="9033" max="9033" width="12.7109375" style="359" customWidth="1"/>
    <col min="9034" max="9034" width="12.5703125" style="359" customWidth="1"/>
    <col min="9035" max="9035" width="3.28515625" style="359" customWidth="1"/>
    <col min="9036" max="9036" width="0" style="359" hidden="1" customWidth="1"/>
    <col min="9037" max="9037" width="3.28515625" style="359" customWidth="1"/>
    <col min="9038" max="9038" width="9.85546875" style="359" bestFit="1" customWidth="1"/>
    <col min="9039" max="9039" width="9.5703125" style="359" bestFit="1" customWidth="1"/>
    <col min="9040" max="9216" width="9.140625" style="359"/>
    <col min="9217" max="9217" width="2.85546875" style="359" customWidth="1"/>
    <col min="9218" max="9218" width="3.28515625" style="359" customWidth="1"/>
    <col min="9219" max="9219" width="69.28515625" style="359" customWidth="1"/>
    <col min="9220" max="9220" width="6" style="359" customWidth="1"/>
    <col min="9221" max="9230" width="13.5703125" style="359" customWidth="1"/>
    <col min="9231" max="9231" width="12.7109375" style="359" customWidth="1"/>
    <col min="9232" max="9233" width="11.28515625" style="359" customWidth="1"/>
    <col min="9234" max="9234" width="12.7109375" style="359" customWidth="1"/>
    <col min="9235" max="9235" width="13.140625" style="359" customWidth="1"/>
    <col min="9236" max="9285" width="0" style="359" hidden="1" customWidth="1"/>
    <col min="9286" max="9286" width="12.7109375" style="359" customWidth="1"/>
    <col min="9287" max="9287" width="13.140625" style="359" customWidth="1"/>
    <col min="9288" max="9288" width="11.28515625" style="359" customWidth="1"/>
    <col min="9289" max="9289" width="12.7109375" style="359" customWidth="1"/>
    <col min="9290" max="9290" width="12.5703125" style="359" customWidth="1"/>
    <col min="9291" max="9291" width="3.28515625" style="359" customWidth="1"/>
    <col min="9292" max="9292" width="0" style="359" hidden="1" customWidth="1"/>
    <col min="9293" max="9293" width="3.28515625" style="359" customWidth="1"/>
    <col min="9294" max="9294" width="9.85546875" style="359" bestFit="1" customWidth="1"/>
    <col min="9295" max="9295" width="9.5703125" style="359" bestFit="1" customWidth="1"/>
    <col min="9296" max="9472" width="9.140625" style="359"/>
    <col min="9473" max="9473" width="2.85546875" style="359" customWidth="1"/>
    <col min="9474" max="9474" width="3.28515625" style="359" customWidth="1"/>
    <col min="9475" max="9475" width="69.28515625" style="359" customWidth="1"/>
    <col min="9476" max="9476" width="6" style="359" customWidth="1"/>
    <col min="9477" max="9486" width="13.5703125" style="359" customWidth="1"/>
    <col min="9487" max="9487" width="12.7109375" style="359" customWidth="1"/>
    <col min="9488" max="9489" width="11.28515625" style="359" customWidth="1"/>
    <col min="9490" max="9490" width="12.7109375" style="359" customWidth="1"/>
    <col min="9491" max="9491" width="13.140625" style="359" customWidth="1"/>
    <col min="9492" max="9541" width="0" style="359" hidden="1" customWidth="1"/>
    <col min="9542" max="9542" width="12.7109375" style="359" customWidth="1"/>
    <col min="9543" max="9543" width="13.140625" style="359" customWidth="1"/>
    <col min="9544" max="9544" width="11.28515625" style="359" customWidth="1"/>
    <col min="9545" max="9545" width="12.7109375" style="359" customWidth="1"/>
    <col min="9546" max="9546" width="12.5703125" style="359" customWidth="1"/>
    <col min="9547" max="9547" width="3.28515625" style="359" customWidth="1"/>
    <col min="9548" max="9548" width="0" style="359" hidden="1" customWidth="1"/>
    <col min="9549" max="9549" width="3.28515625" style="359" customWidth="1"/>
    <col min="9550" max="9550" width="9.85546875" style="359" bestFit="1" customWidth="1"/>
    <col min="9551" max="9551" width="9.5703125" style="359" bestFit="1" customWidth="1"/>
    <col min="9552" max="9728" width="9.140625" style="359"/>
    <col min="9729" max="9729" width="2.85546875" style="359" customWidth="1"/>
    <col min="9730" max="9730" width="3.28515625" style="359" customWidth="1"/>
    <col min="9731" max="9731" width="69.28515625" style="359" customWidth="1"/>
    <col min="9732" max="9732" width="6" style="359" customWidth="1"/>
    <col min="9733" max="9742" width="13.5703125" style="359" customWidth="1"/>
    <col min="9743" max="9743" width="12.7109375" style="359" customWidth="1"/>
    <col min="9744" max="9745" width="11.28515625" style="359" customWidth="1"/>
    <col min="9746" max="9746" width="12.7109375" style="359" customWidth="1"/>
    <col min="9747" max="9747" width="13.140625" style="359" customWidth="1"/>
    <col min="9748" max="9797" width="0" style="359" hidden="1" customWidth="1"/>
    <col min="9798" max="9798" width="12.7109375" style="359" customWidth="1"/>
    <col min="9799" max="9799" width="13.140625" style="359" customWidth="1"/>
    <col min="9800" max="9800" width="11.28515625" style="359" customWidth="1"/>
    <col min="9801" max="9801" width="12.7109375" style="359" customWidth="1"/>
    <col min="9802" max="9802" width="12.5703125" style="359" customWidth="1"/>
    <col min="9803" max="9803" width="3.28515625" style="359" customWidth="1"/>
    <col min="9804" max="9804" width="0" style="359" hidden="1" customWidth="1"/>
    <col min="9805" max="9805" width="3.28515625" style="359" customWidth="1"/>
    <col min="9806" max="9806" width="9.85546875" style="359" bestFit="1" customWidth="1"/>
    <col min="9807" max="9807" width="9.5703125" style="359" bestFit="1" customWidth="1"/>
    <col min="9808" max="9984" width="9.140625" style="359"/>
    <col min="9985" max="9985" width="2.85546875" style="359" customWidth="1"/>
    <col min="9986" max="9986" width="3.28515625" style="359" customWidth="1"/>
    <col min="9987" max="9987" width="69.28515625" style="359" customWidth="1"/>
    <col min="9988" max="9988" width="6" style="359" customWidth="1"/>
    <col min="9989" max="9998" width="13.5703125" style="359" customWidth="1"/>
    <col min="9999" max="9999" width="12.7109375" style="359" customWidth="1"/>
    <col min="10000" max="10001" width="11.28515625" style="359" customWidth="1"/>
    <col min="10002" max="10002" width="12.7109375" style="359" customWidth="1"/>
    <col min="10003" max="10003" width="13.140625" style="359" customWidth="1"/>
    <col min="10004" max="10053" width="0" style="359" hidden="1" customWidth="1"/>
    <col min="10054" max="10054" width="12.7109375" style="359" customWidth="1"/>
    <col min="10055" max="10055" width="13.140625" style="359" customWidth="1"/>
    <col min="10056" max="10056" width="11.28515625" style="359" customWidth="1"/>
    <col min="10057" max="10057" width="12.7109375" style="359" customWidth="1"/>
    <col min="10058" max="10058" width="12.5703125" style="359" customWidth="1"/>
    <col min="10059" max="10059" width="3.28515625" style="359" customWidth="1"/>
    <col min="10060" max="10060" width="0" style="359" hidden="1" customWidth="1"/>
    <col min="10061" max="10061" width="3.28515625" style="359" customWidth="1"/>
    <col min="10062" max="10062" width="9.85546875" style="359" bestFit="1" customWidth="1"/>
    <col min="10063" max="10063" width="9.5703125" style="359" bestFit="1" customWidth="1"/>
    <col min="10064" max="10240" width="9.140625" style="359"/>
    <col min="10241" max="10241" width="2.85546875" style="359" customWidth="1"/>
    <col min="10242" max="10242" width="3.28515625" style="359" customWidth="1"/>
    <col min="10243" max="10243" width="69.28515625" style="359" customWidth="1"/>
    <col min="10244" max="10244" width="6" style="359" customWidth="1"/>
    <col min="10245" max="10254" width="13.5703125" style="359" customWidth="1"/>
    <col min="10255" max="10255" width="12.7109375" style="359" customWidth="1"/>
    <col min="10256" max="10257" width="11.28515625" style="359" customWidth="1"/>
    <col min="10258" max="10258" width="12.7109375" style="359" customWidth="1"/>
    <col min="10259" max="10259" width="13.140625" style="359" customWidth="1"/>
    <col min="10260" max="10309" width="0" style="359" hidden="1" customWidth="1"/>
    <col min="10310" max="10310" width="12.7109375" style="359" customWidth="1"/>
    <col min="10311" max="10311" width="13.140625" style="359" customWidth="1"/>
    <col min="10312" max="10312" width="11.28515625" style="359" customWidth="1"/>
    <col min="10313" max="10313" width="12.7109375" style="359" customWidth="1"/>
    <col min="10314" max="10314" width="12.5703125" style="359" customWidth="1"/>
    <col min="10315" max="10315" width="3.28515625" style="359" customWidth="1"/>
    <col min="10316" max="10316" width="0" style="359" hidden="1" customWidth="1"/>
    <col min="10317" max="10317" width="3.28515625" style="359" customWidth="1"/>
    <col min="10318" max="10318" width="9.85546875" style="359" bestFit="1" customWidth="1"/>
    <col min="10319" max="10319" width="9.5703125" style="359" bestFit="1" customWidth="1"/>
    <col min="10320" max="10496" width="9.140625" style="359"/>
    <col min="10497" max="10497" width="2.85546875" style="359" customWidth="1"/>
    <col min="10498" max="10498" width="3.28515625" style="359" customWidth="1"/>
    <col min="10499" max="10499" width="69.28515625" style="359" customWidth="1"/>
    <col min="10500" max="10500" width="6" style="359" customWidth="1"/>
    <col min="10501" max="10510" width="13.5703125" style="359" customWidth="1"/>
    <col min="10511" max="10511" width="12.7109375" style="359" customWidth="1"/>
    <col min="10512" max="10513" width="11.28515625" style="359" customWidth="1"/>
    <col min="10514" max="10514" width="12.7109375" style="359" customWidth="1"/>
    <col min="10515" max="10515" width="13.140625" style="359" customWidth="1"/>
    <col min="10516" max="10565" width="0" style="359" hidden="1" customWidth="1"/>
    <col min="10566" max="10566" width="12.7109375" style="359" customWidth="1"/>
    <col min="10567" max="10567" width="13.140625" style="359" customWidth="1"/>
    <col min="10568" max="10568" width="11.28515625" style="359" customWidth="1"/>
    <col min="10569" max="10569" width="12.7109375" style="359" customWidth="1"/>
    <col min="10570" max="10570" width="12.5703125" style="359" customWidth="1"/>
    <col min="10571" max="10571" width="3.28515625" style="359" customWidth="1"/>
    <col min="10572" max="10572" width="0" style="359" hidden="1" customWidth="1"/>
    <col min="10573" max="10573" width="3.28515625" style="359" customWidth="1"/>
    <col min="10574" max="10574" width="9.85546875" style="359" bestFit="1" customWidth="1"/>
    <col min="10575" max="10575" width="9.5703125" style="359" bestFit="1" customWidth="1"/>
    <col min="10576" max="10752" width="9.140625" style="359"/>
    <col min="10753" max="10753" width="2.85546875" style="359" customWidth="1"/>
    <col min="10754" max="10754" width="3.28515625" style="359" customWidth="1"/>
    <col min="10755" max="10755" width="69.28515625" style="359" customWidth="1"/>
    <col min="10756" max="10756" width="6" style="359" customWidth="1"/>
    <col min="10757" max="10766" width="13.5703125" style="359" customWidth="1"/>
    <col min="10767" max="10767" width="12.7109375" style="359" customWidth="1"/>
    <col min="10768" max="10769" width="11.28515625" style="359" customWidth="1"/>
    <col min="10770" max="10770" width="12.7109375" style="359" customWidth="1"/>
    <col min="10771" max="10771" width="13.140625" style="359" customWidth="1"/>
    <col min="10772" max="10821" width="0" style="359" hidden="1" customWidth="1"/>
    <col min="10822" max="10822" width="12.7109375" style="359" customWidth="1"/>
    <col min="10823" max="10823" width="13.140625" style="359" customWidth="1"/>
    <col min="10824" max="10824" width="11.28515625" style="359" customWidth="1"/>
    <col min="10825" max="10825" width="12.7109375" style="359" customWidth="1"/>
    <col min="10826" max="10826" width="12.5703125" style="359" customWidth="1"/>
    <col min="10827" max="10827" width="3.28515625" style="359" customWidth="1"/>
    <col min="10828" max="10828" width="0" style="359" hidden="1" customWidth="1"/>
    <col min="10829" max="10829" width="3.28515625" style="359" customWidth="1"/>
    <col min="10830" max="10830" width="9.85546875" style="359" bestFit="1" customWidth="1"/>
    <col min="10831" max="10831" width="9.5703125" style="359" bestFit="1" customWidth="1"/>
    <col min="10832" max="11008" width="9.140625" style="359"/>
    <col min="11009" max="11009" width="2.85546875" style="359" customWidth="1"/>
    <col min="11010" max="11010" width="3.28515625" style="359" customWidth="1"/>
    <col min="11011" max="11011" width="69.28515625" style="359" customWidth="1"/>
    <col min="11012" max="11012" width="6" style="359" customWidth="1"/>
    <col min="11013" max="11022" width="13.5703125" style="359" customWidth="1"/>
    <col min="11023" max="11023" width="12.7109375" style="359" customWidth="1"/>
    <col min="11024" max="11025" width="11.28515625" style="359" customWidth="1"/>
    <col min="11026" max="11026" width="12.7109375" style="359" customWidth="1"/>
    <col min="11027" max="11027" width="13.140625" style="359" customWidth="1"/>
    <col min="11028" max="11077" width="0" style="359" hidden="1" customWidth="1"/>
    <col min="11078" max="11078" width="12.7109375" style="359" customWidth="1"/>
    <col min="11079" max="11079" width="13.140625" style="359" customWidth="1"/>
    <col min="11080" max="11080" width="11.28515625" style="359" customWidth="1"/>
    <col min="11081" max="11081" width="12.7109375" style="359" customWidth="1"/>
    <col min="11082" max="11082" width="12.5703125" style="359" customWidth="1"/>
    <col min="11083" max="11083" width="3.28515625" style="359" customWidth="1"/>
    <col min="11084" max="11084" width="0" style="359" hidden="1" customWidth="1"/>
    <col min="11085" max="11085" width="3.28515625" style="359" customWidth="1"/>
    <col min="11086" max="11086" width="9.85546875" style="359" bestFit="1" customWidth="1"/>
    <col min="11087" max="11087" width="9.5703125" style="359" bestFit="1" customWidth="1"/>
    <col min="11088" max="11264" width="9.140625" style="359"/>
    <col min="11265" max="11265" width="2.85546875" style="359" customWidth="1"/>
    <col min="11266" max="11266" width="3.28515625" style="359" customWidth="1"/>
    <col min="11267" max="11267" width="69.28515625" style="359" customWidth="1"/>
    <col min="11268" max="11268" width="6" style="359" customWidth="1"/>
    <col min="11269" max="11278" width="13.5703125" style="359" customWidth="1"/>
    <col min="11279" max="11279" width="12.7109375" style="359" customWidth="1"/>
    <col min="11280" max="11281" width="11.28515625" style="359" customWidth="1"/>
    <col min="11282" max="11282" width="12.7109375" style="359" customWidth="1"/>
    <col min="11283" max="11283" width="13.140625" style="359" customWidth="1"/>
    <col min="11284" max="11333" width="0" style="359" hidden="1" customWidth="1"/>
    <col min="11334" max="11334" width="12.7109375" style="359" customWidth="1"/>
    <col min="11335" max="11335" width="13.140625" style="359" customWidth="1"/>
    <col min="11336" max="11336" width="11.28515625" style="359" customWidth="1"/>
    <col min="11337" max="11337" width="12.7109375" style="359" customWidth="1"/>
    <col min="11338" max="11338" width="12.5703125" style="359" customWidth="1"/>
    <col min="11339" max="11339" width="3.28515625" style="359" customWidth="1"/>
    <col min="11340" max="11340" width="0" style="359" hidden="1" customWidth="1"/>
    <col min="11341" max="11341" width="3.28515625" style="359" customWidth="1"/>
    <col min="11342" max="11342" width="9.85546875" style="359" bestFit="1" customWidth="1"/>
    <col min="11343" max="11343" width="9.5703125" style="359" bestFit="1" customWidth="1"/>
    <col min="11344" max="11520" width="9.140625" style="359"/>
    <col min="11521" max="11521" width="2.85546875" style="359" customWidth="1"/>
    <col min="11522" max="11522" width="3.28515625" style="359" customWidth="1"/>
    <col min="11523" max="11523" width="69.28515625" style="359" customWidth="1"/>
    <col min="11524" max="11524" width="6" style="359" customWidth="1"/>
    <col min="11525" max="11534" width="13.5703125" style="359" customWidth="1"/>
    <col min="11535" max="11535" width="12.7109375" style="359" customWidth="1"/>
    <col min="11536" max="11537" width="11.28515625" style="359" customWidth="1"/>
    <col min="11538" max="11538" width="12.7109375" style="359" customWidth="1"/>
    <col min="11539" max="11539" width="13.140625" style="359" customWidth="1"/>
    <col min="11540" max="11589" width="0" style="359" hidden="1" customWidth="1"/>
    <col min="11590" max="11590" width="12.7109375" style="359" customWidth="1"/>
    <col min="11591" max="11591" width="13.140625" style="359" customWidth="1"/>
    <col min="11592" max="11592" width="11.28515625" style="359" customWidth="1"/>
    <col min="11593" max="11593" width="12.7109375" style="359" customWidth="1"/>
    <col min="11594" max="11594" width="12.5703125" style="359" customWidth="1"/>
    <col min="11595" max="11595" width="3.28515625" style="359" customWidth="1"/>
    <col min="11596" max="11596" width="0" style="359" hidden="1" customWidth="1"/>
    <col min="11597" max="11597" width="3.28515625" style="359" customWidth="1"/>
    <col min="11598" max="11598" width="9.85546875" style="359" bestFit="1" customWidth="1"/>
    <col min="11599" max="11599" width="9.5703125" style="359" bestFit="1" customWidth="1"/>
    <col min="11600" max="11776" width="9.140625" style="359"/>
    <col min="11777" max="11777" width="2.85546875" style="359" customWidth="1"/>
    <col min="11778" max="11778" width="3.28515625" style="359" customWidth="1"/>
    <col min="11779" max="11779" width="69.28515625" style="359" customWidth="1"/>
    <col min="11780" max="11780" width="6" style="359" customWidth="1"/>
    <col min="11781" max="11790" width="13.5703125" style="359" customWidth="1"/>
    <col min="11791" max="11791" width="12.7109375" style="359" customWidth="1"/>
    <col min="11792" max="11793" width="11.28515625" style="359" customWidth="1"/>
    <col min="11794" max="11794" width="12.7109375" style="359" customWidth="1"/>
    <col min="11795" max="11795" width="13.140625" style="359" customWidth="1"/>
    <col min="11796" max="11845" width="0" style="359" hidden="1" customWidth="1"/>
    <col min="11846" max="11846" width="12.7109375" style="359" customWidth="1"/>
    <col min="11847" max="11847" width="13.140625" style="359" customWidth="1"/>
    <col min="11848" max="11848" width="11.28515625" style="359" customWidth="1"/>
    <col min="11849" max="11849" width="12.7109375" style="359" customWidth="1"/>
    <col min="11850" max="11850" width="12.5703125" style="359" customWidth="1"/>
    <col min="11851" max="11851" width="3.28515625" style="359" customWidth="1"/>
    <col min="11852" max="11852" width="0" style="359" hidden="1" customWidth="1"/>
    <col min="11853" max="11853" width="3.28515625" style="359" customWidth="1"/>
    <col min="11854" max="11854" width="9.85546875" style="359" bestFit="1" customWidth="1"/>
    <col min="11855" max="11855" width="9.5703125" style="359" bestFit="1" customWidth="1"/>
    <col min="11856" max="12032" width="9.140625" style="359"/>
    <col min="12033" max="12033" width="2.85546875" style="359" customWidth="1"/>
    <col min="12034" max="12034" width="3.28515625" style="359" customWidth="1"/>
    <col min="12035" max="12035" width="69.28515625" style="359" customWidth="1"/>
    <col min="12036" max="12036" width="6" style="359" customWidth="1"/>
    <col min="12037" max="12046" width="13.5703125" style="359" customWidth="1"/>
    <col min="12047" max="12047" width="12.7109375" style="359" customWidth="1"/>
    <col min="12048" max="12049" width="11.28515625" style="359" customWidth="1"/>
    <col min="12050" max="12050" width="12.7109375" style="359" customWidth="1"/>
    <col min="12051" max="12051" width="13.140625" style="359" customWidth="1"/>
    <col min="12052" max="12101" width="0" style="359" hidden="1" customWidth="1"/>
    <col min="12102" max="12102" width="12.7109375" style="359" customWidth="1"/>
    <col min="12103" max="12103" width="13.140625" style="359" customWidth="1"/>
    <col min="12104" max="12104" width="11.28515625" style="359" customWidth="1"/>
    <col min="12105" max="12105" width="12.7109375" style="359" customWidth="1"/>
    <col min="12106" max="12106" width="12.5703125" style="359" customWidth="1"/>
    <col min="12107" max="12107" width="3.28515625" style="359" customWidth="1"/>
    <col min="12108" max="12108" width="0" style="359" hidden="1" customWidth="1"/>
    <col min="12109" max="12109" width="3.28515625" style="359" customWidth="1"/>
    <col min="12110" max="12110" width="9.85546875" style="359" bestFit="1" customWidth="1"/>
    <col min="12111" max="12111" width="9.5703125" style="359" bestFit="1" customWidth="1"/>
    <col min="12112" max="12288" width="9.140625" style="359"/>
    <col min="12289" max="12289" width="2.85546875" style="359" customWidth="1"/>
    <col min="12290" max="12290" width="3.28515625" style="359" customWidth="1"/>
    <col min="12291" max="12291" width="69.28515625" style="359" customWidth="1"/>
    <col min="12292" max="12292" width="6" style="359" customWidth="1"/>
    <col min="12293" max="12302" width="13.5703125" style="359" customWidth="1"/>
    <col min="12303" max="12303" width="12.7109375" style="359" customWidth="1"/>
    <col min="12304" max="12305" width="11.28515625" style="359" customWidth="1"/>
    <col min="12306" max="12306" width="12.7109375" style="359" customWidth="1"/>
    <col min="12307" max="12307" width="13.140625" style="359" customWidth="1"/>
    <col min="12308" max="12357" width="0" style="359" hidden="1" customWidth="1"/>
    <col min="12358" max="12358" width="12.7109375" style="359" customWidth="1"/>
    <col min="12359" max="12359" width="13.140625" style="359" customWidth="1"/>
    <col min="12360" max="12360" width="11.28515625" style="359" customWidth="1"/>
    <col min="12361" max="12361" width="12.7109375" style="359" customWidth="1"/>
    <col min="12362" max="12362" width="12.5703125" style="359" customWidth="1"/>
    <col min="12363" max="12363" width="3.28515625" style="359" customWidth="1"/>
    <col min="12364" max="12364" width="0" style="359" hidden="1" customWidth="1"/>
    <col min="12365" max="12365" width="3.28515625" style="359" customWidth="1"/>
    <col min="12366" max="12366" width="9.85546875" style="359" bestFit="1" customWidth="1"/>
    <col min="12367" max="12367" width="9.5703125" style="359" bestFit="1" customWidth="1"/>
    <col min="12368" max="12544" width="9.140625" style="359"/>
    <col min="12545" max="12545" width="2.85546875" style="359" customWidth="1"/>
    <col min="12546" max="12546" width="3.28515625" style="359" customWidth="1"/>
    <col min="12547" max="12547" width="69.28515625" style="359" customWidth="1"/>
    <col min="12548" max="12548" width="6" style="359" customWidth="1"/>
    <col min="12549" max="12558" width="13.5703125" style="359" customWidth="1"/>
    <col min="12559" max="12559" width="12.7109375" style="359" customWidth="1"/>
    <col min="12560" max="12561" width="11.28515625" style="359" customWidth="1"/>
    <col min="12562" max="12562" width="12.7109375" style="359" customWidth="1"/>
    <col min="12563" max="12563" width="13.140625" style="359" customWidth="1"/>
    <col min="12564" max="12613" width="0" style="359" hidden="1" customWidth="1"/>
    <col min="12614" max="12614" width="12.7109375" style="359" customWidth="1"/>
    <col min="12615" max="12615" width="13.140625" style="359" customWidth="1"/>
    <col min="12616" max="12616" width="11.28515625" style="359" customWidth="1"/>
    <col min="12617" max="12617" width="12.7109375" style="359" customWidth="1"/>
    <col min="12618" max="12618" width="12.5703125" style="359" customWidth="1"/>
    <col min="12619" max="12619" width="3.28515625" style="359" customWidth="1"/>
    <col min="12620" max="12620" width="0" style="359" hidden="1" customWidth="1"/>
    <col min="12621" max="12621" width="3.28515625" style="359" customWidth="1"/>
    <col min="12622" max="12622" width="9.85546875" style="359" bestFit="1" customWidth="1"/>
    <col min="12623" max="12623" width="9.5703125" style="359" bestFit="1" customWidth="1"/>
    <col min="12624" max="12800" width="9.140625" style="359"/>
    <col min="12801" max="12801" width="2.85546875" style="359" customWidth="1"/>
    <col min="12802" max="12802" width="3.28515625" style="359" customWidth="1"/>
    <col min="12803" max="12803" width="69.28515625" style="359" customWidth="1"/>
    <col min="12804" max="12804" width="6" style="359" customWidth="1"/>
    <col min="12805" max="12814" width="13.5703125" style="359" customWidth="1"/>
    <col min="12815" max="12815" width="12.7109375" style="359" customWidth="1"/>
    <col min="12816" max="12817" width="11.28515625" style="359" customWidth="1"/>
    <col min="12818" max="12818" width="12.7109375" style="359" customWidth="1"/>
    <col min="12819" max="12819" width="13.140625" style="359" customWidth="1"/>
    <col min="12820" max="12869" width="0" style="359" hidden="1" customWidth="1"/>
    <col min="12870" max="12870" width="12.7109375" style="359" customWidth="1"/>
    <col min="12871" max="12871" width="13.140625" style="359" customWidth="1"/>
    <col min="12872" max="12872" width="11.28515625" style="359" customWidth="1"/>
    <col min="12873" max="12873" width="12.7109375" style="359" customWidth="1"/>
    <col min="12874" max="12874" width="12.5703125" style="359" customWidth="1"/>
    <col min="12875" max="12875" width="3.28515625" style="359" customWidth="1"/>
    <col min="12876" max="12876" width="0" style="359" hidden="1" customWidth="1"/>
    <col min="12877" max="12877" width="3.28515625" style="359" customWidth="1"/>
    <col min="12878" max="12878" width="9.85546875" style="359" bestFit="1" customWidth="1"/>
    <col min="12879" max="12879" width="9.5703125" style="359" bestFit="1" customWidth="1"/>
    <col min="12880" max="13056" width="9.140625" style="359"/>
    <col min="13057" max="13057" width="2.85546875" style="359" customWidth="1"/>
    <col min="13058" max="13058" width="3.28515625" style="359" customWidth="1"/>
    <col min="13059" max="13059" width="69.28515625" style="359" customWidth="1"/>
    <col min="13060" max="13060" width="6" style="359" customWidth="1"/>
    <col min="13061" max="13070" width="13.5703125" style="359" customWidth="1"/>
    <col min="13071" max="13071" width="12.7109375" style="359" customWidth="1"/>
    <col min="13072" max="13073" width="11.28515625" style="359" customWidth="1"/>
    <col min="13074" max="13074" width="12.7109375" style="359" customWidth="1"/>
    <col min="13075" max="13075" width="13.140625" style="359" customWidth="1"/>
    <col min="13076" max="13125" width="0" style="359" hidden="1" customWidth="1"/>
    <col min="13126" max="13126" width="12.7109375" style="359" customWidth="1"/>
    <col min="13127" max="13127" width="13.140625" style="359" customWidth="1"/>
    <col min="13128" max="13128" width="11.28515625" style="359" customWidth="1"/>
    <col min="13129" max="13129" width="12.7109375" style="359" customWidth="1"/>
    <col min="13130" max="13130" width="12.5703125" style="359" customWidth="1"/>
    <col min="13131" max="13131" width="3.28515625" style="359" customWidth="1"/>
    <col min="13132" max="13132" width="0" style="359" hidden="1" customWidth="1"/>
    <col min="13133" max="13133" width="3.28515625" style="359" customWidth="1"/>
    <col min="13134" max="13134" width="9.85546875" style="359" bestFit="1" customWidth="1"/>
    <col min="13135" max="13135" width="9.5703125" style="359" bestFit="1" customWidth="1"/>
    <col min="13136" max="13312" width="9.140625" style="359"/>
    <col min="13313" max="13313" width="2.85546875" style="359" customWidth="1"/>
    <col min="13314" max="13314" width="3.28515625" style="359" customWidth="1"/>
    <col min="13315" max="13315" width="69.28515625" style="359" customWidth="1"/>
    <col min="13316" max="13316" width="6" style="359" customWidth="1"/>
    <col min="13317" max="13326" width="13.5703125" style="359" customWidth="1"/>
    <col min="13327" max="13327" width="12.7109375" style="359" customWidth="1"/>
    <col min="13328" max="13329" width="11.28515625" style="359" customWidth="1"/>
    <col min="13330" max="13330" width="12.7109375" style="359" customWidth="1"/>
    <col min="13331" max="13331" width="13.140625" style="359" customWidth="1"/>
    <col min="13332" max="13381" width="0" style="359" hidden="1" customWidth="1"/>
    <col min="13382" max="13382" width="12.7109375" style="359" customWidth="1"/>
    <col min="13383" max="13383" width="13.140625" style="359" customWidth="1"/>
    <col min="13384" max="13384" width="11.28515625" style="359" customWidth="1"/>
    <col min="13385" max="13385" width="12.7109375" style="359" customWidth="1"/>
    <col min="13386" max="13386" width="12.5703125" style="359" customWidth="1"/>
    <col min="13387" max="13387" width="3.28515625" style="359" customWidth="1"/>
    <col min="13388" max="13388" width="0" style="359" hidden="1" customWidth="1"/>
    <col min="13389" max="13389" width="3.28515625" style="359" customWidth="1"/>
    <col min="13390" max="13390" width="9.85546875" style="359" bestFit="1" customWidth="1"/>
    <col min="13391" max="13391" width="9.5703125" style="359" bestFit="1" customWidth="1"/>
    <col min="13392" max="13568" width="9.140625" style="359"/>
    <col min="13569" max="13569" width="2.85546875" style="359" customWidth="1"/>
    <col min="13570" max="13570" width="3.28515625" style="359" customWidth="1"/>
    <col min="13571" max="13571" width="69.28515625" style="359" customWidth="1"/>
    <col min="13572" max="13572" width="6" style="359" customWidth="1"/>
    <col min="13573" max="13582" width="13.5703125" style="359" customWidth="1"/>
    <col min="13583" max="13583" width="12.7109375" style="359" customWidth="1"/>
    <col min="13584" max="13585" width="11.28515625" style="359" customWidth="1"/>
    <col min="13586" max="13586" width="12.7109375" style="359" customWidth="1"/>
    <col min="13587" max="13587" width="13.140625" style="359" customWidth="1"/>
    <col min="13588" max="13637" width="0" style="359" hidden="1" customWidth="1"/>
    <col min="13638" max="13638" width="12.7109375" style="359" customWidth="1"/>
    <col min="13639" max="13639" width="13.140625" style="359" customWidth="1"/>
    <col min="13640" max="13640" width="11.28515625" style="359" customWidth="1"/>
    <col min="13641" max="13641" width="12.7109375" style="359" customWidth="1"/>
    <col min="13642" max="13642" width="12.5703125" style="359" customWidth="1"/>
    <col min="13643" max="13643" width="3.28515625" style="359" customWidth="1"/>
    <col min="13644" max="13644" width="0" style="359" hidden="1" customWidth="1"/>
    <col min="13645" max="13645" width="3.28515625" style="359" customWidth="1"/>
    <col min="13646" max="13646" width="9.85546875" style="359" bestFit="1" customWidth="1"/>
    <col min="13647" max="13647" width="9.5703125" style="359" bestFit="1" customWidth="1"/>
    <col min="13648" max="13824" width="9.140625" style="359"/>
    <col min="13825" max="13825" width="2.85546875" style="359" customWidth="1"/>
    <col min="13826" max="13826" width="3.28515625" style="359" customWidth="1"/>
    <col min="13827" max="13827" width="69.28515625" style="359" customWidth="1"/>
    <col min="13828" max="13828" width="6" style="359" customWidth="1"/>
    <col min="13829" max="13838" width="13.5703125" style="359" customWidth="1"/>
    <col min="13839" max="13839" width="12.7109375" style="359" customWidth="1"/>
    <col min="13840" max="13841" width="11.28515625" style="359" customWidth="1"/>
    <col min="13842" max="13842" width="12.7109375" style="359" customWidth="1"/>
    <col min="13843" max="13843" width="13.140625" style="359" customWidth="1"/>
    <col min="13844" max="13893" width="0" style="359" hidden="1" customWidth="1"/>
    <col min="13894" max="13894" width="12.7109375" style="359" customWidth="1"/>
    <col min="13895" max="13895" width="13.140625" style="359" customWidth="1"/>
    <col min="13896" max="13896" width="11.28515625" style="359" customWidth="1"/>
    <col min="13897" max="13897" width="12.7109375" style="359" customWidth="1"/>
    <col min="13898" max="13898" width="12.5703125" style="359" customWidth="1"/>
    <col min="13899" max="13899" width="3.28515625" style="359" customWidth="1"/>
    <col min="13900" max="13900" width="0" style="359" hidden="1" customWidth="1"/>
    <col min="13901" max="13901" width="3.28515625" style="359" customWidth="1"/>
    <col min="13902" max="13902" width="9.85546875" style="359" bestFit="1" customWidth="1"/>
    <col min="13903" max="13903" width="9.5703125" style="359" bestFit="1" customWidth="1"/>
    <col min="13904" max="14080" width="9.140625" style="359"/>
    <col min="14081" max="14081" width="2.85546875" style="359" customWidth="1"/>
    <col min="14082" max="14082" width="3.28515625" style="359" customWidth="1"/>
    <col min="14083" max="14083" width="69.28515625" style="359" customWidth="1"/>
    <col min="14084" max="14084" width="6" style="359" customWidth="1"/>
    <col min="14085" max="14094" width="13.5703125" style="359" customWidth="1"/>
    <col min="14095" max="14095" width="12.7109375" style="359" customWidth="1"/>
    <col min="14096" max="14097" width="11.28515625" style="359" customWidth="1"/>
    <col min="14098" max="14098" width="12.7109375" style="359" customWidth="1"/>
    <col min="14099" max="14099" width="13.140625" style="359" customWidth="1"/>
    <col min="14100" max="14149" width="0" style="359" hidden="1" customWidth="1"/>
    <col min="14150" max="14150" width="12.7109375" style="359" customWidth="1"/>
    <col min="14151" max="14151" width="13.140625" style="359" customWidth="1"/>
    <col min="14152" max="14152" width="11.28515625" style="359" customWidth="1"/>
    <col min="14153" max="14153" width="12.7109375" style="359" customWidth="1"/>
    <col min="14154" max="14154" width="12.5703125" style="359" customWidth="1"/>
    <col min="14155" max="14155" width="3.28515625" style="359" customWidth="1"/>
    <col min="14156" max="14156" width="0" style="359" hidden="1" customWidth="1"/>
    <col min="14157" max="14157" width="3.28515625" style="359" customWidth="1"/>
    <col min="14158" max="14158" width="9.85546875" style="359" bestFit="1" customWidth="1"/>
    <col min="14159" max="14159" width="9.5703125" style="359" bestFit="1" customWidth="1"/>
    <col min="14160" max="14336" width="9.140625" style="359"/>
    <col min="14337" max="14337" width="2.85546875" style="359" customWidth="1"/>
    <col min="14338" max="14338" width="3.28515625" style="359" customWidth="1"/>
    <col min="14339" max="14339" width="69.28515625" style="359" customWidth="1"/>
    <col min="14340" max="14340" width="6" style="359" customWidth="1"/>
    <col min="14341" max="14350" width="13.5703125" style="359" customWidth="1"/>
    <col min="14351" max="14351" width="12.7109375" style="359" customWidth="1"/>
    <col min="14352" max="14353" width="11.28515625" style="359" customWidth="1"/>
    <col min="14354" max="14354" width="12.7109375" style="359" customWidth="1"/>
    <col min="14355" max="14355" width="13.140625" style="359" customWidth="1"/>
    <col min="14356" max="14405" width="0" style="359" hidden="1" customWidth="1"/>
    <col min="14406" max="14406" width="12.7109375" style="359" customWidth="1"/>
    <col min="14407" max="14407" width="13.140625" style="359" customWidth="1"/>
    <col min="14408" max="14408" width="11.28515625" style="359" customWidth="1"/>
    <col min="14409" max="14409" width="12.7109375" style="359" customWidth="1"/>
    <col min="14410" max="14410" width="12.5703125" style="359" customWidth="1"/>
    <col min="14411" max="14411" width="3.28515625" style="359" customWidth="1"/>
    <col min="14412" max="14412" width="0" style="359" hidden="1" customWidth="1"/>
    <col min="14413" max="14413" width="3.28515625" style="359" customWidth="1"/>
    <col min="14414" max="14414" width="9.85546875" style="359" bestFit="1" customWidth="1"/>
    <col min="14415" max="14415" width="9.5703125" style="359" bestFit="1" customWidth="1"/>
    <col min="14416" max="14592" width="9.140625" style="359"/>
    <col min="14593" max="14593" width="2.85546875" style="359" customWidth="1"/>
    <col min="14594" max="14594" width="3.28515625" style="359" customWidth="1"/>
    <col min="14595" max="14595" width="69.28515625" style="359" customWidth="1"/>
    <col min="14596" max="14596" width="6" style="359" customWidth="1"/>
    <col min="14597" max="14606" width="13.5703125" style="359" customWidth="1"/>
    <col min="14607" max="14607" width="12.7109375" style="359" customWidth="1"/>
    <col min="14608" max="14609" width="11.28515625" style="359" customWidth="1"/>
    <col min="14610" max="14610" width="12.7109375" style="359" customWidth="1"/>
    <col min="14611" max="14611" width="13.140625" style="359" customWidth="1"/>
    <col min="14612" max="14661" width="0" style="359" hidden="1" customWidth="1"/>
    <col min="14662" max="14662" width="12.7109375" style="359" customWidth="1"/>
    <col min="14663" max="14663" width="13.140625" style="359" customWidth="1"/>
    <col min="14664" max="14664" width="11.28515625" style="359" customWidth="1"/>
    <col min="14665" max="14665" width="12.7109375" style="359" customWidth="1"/>
    <col min="14666" max="14666" width="12.5703125" style="359" customWidth="1"/>
    <col min="14667" max="14667" width="3.28515625" style="359" customWidth="1"/>
    <col min="14668" max="14668" width="0" style="359" hidden="1" customWidth="1"/>
    <col min="14669" max="14669" width="3.28515625" style="359" customWidth="1"/>
    <col min="14670" max="14670" width="9.85546875" style="359" bestFit="1" customWidth="1"/>
    <col min="14671" max="14671" width="9.5703125" style="359" bestFit="1" customWidth="1"/>
    <col min="14672" max="14848" width="9.140625" style="359"/>
    <col min="14849" max="14849" width="2.85546875" style="359" customWidth="1"/>
    <col min="14850" max="14850" width="3.28515625" style="359" customWidth="1"/>
    <col min="14851" max="14851" width="69.28515625" style="359" customWidth="1"/>
    <col min="14852" max="14852" width="6" style="359" customWidth="1"/>
    <col min="14853" max="14862" width="13.5703125" style="359" customWidth="1"/>
    <col min="14863" max="14863" width="12.7109375" style="359" customWidth="1"/>
    <col min="14864" max="14865" width="11.28515625" style="359" customWidth="1"/>
    <col min="14866" max="14866" width="12.7109375" style="359" customWidth="1"/>
    <col min="14867" max="14867" width="13.140625" style="359" customWidth="1"/>
    <col min="14868" max="14917" width="0" style="359" hidden="1" customWidth="1"/>
    <col min="14918" max="14918" width="12.7109375" style="359" customWidth="1"/>
    <col min="14919" max="14919" width="13.140625" style="359" customWidth="1"/>
    <col min="14920" max="14920" width="11.28515625" style="359" customWidth="1"/>
    <col min="14921" max="14921" width="12.7109375" style="359" customWidth="1"/>
    <col min="14922" max="14922" width="12.5703125" style="359" customWidth="1"/>
    <col min="14923" max="14923" width="3.28515625" style="359" customWidth="1"/>
    <col min="14924" max="14924" width="0" style="359" hidden="1" customWidth="1"/>
    <col min="14925" max="14925" width="3.28515625" style="359" customWidth="1"/>
    <col min="14926" max="14926" width="9.85546875" style="359" bestFit="1" customWidth="1"/>
    <col min="14927" max="14927" width="9.5703125" style="359" bestFit="1" customWidth="1"/>
    <col min="14928" max="15104" width="9.140625" style="359"/>
    <col min="15105" max="15105" width="2.85546875" style="359" customWidth="1"/>
    <col min="15106" max="15106" width="3.28515625" style="359" customWidth="1"/>
    <col min="15107" max="15107" width="69.28515625" style="359" customWidth="1"/>
    <col min="15108" max="15108" width="6" style="359" customWidth="1"/>
    <col min="15109" max="15118" width="13.5703125" style="359" customWidth="1"/>
    <col min="15119" max="15119" width="12.7109375" style="359" customWidth="1"/>
    <col min="15120" max="15121" width="11.28515625" style="359" customWidth="1"/>
    <col min="15122" max="15122" width="12.7109375" style="359" customWidth="1"/>
    <col min="15123" max="15123" width="13.140625" style="359" customWidth="1"/>
    <col min="15124" max="15173" width="0" style="359" hidden="1" customWidth="1"/>
    <col min="15174" max="15174" width="12.7109375" style="359" customWidth="1"/>
    <col min="15175" max="15175" width="13.140625" style="359" customWidth="1"/>
    <col min="15176" max="15176" width="11.28515625" style="359" customWidth="1"/>
    <col min="15177" max="15177" width="12.7109375" style="359" customWidth="1"/>
    <col min="15178" max="15178" width="12.5703125" style="359" customWidth="1"/>
    <col min="15179" max="15179" width="3.28515625" style="359" customWidth="1"/>
    <col min="15180" max="15180" width="0" style="359" hidden="1" customWidth="1"/>
    <col min="15181" max="15181" width="3.28515625" style="359" customWidth="1"/>
    <col min="15182" max="15182" width="9.85546875" style="359" bestFit="1" customWidth="1"/>
    <col min="15183" max="15183" width="9.5703125" style="359" bestFit="1" customWidth="1"/>
    <col min="15184" max="15360" width="9.140625" style="359"/>
    <col min="15361" max="15361" width="2.85546875" style="359" customWidth="1"/>
    <col min="15362" max="15362" width="3.28515625" style="359" customWidth="1"/>
    <col min="15363" max="15363" width="69.28515625" style="359" customWidth="1"/>
    <col min="15364" max="15364" width="6" style="359" customWidth="1"/>
    <col min="15365" max="15374" width="13.5703125" style="359" customWidth="1"/>
    <col min="15375" max="15375" width="12.7109375" style="359" customWidth="1"/>
    <col min="15376" max="15377" width="11.28515625" style="359" customWidth="1"/>
    <col min="15378" max="15378" width="12.7109375" style="359" customWidth="1"/>
    <col min="15379" max="15379" width="13.140625" style="359" customWidth="1"/>
    <col min="15380" max="15429" width="0" style="359" hidden="1" customWidth="1"/>
    <col min="15430" max="15430" width="12.7109375" style="359" customWidth="1"/>
    <col min="15431" max="15431" width="13.140625" style="359" customWidth="1"/>
    <col min="15432" max="15432" width="11.28515625" style="359" customWidth="1"/>
    <col min="15433" max="15433" width="12.7109375" style="359" customWidth="1"/>
    <col min="15434" max="15434" width="12.5703125" style="359" customWidth="1"/>
    <col min="15435" max="15435" width="3.28515625" style="359" customWidth="1"/>
    <col min="15436" max="15436" width="0" style="359" hidden="1" customWidth="1"/>
    <col min="15437" max="15437" width="3.28515625" style="359" customWidth="1"/>
    <col min="15438" max="15438" width="9.85546875" style="359" bestFit="1" customWidth="1"/>
    <col min="15439" max="15439" width="9.5703125" style="359" bestFit="1" customWidth="1"/>
    <col min="15440" max="15616" width="9.140625" style="359"/>
    <col min="15617" max="15617" width="2.85546875" style="359" customWidth="1"/>
    <col min="15618" max="15618" width="3.28515625" style="359" customWidth="1"/>
    <col min="15619" max="15619" width="69.28515625" style="359" customWidth="1"/>
    <col min="15620" max="15620" width="6" style="359" customWidth="1"/>
    <col min="15621" max="15630" width="13.5703125" style="359" customWidth="1"/>
    <col min="15631" max="15631" width="12.7109375" style="359" customWidth="1"/>
    <col min="15632" max="15633" width="11.28515625" style="359" customWidth="1"/>
    <col min="15634" max="15634" width="12.7109375" style="359" customWidth="1"/>
    <col min="15635" max="15635" width="13.140625" style="359" customWidth="1"/>
    <col min="15636" max="15685" width="0" style="359" hidden="1" customWidth="1"/>
    <col min="15686" max="15686" width="12.7109375" style="359" customWidth="1"/>
    <col min="15687" max="15687" width="13.140625" style="359" customWidth="1"/>
    <col min="15688" max="15688" width="11.28515625" style="359" customWidth="1"/>
    <col min="15689" max="15689" width="12.7109375" style="359" customWidth="1"/>
    <col min="15690" max="15690" width="12.5703125" style="359" customWidth="1"/>
    <col min="15691" max="15691" width="3.28515625" style="359" customWidth="1"/>
    <col min="15692" max="15692" width="0" style="359" hidden="1" customWidth="1"/>
    <col min="15693" max="15693" width="3.28515625" style="359" customWidth="1"/>
    <col min="15694" max="15694" width="9.85546875" style="359" bestFit="1" customWidth="1"/>
    <col min="15695" max="15695" width="9.5703125" style="359" bestFit="1" customWidth="1"/>
    <col min="15696" max="15872" width="9.140625" style="359"/>
    <col min="15873" max="15873" width="2.85546875" style="359" customWidth="1"/>
    <col min="15874" max="15874" width="3.28515625" style="359" customWidth="1"/>
    <col min="15875" max="15875" width="69.28515625" style="359" customWidth="1"/>
    <col min="15876" max="15876" width="6" style="359" customWidth="1"/>
    <col min="15877" max="15886" width="13.5703125" style="359" customWidth="1"/>
    <col min="15887" max="15887" width="12.7109375" style="359" customWidth="1"/>
    <col min="15888" max="15889" width="11.28515625" style="359" customWidth="1"/>
    <col min="15890" max="15890" width="12.7109375" style="359" customWidth="1"/>
    <col min="15891" max="15891" width="13.140625" style="359" customWidth="1"/>
    <col min="15892" max="15941" width="0" style="359" hidden="1" customWidth="1"/>
    <col min="15942" max="15942" width="12.7109375" style="359" customWidth="1"/>
    <col min="15943" max="15943" width="13.140625" style="359" customWidth="1"/>
    <col min="15944" max="15944" width="11.28515625" style="359" customWidth="1"/>
    <col min="15945" max="15945" width="12.7109375" style="359" customWidth="1"/>
    <col min="15946" max="15946" width="12.5703125" style="359" customWidth="1"/>
    <col min="15947" max="15947" width="3.28515625" style="359" customWidth="1"/>
    <col min="15948" max="15948" width="0" style="359" hidden="1" customWidth="1"/>
    <col min="15949" max="15949" width="3.28515625" style="359" customWidth="1"/>
    <col min="15950" max="15950" width="9.85546875" style="359" bestFit="1" customWidth="1"/>
    <col min="15951" max="15951" width="9.5703125" style="359" bestFit="1" customWidth="1"/>
    <col min="15952" max="16128" width="9.140625" style="359"/>
    <col min="16129" max="16129" width="2.85546875" style="359" customWidth="1"/>
    <col min="16130" max="16130" width="3.28515625" style="359" customWidth="1"/>
    <col min="16131" max="16131" width="69.28515625" style="359" customWidth="1"/>
    <col min="16132" max="16132" width="6" style="359" customWidth="1"/>
    <col min="16133" max="16142" width="13.5703125" style="359" customWidth="1"/>
    <col min="16143" max="16143" width="12.7109375" style="359" customWidth="1"/>
    <col min="16144" max="16145" width="11.28515625" style="359" customWidth="1"/>
    <col min="16146" max="16146" width="12.7109375" style="359" customWidth="1"/>
    <col min="16147" max="16147" width="13.140625" style="359" customWidth="1"/>
    <col min="16148" max="16197" width="0" style="359" hidden="1" customWidth="1"/>
    <col min="16198" max="16198" width="12.7109375" style="359" customWidth="1"/>
    <col min="16199" max="16199" width="13.140625" style="359" customWidth="1"/>
    <col min="16200" max="16200" width="11.28515625" style="359" customWidth="1"/>
    <col min="16201" max="16201" width="12.7109375" style="359" customWidth="1"/>
    <col min="16202" max="16202" width="12.5703125" style="359" customWidth="1"/>
    <col min="16203" max="16203" width="3.28515625" style="359" customWidth="1"/>
    <col min="16204" max="16204" width="0" style="359" hidden="1" customWidth="1"/>
    <col min="16205" max="16205" width="3.28515625" style="359" customWidth="1"/>
    <col min="16206" max="16206" width="9.85546875" style="359" bestFit="1" customWidth="1"/>
    <col min="16207" max="16207" width="9.5703125" style="359" bestFit="1" customWidth="1"/>
    <col min="16208" max="16384" width="9.140625" style="359"/>
  </cols>
  <sheetData>
    <row r="1" spans="1:78" ht="15.75" x14ac:dyDescent="0.25">
      <c r="A1" s="353" t="s">
        <v>212</v>
      </c>
      <c r="B1" s="354"/>
      <c r="C1" s="355"/>
      <c r="D1" s="356"/>
      <c r="E1" s="357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8"/>
      <c r="BX1" s="358"/>
    </row>
    <row r="2" spans="1:78" ht="15" x14ac:dyDescent="0.25">
      <c r="A2" s="360"/>
      <c r="B2" s="356"/>
      <c r="D2" s="361"/>
      <c r="E2" s="362" t="s">
        <v>4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4"/>
      <c r="BW2" s="365"/>
      <c r="BX2" s="358"/>
      <c r="BZ2" s="358"/>
    </row>
    <row r="3" spans="1:78" ht="15" x14ac:dyDescent="0.25">
      <c r="A3" s="366"/>
      <c r="B3" s="356"/>
      <c r="C3" s="358" t="s">
        <v>213</v>
      </c>
      <c r="D3" s="367"/>
      <c r="E3" s="368" t="s">
        <v>554</v>
      </c>
      <c r="F3" s="369"/>
      <c r="G3" s="369"/>
      <c r="H3" s="369"/>
      <c r="I3" s="370"/>
      <c r="J3" s="368" t="s">
        <v>6</v>
      </c>
      <c r="K3" s="369"/>
      <c r="L3" s="369"/>
      <c r="M3" s="369"/>
      <c r="N3" s="370"/>
      <c r="O3" s="371" t="s">
        <v>7</v>
      </c>
      <c r="P3" s="369"/>
      <c r="Q3" s="369"/>
      <c r="R3" s="369"/>
      <c r="S3" s="370"/>
      <c r="T3" s="368" t="s">
        <v>8</v>
      </c>
      <c r="U3" s="369"/>
      <c r="V3" s="369"/>
      <c r="W3" s="369"/>
      <c r="X3" s="370"/>
      <c r="Y3" s="368" t="s">
        <v>9</v>
      </c>
      <c r="Z3" s="369"/>
      <c r="AA3" s="369"/>
      <c r="AB3" s="369"/>
      <c r="AC3" s="370"/>
      <c r="AD3" s="368" t="s">
        <v>10</v>
      </c>
      <c r="AE3" s="369"/>
      <c r="AF3" s="369"/>
      <c r="AG3" s="369"/>
      <c r="AH3" s="370"/>
      <c r="AI3" s="368" t="s">
        <v>11</v>
      </c>
      <c r="AJ3" s="369"/>
      <c r="AK3" s="369"/>
      <c r="AL3" s="369"/>
      <c r="AM3" s="370"/>
      <c r="AN3" s="368" t="s">
        <v>12</v>
      </c>
      <c r="AO3" s="369"/>
      <c r="AP3" s="369"/>
      <c r="AQ3" s="369"/>
      <c r="AR3" s="370"/>
      <c r="AS3" s="368" t="s">
        <v>13</v>
      </c>
      <c r="AT3" s="369"/>
      <c r="AU3" s="369"/>
      <c r="AV3" s="369"/>
      <c r="AW3" s="370"/>
      <c r="AX3" s="368" t="s">
        <v>14</v>
      </c>
      <c r="AY3" s="369"/>
      <c r="AZ3" s="369"/>
      <c r="BA3" s="369"/>
      <c r="BB3" s="370"/>
      <c r="BC3" s="368" t="s">
        <v>15</v>
      </c>
      <c r="BD3" s="369"/>
      <c r="BE3" s="369"/>
      <c r="BF3" s="369"/>
      <c r="BG3" s="370"/>
      <c r="BH3" s="368" t="s">
        <v>16</v>
      </c>
      <c r="BI3" s="369"/>
      <c r="BJ3" s="369"/>
      <c r="BK3" s="369"/>
      <c r="BL3" s="370"/>
      <c r="BM3" s="368" t="s">
        <v>17</v>
      </c>
      <c r="BN3" s="369"/>
      <c r="BO3" s="369"/>
      <c r="BP3" s="369"/>
      <c r="BQ3" s="370"/>
      <c r="BR3" s="368" t="s">
        <v>18</v>
      </c>
      <c r="BS3" s="369"/>
      <c r="BT3" s="369"/>
      <c r="BU3" s="369"/>
      <c r="BV3" s="372"/>
      <c r="BW3" s="373"/>
      <c r="BX3" s="373"/>
    </row>
    <row r="4" spans="1:78" x14ac:dyDescent="0.2">
      <c r="A4" s="366"/>
      <c r="B4" s="356"/>
      <c r="D4" s="367"/>
      <c r="E4" s="374" t="s">
        <v>215</v>
      </c>
      <c r="F4" s="375" t="s">
        <v>216</v>
      </c>
      <c r="G4" s="375" t="s">
        <v>217</v>
      </c>
      <c r="H4" s="375" t="s">
        <v>218</v>
      </c>
      <c r="I4" s="376" t="s">
        <v>219</v>
      </c>
      <c r="J4" s="374" t="s">
        <v>215</v>
      </c>
      <c r="K4" s="375" t="s">
        <v>216</v>
      </c>
      <c r="L4" s="375" t="s">
        <v>217</v>
      </c>
      <c r="M4" s="375" t="s">
        <v>218</v>
      </c>
      <c r="N4" s="377" t="s">
        <v>219</v>
      </c>
      <c r="O4" s="375" t="s">
        <v>215</v>
      </c>
      <c r="P4" s="375" t="s">
        <v>216</v>
      </c>
      <c r="Q4" s="375" t="s">
        <v>217</v>
      </c>
      <c r="R4" s="375" t="s">
        <v>218</v>
      </c>
      <c r="S4" s="377" t="s">
        <v>219</v>
      </c>
      <c r="T4" s="374" t="s">
        <v>215</v>
      </c>
      <c r="U4" s="375" t="s">
        <v>216</v>
      </c>
      <c r="V4" s="375" t="s">
        <v>217</v>
      </c>
      <c r="W4" s="375" t="s">
        <v>218</v>
      </c>
      <c r="X4" s="377" t="s">
        <v>219</v>
      </c>
      <c r="Y4" s="374" t="s">
        <v>215</v>
      </c>
      <c r="Z4" s="375" t="s">
        <v>216</v>
      </c>
      <c r="AA4" s="375" t="s">
        <v>217</v>
      </c>
      <c r="AB4" s="375" t="s">
        <v>218</v>
      </c>
      <c r="AC4" s="377" t="s">
        <v>219</v>
      </c>
      <c r="AD4" s="374" t="s">
        <v>215</v>
      </c>
      <c r="AE4" s="375" t="s">
        <v>216</v>
      </c>
      <c r="AF4" s="375" t="s">
        <v>217</v>
      </c>
      <c r="AG4" s="375" t="s">
        <v>218</v>
      </c>
      <c r="AH4" s="377" t="s">
        <v>219</v>
      </c>
      <c r="AI4" s="374" t="s">
        <v>215</v>
      </c>
      <c r="AJ4" s="375" t="s">
        <v>216</v>
      </c>
      <c r="AK4" s="375" t="s">
        <v>217</v>
      </c>
      <c r="AL4" s="375" t="s">
        <v>218</v>
      </c>
      <c r="AM4" s="377" t="s">
        <v>219</v>
      </c>
      <c r="AN4" s="374" t="s">
        <v>215</v>
      </c>
      <c r="AO4" s="375" t="s">
        <v>216</v>
      </c>
      <c r="AP4" s="375" t="s">
        <v>217</v>
      </c>
      <c r="AQ4" s="375" t="s">
        <v>218</v>
      </c>
      <c r="AR4" s="377" t="s">
        <v>219</v>
      </c>
      <c r="AS4" s="374" t="s">
        <v>215</v>
      </c>
      <c r="AT4" s="375" t="s">
        <v>216</v>
      </c>
      <c r="AU4" s="375" t="s">
        <v>217</v>
      </c>
      <c r="AV4" s="375" t="s">
        <v>218</v>
      </c>
      <c r="AW4" s="377" t="s">
        <v>219</v>
      </c>
      <c r="AX4" s="374" t="s">
        <v>215</v>
      </c>
      <c r="AY4" s="375" t="s">
        <v>216</v>
      </c>
      <c r="AZ4" s="375" t="s">
        <v>217</v>
      </c>
      <c r="BA4" s="375" t="s">
        <v>218</v>
      </c>
      <c r="BB4" s="377" t="s">
        <v>219</v>
      </c>
      <c r="BC4" s="374" t="s">
        <v>215</v>
      </c>
      <c r="BD4" s="375" t="s">
        <v>216</v>
      </c>
      <c r="BE4" s="375" t="s">
        <v>217</v>
      </c>
      <c r="BF4" s="375" t="s">
        <v>218</v>
      </c>
      <c r="BG4" s="377" t="s">
        <v>219</v>
      </c>
      <c r="BH4" s="374" t="s">
        <v>215</v>
      </c>
      <c r="BI4" s="375" t="s">
        <v>216</v>
      </c>
      <c r="BJ4" s="375" t="s">
        <v>217</v>
      </c>
      <c r="BK4" s="375" t="s">
        <v>220</v>
      </c>
      <c r="BL4" s="377" t="s">
        <v>219</v>
      </c>
      <c r="BM4" s="374" t="s">
        <v>215</v>
      </c>
      <c r="BN4" s="375" t="s">
        <v>216</v>
      </c>
      <c r="BO4" s="375" t="s">
        <v>217</v>
      </c>
      <c r="BP4" s="375" t="s">
        <v>218</v>
      </c>
      <c r="BQ4" s="377" t="s">
        <v>219</v>
      </c>
      <c r="BR4" s="374" t="s">
        <v>215</v>
      </c>
      <c r="BS4" s="375" t="s">
        <v>216</v>
      </c>
      <c r="BT4" s="375" t="s">
        <v>217</v>
      </c>
      <c r="BU4" s="375" t="s">
        <v>218</v>
      </c>
      <c r="BV4" s="378" t="s">
        <v>219</v>
      </c>
      <c r="BW4" s="365"/>
      <c r="BX4" s="373"/>
    </row>
    <row r="5" spans="1:78" x14ac:dyDescent="0.2">
      <c r="A5" s="379" t="s">
        <v>20</v>
      </c>
      <c r="B5" s="380"/>
      <c r="C5" s="380"/>
      <c r="D5" s="41"/>
      <c r="E5" s="381" t="s">
        <v>221</v>
      </c>
      <c r="F5" s="382" t="s">
        <v>222</v>
      </c>
      <c r="G5" s="382" t="s">
        <v>223</v>
      </c>
      <c r="H5" s="382" t="s">
        <v>224</v>
      </c>
      <c r="I5" s="383"/>
      <c r="J5" s="381" t="s">
        <v>221</v>
      </c>
      <c r="K5" s="382" t="s">
        <v>222</v>
      </c>
      <c r="L5" s="382" t="s">
        <v>223</v>
      </c>
      <c r="M5" s="382" t="s">
        <v>224</v>
      </c>
      <c r="N5" s="383"/>
      <c r="O5" s="382" t="s">
        <v>221</v>
      </c>
      <c r="P5" s="382" t="s">
        <v>222</v>
      </c>
      <c r="Q5" s="382" t="s">
        <v>223</v>
      </c>
      <c r="R5" s="382" t="s">
        <v>224</v>
      </c>
      <c r="S5" s="383"/>
      <c r="T5" s="381" t="s">
        <v>221</v>
      </c>
      <c r="U5" s="382" t="s">
        <v>222</v>
      </c>
      <c r="V5" s="382" t="s">
        <v>223</v>
      </c>
      <c r="W5" s="382" t="s">
        <v>224</v>
      </c>
      <c r="X5" s="383"/>
      <c r="Y5" s="381" t="s">
        <v>221</v>
      </c>
      <c r="Z5" s="382" t="s">
        <v>222</v>
      </c>
      <c r="AA5" s="382" t="s">
        <v>223</v>
      </c>
      <c r="AB5" s="382" t="s">
        <v>224</v>
      </c>
      <c r="AC5" s="383"/>
      <c r="AD5" s="381" t="s">
        <v>221</v>
      </c>
      <c r="AE5" s="382" t="s">
        <v>222</v>
      </c>
      <c r="AF5" s="382" t="s">
        <v>223</v>
      </c>
      <c r="AG5" s="382" t="s">
        <v>224</v>
      </c>
      <c r="AH5" s="383"/>
      <c r="AI5" s="381" t="s">
        <v>221</v>
      </c>
      <c r="AJ5" s="382" t="s">
        <v>222</v>
      </c>
      <c r="AK5" s="382" t="s">
        <v>223</v>
      </c>
      <c r="AL5" s="382" t="s">
        <v>224</v>
      </c>
      <c r="AM5" s="383"/>
      <c r="AN5" s="381" t="s">
        <v>221</v>
      </c>
      <c r="AO5" s="382" t="s">
        <v>222</v>
      </c>
      <c r="AP5" s="382" t="s">
        <v>223</v>
      </c>
      <c r="AQ5" s="382" t="s">
        <v>224</v>
      </c>
      <c r="AR5" s="383"/>
      <c r="AS5" s="381" t="s">
        <v>221</v>
      </c>
      <c r="AT5" s="382" t="s">
        <v>222</v>
      </c>
      <c r="AU5" s="382" t="s">
        <v>223</v>
      </c>
      <c r="AV5" s="382" t="s">
        <v>224</v>
      </c>
      <c r="AW5" s="383"/>
      <c r="AX5" s="381" t="s">
        <v>221</v>
      </c>
      <c r="AY5" s="382" t="s">
        <v>222</v>
      </c>
      <c r="AZ5" s="382" t="s">
        <v>223</v>
      </c>
      <c r="BA5" s="382" t="s">
        <v>224</v>
      </c>
      <c r="BB5" s="383"/>
      <c r="BC5" s="381" t="s">
        <v>221</v>
      </c>
      <c r="BD5" s="382" t="s">
        <v>222</v>
      </c>
      <c r="BE5" s="382" t="s">
        <v>223</v>
      </c>
      <c r="BF5" s="382" t="s">
        <v>224</v>
      </c>
      <c r="BG5" s="383"/>
      <c r="BH5" s="381" t="s">
        <v>221</v>
      </c>
      <c r="BI5" s="382" t="s">
        <v>222</v>
      </c>
      <c r="BJ5" s="382" t="s">
        <v>223</v>
      </c>
      <c r="BK5" s="382" t="s">
        <v>224</v>
      </c>
      <c r="BL5" s="383"/>
      <c r="BM5" s="381" t="s">
        <v>221</v>
      </c>
      <c r="BN5" s="382" t="s">
        <v>222</v>
      </c>
      <c r="BO5" s="382" t="s">
        <v>223</v>
      </c>
      <c r="BP5" s="382" t="s">
        <v>224</v>
      </c>
      <c r="BQ5" s="383"/>
      <c r="BR5" s="381" t="s">
        <v>221</v>
      </c>
      <c r="BS5" s="382" t="s">
        <v>222</v>
      </c>
      <c r="BT5" s="382" t="s">
        <v>223</v>
      </c>
      <c r="BU5" s="382" t="s">
        <v>224</v>
      </c>
      <c r="BV5" s="381"/>
      <c r="BW5" s="365"/>
      <c r="BX5" s="384">
        <f>(100/12)*12</f>
        <v>100</v>
      </c>
    </row>
    <row r="6" spans="1:78" x14ac:dyDescent="0.2">
      <c r="A6" s="385"/>
      <c r="B6" s="356"/>
      <c r="D6" s="375"/>
      <c r="E6" s="386"/>
      <c r="F6" s="375"/>
      <c r="G6" s="375"/>
      <c r="H6" s="375"/>
      <c r="I6" s="387"/>
      <c r="J6" s="374"/>
      <c r="K6" s="375"/>
      <c r="L6" s="375"/>
      <c r="M6" s="375"/>
      <c r="N6" s="387"/>
      <c r="O6" s="375"/>
      <c r="P6" s="375"/>
      <c r="Q6" s="375"/>
      <c r="R6" s="375"/>
      <c r="S6" s="387"/>
      <c r="T6" s="374"/>
      <c r="U6" s="375"/>
      <c r="V6" s="375"/>
      <c r="W6" s="375"/>
      <c r="X6" s="387"/>
      <c r="Y6" s="374"/>
      <c r="Z6" s="375"/>
      <c r="AA6" s="375"/>
      <c r="AB6" s="375"/>
      <c r="AC6" s="387"/>
      <c r="AD6" s="374"/>
      <c r="AE6" s="375"/>
      <c r="AF6" s="375"/>
      <c r="AG6" s="375"/>
      <c r="AH6" s="387"/>
      <c r="AI6" s="374"/>
      <c r="AJ6" s="375"/>
      <c r="AK6" s="375"/>
      <c r="AL6" s="375"/>
      <c r="AM6" s="387"/>
      <c r="AN6" s="374"/>
      <c r="AO6" s="375"/>
      <c r="AP6" s="375"/>
      <c r="AQ6" s="375"/>
      <c r="AR6" s="387"/>
      <c r="AS6" s="374"/>
      <c r="AT6" s="375"/>
      <c r="AU6" s="375"/>
      <c r="AV6" s="375"/>
      <c r="AW6" s="387"/>
      <c r="AX6" s="374"/>
      <c r="AY6" s="375"/>
      <c r="AZ6" s="375"/>
      <c r="BA6" s="375"/>
      <c r="BB6" s="387"/>
      <c r="BC6" s="374"/>
      <c r="BD6" s="375"/>
      <c r="BE6" s="375"/>
      <c r="BF6" s="375"/>
      <c r="BG6" s="387"/>
      <c r="BH6" s="374"/>
      <c r="BI6" s="375"/>
      <c r="BJ6" s="375"/>
      <c r="BK6" s="375"/>
      <c r="BL6" s="387"/>
      <c r="BM6" s="374"/>
      <c r="BN6" s="375"/>
      <c r="BO6" s="375"/>
      <c r="BP6" s="375"/>
      <c r="BQ6" s="387"/>
      <c r="BR6" s="374"/>
      <c r="BS6" s="375"/>
      <c r="BT6" s="375"/>
      <c r="BU6" s="375"/>
      <c r="BV6" s="374"/>
      <c r="BW6" s="365"/>
      <c r="BX6" s="373"/>
    </row>
    <row r="7" spans="1:78" ht="13.5" customHeight="1" x14ac:dyDescent="0.2">
      <c r="A7" s="388">
        <v>1</v>
      </c>
      <c r="B7" s="389" t="s">
        <v>225</v>
      </c>
      <c r="D7" s="390"/>
      <c r="E7" s="391">
        <v>612745</v>
      </c>
      <c r="F7" s="88">
        <v>1543</v>
      </c>
      <c r="G7" s="88">
        <v>16344</v>
      </c>
      <c r="H7" s="88">
        <v>949</v>
      </c>
      <c r="I7" s="181">
        <f t="shared" ref="I7:I46" si="0">SUM(E7:H7)</f>
        <v>631581</v>
      </c>
      <c r="J7" s="183">
        <v>39235</v>
      </c>
      <c r="K7" s="185">
        <v>51</v>
      </c>
      <c r="L7" s="185">
        <v>135</v>
      </c>
      <c r="M7" s="185">
        <v>0</v>
      </c>
      <c r="N7" s="181">
        <f>SUM(J7:M7)</f>
        <v>39421</v>
      </c>
      <c r="O7" s="185">
        <v>37059</v>
      </c>
      <c r="P7" s="185">
        <v>148</v>
      </c>
      <c r="Q7" s="185">
        <v>133</v>
      </c>
      <c r="R7" s="185">
        <v>0</v>
      </c>
      <c r="S7" s="181">
        <f>SUM(O7:R7)</f>
        <v>37340</v>
      </c>
      <c r="T7" s="183">
        <v>0</v>
      </c>
      <c r="U7" s="185">
        <v>0</v>
      </c>
      <c r="V7" s="185">
        <v>0</v>
      </c>
      <c r="W7" s="185">
        <v>0</v>
      </c>
      <c r="X7" s="181">
        <f>SUM(T7:W7)</f>
        <v>0</v>
      </c>
      <c r="Y7" s="183">
        <v>0</v>
      </c>
      <c r="Z7" s="185">
        <v>0</v>
      </c>
      <c r="AA7" s="185">
        <v>0</v>
      </c>
      <c r="AB7" s="185">
        <v>0</v>
      </c>
      <c r="AC7" s="181">
        <f>SUM(Y7:AB7)</f>
        <v>0</v>
      </c>
      <c r="AD7" s="183">
        <v>0</v>
      </c>
      <c r="AE7" s="185">
        <v>0</v>
      </c>
      <c r="AF7" s="185">
        <v>0</v>
      </c>
      <c r="AG7" s="185">
        <v>0</v>
      </c>
      <c r="AH7" s="181">
        <f>SUM(AD7:AG7)</f>
        <v>0</v>
      </c>
      <c r="AI7" s="183">
        <v>0</v>
      </c>
      <c r="AJ7" s="185">
        <v>0</v>
      </c>
      <c r="AK7" s="185">
        <v>0</v>
      </c>
      <c r="AL7" s="185">
        <v>0</v>
      </c>
      <c r="AM7" s="181">
        <f>SUM(AI7:AL7)</f>
        <v>0</v>
      </c>
      <c r="AN7" s="183">
        <v>0</v>
      </c>
      <c r="AO7" s="185">
        <v>0</v>
      </c>
      <c r="AP7" s="185">
        <v>0</v>
      </c>
      <c r="AQ7" s="185">
        <v>0</v>
      </c>
      <c r="AR7" s="181">
        <f t="shared" ref="AR7:AR45" si="1">SUM(AN7:AQ7)</f>
        <v>0</v>
      </c>
      <c r="AS7" s="183">
        <v>0</v>
      </c>
      <c r="AT7" s="185">
        <v>0</v>
      </c>
      <c r="AU7" s="185">
        <v>0</v>
      </c>
      <c r="AV7" s="185">
        <v>0</v>
      </c>
      <c r="AW7" s="181">
        <f>SUM(AS7:AV7)</f>
        <v>0</v>
      </c>
      <c r="AX7" s="183">
        <v>0</v>
      </c>
      <c r="AY7" s="185">
        <v>0</v>
      </c>
      <c r="AZ7" s="185">
        <v>0</v>
      </c>
      <c r="BA7" s="185">
        <v>0</v>
      </c>
      <c r="BB7" s="181">
        <f>SUM(AX7:BA7)</f>
        <v>0</v>
      </c>
      <c r="BC7" s="183">
        <v>0</v>
      </c>
      <c r="BD7" s="185">
        <v>0</v>
      </c>
      <c r="BE7" s="185">
        <v>0</v>
      </c>
      <c r="BF7" s="185">
        <v>0</v>
      </c>
      <c r="BG7" s="181">
        <f>SUM(BC7:BF7)</f>
        <v>0</v>
      </c>
      <c r="BH7" s="183">
        <v>0</v>
      </c>
      <c r="BI7" s="185">
        <v>0</v>
      </c>
      <c r="BJ7" s="185">
        <v>0</v>
      </c>
      <c r="BK7" s="185">
        <v>0</v>
      </c>
      <c r="BL7" s="181">
        <f>SUM(BH7:BK7)</f>
        <v>0</v>
      </c>
      <c r="BM7" s="183">
        <v>0</v>
      </c>
      <c r="BN7" s="185">
        <v>0</v>
      </c>
      <c r="BO7" s="185">
        <v>0</v>
      </c>
      <c r="BP7" s="185">
        <v>0</v>
      </c>
      <c r="BQ7" s="181">
        <f>SUM(BM7:BP7)</f>
        <v>0</v>
      </c>
      <c r="BR7" s="183">
        <f>+J7+O7+T7+Y7+AD7+AI7+AN7+AS7+AX7+BC7+BH7+BM7</f>
        <v>76294</v>
      </c>
      <c r="BS7" s="88">
        <f>+K7+P7+U7+Z7+AE7+AJ7+AO7+AT7+AY7+BD7+BI7+BN7</f>
        <v>199</v>
      </c>
      <c r="BT7" s="185">
        <f>+L7+Q7+V7+AA7+AF7+AK7+AP7+AU7+AZ7+BE7+BJ7+BO7</f>
        <v>268</v>
      </c>
      <c r="BU7" s="185">
        <f>+M7+R7+W7+AB7+AG7+AL7+AQ7+AV7+BA7+BF7+BK7+BP7</f>
        <v>0</v>
      </c>
      <c r="BV7" s="183">
        <f t="shared" ref="BV7:BV46" si="2">SUM(BR7:BU7)</f>
        <v>76761</v>
      </c>
      <c r="BW7" s="392"/>
      <c r="BX7" s="393">
        <f>(BV7/I7)*100</f>
        <v>12.153785500197124</v>
      </c>
    </row>
    <row r="8" spans="1:78" x14ac:dyDescent="0.2">
      <c r="A8" s="388">
        <v>2</v>
      </c>
      <c r="B8" s="389" t="s">
        <v>226</v>
      </c>
      <c r="D8" s="394" t="s">
        <v>87</v>
      </c>
      <c r="E8" s="391">
        <v>1518513</v>
      </c>
      <c r="F8" s="88">
        <v>464247</v>
      </c>
      <c r="G8" s="88">
        <v>10700</v>
      </c>
      <c r="H8" s="88">
        <v>0</v>
      </c>
      <c r="I8" s="181">
        <f t="shared" si="0"/>
        <v>1993460</v>
      </c>
      <c r="J8" s="183">
        <v>127270</v>
      </c>
      <c r="K8" s="185">
        <v>115828</v>
      </c>
      <c r="L8" s="185">
        <v>0</v>
      </c>
      <c r="M8" s="185">
        <v>0</v>
      </c>
      <c r="N8" s="181">
        <f>SUM(J8:M8)</f>
        <v>243098</v>
      </c>
      <c r="O8" s="185">
        <v>121796</v>
      </c>
      <c r="P8" s="185">
        <v>0</v>
      </c>
      <c r="Q8" s="185">
        <v>935</v>
      </c>
      <c r="R8" s="185">
        <v>0</v>
      </c>
      <c r="S8" s="181">
        <f t="shared" ref="S8:S15" si="3">SUM(O8:R8)</f>
        <v>122731</v>
      </c>
      <c r="T8" s="183">
        <v>0</v>
      </c>
      <c r="U8" s="185">
        <v>0</v>
      </c>
      <c r="V8" s="185">
        <v>0</v>
      </c>
      <c r="W8" s="185">
        <v>0</v>
      </c>
      <c r="X8" s="181">
        <f t="shared" ref="X8:X46" si="4">SUM(T8:W8)</f>
        <v>0</v>
      </c>
      <c r="Y8" s="183">
        <v>0</v>
      </c>
      <c r="Z8" s="185">
        <v>0</v>
      </c>
      <c r="AA8" s="185">
        <v>0</v>
      </c>
      <c r="AB8" s="185">
        <v>0</v>
      </c>
      <c r="AC8" s="181">
        <f t="shared" ref="AC8:AC46" si="5">SUM(Y8:AB8)</f>
        <v>0</v>
      </c>
      <c r="AD8" s="183">
        <v>0</v>
      </c>
      <c r="AE8" s="185">
        <v>0</v>
      </c>
      <c r="AF8" s="185">
        <v>0</v>
      </c>
      <c r="AG8" s="185">
        <v>0</v>
      </c>
      <c r="AH8" s="181">
        <f t="shared" ref="AH8:AH46" si="6">SUM(AD8:AG8)</f>
        <v>0</v>
      </c>
      <c r="AI8" s="183">
        <v>0</v>
      </c>
      <c r="AJ8" s="185">
        <v>0</v>
      </c>
      <c r="AK8" s="185">
        <v>0</v>
      </c>
      <c r="AL8" s="185">
        <v>0</v>
      </c>
      <c r="AM8" s="181">
        <f t="shared" ref="AM8:AM46" si="7">SUM(AI8:AL8)</f>
        <v>0</v>
      </c>
      <c r="AN8" s="183">
        <v>0</v>
      </c>
      <c r="AO8" s="185">
        <v>0</v>
      </c>
      <c r="AP8" s="185">
        <v>0</v>
      </c>
      <c r="AQ8" s="185">
        <v>0</v>
      </c>
      <c r="AR8" s="181">
        <f t="shared" si="1"/>
        <v>0</v>
      </c>
      <c r="AS8" s="183">
        <v>0</v>
      </c>
      <c r="AT8" s="185">
        <v>0</v>
      </c>
      <c r="AU8" s="185">
        <v>0</v>
      </c>
      <c r="AV8" s="185">
        <v>0</v>
      </c>
      <c r="AW8" s="181">
        <f t="shared" ref="AW8:AW46" si="8">SUM(AS8:AV8)</f>
        <v>0</v>
      </c>
      <c r="AX8" s="183">
        <v>0</v>
      </c>
      <c r="AY8" s="185">
        <v>0</v>
      </c>
      <c r="AZ8" s="185">
        <v>0</v>
      </c>
      <c r="BA8" s="185">
        <v>0</v>
      </c>
      <c r="BB8" s="181">
        <f t="shared" ref="BB8:BB46" si="9">SUM(AX8:BA8)</f>
        <v>0</v>
      </c>
      <c r="BC8" s="183">
        <v>0</v>
      </c>
      <c r="BD8" s="185">
        <v>0</v>
      </c>
      <c r="BE8" s="185">
        <v>0</v>
      </c>
      <c r="BF8" s="185">
        <v>0</v>
      </c>
      <c r="BG8" s="181">
        <f t="shared" ref="BG8:BG46" si="10">SUM(BC8:BF8)</f>
        <v>0</v>
      </c>
      <c r="BH8" s="183">
        <v>0</v>
      </c>
      <c r="BI8" s="185">
        <v>0</v>
      </c>
      <c r="BJ8" s="185">
        <v>0</v>
      </c>
      <c r="BK8" s="185">
        <v>0</v>
      </c>
      <c r="BL8" s="181">
        <f t="shared" ref="BL8:BL46" si="11">SUM(BH8:BK8)</f>
        <v>0</v>
      </c>
      <c r="BM8" s="183">
        <v>0</v>
      </c>
      <c r="BN8" s="185">
        <v>0</v>
      </c>
      <c r="BO8" s="185">
        <v>0</v>
      </c>
      <c r="BP8" s="185">
        <v>0</v>
      </c>
      <c r="BQ8" s="181">
        <f t="shared" ref="BQ8:BQ46" si="12">SUM(BM8:BP8)</f>
        <v>0</v>
      </c>
      <c r="BR8" s="183">
        <f>+J8+O8+T8+Y8+AD8+AI8+AN8+AS8+AX8+BC8+BH8+BM8</f>
        <v>249066</v>
      </c>
      <c r="BS8" s="88">
        <f t="shared" ref="BS8:BU23" si="13">+K8+P8+U8+Z8+AE8+AJ8+AO8+AT8+AY8+BD8+BI8+BN8</f>
        <v>115828</v>
      </c>
      <c r="BT8" s="185">
        <f t="shared" si="13"/>
        <v>935</v>
      </c>
      <c r="BU8" s="185">
        <f>+M8+R8+W8+AB8+AG8+AL8+AQ8+AV8+BA8+BF8+BK8+BP8</f>
        <v>0</v>
      </c>
      <c r="BV8" s="183">
        <f t="shared" si="2"/>
        <v>365829</v>
      </c>
      <c r="BW8" s="148"/>
      <c r="BX8" s="393">
        <f>(BV8/I8)*100</f>
        <v>18.351459271818847</v>
      </c>
    </row>
    <row r="9" spans="1:78" x14ac:dyDescent="0.2">
      <c r="A9" s="388">
        <v>3</v>
      </c>
      <c r="B9" s="389" t="s">
        <v>555</v>
      </c>
      <c r="D9" s="394"/>
      <c r="E9" s="391">
        <v>95816</v>
      </c>
      <c r="F9" s="88">
        <v>1430239</v>
      </c>
      <c r="G9" s="88">
        <v>5510</v>
      </c>
      <c r="H9" s="88">
        <v>3200071</v>
      </c>
      <c r="I9" s="181">
        <f t="shared" si="0"/>
        <v>4731636</v>
      </c>
      <c r="J9" s="183">
        <v>5829</v>
      </c>
      <c r="K9" s="185">
        <v>32386</v>
      </c>
      <c r="L9" s="185">
        <v>0</v>
      </c>
      <c r="M9" s="185">
        <v>0</v>
      </c>
      <c r="N9" s="181">
        <f t="shared" ref="N9:N46" si="14">SUM(J9:M9)</f>
        <v>38215</v>
      </c>
      <c r="O9" s="185">
        <v>9685</v>
      </c>
      <c r="P9" s="185">
        <v>247376</v>
      </c>
      <c r="Q9" s="185">
        <v>44</v>
      </c>
      <c r="R9" s="185">
        <v>21</v>
      </c>
      <c r="S9" s="181">
        <f t="shared" si="3"/>
        <v>257126</v>
      </c>
      <c r="T9" s="183">
        <v>0</v>
      </c>
      <c r="U9" s="185">
        <v>0</v>
      </c>
      <c r="V9" s="185">
        <v>0</v>
      </c>
      <c r="W9" s="185">
        <v>0</v>
      </c>
      <c r="X9" s="181">
        <f t="shared" si="4"/>
        <v>0</v>
      </c>
      <c r="Y9" s="183">
        <v>0</v>
      </c>
      <c r="Z9" s="185">
        <v>0</v>
      </c>
      <c r="AA9" s="185">
        <v>0</v>
      </c>
      <c r="AB9" s="185">
        <v>0</v>
      </c>
      <c r="AC9" s="181">
        <f t="shared" si="5"/>
        <v>0</v>
      </c>
      <c r="AD9" s="183">
        <v>0</v>
      </c>
      <c r="AE9" s="185">
        <v>0</v>
      </c>
      <c r="AF9" s="185">
        <v>0</v>
      </c>
      <c r="AG9" s="185">
        <v>0</v>
      </c>
      <c r="AH9" s="181">
        <f t="shared" si="6"/>
        <v>0</v>
      </c>
      <c r="AI9" s="183">
        <v>0</v>
      </c>
      <c r="AJ9" s="185">
        <v>0</v>
      </c>
      <c r="AK9" s="185">
        <v>0</v>
      </c>
      <c r="AL9" s="185">
        <v>0</v>
      </c>
      <c r="AM9" s="181">
        <f t="shared" si="7"/>
        <v>0</v>
      </c>
      <c r="AN9" s="183">
        <v>0</v>
      </c>
      <c r="AO9" s="185">
        <v>0</v>
      </c>
      <c r="AP9" s="185">
        <v>0</v>
      </c>
      <c r="AQ9" s="185">
        <v>0</v>
      </c>
      <c r="AR9" s="181">
        <f t="shared" si="1"/>
        <v>0</v>
      </c>
      <c r="AS9" s="183">
        <v>0</v>
      </c>
      <c r="AT9" s="185">
        <v>0</v>
      </c>
      <c r="AU9" s="185">
        <v>0</v>
      </c>
      <c r="AV9" s="185">
        <v>0</v>
      </c>
      <c r="AW9" s="181">
        <f t="shared" si="8"/>
        <v>0</v>
      </c>
      <c r="AX9" s="183">
        <v>0</v>
      </c>
      <c r="AY9" s="185">
        <v>0</v>
      </c>
      <c r="AZ9" s="185">
        <v>0</v>
      </c>
      <c r="BA9" s="185">
        <v>0</v>
      </c>
      <c r="BB9" s="181">
        <f t="shared" si="9"/>
        <v>0</v>
      </c>
      <c r="BC9" s="183">
        <v>0</v>
      </c>
      <c r="BD9" s="185">
        <v>0</v>
      </c>
      <c r="BE9" s="185">
        <v>0</v>
      </c>
      <c r="BF9" s="185">
        <v>0</v>
      </c>
      <c r="BG9" s="181">
        <f t="shared" si="10"/>
        <v>0</v>
      </c>
      <c r="BH9" s="183">
        <v>0</v>
      </c>
      <c r="BI9" s="185">
        <v>0</v>
      </c>
      <c r="BJ9" s="185">
        <v>0</v>
      </c>
      <c r="BK9" s="185">
        <v>0</v>
      </c>
      <c r="BL9" s="181">
        <f t="shared" si="11"/>
        <v>0</v>
      </c>
      <c r="BM9" s="183">
        <v>0</v>
      </c>
      <c r="BN9" s="185">
        <v>0</v>
      </c>
      <c r="BO9" s="185">
        <v>0</v>
      </c>
      <c r="BP9" s="185">
        <v>0</v>
      </c>
      <c r="BQ9" s="181">
        <f t="shared" si="12"/>
        <v>0</v>
      </c>
      <c r="BR9" s="183">
        <f>+J9+O9+T9+Y9+AD9+AI9+AN9+AS9+AX9+BC9+BH9+BM9</f>
        <v>15514</v>
      </c>
      <c r="BS9" s="88">
        <f t="shared" si="13"/>
        <v>279762</v>
      </c>
      <c r="BT9" s="185">
        <f>+L9+Q9+V9+AA9+AF9+AK9+AP9+AU9+AZ9+BE9+BJ9+BO9</f>
        <v>44</v>
      </c>
      <c r="BU9" s="185">
        <f>+M9+R9+W9+AB9+AG9+AL9+AQ9+AV9+BA9+BF9+BK9+BP9</f>
        <v>21</v>
      </c>
      <c r="BV9" s="183">
        <f t="shared" si="2"/>
        <v>295341</v>
      </c>
      <c r="BW9" s="148"/>
      <c r="BX9" s="393">
        <f t="shared" ref="BX9:BX74" si="15">(BV9/I9)*100</f>
        <v>6.2418368614999125</v>
      </c>
    </row>
    <row r="10" spans="1:78" x14ac:dyDescent="0.2">
      <c r="A10" s="388">
        <v>4</v>
      </c>
      <c r="B10" s="389" t="s">
        <v>556</v>
      </c>
      <c r="D10" s="394"/>
      <c r="E10" s="391">
        <v>4099334</v>
      </c>
      <c r="F10" s="88">
        <v>82539780</v>
      </c>
      <c r="G10" s="88">
        <v>38381</v>
      </c>
      <c r="H10" s="88">
        <v>40</v>
      </c>
      <c r="I10" s="181">
        <f t="shared" si="0"/>
        <v>86677535</v>
      </c>
      <c r="J10" s="183">
        <v>269058</v>
      </c>
      <c r="K10" s="185">
        <v>40647</v>
      </c>
      <c r="L10" s="185">
        <v>28</v>
      </c>
      <c r="M10" s="185">
        <v>0</v>
      </c>
      <c r="N10" s="181">
        <f t="shared" si="14"/>
        <v>309733</v>
      </c>
      <c r="O10" s="185">
        <v>269745</v>
      </c>
      <c r="P10" s="185">
        <v>85996</v>
      </c>
      <c r="Q10" s="185">
        <v>1365</v>
      </c>
      <c r="R10" s="185">
        <v>0</v>
      </c>
      <c r="S10" s="181">
        <f t="shared" si="3"/>
        <v>357106</v>
      </c>
      <c r="T10" s="183">
        <v>0</v>
      </c>
      <c r="U10" s="185">
        <v>0</v>
      </c>
      <c r="V10" s="185">
        <v>0</v>
      </c>
      <c r="W10" s="185">
        <v>0</v>
      </c>
      <c r="X10" s="181">
        <f t="shared" si="4"/>
        <v>0</v>
      </c>
      <c r="Y10" s="183">
        <v>0</v>
      </c>
      <c r="Z10" s="185">
        <v>0</v>
      </c>
      <c r="AA10" s="185">
        <v>0</v>
      </c>
      <c r="AB10" s="185">
        <v>0</v>
      </c>
      <c r="AC10" s="181">
        <f t="shared" si="5"/>
        <v>0</v>
      </c>
      <c r="AD10" s="183">
        <v>0</v>
      </c>
      <c r="AE10" s="185">
        <v>0</v>
      </c>
      <c r="AF10" s="185">
        <v>0</v>
      </c>
      <c r="AG10" s="185">
        <v>0</v>
      </c>
      <c r="AH10" s="181">
        <f t="shared" si="6"/>
        <v>0</v>
      </c>
      <c r="AI10" s="183">
        <v>0</v>
      </c>
      <c r="AJ10" s="185">
        <v>0</v>
      </c>
      <c r="AK10" s="185">
        <v>0</v>
      </c>
      <c r="AL10" s="185">
        <v>0</v>
      </c>
      <c r="AM10" s="181">
        <f t="shared" si="7"/>
        <v>0</v>
      </c>
      <c r="AN10" s="183">
        <v>0</v>
      </c>
      <c r="AO10" s="185">
        <v>0</v>
      </c>
      <c r="AP10" s="185">
        <v>0</v>
      </c>
      <c r="AQ10" s="185">
        <v>0</v>
      </c>
      <c r="AR10" s="181">
        <f t="shared" si="1"/>
        <v>0</v>
      </c>
      <c r="AS10" s="183">
        <v>0</v>
      </c>
      <c r="AT10" s="185">
        <v>0</v>
      </c>
      <c r="AU10" s="185">
        <v>0</v>
      </c>
      <c r="AV10" s="185">
        <v>0</v>
      </c>
      <c r="AW10" s="181">
        <f t="shared" si="8"/>
        <v>0</v>
      </c>
      <c r="AX10" s="183">
        <v>0</v>
      </c>
      <c r="AY10" s="185">
        <v>0</v>
      </c>
      <c r="AZ10" s="185">
        <v>0</v>
      </c>
      <c r="BA10" s="185">
        <v>0</v>
      </c>
      <c r="BB10" s="181">
        <f t="shared" si="9"/>
        <v>0</v>
      </c>
      <c r="BC10" s="183">
        <v>0</v>
      </c>
      <c r="BD10" s="185">
        <v>0</v>
      </c>
      <c r="BE10" s="185">
        <v>0</v>
      </c>
      <c r="BF10" s="185">
        <v>0</v>
      </c>
      <c r="BG10" s="181">
        <f t="shared" si="10"/>
        <v>0</v>
      </c>
      <c r="BH10" s="183">
        <v>0</v>
      </c>
      <c r="BI10" s="185">
        <v>0</v>
      </c>
      <c r="BJ10" s="185">
        <v>0</v>
      </c>
      <c r="BK10" s="185">
        <v>0</v>
      </c>
      <c r="BL10" s="181">
        <f t="shared" si="11"/>
        <v>0</v>
      </c>
      <c r="BM10" s="183">
        <v>0</v>
      </c>
      <c r="BN10" s="185">
        <v>0</v>
      </c>
      <c r="BO10" s="185">
        <v>0</v>
      </c>
      <c r="BP10" s="185">
        <v>0</v>
      </c>
      <c r="BQ10" s="181">
        <f t="shared" si="12"/>
        <v>0</v>
      </c>
      <c r="BR10" s="183">
        <f>+J10+O10+T10+Y10+AD10+AI10+AN10+AS10+AX10+BC10+BH10+BM10</f>
        <v>538803</v>
      </c>
      <c r="BS10" s="88">
        <f t="shared" si="13"/>
        <v>126643</v>
      </c>
      <c r="BT10" s="185">
        <f>+L10+Q10+V10+AA10+AF10+AK10+AP10+AU10+AZ10+BE10+BJ10+BO10</f>
        <v>1393</v>
      </c>
      <c r="BU10" s="185">
        <f>+M10+R10+W10+AB10+AG10+AL10+AQ10+AV10+BA10+BF10+BK10+BP10</f>
        <v>0</v>
      </c>
      <c r="BV10" s="183">
        <f t="shared" si="2"/>
        <v>666839</v>
      </c>
      <c r="BW10" s="148"/>
      <c r="BX10" s="393">
        <f>(BV10/I10)*100</f>
        <v>0.76933313805013026</v>
      </c>
    </row>
    <row r="11" spans="1:78" x14ac:dyDescent="0.2">
      <c r="A11" s="388">
        <v>5</v>
      </c>
      <c r="B11" s="389" t="s">
        <v>229</v>
      </c>
      <c r="D11" s="390"/>
      <c r="E11" s="391">
        <v>6856513</v>
      </c>
      <c r="F11" s="88">
        <v>2196908</v>
      </c>
      <c r="G11" s="88">
        <v>468008</v>
      </c>
      <c r="H11" s="88">
        <v>5042</v>
      </c>
      <c r="I11" s="181">
        <f t="shared" si="0"/>
        <v>9526471</v>
      </c>
      <c r="J11" s="183">
        <v>454613</v>
      </c>
      <c r="K11" s="185">
        <v>294034</v>
      </c>
      <c r="L11" s="185">
        <v>3944</v>
      </c>
      <c r="M11" s="185">
        <v>0</v>
      </c>
      <c r="N11" s="181">
        <f t="shared" si="14"/>
        <v>752591</v>
      </c>
      <c r="O11" s="185">
        <v>522761</v>
      </c>
      <c r="P11" s="185">
        <v>642591</v>
      </c>
      <c r="Q11" s="185">
        <v>6800</v>
      </c>
      <c r="R11" s="185">
        <v>0</v>
      </c>
      <c r="S11" s="181">
        <f t="shared" si="3"/>
        <v>1172152</v>
      </c>
      <c r="T11" s="183">
        <v>0</v>
      </c>
      <c r="U11" s="185">
        <v>0</v>
      </c>
      <c r="V11" s="185">
        <v>0</v>
      </c>
      <c r="W11" s="185">
        <v>0</v>
      </c>
      <c r="X11" s="181">
        <f t="shared" si="4"/>
        <v>0</v>
      </c>
      <c r="Y11" s="183">
        <v>0</v>
      </c>
      <c r="Z11" s="185">
        <v>0</v>
      </c>
      <c r="AA11" s="185">
        <v>0</v>
      </c>
      <c r="AB11" s="185">
        <v>0</v>
      </c>
      <c r="AC11" s="181">
        <f t="shared" si="5"/>
        <v>0</v>
      </c>
      <c r="AD11" s="183">
        <v>0</v>
      </c>
      <c r="AE11" s="185">
        <v>0</v>
      </c>
      <c r="AF11" s="185">
        <v>0</v>
      </c>
      <c r="AG11" s="185">
        <v>0</v>
      </c>
      <c r="AH11" s="181">
        <f t="shared" si="6"/>
        <v>0</v>
      </c>
      <c r="AI11" s="183">
        <v>0</v>
      </c>
      <c r="AJ11" s="185">
        <v>0</v>
      </c>
      <c r="AK11" s="185">
        <v>0</v>
      </c>
      <c r="AL11" s="185">
        <v>0</v>
      </c>
      <c r="AM11" s="181">
        <f t="shared" si="7"/>
        <v>0</v>
      </c>
      <c r="AN11" s="183">
        <v>0</v>
      </c>
      <c r="AO11" s="185">
        <v>0</v>
      </c>
      <c r="AP11" s="185">
        <v>0</v>
      </c>
      <c r="AQ11" s="185">
        <v>0</v>
      </c>
      <c r="AR11" s="181">
        <f t="shared" si="1"/>
        <v>0</v>
      </c>
      <c r="AS11" s="183">
        <v>0</v>
      </c>
      <c r="AT11" s="185">
        <v>0</v>
      </c>
      <c r="AU11" s="185">
        <v>0</v>
      </c>
      <c r="AV11" s="185">
        <v>0</v>
      </c>
      <c r="AW11" s="181">
        <f t="shared" si="8"/>
        <v>0</v>
      </c>
      <c r="AX11" s="183">
        <v>0</v>
      </c>
      <c r="AY11" s="185">
        <v>0</v>
      </c>
      <c r="AZ11" s="185">
        <v>0</v>
      </c>
      <c r="BA11" s="185">
        <v>0</v>
      </c>
      <c r="BB11" s="181">
        <f t="shared" si="9"/>
        <v>0</v>
      </c>
      <c r="BC11" s="183">
        <v>0</v>
      </c>
      <c r="BD11" s="185">
        <v>0</v>
      </c>
      <c r="BE11" s="185">
        <v>0</v>
      </c>
      <c r="BF11" s="185">
        <v>0</v>
      </c>
      <c r="BG11" s="181">
        <f t="shared" si="10"/>
        <v>0</v>
      </c>
      <c r="BH11" s="183">
        <v>0</v>
      </c>
      <c r="BI11" s="185">
        <v>0</v>
      </c>
      <c r="BJ11" s="185">
        <v>0</v>
      </c>
      <c r="BK11" s="185">
        <v>0</v>
      </c>
      <c r="BL11" s="181">
        <f t="shared" si="11"/>
        <v>0</v>
      </c>
      <c r="BM11" s="183">
        <v>0</v>
      </c>
      <c r="BN11" s="185">
        <v>0</v>
      </c>
      <c r="BO11" s="185">
        <v>0</v>
      </c>
      <c r="BP11" s="185">
        <v>0</v>
      </c>
      <c r="BQ11" s="181">
        <f t="shared" si="12"/>
        <v>0</v>
      </c>
      <c r="BR11" s="183">
        <f t="shared" ref="BR11:BU46" si="16">+J11+O11+T11+Y11+AD11+AI11+AN11+AS11+AX11+BC11+BH11+BM11</f>
        <v>977374</v>
      </c>
      <c r="BS11" s="88">
        <f t="shared" si="13"/>
        <v>936625</v>
      </c>
      <c r="BT11" s="185">
        <f t="shared" si="13"/>
        <v>10744</v>
      </c>
      <c r="BU11" s="185">
        <f t="shared" si="13"/>
        <v>0</v>
      </c>
      <c r="BV11" s="183">
        <f>SUM(BR11:BU11)</f>
        <v>1924743</v>
      </c>
      <c r="BW11" s="148"/>
      <c r="BX11" s="393">
        <f>(BV11/I11)*100</f>
        <v>20.204155347767287</v>
      </c>
    </row>
    <row r="12" spans="1:78" x14ac:dyDescent="0.2">
      <c r="A12" s="388">
        <v>6</v>
      </c>
      <c r="B12" s="389" t="s">
        <v>230</v>
      </c>
      <c r="D12" s="390"/>
      <c r="E12" s="391">
        <v>5324404</v>
      </c>
      <c r="F12" s="88">
        <v>882103</v>
      </c>
      <c r="G12" s="88">
        <v>46284</v>
      </c>
      <c r="H12" s="88">
        <v>11</v>
      </c>
      <c r="I12" s="181">
        <f t="shared" si="0"/>
        <v>6252802</v>
      </c>
      <c r="J12" s="183">
        <v>439016</v>
      </c>
      <c r="K12" s="185">
        <v>441489</v>
      </c>
      <c r="L12" s="185">
        <v>6067</v>
      </c>
      <c r="M12" s="185">
        <v>0</v>
      </c>
      <c r="N12" s="181">
        <f t="shared" si="14"/>
        <v>886572</v>
      </c>
      <c r="O12" s="185">
        <v>429861</v>
      </c>
      <c r="P12" s="185">
        <v>12354</v>
      </c>
      <c r="Q12" s="185">
        <v>43184</v>
      </c>
      <c r="R12" s="185">
        <v>0</v>
      </c>
      <c r="S12" s="181">
        <f t="shared" si="3"/>
        <v>485399</v>
      </c>
      <c r="T12" s="183">
        <v>0</v>
      </c>
      <c r="U12" s="185">
        <v>0</v>
      </c>
      <c r="V12" s="185">
        <v>0</v>
      </c>
      <c r="W12" s="185">
        <v>0</v>
      </c>
      <c r="X12" s="181">
        <f t="shared" si="4"/>
        <v>0</v>
      </c>
      <c r="Y12" s="183">
        <v>0</v>
      </c>
      <c r="Z12" s="185">
        <v>0</v>
      </c>
      <c r="AA12" s="185">
        <v>0</v>
      </c>
      <c r="AB12" s="185">
        <v>0</v>
      </c>
      <c r="AC12" s="181">
        <f t="shared" si="5"/>
        <v>0</v>
      </c>
      <c r="AD12" s="183">
        <v>0</v>
      </c>
      <c r="AE12" s="185">
        <v>0</v>
      </c>
      <c r="AF12" s="185">
        <v>0</v>
      </c>
      <c r="AG12" s="185">
        <v>0</v>
      </c>
      <c r="AH12" s="181">
        <f t="shared" si="6"/>
        <v>0</v>
      </c>
      <c r="AI12" s="183">
        <v>0</v>
      </c>
      <c r="AJ12" s="185">
        <v>0</v>
      </c>
      <c r="AK12" s="185">
        <v>0</v>
      </c>
      <c r="AL12" s="185">
        <v>0</v>
      </c>
      <c r="AM12" s="181">
        <f t="shared" si="7"/>
        <v>0</v>
      </c>
      <c r="AN12" s="183">
        <v>0</v>
      </c>
      <c r="AO12" s="185">
        <v>0</v>
      </c>
      <c r="AP12" s="185">
        <v>0</v>
      </c>
      <c r="AQ12" s="185">
        <v>0</v>
      </c>
      <c r="AR12" s="181">
        <f t="shared" si="1"/>
        <v>0</v>
      </c>
      <c r="AS12" s="183">
        <v>0</v>
      </c>
      <c r="AT12" s="185">
        <v>0</v>
      </c>
      <c r="AU12" s="185">
        <v>0</v>
      </c>
      <c r="AV12" s="185">
        <v>0</v>
      </c>
      <c r="AW12" s="181">
        <f t="shared" si="8"/>
        <v>0</v>
      </c>
      <c r="AX12" s="183">
        <v>0</v>
      </c>
      <c r="AY12" s="185">
        <v>0</v>
      </c>
      <c r="AZ12" s="185">
        <v>0</v>
      </c>
      <c r="BA12" s="185">
        <v>0</v>
      </c>
      <c r="BB12" s="181">
        <f t="shared" si="9"/>
        <v>0</v>
      </c>
      <c r="BC12" s="183">
        <v>0</v>
      </c>
      <c r="BD12" s="185">
        <v>0</v>
      </c>
      <c r="BE12" s="185">
        <v>0</v>
      </c>
      <c r="BF12" s="185">
        <v>0</v>
      </c>
      <c r="BG12" s="181">
        <f t="shared" si="10"/>
        <v>0</v>
      </c>
      <c r="BH12" s="183">
        <v>0</v>
      </c>
      <c r="BI12" s="185">
        <v>0</v>
      </c>
      <c r="BJ12" s="185">
        <v>0</v>
      </c>
      <c r="BK12" s="185">
        <v>0</v>
      </c>
      <c r="BL12" s="181">
        <f>SUM(BH12:BK12)</f>
        <v>0</v>
      </c>
      <c r="BM12" s="183">
        <v>0</v>
      </c>
      <c r="BN12" s="185">
        <v>0</v>
      </c>
      <c r="BO12" s="185">
        <v>0</v>
      </c>
      <c r="BP12" s="185">
        <v>0</v>
      </c>
      <c r="BQ12" s="181">
        <f t="shared" si="12"/>
        <v>0</v>
      </c>
      <c r="BR12" s="183">
        <f t="shared" si="16"/>
        <v>868877</v>
      </c>
      <c r="BS12" s="88">
        <f t="shared" si="13"/>
        <v>453843</v>
      </c>
      <c r="BT12" s="185">
        <f t="shared" si="13"/>
        <v>49251</v>
      </c>
      <c r="BU12" s="185">
        <f t="shared" si="13"/>
        <v>0</v>
      </c>
      <c r="BV12" s="183">
        <f t="shared" si="2"/>
        <v>1371971</v>
      </c>
      <c r="BW12" s="148"/>
      <c r="BX12" s="393">
        <f t="shared" si="15"/>
        <v>21.941699097460628</v>
      </c>
    </row>
    <row r="13" spans="1:78" x14ac:dyDescent="0.2">
      <c r="A13" s="388">
        <v>7</v>
      </c>
      <c r="B13" s="389" t="s">
        <v>232</v>
      </c>
      <c r="D13" s="395"/>
      <c r="E13" s="391">
        <v>2016882</v>
      </c>
      <c r="F13" s="88">
        <v>23532338</v>
      </c>
      <c r="G13" s="88">
        <v>13465</v>
      </c>
      <c r="H13" s="88">
        <v>4273816</v>
      </c>
      <c r="I13" s="181">
        <f t="shared" si="0"/>
        <v>29836501</v>
      </c>
      <c r="J13" s="183">
        <v>149165</v>
      </c>
      <c r="K13" s="185">
        <v>1582311</v>
      </c>
      <c r="L13" s="185">
        <v>2036</v>
      </c>
      <c r="M13" s="185">
        <v>0</v>
      </c>
      <c r="N13" s="181">
        <f t="shared" si="14"/>
        <v>1733512</v>
      </c>
      <c r="O13" s="185">
        <v>194420</v>
      </c>
      <c r="P13" s="185">
        <v>1565933</v>
      </c>
      <c r="Q13" s="185">
        <v>1021</v>
      </c>
      <c r="R13" s="185">
        <v>78</v>
      </c>
      <c r="S13" s="181">
        <f t="shared" si="3"/>
        <v>1761452</v>
      </c>
      <c r="T13" s="183">
        <v>0</v>
      </c>
      <c r="U13" s="185">
        <v>0</v>
      </c>
      <c r="V13" s="185">
        <v>0</v>
      </c>
      <c r="W13" s="185">
        <v>0</v>
      </c>
      <c r="X13" s="181">
        <f t="shared" si="4"/>
        <v>0</v>
      </c>
      <c r="Y13" s="183">
        <v>0</v>
      </c>
      <c r="Z13" s="185">
        <v>0</v>
      </c>
      <c r="AA13" s="185">
        <v>0</v>
      </c>
      <c r="AB13" s="185">
        <v>0</v>
      </c>
      <c r="AC13" s="181">
        <f t="shared" si="5"/>
        <v>0</v>
      </c>
      <c r="AD13" s="183">
        <v>0</v>
      </c>
      <c r="AE13" s="185">
        <v>0</v>
      </c>
      <c r="AF13" s="185">
        <v>0</v>
      </c>
      <c r="AG13" s="185">
        <v>0</v>
      </c>
      <c r="AH13" s="181">
        <f t="shared" si="6"/>
        <v>0</v>
      </c>
      <c r="AI13" s="183">
        <v>0</v>
      </c>
      <c r="AJ13" s="185">
        <v>0</v>
      </c>
      <c r="AK13" s="185">
        <v>0</v>
      </c>
      <c r="AL13" s="185">
        <v>0</v>
      </c>
      <c r="AM13" s="181">
        <f t="shared" si="7"/>
        <v>0</v>
      </c>
      <c r="AN13" s="183">
        <v>0</v>
      </c>
      <c r="AO13" s="185">
        <v>0</v>
      </c>
      <c r="AP13" s="185">
        <v>0</v>
      </c>
      <c r="AQ13" s="185">
        <v>0</v>
      </c>
      <c r="AR13" s="181">
        <f t="shared" si="1"/>
        <v>0</v>
      </c>
      <c r="AS13" s="183">
        <v>0</v>
      </c>
      <c r="AT13" s="185">
        <v>0</v>
      </c>
      <c r="AU13" s="185">
        <v>0</v>
      </c>
      <c r="AV13" s="185">
        <v>0</v>
      </c>
      <c r="AW13" s="181">
        <f t="shared" si="8"/>
        <v>0</v>
      </c>
      <c r="AX13" s="183">
        <v>0</v>
      </c>
      <c r="AY13" s="185">
        <v>0</v>
      </c>
      <c r="AZ13" s="185">
        <v>0</v>
      </c>
      <c r="BA13" s="185">
        <v>0</v>
      </c>
      <c r="BB13" s="181">
        <f t="shared" si="9"/>
        <v>0</v>
      </c>
      <c r="BC13" s="183">
        <v>0</v>
      </c>
      <c r="BD13" s="185">
        <v>0</v>
      </c>
      <c r="BE13" s="185">
        <v>0</v>
      </c>
      <c r="BF13" s="185">
        <v>0</v>
      </c>
      <c r="BG13" s="181">
        <f t="shared" si="10"/>
        <v>0</v>
      </c>
      <c r="BH13" s="183">
        <v>0</v>
      </c>
      <c r="BI13" s="185">
        <v>0</v>
      </c>
      <c r="BJ13" s="185">
        <v>0</v>
      </c>
      <c r="BK13" s="185">
        <v>0</v>
      </c>
      <c r="BL13" s="181">
        <f t="shared" si="11"/>
        <v>0</v>
      </c>
      <c r="BM13" s="183">
        <v>0</v>
      </c>
      <c r="BN13" s="185">
        <v>0</v>
      </c>
      <c r="BO13" s="185">
        <v>0</v>
      </c>
      <c r="BP13" s="185">
        <v>0</v>
      </c>
      <c r="BQ13" s="181">
        <f t="shared" si="12"/>
        <v>0</v>
      </c>
      <c r="BR13" s="183">
        <f t="shared" si="16"/>
        <v>343585</v>
      </c>
      <c r="BS13" s="88">
        <f t="shared" si="13"/>
        <v>3148244</v>
      </c>
      <c r="BT13" s="185">
        <f t="shared" si="13"/>
        <v>3057</v>
      </c>
      <c r="BU13" s="185">
        <f t="shared" si="13"/>
        <v>78</v>
      </c>
      <c r="BV13" s="183">
        <f>SUM(BR13:BU13)</f>
        <v>3494964</v>
      </c>
      <c r="BW13" s="148"/>
      <c r="BX13" s="393">
        <f>(BV13/I13)*100</f>
        <v>11.713719380164585</v>
      </c>
      <c r="BZ13" s="136"/>
    </row>
    <row r="14" spans="1:78" x14ac:dyDescent="0.2">
      <c r="A14" s="388">
        <v>8</v>
      </c>
      <c r="B14" s="389" t="s">
        <v>233</v>
      </c>
      <c r="D14" s="395"/>
      <c r="E14" s="391">
        <v>446047</v>
      </c>
      <c r="F14" s="88">
        <v>460870</v>
      </c>
      <c r="G14" s="88">
        <v>7597</v>
      </c>
      <c r="H14" s="88">
        <v>30</v>
      </c>
      <c r="I14" s="181">
        <f>SUM(E14:H14)</f>
        <v>914544</v>
      </c>
      <c r="J14" s="183">
        <v>28996</v>
      </c>
      <c r="K14" s="185">
        <v>0</v>
      </c>
      <c r="L14" s="185">
        <v>11</v>
      </c>
      <c r="M14" s="185">
        <v>0</v>
      </c>
      <c r="N14" s="181">
        <f t="shared" si="14"/>
        <v>29007</v>
      </c>
      <c r="O14" s="185">
        <v>33122</v>
      </c>
      <c r="P14" s="185">
        <v>110053</v>
      </c>
      <c r="Q14" s="185">
        <v>1109</v>
      </c>
      <c r="R14" s="185">
        <v>0</v>
      </c>
      <c r="S14" s="181">
        <f t="shared" si="3"/>
        <v>144284</v>
      </c>
      <c r="T14" s="183">
        <v>0</v>
      </c>
      <c r="U14" s="185">
        <v>0</v>
      </c>
      <c r="V14" s="185">
        <v>0</v>
      </c>
      <c r="W14" s="185">
        <v>0</v>
      </c>
      <c r="X14" s="181">
        <f t="shared" si="4"/>
        <v>0</v>
      </c>
      <c r="Y14" s="183">
        <v>0</v>
      </c>
      <c r="Z14" s="185">
        <v>0</v>
      </c>
      <c r="AA14" s="185">
        <v>0</v>
      </c>
      <c r="AB14" s="185">
        <v>0</v>
      </c>
      <c r="AC14" s="181">
        <f t="shared" si="5"/>
        <v>0</v>
      </c>
      <c r="AD14" s="183">
        <v>0</v>
      </c>
      <c r="AE14" s="185">
        <v>0</v>
      </c>
      <c r="AF14" s="185">
        <v>0</v>
      </c>
      <c r="AG14" s="185">
        <v>0</v>
      </c>
      <c r="AH14" s="181">
        <f t="shared" si="6"/>
        <v>0</v>
      </c>
      <c r="AI14" s="183">
        <v>0</v>
      </c>
      <c r="AJ14" s="185">
        <v>0</v>
      </c>
      <c r="AK14" s="185">
        <v>0</v>
      </c>
      <c r="AL14" s="185">
        <v>0</v>
      </c>
      <c r="AM14" s="181">
        <f t="shared" si="7"/>
        <v>0</v>
      </c>
      <c r="AN14" s="183">
        <v>0</v>
      </c>
      <c r="AO14" s="185">
        <v>0</v>
      </c>
      <c r="AP14" s="185">
        <v>0</v>
      </c>
      <c r="AQ14" s="185">
        <v>0</v>
      </c>
      <c r="AR14" s="181">
        <f t="shared" si="1"/>
        <v>0</v>
      </c>
      <c r="AS14" s="183">
        <v>0</v>
      </c>
      <c r="AT14" s="185">
        <v>0</v>
      </c>
      <c r="AU14" s="185">
        <v>0</v>
      </c>
      <c r="AV14" s="185">
        <v>0</v>
      </c>
      <c r="AW14" s="181">
        <f t="shared" si="8"/>
        <v>0</v>
      </c>
      <c r="AX14" s="183">
        <v>0</v>
      </c>
      <c r="AY14" s="185">
        <v>0</v>
      </c>
      <c r="AZ14" s="185">
        <v>0</v>
      </c>
      <c r="BA14" s="185">
        <v>0</v>
      </c>
      <c r="BB14" s="181">
        <f t="shared" si="9"/>
        <v>0</v>
      </c>
      <c r="BC14" s="183">
        <v>0</v>
      </c>
      <c r="BD14" s="185">
        <v>0</v>
      </c>
      <c r="BE14" s="185">
        <v>0</v>
      </c>
      <c r="BF14" s="185">
        <v>0</v>
      </c>
      <c r="BG14" s="181">
        <f t="shared" si="10"/>
        <v>0</v>
      </c>
      <c r="BH14" s="183">
        <v>0</v>
      </c>
      <c r="BI14" s="185">
        <v>0</v>
      </c>
      <c r="BJ14" s="185">
        <v>0</v>
      </c>
      <c r="BK14" s="185">
        <v>0</v>
      </c>
      <c r="BL14" s="181">
        <f t="shared" si="11"/>
        <v>0</v>
      </c>
      <c r="BM14" s="183">
        <v>0</v>
      </c>
      <c r="BN14" s="185">
        <v>0</v>
      </c>
      <c r="BO14" s="185">
        <v>0</v>
      </c>
      <c r="BP14" s="185">
        <v>0</v>
      </c>
      <c r="BQ14" s="181">
        <f t="shared" si="12"/>
        <v>0</v>
      </c>
      <c r="BR14" s="183">
        <f t="shared" si="16"/>
        <v>62118</v>
      </c>
      <c r="BS14" s="88">
        <f t="shared" si="13"/>
        <v>110053</v>
      </c>
      <c r="BT14" s="185">
        <f t="shared" si="13"/>
        <v>1120</v>
      </c>
      <c r="BU14" s="185">
        <f t="shared" si="13"/>
        <v>0</v>
      </c>
      <c r="BV14" s="183">
        <f t="shared" si="2"/>
        <v>173291</v>
      </c>
      <c r="BW14" s="148"/>
      <c r="BX14" s="393">
        <f t="shared" si="15"/>
        <v>18.948350216063961</v>
      </c>
    </row>
    <row r="15" spans="1:78" x14ac:dyDescent="0.2">
      <c r="A15" s="388">
        <v>9</v>
      </c>
      <c r="B15" s="91" t="s">
        <v>234</v>
      </c>
      <c r="D15" s="394"/>
      <c r="E15" s="391">
        <v>233990</v>
      </c>
      <c r="F15" s="88">
        <v>8130</v>
      </c>
      <c r="G15" s="88">
        <v>4227</v>
      </c>
      <c r="H15" s="88">
        <v>56600041</v>
      </c>
      <c r="I15" s="181">
        <f>SUM(E15:H15)</f>
        <v>56846388</v>
      </c>
      <c r="J15" s="183">
        <v>22363</v>
      </c>
      <c r="K15" s="185">
        <v>2</v>
      </c>
      <c r="L15" s="185">
        <v>0</v>
      </c>
      <c r="M15" s="185">
        <v>0</v>
      </c>
      <c r="N15" s="181">
        <f t="shared" si="14"/>
        <v>22365</v>
      </c>
      <c r="O15" s="185">
        <v>14051</v>
      </c>
      <c r="P15" s="185">
        <v>19</v>
      </c>
      <c r="Q15" s="185">
        <v>168</v>
      </c>
      <c r="R15" s="185">
        <v>0</v>
      </c>
      <c r="S15" s="181">
        <f t="shared" si="3"/>
        <v>14238</v>
      </c>
      <c r="T15" s="183">
        <v>0</v>
      </c>
      <c r="U15" s="185">
        <v>0</v>
      </c>
      <c r="V15" s="185">
        <v>0</v>
      </c>
      <c r="W15" s="185">
        <v>0</v>
      </c>
      <c r="X15" s="181">
        <f t="shared" si="4"/>
        <v>0</v>
      </c>
      <c r="Y15" s="183">
        <v>0</v>
      </c>
      <c r="Z15" s="185">
        <v>0</v>
      </c>
      <c r="AA15" s="185">
        <v>0</v>
      </c>
      <c r="AB15" s="185">
        <v>0</v>
      </c>
      <c r="AC15" s="181">
        <f t="shared" si="5"/>
        <v>0</v>
      </c>
      <c r="AD15" s="183">
        <v>0</v>
      </c>
      <c r="AE15" s="185">
        <v>0</v>
      </c>
      <c r="AF15" s="185">
        <v>0</v>
      </c>
      <c r="AG15" s="185">
        <v>0</v>
      </c>
      <c r="AH15" s="181">
        <f t="shared" si="6"/>
        <v>0</v>
      </c>
      <c r="AI15" s="183">
        <v>0</v>
      </c>
      <c r="AJ15" s="185">
        <v>0</v>
      </c>
      <c r="AK15" s="185">
        <v>0</v>
      </c>
      <c r="AL15" s="185">
        <v>0</v>
      </c>
      <c r="AM15" s="181">
        <f>SUM(AI15:AL15)</f>
        <v>0</v>
      </c>
      <c r="AN15" s="183">
        <v>0</v>
      </c>
      <c r="AO15" s="185">
        <v>0</v>
      </c>
      <c r="AP15" s="185">
        <v>0</v>
      </c>
      <c r="AQ15" s="185">
        <v>0</v>
      </c>
      <c r="AR15" s="181">
        <f t="shared" si="1"/>
        <v>0</v>
      </c>
      <c r="AS15" s="183">
        <v>0</v>
      </c>
      <c r="AT15" s="185">
        <v>0</v>
      </c>
      <c r="AU15" s="185">
        <v>0</v>
      </c>
      <c r="AV15" s="185">
        <v>0</v>
      </c>
      <c r="AW15" s="181">
        <f t="shared" si="8"/>
        <v>0</v>
      </c>
      <c r="AX15" s="183">
        <v>0</v>
      </c>
      <c r="AY15" s="185">
        <v>0</v>
      </c>
      <c r="AZ15" s="185">
        <v>0</v>
      </c>
      <c r="BA15" s="185">
        <v>0</v>
      </c>
      <c r="BB15" s="181">
        <f t="shared" si="9"/>
        <v>0</v>
      </c>
      <c r="BC15" s="183">
        <v>0</v>
      </c>
      <c r="BD15" s="185">
        <v>0</v>
      </c>
      <c r="BE15" s="185">
        <v>0</v>
      </c>
      <c r="BF15" s="185">
        <v>0</v>
      </c>
      <c r="BG15" s="181">
        <f t="shared" si="10"/>
        <v>0</v>
      </c>
      <c r="BH15" s="183">
        <v>0</v>
      </c>
      <c r="BI15" s="185">
        <v>0</v>
      </c>
      <c r="BJ15" s="185">
        <v>0</v>
      </c>
      <c r="BK15" s="185">
        <v>0</v>
      </c>
      <c r="BL15" s="181">
        <f t="shared" si="11"/>
        <v>0</v>
      </c>
      <c r="BM15" s="183">
        <v>0</v>
      </c>
      <c r="BN15" s="185">
        <v>0</v>
      </c>
      <c r="BO15" s="185">
        <v>0</v>
      </c>
      <c r="BP15" s="185">
        <v>0</v>
      </c>
      <c r="BQ15" s="181">
        <f t="shared" si="12"/>
        <v>0</v>
      </c>
      <c r="BR15" s="183">
        <f t="shared" si="16"/>
        <v>36414</v>
      </c>
      <c r="BS15" s="88">
        <f t="shared" si="13"/>
        <v>21</v>
      </c>
      <c r="BT15" s="185">
        <f t="shared" si="13"/>
        <v>168</v>
      </c>
      <c r="BU15" s="185">
        <f>+M15+R15+W15+AB15+AG15+AL15+AQ15+AV15+BA15+BF15+BK15+BP15</f>
        <v>0</v>
      </c>
      <c r="BV15" s="183">
        <f t="shared" si="2"/>
        <v>36603</v>
      </c>
      <c r="BW15" s="148"/>
      <c r="BX15" s="393">
        <f t="shared" si="15"/>
        <v>6.4389315289478027E-2</v>
      </c>
      <c r="BZ15" s="136"/>
    </row>
    <row r="16" spans="1:78" x14ac:dyDescent="0.2">
      <c r="A16" s="388">
        <v>10</v>
      </c>
      <c r="B16" s="389" t="s">
        <v>235</v>
      </c>
      <c r="D16" s="390"/>
      <c r="E16" s="391">
        <v>444451</v>
      </c>
      <c r="F16" s="88">
        <v>508245</v>
      </c>
      <c r="G16" s="88">
        <v>3262</v>
      </c>
      <c r="H16" s="88">
        <v>13</v>
      </c>
      <c r="I16" s="181">
        <f t="shared" si="0"/>
        <v>955971</v>
      </c>
      <c r="J16" s="183">
        <v>29256</v>
      </c>
      <c r="K16" s="185">
        <v>39528</v>
      </c>
      <c r="L16" s="185">
        <v>423</v>
      </c>
      <c r="M16" s="185">
        <v>0</v>
      </c>
      <c r="N16" s="181">
        <f t="shared" si="14"/>
        <v>69207</v>
      </c>
      <c r="O16" s="185">
        <v>37301</v>
      </c>
      <c r="P16" s="185">
        <v>37239</v>
      </c>
      <c r="Q16" s="185">
        <v>268</v>
      </c>
      <c r="R16" s="185">
        <v>0</v>
      </c>
      <c r="S16" s="181">
        <f>SUM(O16:R16)</f>
        <v>74808</v>
      </c>
      <c r="T16" s="183">
        <v>0</v>
      </c>
      <c r="U16" s="185">
        <v>0</v>
      </c>
      <c r="V16" s="185">
        <v>0</v>
      </c>
      <c r="W16" s="185">
        <v>0</v>
      </c>
      <c r="X16" s="181">
        <f t="shared" si="4"/>
        <v>0</v>
      </c>
      <c r="Y16" s="183">
        <v>0</v>
      </c>
      <c r="Z16" s="185">
        <v>0</v>
      </c>
      <c r="AA16" s="185">
        <v>0</v>
      </c>
      <c r="AB16" s="185">
        <v>0</v>
      </c>
      <c r="AC16" s="181">
        <f t="shared" si="5"/>
        <v>0</v>
      </c>
      <c r="AD16" s="183">
        <v>0</v>
      </c>
      <c r="AE16" s="185">
        <v>0</v>
      </c>
      <c r="AF16" s="185">
        <v>0</v>
      </c>
      <c r="AG16" s="185">
        <v>0</v>
      </c>
      <c r="AH16" s="181">
        <f t="shared" si="6"/>
        <v>0</v>
      </c>
      <c r="AI16" s="183">
        <v>0</v>
      </c>
      <c r="AJ16" s="185">
        <v>0</v>
      </c>
      <c r="AK16" s="185">
        <v>0</v>
      </c>
      <c r="AL16" s="185">
        <v>0</v>
      </c>
      <c r="AM16" s="181">
        <f t="shared" si="7"/>
        <v>0</v>
      </c>
      <c r="AN16" s="183">
        <v>0</v>
      </c>
      <c r="AO16" s="185">
        <v>0</v>
      </c>
      <c r="AP16" s="185">
        <v>0</v>
      </c>
      <c r="AQ16" s="185">
        <v>0</v>
      </c>
      <c r="AR16" s="181">
        <f t="shared" si="1"/>
        <v>0</v>
      </c>
      <c r="AS16" s="183">
        <v>0</v>
      </c>
      <c r="AT16" s="185">
        <v>0</v>
      </c>
      <c r="AU16" s="185">
        <v>0</v>
      </c>
      <c r="AV16" s="185">
        <v>0</v>
      </c>
      <c r="AW16" s="181">
        <f t="shared" si="8"/>
        <v>0</v>
      </c>
      <c r="AX16" s="183">
        <v>0</v>
      </c>
      <c r="AY16" s="185">
        <v>0</v>
      </c>
      <c r="AZ16" s="185">
        <v>0</v>
      </c>
      <c r="BA16" s="185">
        <v>0</v>
      </c>
      <c r="BB16" s="181">
        <f t="shared" si="9"/>
        <v>0</v>
      </c>
      <c r="BC16" s="183">
        <v>0</v>
      </c>
      <c r="BD16" s="185">
        <v>0</v>
      </c>
      <c r="BE16" s="185">
        <v>0</v>
      </c>
      <c r="BF16" s="185">
        <v>0</v>
      </c>
      <c r="BG16" s="181">
        <f t="shared" si="10"/>
        <v>0</v>
      </c>
      <c r="BH16" s="183">
        <v>0</v>
      </c>
      <c r="BI16" s="185">
        <v>0</v>
      </c>
      <c r="BJ16" s="185">
        <v>0</v>
      </c>
      <c r="BK16" s="185">
        <v>0</v>
      </c>
      <c r="BL16" s="181">
        <f>SUM(BH16:BK16)</f>
        <v>0</v>
      </c>
      <c r="BM16" s="183">
        <v>0</v>
      </c>
      <c r="BN16" s="185">
        <v>0</v>
      </c>
      <c r="BO16" s="185">
        <v>0</v>
      </c>
      <c r="BP16" s="185">
        <v>0</v>
      </c>
      <c r="BQ16" s="181">
        <f t="shared" si="12"/>
        <v>0</v>
      </c>
      <c r="BR16" s="183">
        <f t="shared" si="16"/>
        <v>66557</v>
      </c>
      <c r="BS16" s="88">
        <f t="shared" si="13"/>
        <v>76767</v>
      </c>
      <c r="BT16" s="185">
        <f t="shared" si="13"/>
        <v>691</v>
      </c>
      <c r="BU16" s="185">
        <f t="shared" si="13"/>
        <v>0</v>
      </c>
      <c r="BV16" s="183">
        <f t="shared" si="2"/>
        <v>144015</v>
      </c>
      <c r="BW16" s="148"/>
      <c r="BX16" s="393">
        <f t="shared" si="15"/>
        <v>15.064787530165663</v>
      </c>
    </row>
    <row r="17" spans="1:80" x14ac:dyDescent="0.2">
      <c r="A17" s="388">
        <v>11</v>
      </c>
      <c r="B17" s="359" t="s">
        <v>557</v>
      </c>
      <c r="D17" s="394"/>
      <c r="E17" s="391">
        <v>854754</v>
      </c>
      <c r="F17" s="88">
        <v>6874183</v>
      </c>
      <c r="G17" s="88">
        <v>17466</v>
      </c>
      <c r="H17" s="88">
        <v>148</v>
      </c>
      <c r="I17" s="181">
        <f t="shared" si="0"/>
        <v>7746551</v>
      </c>
      <c r="J17" s="183">
        <v>56180</v>
      </c>
      <c r="K17" s="185">
        <v>1231312</v>
      </c>
      <c r="L17" s="185">
        <v>193</v>
      </c>
      <c r="M17" s="185">
        <v>0</v>
      </c>
      <c r="N17" s="181">
        <f t="shared" si="14"/>
        <v>1287685</v>
      </c>
      <c r="O17" s="185">
        <v>64574</v>
      </c>
      <c r="P17" s="185">
        <v>156127</v>
      </c>
      <c r="Q17" s="185">
        <v>1403</v>
      </c>
      <c r="R17" s="185">
        <v>0</v>
      </c>
      <c r="S17" s="181">
        <f>SUM(O17:R17)</f>
        <v>222104</v>
      </c>
      <c r="T17" s="183">
        <v>0</v>
      </c>
      <c r="U17" s="185">
        <v>0</v>
      </c>
      <c r="V17" s="185">
        <v>0</v>
      </c>
      <c r="W17" s="185">
        <v>0</v>
      </c>
      <c r="X17" s="181">
        <f t="shared" si="4"/>
        <v>0</v>
      </c>
      <c r="Y17" s="183">
        <v>0</v>
      </c>
      <c r="Z17" s="185">
        <v>0</v>
      </c>
      <c r="AA17" s="185">
        <v>0</v>
      </c>
      <c r="AB17" s="185">
        <v>0</v>
      </c>
      <c r="AC17" s="181">
        <f t="shared" si="5"/>
        <v>0</v>
      </c>
      <c r="AD17" s="183">
        <v>0</v>
      </c>
      <c r="AE17" s="185">
        <v>0</v>
      </c>
      <c r="AF17" s="185">
        <v>0</v>
      </c>
      <c r="AG17" s="185">
        <v>0</v>
      </c>
      <c r="AH17" s="181">
        <f t="shared" si="6"/>
        <v>0</v>
      </c>
      <c r="AI17" s="183">
        <v>0</v>
      </c>
      <c r="AJ17" s="185">
        <v>0</v>
      </c>
      <c r="AK17" s="185">
        <v>0</v>
      </c>
      <c r="AL17" s="185">
        <v>0</v>
      </c>
      <c r="AM17" s="181">
        <f t="shared" si="7"/>
        <v>0</v>
      </c>
      <c r="AN17" s="183">
        <v>0</v>
      </c>
      <c r="AO17" s="185">
        <v>0</v>
      </c>
      <c r="AP17" s="185">
        <v>0</v>
      </c>
      <c r="AQ17" s="185">
        <v>0</v>
      </c>
      <c r="AR17" s="181">
        <f t="shared" si="1"/>
        <v>0</v>
      </c>
      <c r="AS17" s="183">
        <v>0</v>
      </c>
      <c r="AT17" s="185">
        <v>0</v>
      </c>
      <c r="AU17" s="185">
        <v>0</v>
      </c>
      <c r="AV17" s="185">
        <v>0</v>
      </c>
      <c r="AW17" s="181">
        <f t="shared" si="8"/>
        <v>0</v>
      </c>
      <c r="AX17" s="183">
        <v>0</v>
      </c>
      <c r="AY17" s="185">
        <v>0</v>
      </c>
      <c r="AZ17" s="185">
        <v>0</v>
      </c>
      <c r="BA17" s="185">
        <v>0</v>
      </c>
      <c r="BB17" s="181">
        <f>SUM(AX17:BA17)</f>
        <v>0</v>
      </c>
      <c r="BC17" s="183">
        <v>0</v>
      </c>
      <c r="BD17" s="185">
        <v>0</v>
      </c>
      <c r="BE17" s="185">
        <v>0</v>
      </c>
      <c r="BF17" s="185">
        <v>0</v>
      </c>
      <c r="BG17" s="181">
        <f t="shared" si="10"/>
        <v>0</v>
      </c>
      <c r="BH17" s="183">
        <v>0</v>
      </c>
      <c r="BI17" s="185">
        <v>0</v>
      </c>
      <c r="BJ17" s="185">
        <v>0</v>
      </c>
      <c r="BK17" s="185">
        <v>0</v>
      </c>
      <c r="BL17" s="181">
        <f t="shared" si="11"/>
        <v>0</v>
      </c>
      <c r="BM17" s="183">
        <v>0</v>
      </c>
      <c r="BN17" s="185">
        <v>0</v>
      </c>
      <c r="BO17" s="185">
        <v>0</v>
      </c>
      <c r="BP17" s="185">
        <v>0</v>
      </c>
      <c r="BQ17" s="181">
        <f t="shared" si="12"/>
        <v>0</v>
      </c>
      <c r="BR17" s="183">
        <f t="shared" si="16"/>
        <v>120754</v>
      </c>
      <c r="BS17" s="88">
        <f t="shared" si="13"/>
        <v>1387439</v>
      </c>
      <c r="BT17" s="185">
        <f t="shared" si="13"/>
        <v>1596</v>
      </c>
      <c r="BU17" s="185">
        <f t="shared" si="13"/>
        <v>0</v>
      </c>
      <c r="BV17" s="183">
        <f t="shared" si="2"/>
        <v>1509789</v>
      </c>
      <c r="BW17" s="148"/>
      <c r="BX17" s="393">
        <f t="shared" si="15"/>
        <v>19.48982198658474</v>
      </c>
    </row>
    <row r="18" spans="1:80" x14ac:dyDescent="0.2">
      <c r="A18" s="388">
        <v>12</v>
      </c>
      <c r="B18" s="389" t="s">
        <v>238</v>
      </c>
      <c r="D18" s="395"/>
      <c r="E18" s="391">
        <v>2228979</v>
      </c>
      <c r="F18" s="88">
        <v>3274</v>
      </c>
      <c r="G18" s="88">
        <v>313772</v>
      </c>
      <c r="H18" s="88">
        <v>8638</v>
      </c>
      <c r="I18" s="181">
        <f t="shared" si="0"/>
        <v>2554663</v>
      </c>
      <c r="J18" s="183">
        <v>144532</v>
      </c>
      <c r="K18" s="185">
        <v>75</v>
      </c>
      <c r="L18" s="185">
        <v>21611</v>
      </c>
      <c r="M18" s="185">
        <v>0</v>
      </c>
      <c r="N18" s="181">
        <f t="shared" si="14"/>
        <v>166218</v>
      </c>
      <c r="O18" s="185">
        <v>170732</v>
      </c>
      <c r="P18" s="185">
        <v>4730</v>
      </c>
      <c r="Q18" s="185">
        <v>21913</v>
      </c>
      <c r="R18" s="185">
        <v>0</v>
      </c>
      <c r="S18" s="181">
        <f>SUM(O18:R18)</f>
        <v>197375</v>
      </c>
      <c r="T18" s="183">
        <v>0</v>
      </c>
      <c r="U18" s="185">
        <v>0</v>
      </c>
      <c r="V18" s="185">
        <v>0</v>
      </c>
      <c r="W18" s="185">
        <v>0</v>
      </c>
      <c r="X18" s="181">
        <f t="shared" si="4"/>
        <v>0</v>
      </c>
      <c r="Y18" s="183">
        <v>0</v>
      </c>
      <c r="Z18" s="185">
        <v>0</v>
      </c>
      <c r="AA18" s="185">
        <v>0</v>
      </c>
      <c r="AB18" s="185">
        <v>0</v>
      </c>
      <c r="AC18" s="181">
        <f t="shared" si="5"/>
        <v>0</v>
      </c>
      <c r="AD18" s="183">
        <v>0</v>
      </c>
      <c r="AE18" s="185">
        <v>0</v>
      </c>
      <c r="AF18" s="185">
        <v>0</v>
      </c>
      <c r="AG18" s="185">
        <v>0</v>
      </c>
      <c r="AH18" s="181">
        <f t="shared" si="6"/>
        <v>0</v>
      </c>
      <c r="AI18" s="183">
        <v>0</v>
      </c>
      <c r="AJ18" s="185">
        <v>0</v>
      </c>
      <c r="AK18" s="185">
        <v>0</v>
      </c>
      <c r="AL18" s="185">
        <v>0</v>
      </c>
      <c r="AM18" s="181">
        <f>SUM(AI18:AL18)</f>
        <v>0</v>
      </c>
      <c r="AN18" s="183">
        <v>0</v>
      </c>
      <c r="AO18" s="185">
        <v>0</v>
      </c>
      <c r="AP18" s="185">
        <v>0</v>
      </c>
      <c r="AQ18" s="185">
        <v>0</v>
      </c>
      <c r="AR18" s="181">
        <f t="shared" si="1"/>
        <v>0</v>
      </c>
      <c r="AS18" s="183">
        <v>0</v>
      </c>
      <c r="AT18" s="185">
        <v>0</v>
      </c>
      <c r="AU18" s="185">
        <v>0</v>
      </c>
      <c r="AV18" s="185">
        <v>0</v>
      </c>
      <c r="AW18" s="181">
        <f t="shared" si="8"/>
        <v>0</v>
      </c>
      <c r="AX18" s="183">
        <v>0</v>
      </c>
      <c r="AY18" s="185">
        <v>0</v>
      </c>
      <c r="AZ18" s="185">
        <v>0</v>
      </c>
      <c r="BA18" s="185">
        <v>0</v>
      </c>
      <c r="BB18" s="181">
        <f t="shared" si="9"/>
        <v>0</v>
      </c>
      <c r="BC18" s="183">
        <v>0</v>
      </c>
      <c r="BD18" s="185">
        <v>0</v>
      </c>
      <c r="BE18" s="185">
        <v>0</v>
      </c>
      <c r="BF18" s="185">
        <v>0</v>
      </c>
      <c r="BG18" s="181">
        <f t="shared" si="10"/>
        <v>0</v>
      </c>
      <c r="BH18" s="183">
        <v>0</v>
      </c>
      <c r="BI18" s="185">
        <v>0</v>
      </c>
      <c r="BJ18" s="185">
        <v>0</v>
      </c>
      <c r="BK18" s="185">
        <v>0</v>
      </c>
      <c r="BL18" s="181">
        <f t="shared" si="11"/>
        <v>0</v>
      </c>
      <c r="BM18" s="183">
        <v>0</v>
      </c>
      <c r="BN18" s="185">
        <v>0</v>
      </c>
      <c r="BO18" s="185">
        <v>0</v>
      </c>
      <c r="BP18" s="185">
        <v>0</v>
      </c>
      <c r="BQ18" s="181">
        <f t="shared" si="12"/>
        <v>0</v>
      </c>
      <c r="BR18" s="183">
        <f t="shared" si="16"/>
        <v>315264</v>
      </c>
      <c r="BS18" s="88">
        <f t="shared" si="13"/>
        <v>4805</v>
      </c>
      <c r="BT18" s="185">
        <f t="shared" si="13"/>
        <v>43524</v>
      </c>
      <c r="BU18" s="185">
        <f t="shared" si="13"/>
        <v>0</v>
      </c>
      <c r="BV18" s="183">
        <f t="shared" si="2"/>
        <v>363593</v>
      </c>
      <c r="BW18" s="148"/>
      <c r="BX18" s="393">
        <f t="shared" si="15"/>
        <v>14.232523037285153</v>
      </c>
      <c r="BY18" s="185"/>
      <c r="BZ18" s="185"/>
      <c r="CA18" s="185"/>
    </row>
    <row r="19" spans="1:80" x14ac:dyDescent="0.2">
      <c r="A19" s="388">
        <v>13</v>
      </c>
      <c r="B19" s="359" t="s">
        <v>558</v>
      </c>
      <c r="D19" s="390"/>
      <c r="E19" s="391">
        <v>151639</v>
      </c>
      <c r="F19" s="88">
        <v>87146</v>
      </c>
      <c r="G19" s="88">
        <v>2702</v>
      </c>
      <c r="H19" s="88">
        <v>381</v>
      </c>
      <c r="I19" s="181">
        <f t="shared" si="0"/>
        <v>241868</v>
      </c>
      <c r="J19" s="183">
        <v>12411</v>
      </c>
      <c r="K19" s="185">
        <v>7099</v>
      </c>
      <c r="L19" s="185">
        <v>38</v>
      </c>
      <c r="M19" s="185">
        <v>0</v>
      </c>
      <c r="N19" s="181">
        <f t="shared" si="14"/>
        <v>19548</v>
      </c>
      <c r="O19" s="185">
        <v>11788</v>
      </c>
      <c r="P19" s="185">
        <v>7098</v>
      </c>
      <c r="Q19" s="185">
        <v>20</v>
      </c>
      <c r="R19" s="185">
        <v>0</v>
      </c>
      <c r="S19" s="181">
        <f>SUM(O19:R19)</f>
        <v>18906</v>
      </c>
      <c r="T19" s="183">
        <v>0</v>
      </c>
      <c r="U19" s="185">
        <v>0</v>
      </c>
      <c r="V19" s="185">
        <v>0</v>
      </c>
      <c r="W19" s="185">
        <v>0</v>
      </c>
      <c r="X19" s="181">
        <f t="shared" si="4"/>
        <v>0</v>
      </c>
      <c r="Y19" s="183">
        <v>0</v>
      </c>
      <c r="Z19" s="185">
        <v>0</v>
      </c>
      <c r="AA19" s="185">
        <v>0</v>
      </c>
      <c r="AB19" s="185">
        <v>0</v>
      </c>
      <c r="AC19" s="181">
        <f t="shared" si="5"/>
        <v>0</v>
      </c>
      <c r="AD19" s="183">
        <v>0</v>
      </c>
      <c r="AE19" s="185">
        <v>0</v>
      </c>
      <c r="AF19" s="185">
        <v>0</v>
      </c>
      <c r="AG19" s="185">
        <v>0</v>
      </c>
      <c r="AH19" s="181">
        <f t="shared" si="6"/>
        <v>0</v>
      </c>
      <c r="AI19" s="183">
        <v>0</v>
      </c>
      <c r="AJ19" s="185">
        <v>0</v>
      </c>
      <c r="AK19" s="185">
        <v>0</v>
      </c>
      <c r="AL19" s="185">
        <v>0</v>
      </c>
      <c r="AM19" s="181">
        <f t="shared" si="7"/>
        <v>0</v>
      </c>
      <c r="AN19" s="183">
        <v>0</v>
      </c>
      <c r="AO19" s="185">
        <v>0</v>
      </c>
      <c r="AP19" s="185">
        <v>0</v>
      </c>
      <c r="AQ19" s="185">
        <v>0</v>
      </c>
      <c r="AR19" s="181">
        <f t="shared" si="1"/>
        <v>0</v>
      </c>
      <c r="AS19" s="183">
        <v>0</v>
      </c>
      <c r="AT19" s="185">
        <v>0</v>
      </c>
      <c r="AU19" s="185">
        <v>0</v>
      </c>
      <c r="AV19" s="185">
        <v>0</v>
      </c>
      <c r="AW19" s="181">
        <f t="shared" si="8"/>
        <v>0</v>
      </c>
      <c r="AX19" s="183">
        <v>0</v>
      </c>
      <c r="AY19" s="185">
        <v>0</v>
      </c>
      <c r="AZ19" s="185">
        <v>0</v>
      </c>
      <c r="BA19" s="185">
        <v>0</v>
      </c>
      <c r="BB19" s="181">
        <f t="shared" si="9"/>
        <v>0</v>
      </c>
      <c r="BC19" s="183">
        <v>0</v>
      </c>
      <c r="BD19" s="185">
        <v>0</v>
      </c>
      <c r="BE19" s="185">
        <v>0</v>
      </c>
      <c r="BF19" s="185">
        <v>0</v>
      </c>
      <c r="BG19" s="181">
        <f t="shared" si="10"/>
        <v>0</v>
      </c>
      <c r="BH19" s="183">
        <v>0</v>
      </c>
      <c r="BI19" s="185">
        <v>0</v>
      </c>
      <c r="BJ19" s="185">
        <v>0</v>
      </c>
      <c r="BK19" s="185">
        <v>0</v>
      </c>
      <c r="BL19" s="181">
        <f t="shared" si="11"/>
        <v>0</v>
      </c>
      <c r="BM19" s="183">
        <v>0</v>
      </c>
      <c r="BN19" s="185">
        <v>0</v>
      </c>
      <c r="BO19" s="185">
        <v>0</v>
      </c>
      <c r="BP19" s="185">
        <v>0</v>
      </c>
      <c r="BQ19" s="181">
        <f t="shared" si="12"/>
        <v>0</v>
      </c>
      <c r="BR19" s="183">
        <f t="shared" si="16"/>
        <v>24199</v>
      </c>
      <c r="BS19" s="88">
        <f t="shared" si="13"/>
        <v>14197</v>
      </c>
      <c r="BT19" s="185">
        <f t="shared" si="13"/>
        <v>58</v>
      </c>
      <c r="BU19" s="185">
        <f t="shared" si="13"/>
        <v>0</v>
      </c>
      <c r="BV19" s="183">
        <f t="shared" si="2"/>
        <v>38454</v>
      </c>
      <c r="BW19" s="148"/>
      <c r="BX19" s="393">
        <f t="shared" si="15"/>
        <v>15.898754692642267</v>
      </c>
    </row>
    <row r="20" spans="1:80" x14ac:dyDescent="0.2">
      <c r="A20" s="388">
        <v>14</v>
      </c>
      <c r="B20" s="389" t="s">
        <v>240</v>
      </c>
      <c r="D20" s="390"/>
      <c r="E20" s="391">
        <v>2523549</v>
      </c>
      <c r="F20" s="88">
        <v>20110536</v>
      </c>
      <c r="G20" s="88">
        <v>1100475</v>
      </c>
      <c r="H20" s="88">
        <v>239</v>
      </c>
      <c r="I20" s="181">
        <f t="shared" si="0"/>
        <v>23734799</v>
      </c>
      <c r="J20" s="183">
        <v>79776</v>
      </c>
      <c r="K20" s="185">
        <v>3234436</v>
      </c>
      <c r="L20" s="185">
        <v>7750</v>
      </c>
      <c r="M20" s="185">
        <v>180</v>
      </c>
      <c r="N20" s="181">
        <f t="shared" si="14"/>
        <v>3322142</v>
      </c>
      <c r="O20" s="185">
        <v>83503</v>
      </c>
      <c r="P20" s="185">
        <v>3983819</v>
      </c>
      <c r="Q20" s="185">
        <v>69221</v>
      </c>
      <c r="R20" s="185">
        <v>5</v>
      </c>
      <c r="S20" s="181">
        <f>SUM(O20:R20)</f>
        <v>4136548</v>
      </c>
      <c r="T20" s="183">
        <v>0</v>
      </c>
      <c r="U20" s="185">
        <v>0</v>
      </c>
      <c r="V20" s="185">
        <v>0</v>
      </c>
      <c r="W20" s="185">
        <v>0</v>
      </c>
      <c r="X20" s="181">
        <f t="shared" si="4"/>
        <v>0</v>
      </c>
      <c r="Y20" s="183">
        <v>0</v>
      </c>
      <c r="Z20" s="185">
        <v>0</v>
      </c>
      <c r="AA20" s="185">
        <v>0</v>
      </c>
      <c r="AB20" s="185">
        <v>0</v>
      </c>
      <c r="AC20" s="181">
        <f t="shared" si="5"/>
        <v>0</v>
      </c>
      <c r="AD20" s="183">
        <v>0</v>
      </c>
      <c r="AE20" s="185">
        <v>0</v>
      </c>
      <c r="AF20" s="185">
        <v>0</v>
      </c>
      <c r="AG20" s="185">
        <v>0</v>
      </c>
      <c r="AH20" s="181">
        <f t="shared" si="6"/>
        <v>0</v>
      </c>
      <c r="AI20" s="183">
        <v>0</v>
      </c>
      <c r="AJ20" s="185">
        <v>0</v>
      </c>
      <c r="AK20" s="185">
        <v>0</v>
      </c>
      <c r="AL20" s="185">
        <v>0</v>
      </c>
      <c r="AM20" s="181">
        <f t="shared" si="7"/>
        <v>0</v>
      </c>
      <c r="AN20" s="183">
        <v>0</v>
      </c>
      <c r="AO20" s="185">
        <v>0</v>
      </c>
      <c r="AP20" s="185">
        <v>0</v>
      </c>
      <c r="AQ20" s="185">
        <v>0</v>
      </c>
      <c r="AR20" s="181">
        <f t="shared" si="1"/>
        <v>0</v>
      </c>
      <c r="AS20" s="183">
        <v>0</v>
      </c>
      <c r="AT20" s="185">
        <v>0</v>
      </c>
      <c r="AU20" s="185">
        <v>0</v>
      </c>
      <c r="AV20" s="185">
        <v>0</v>
      </c>
      <c r="AW20" s="181">
        <f t="shared" si="8"/>
        <v>0</v>
      </c>
      <c r="AX20" s="183">
        <v>0</v>
      </c>
      <c r="AY20" s="185">
        <v>0</v>
      </c>
      <c r="AZ20" s="185">
        <v>0</v>
      </c>
      <c r="BA20" s="185">
        <v>0</v>
      </c>
      <c r="BB20" s="181">
        <f t="shared" si="9"/>
        <v>0</v>
      </c>
      <c r="BC20" s="183">
        <v>0</v>
      </c>
      <c r="BD20" s="185">
        <v>0</v>
      </c>
      <c r="BE20" s="185">
        <v>0</v>
      </c>
      <c r="BF20" s="185">
        <v>0</v>
      </c>
      <c r="BG20" s="181">
        <f t="shared" si="10"/>
        <v>0</v>
      </c>
      <c r="BH20" s="183">
        <v>0</v>
      </c>
      <c r="BI20" s="185">
        <v>0</v>
      </c>
      <c r="BJ20" s="185">
        <v>0</v>
      </c>
      <c r="BK20" s="185">
        <v>0</v>
      </c>
      <c r="BL20" s="181">
        <f t="shared" si="11"/>
        <v>0</v>
      </c>
      <c r="BM20" s="183">
        <v>0</v>
      </c>
      <c r="BN20" s="185">
        <v>0</v>
      </c>
      <c r="BO20" s="185">
        <v>0</v>
      </c>
      <c r="BP20" s="185">
        <v>0</v>
      </c>
      <c r="BQ20" s="181">
        <f t="shared" si="12"/>
        <v>0</v>
      </c>
      <c r="BR20" s="183">
        <f t="shared" si="16"/>
        <v>163279</v>
      </c>
      <c r="BS20" s="88">
        <f t="shared" si="13"/>
        <v>7218255</v>
      </c>
      <c r="BT20" s="185">
        <f t="shared" si="13"/>
        <v>76971</v>
      </c>
      <c r="BU20" s="185">
        <f t="shared" si="13"/>
        <v>185</v>
      </c>
      <c r="BV20" s="183">
        <f t="shared" si="2"/>
        <v>7458690</v>
      </c>
      <c r="BW20" s="148"/>
      <c r="BX20" s="393">
        <f t="shared" si="15"/>
        <v>31.425123928793329</v>
      </c>
      <c r="BY20" s="136"/>
      <c r="BZ20" s="136"/>
      <c r="CA20" s="136"/>
      <c r="CB20" s="136"/>
    </row>
    <row r="21" spans="1:80" x14ac:dyDescent="0.2">
      <c r="A21" s="388">
        <v>15</v>
      </c>
      <c r="B21" s="389" t="s">
        <v>241</v>
      </c>
      <c r="D21" s="395"/>
      <c r="E21" s="391">
        <v>9908959</v>
      </c>
      <c r="F21" s="88">
        <v>78893530</v>
      </c>
      <c r="G21" s="88">
        <v>7927</v>
      </c>
      <c r="H21" s="88">
        <v>1599</v>
      </c>
      <c r="I21" s="181">
        <f t="shared" si="0"/>
        <v>88812015</v>
      </c>
      <c r="J21" s="183">
        <v>762757</v>
      </c>
      <c r="K21" s="185">
        <v>19038631</v>
      </c>
      <c r="L21" s="185">
        <v>780</v>
      </c>
      <c r="M21" s="185">
        <v>1</v>
      </c>
      <c r="N21" s="181">
        <f t="shared" si="14"/>
        <v>19802169</v>
      </c>
      <c r="O21" s="185">
        <v>715486</v>
      </c>
      <c r="P21" s="185">
        <v>8936316</v>
      </c>
      <c r="Q21" s="185">
        <v>248</v>
      </c>
      <c r="R21" s="185">
        <v>1</v>
      </c>
      <c r="S21" s="181">
        <f t="shared" ref="S21:S27" si="17">SUM(O21:R21)</f>
        <v>9652051</v>
      </c>
      <c r="T21" s="183">
        <v>0</v>
      </c>
      <c r="U21" s="185">
        <v>0</v>
      </c>
      <c r="V21" s="185">
        <v>0</v>
      </c>
      <c r="W21" s="185">
        <v>0</v>
      </c>
      <c r="X21" s="181">
        <f t="shared" si="4"/>
        <v>0</v>
      </c>
      <c r="Y21" s="183">
        <v>0</v>
      </c>
      <c r="Z21" s="185">
        <v>0</v>
      </c>
      <c r="AA21" s="185">
        <v>0</v>
      </c>
      <c r="AB21" s="185">
        <v>0</v>
      </c>
      <c r="AC21" s="181">
        <f t="shared" si="5"/>
        <v>0</v>
      </c>
      <c r="AD21" s="183">
        <v>0</v>
      </c>
      <c r="AE21" s="185">
        <v>0</v>
      </c>
      <c r="AF21" s="185">
        <v>0</v>
      </c>
      <c r="AG21" s="185">
        <v>0</v>
      </c>
      <c r="AH21" s="181">
        <f t="shared" si="6"/>
        <v>0</v>
      </c>
      <c r="AI21" s="183">
        <v>0</v>
      </c>
      <c r="AJ21" s="185">
        <v>0</v>
      </c>
      <c r="AK21" s="185">
        <v>0</v>
      </c>
      <c r="AL21" s="185">
        <v>0</v>
      </c>
      <c r="AM21" s="181">
        <f t="shared" si="7"/>
        <v>0</v>
      </c>
      <c r="AN21" s="183">
        <v>0</v>
      </c>
      <c r="AO21" s="185">
        <v>0</v>
      </c>
      <c r="AP21" s="185">
        <v>0</v>
      </c>
      <c r="AQ21" s="185">
        <v>0</v>
      </c>
      <c r="AR21" s="181">
        <f t="shared" si="1"/>
        <v>0</v>
      </c>
      <c r="AS21" s="183">
        <v>0</v>
      </c>
      <c r="AT21" s="185">
        <v>0</v>
      </c>
      <c r="AU21" s="185">
        <v>0</v>
      </c>
      <c r="AV21" s="185">
        <v>0</v>
      </c>
      <c r="AW21" s="181">
        <f t="shared" si="8"/>
        <v>0</v>
      </c>
      <c r="AX21" s="183">
        <v>0</v>
      </c>
      <c r="AY21" s="185">
        <v>0</v>
      </c>
      <c r="AZ21" s="185">
        <v>0</v>
      </c>
      <c r="BA21" s="185">
        <v>0</v>
      </c>
      <c r="BB21" s="181">
        <f t="shared" si="9"/>
        <v>0</v>
      </c>
      <c r="BC21" s="183">
        <v>0</v>
      </c>
      <c r="BD21" s="185">
        <v>0</v>
      </c>
      <c r="BE21" s="185">
        <v>0</v>
      </c>
      <c r="BF21" s="185">
        <v>0</v>
      </c>
      <c r="BG21" s="181">
        <f t="shared" si="10"/>
        <v>0</v>
      </c>
      <c r="BH21" s="183">
        <v>0</v>
      </c>
      <c r="BI21" s="185">
        <v>0</v>
      </c>
      <c r="BJ21" s="185">
        <v>0</v>
      </c>
      <c r="BK21" s="185">
        <v>0</v>
      </c>
      <c r="BL21" s="181">
        <f t="shared" si="11"/>
        <v>0</v>
      </c>
      <c r="BM21" s="183">
        <v>0</v>
      </c>
      <c r="BN21" s="185">
        <v>0</v>
      </c>
      <c r="BO21" s="185">
        <v>0</v>
      </c>
      <c r="BP21" s="185">
        <v>0</v>
      </c>
      <c r="BQ21" s="181">
        <f t="shared" si="12"/>
        <v>0</v>
      </c>
      <c r="BR21" s="183">
        <f t="shared" si="16"/>
        <v>1478243</v>
      </c>
      <c r="BS21" s="88">
        <f t="shared" si="13"/>
        <v>27974947</v>
      </c>
      <c r="BT21" s="185">
        <f t="shared" si="13"/>
        <v>1028</v>
      </c>
      <c r="BU21" s="185">
        <f t="shared" si="13"/>
        <v>2</v>
      </c>
      <c r="BV21" s="183">
        <f t="shared" si="2"/>
        <v>29454220</v>
      </c>
      <c r="BW21" s="148"/>
      <c r="BX21" s="393">
        <f t="shared" si="15"/>
        <v>33.164679351099061</v>
      </c>
      <c r="BY21" s="136"/>
    </row>
    <row r="22" spans="1:80" x14ac:dyDescent="0.2">
      <c r="A22" s="388">
        <v>16</v>
      </c>
      <c r="B22" s="389" t="s">
        <v>242</v>
      </c>
      <c r="D22" s="390"/>
      <c r="E22" s="391">
        <v>2115312</v>
      </c>
      <c r="F22" s="88">
        <v>47863189</v>
      </c>
      <c r="G22" s="88">
        <v>827439</v>
      </c>
      <c r="H22" s="88">
        <v>0</v>
      </c>
      <c r="I22" s="181">
        <f t="shared" si="0"/>
        <v>50805940</v>
      </c>
      <c r="J22" s="183">
        <v>97182</v>
      </c>
      <c r="K22" s="185">
        <v>5527538</v>
      </c>
      <c r="L22" s="185">
        <v>1585</v>
      </c>
      <c r="M22" s="185">
        <v>0</v>
      </c>
      <c r="N22" s="181">
        <f t="shared" si="14"/>
        <v>5626305</v>
      </c>
      <c r="O22" s="185">
        <v>111121</v>
      </c>
      <c r="P22" s="185">
        <v>3249197</v>
      </c>
      <c r="Q22" s="185">
        <v>14590</v>
      </c>
      <c r="R22" s="185">
        <v>0</v>
      </c>
      <c r="S22" s="181">
        <f t="shared" si="17"/>
        <v>3374908</v>
      </c>
      <c r="T22" s="183">
        <v>0</v>
      </c>
      <c r="U22" s="185">
        <v>0</v>
      </c>
      <c r="V22" s="185">
        <v>0</v>
      </c>
      <c r="W22" s="185">
        <v>0</v>
      </c>
      <c r="X22" s="181">
        <f t="shared" si="4"/>
        <v>0</v>
      </c>
      <c r="Y22" s="183">
        <v>0</v>
      </c>
      <c r="Z22" s="185">
        <v>0</v>
      </c>
      <c r="AA22" s="185">
        <v>0</v>
      </c>
      <c r="AB22" s="185">
        <v>0</v>
      </c>
      <c r="AC22" s="181">
        <f t="shared" si="5"/>
        <v>0</v>
      </c>
      <c r="AD22" s="183">
        <v>0</v>
      </c>
      <c r="AE22" s="185">
        <v>0</v>
      </c>
      <c r="AF22" s="185">
        <v>0</v>
      </c>
      <c r="AG22" s="185">
        <v>0</v>
      </c>
      <c r="AH22" s="181">
        <f t="shared" si="6"/>
        <v>0</v>
      </c>
      <c r="AI22" s="183">
        <v>0</v>
      </c>
      <c r="AJ22" s="185">
        <v>0</v>
      </c>
      <c r="AK22" s="185">
        <v>0</v>
      </c>
      <c r="AL22" s="185">
        <v>0</v>
      </c>
      <c r="AM22" s="181">
        <f t="shared" si="7"/>
        <v>0</v>
      </c>
      <c r="AN22" s="183">
        <v>0</v>
      </c>
      <c r="AO22" s="185">
        <v>0</v>
      </c>
      <c r="AP22" s="185">
        <v>0</v>
      </c>
      <c r="AQ22" s="185">
        <v>0</v>
      </c>
      <c r="AR22" s="181">
        <f t="shared" si="1"/>
        <v>0</v>
      </c>
      <c r="AS22" s="183">
        <v>0</v>
      </c>
      <c r="AT22" s="185">
        <v>0</v>
      </c>
      <c r="AU22" s="185">
        <v>0</v>
      </c>
      <c r="AV22" s="185">
        <v>0</v>
      </c>
      <c r="AW22" s="181">
        <f t="shared" si="8"/>
        <v>0</v>
      </c>
      <c r="AX22" s="183">
        <v>0</v>
      </c>
      <c r="AY22" s="185">
        <v>0</v>
      </c>
      <c r="AZ22" s="185">
        <v>0</v>
      </c>
      <c r="BA22" s="185">
        <v>0</v>
      </c>
      <c r="BB22" s="181">
        <f t="shared" si="9"/>
        <v>0</v>
      </c>
      <c r="BC22" s="183">
        <v>0</v>
      </c>
      <c r="BD22" s="185">
        <v>0</v>
      </c>
      <c r="BE22" s="185">
        <v>0</v>
      </c>
      <c r="BF22" s="185">
        <v>0</v>
      </c>
      <c r="BG22" s="181">
        <f t="shared" si="10"/>
        <v>0</v>
      </c>
      <c r="BH22" s="183">
        <v>0</v>
      </c>
      <c r="BI22" s="185">
        <v>0</v>
      </c>
      <c r="BJ22" s="185">
        <v>0</v>
      </c>
      <c r="BK22" s="185">
        <v>0</v>
      </c>
      <c r="BL22" s="181">
        <f t="shared" si="11"/>
        <v>0</v>
      </c>
      <c r="BM22" s="183">
        <v>0</v>
      </c>
      <c r="BN22" s="185">
        <v>0</v>
      </c>
      <c r="BO22" s="185">
        <v>0</v>
      </c>
      <c r="BP22" s="185">
        <v>0</v>
      </c>
      <c r="BQ22" s="181">
        <f t="shared" si="12"/>
        <v>0</v>
      </c>
      <c r="BR22" s="183">
        <f t="shared" si="16"/>
        <v>208303</v>
      </c>
      <c r="BS22" s="88">
        <f t="shared" si="13"/>
        <v>8776735</v>
      </c>
      <c r="BT22" s="185">
        <f t="shared" si="13"/>
        <v>16175</v>
      </c>
      <c r="BU22" s="185">
        <f t="shared" si="13"/>
        <v>0</v>
      </c>
      <c r="BV22" s="183">
        <f t="shared" si="2"/>
        <v>9001213</v>
      </c>
      <c r="BW22" s="148"/>
      <c r="BX22" s="393">
        <f t="shared" si="15"/>
        <v>17.716851612232741</v>
      </c>
    </row>
    <row r="23" spans="1:80" x14ac:dyDescent="0.2">
      <c r="A23" s="396">
        <v>17</v>
      </c>
      <c r="B23" s="397" t="s">
        <v>243</v>
      </c>
      <c r="D23" s="400"/>
      <c r="E23" s="391">
        <v>872160</v>
      </c>
      <c r="F23" s="88">
        <v>198484136</v>
      </c>
      <c r="G23" s="88">
        <v>36326</v>
      </c>
      <c r="H23" s="88">
        <v>0</v>
      </c>
      <c r="I23" s="181">
        <f t="shared" si="0"/>
        <v>199392622</v>
      </c>
      <c r="J23" s="183">
        <v>52234</v>
      </c>
      <c r="K23" s="185">
        <v>14985759</v>
      </c>
      <c r="L23" s="185">
        <v>131</v>
      </c>
      <c r="M23" s="185">
        <v>0</v>
      </c>
      <c r="N23" s="181">
        <f t="shared" si="14"/>
        <v>15038124</v>
      </c>
      <c r="O23" s="185">
        <v>55199</v>
      </c>
      <c r="P23" s="185">
        <v>15008444</v>
      </c>
      <c r="Q23" s="185">
        <v>215</v>
      </c>
      <c r="R23" s="185">
        <v>0</v>
      </c>
      <c r="S23" s="181">
        <f t="shared" si="17"/>
        <v>15063858</v>
      </c>
      <c r="T23" s="183">
        <v>0</v>
      </c>
      <c r="U23" s="185">
        <v>0</v>
      </c>
      <c r="V23" s="185">
        <v>0</v>
      </c>
      <c r="W23" s="185">
        <v>0</v>
      </c>
      <c r="X23" s="181">
        <f t="shared" si="4"/>
        <v>0</v>
      </c>
      <c r="Y23" s="183">
        <v>0</v>
      </c>
      <c r="Z23" s="185">
        <v>0</v>
      </c>
      <c r="AA23" s="185">
        <v>0</v>
      </c>
      <c r="AB23" s="185">
        <v>0</v>
      </c>
      <c r="AC23" s="181">
        <f t="shared" si="5"/>
        <v>0</v>
      </c>
      <c r="AD23" s="183">
        <v>0</v>
      </c>
      <c r="AE23" s="185">
        <v>0</v>
      </c>
      <c r="AF23" s="185">
        <v>0</v>
      </c>
      <c r="AG23" s="185">
        <v>0</v>
      </c>
      <c r="AH23" s="181">
        <f t="shared" si="6"/>
        <v>0</v>
      </c>
      <c r="AI23" s="183">
        <v>0</v>
      </c>
      <c r="AJ23" s="185">
        <v>0</v>
      </c>
      <c r="AK23" s="185">
        <v>0</v>
      </c>
      <c r="AL23" s="185">
        <v>0</v>
      </c>
      <c r="AM23" s="181">
        <f t="shared" si="7"/>
        <v>0</v>
      </c>
      <c r="AN23" s="183">
        <v>0</v>
      </c>
      <c r="AO23" s="185">
        <v>0</v>
      </c>
      <c r="AP23" s="185">
        <v>0</v>
      </c>
      <c r="AQ23" s="185">
        <v>0</v>
      </c>
      <c r="AR23" s="181">
        <f t="shared" si="1"/>
        <v>0</v>
      </c>
      <c r="AS23" s="183">
        <v>0</v>
      </c>
      <c r="AT23" s="185">
        <v>0</v>
      </c>
      <c r="AU23" s="185">
        <v>0</v>
      </c>
      <c r="AV23" s="185">
        <v>0</v>
      </c>
      <c r="AW23" s="181">
        <f t="shared" si="8"/>
        <v>0</v>
      </c>
      <c r="AX23" s="183">
        <v>0</v>
      </c>
      <c r="AY23" s="185">
        <v>0</v>
      </c>
      <c r="AZ23" s="185">
        <v>0</v>
      </c>
      <c r="BA23" s="185">
        <v>0</v>
      </c>
      <c r="BB23" s="181">
        <f t="shared" si="9"/>
        <v>0</v>
      </c>
      <c r="BC23" s="183">
        <v>0</v>
      </c>
      <c r="BD23" s="185">
        <v>0</v>
      </c>
      <c r="BE23" s="185">
        <v>0</v>
      </c>
      <c r="BF23" s="185">
        <v>0</v>
      </c>
      <c r="BG23" s="181">
        <f t="shared" si="10"/>
        <v>0</v>
      </c>
      <c r="BH23" s="183">
        <v>0</v>
      </c>
      <c r="BI23" s="185">
        <v>0</v>
      </c>
      <c r="BJ23" s="185">
        <v>0</v>
      </c>
      <c r="BK23" s="185">
        <v>0</v>
      </c>
      <c r="BL23" s="181">
        <f t="shared" si="11"/>
        <v>0</v>
      </c>
      <c r="BM23" s="183">
        <v>0</v>
      </c>
      <c r="BN23" s="185">
        <v>0</v>
      </c>
      <c r="BO23" s="185">
        <v>0</v>
      </c>
      <c r="BP23" s="185">
        <v>0</v>
      </c>
      <c r="BQ23" s="181">
        <f t="shared" si="12"/>
        <v>0</v>
      </c>
      <c r="BR23" s="183">
        <f t="shared" si="16"/>
        <v>107433</v>
      </c>
      <c r="BS23" s="88">
        <f t="shared" si="13"/>
        <v>29994203</v>
      </c>
      <c r="BT23" s="185">
        <f t="shared" si="13"/>
        <v>346</v>
      </c>
      <c r="BU23" s="185">
        <f t="shared" si="13"/>
        <v>0</v>
      </c>
      <c r="BV23" s="183">
        <f t="shared" si="2"/>
        <v>30101982</v>
      </c>
      <c r="BW23" s="148"/>
      <c r="BX23" s="393">
        <f t="shared" si="15"/>
        <v>15.096838437683017</v>
      </c>
    </row>
    <row r="24" spans="1:80" x14ac:dyDescent="0.2">
      <c r="A24" s="388">
        <v>18</v>
      </c>
      <c r="B24" s="389" t="s">
        <v>246</v>
      </c>
      <c r="D24" s="390"/>
      <c r="E24" s="391">
        <v>23785315</v>
      </c>
      <c r="F24" s="88">
        <v>877954</v>
      </c>
      <c r="G24" s="88">
        <v>513617</v>
      </c>
      <c r="H24" s="88">
        <v>8072</v>
      </c>
      <c r="I24" s="181">
        <f t="shared" si="0"/>
        <v>25184958</v>
      </c>
      <c r="J24" s="183">
        <v>1539111</v>
      </c>
      <c r="K24" s="185">
        <v>44796</v>
      </c>
      <c r="L24" s="185">
        <v>31904</v>
      </c>
      <c r="M24" s="185">
        <v>599</v>
      </c>
      <c r="N24" s="181">
        <f t="shared" si="14"/>
        <v>1616410</v>
      </c>
      <c r="O24" s="185">
        <v>1840776</v>
      </c>
      <c r="P24" s="185">
        <v>49396</v>
      </c>
      <c r="Q24" s="185">
        <v>4802</v>
      </c>
      <c r="R24" s="185">
        <v>0</v>
      </c>
      <c r="S24" s="181">
        <f t="shared" si="17"/>
        <v>1894974</v>
      </c>
      <c r="T24" s="183">
        <v>0</v>
      </c>
      <c r="U24" s="185">
        <v>0</v>
      </c>
      <c r="V24" s="185">
        <v>0</v>
      </c>
      <c r="W24" s="185">
        <v>0</v>
      </c>
      <c r="X24" s="181">
        <f t="shared" si="4"/>
        <v>0</v>
      </c>
      <c r="Y24" s="183">
        <v>0</v>
      </c>
      <c r="Z24" s="185">
        <v>0</v>
      </c>
      <c r="AA24" s="185">
        <v>0</v>
      </c>
      <c r="AB24" s="185">
        <v>0</v>
      </c>
      <c r="AC24" s="181">
        <f t="shared" si="5"/>
        <v>0</v>
      </c>
      <c r="AD24" s="183">
        <v>0</v>
      </c>
      <c r="AE24" s="185">
        <v>0</v>
      </c>
      <c r="AF24" s="185">
        <v>0</v>
      </c>
      <c r="AG24" s="185">
        <v>0</v>
      </c>
      <c r="AH24" s="181">
        <f t="shared" si="6"/>
        <v>0</v>
      </c>
      <c r="AI24" s="183">
        <v>0</v>
      </c>
      <c r="AJ24" s="185">
        <v>0</v>
      </c>
      <c r="AK24" s="185">
        <v>0</v>
      </c>
      <c r="AL24" s="185">
        <v>0</v>
      </c>
      <c r="AM24" s="181">
        <f t="shared" si="7"/>
        <v>0</v>
      </c>
      <c r="AN24" s="183">
        <v>0</v>
      </c>
      <c r="AO24" s="185">
        <v>0</v>
      </c>
      <c r="AP24" s="185">
        <v>0</v>
      </c>
      <c r="AQ24" s="185">
        <v>0</v>
      </c>
      <c r="AR24" s="181">
        <f t="shared" si="1"/>
        <v>0</v>
      </c>
      <c r="AS24" s="183">
        <v>0</v>
      </c>
      <c r="AT24" s="185">
        <v>0</v>
      </c>
      <c r="AU24" s="185">
        <v>0</v>
      </c>
      <c r="AV24" s="185">
        <v>0</v>
      </c>
      <c r="AW24" s="181">
        <f t="shared" si="8"/>
        <v>0</v>
      </c>
      <c r="AX24" s="183">
        <v>0</v>
      </c>
      <c r="AY24" s="185">
        <v>0</v>
      </c>
      <c r="AZ24" s="185">
        <v>0</v>
      </c>
      <c r="BA24" s="185">
        <v>0</v>
      </c>
      <c r="BB24" s="181">
        <f t="shared" si="9"/>
        <v>0</v>
      </c>
      <c r="BC24" s="183">
        <v>0</v>
      </c>
      <c r="BD24" s="185">
        <v>0</v>
      </c>
      <c r="BE24" s="185">
        <v>0</v>
      </c>
      <c r="BF24" s="185">
        <v>0</v>
      </c>
      <c r="BG24" s="181">
        <f t="shared" si="10"/>
        <v>0</v>
      </c>
      <c r="BH24" s="183">
        <v>0</v>
      </c>
      <c r="BI24" s="185">
        <v>0</v>
      </c>
      <c r="BJ24" s="185">
        <v>0</v>
      </c>
      <c r="BK24" s="185">
        <v>0</v>
      </c>
      <c r="BL24" s="181">
        <f t="shared" si="11"/>
        <v>0</v>
      </c>
      <c r="BM24" s="183">
        <v>0</v>
      </c>
      <c r="BN24" s="185">
        <v>0</v>
      </c>
      <c r="BO24" s="185">
        <v>0</v>
      </c>
      <c r="BP24" s="185">
        <v>0</v>
      </c>
      <c r="BQ24" s="181">
        <f>SUM(BM24:BP24)</f>
        <v>0</v>
      </c>
      <c r="BR24" s="183">
        <f t="shared" si="16"/>
        <v>3379887</v>
      </c>
      <c r="BS24" s="88">
        <f t="shared" si="16"/>
        <v>94192</v>
      </c>
      <c r="BT24" s="185">
        <f t="shared" si="16"/>
        <v>36706</v>
      </c>
      <c r="BU24" s="185">
        <f t="shared" si="16"/>
        <v>599</v>
      </c>
      <c r="BV24" s="183">
        <f t="shared" si="2"/>
        <v>3511384</v>
      </c>
      <c r="BW24" s="148"/>
      <c r="BX24" s="393">
        <f>(BV24/I24)*100</f>
        <v>13.942385768521035</v>
      </c>
    </row>
    <row r="25" spans="1:80" x14ac:dyDescent="0.2">
      <c r="A25" s="388">
        <v>19</v>
      </c>
      <c r="B25" s="389" t="s">
        <v>559</v>
      </c>
      <c r="D25" s="401"/>
      <c r="E25" s="391">
        <v>42786164</v>
      </c>
      <c r="F25" s="88">
        <v>6661243</v>
      </c>
      <c r="G25" s="88">
        <v>1417557</v>
      </c>
      <c r="H25" s="88">
        <v>0</v>
      </c>
      <c r="I25" s="181">
        <f t="shared" si="0"/>
        <v>50864964</v>
      </c>
      <c r="J25" s="183">
        <v>2735310</v>
      </c>
      <c r="K25" s="185">
        <v>342471</v>
      </c>
      <c r="L25" s="185">
        <v>43383</v>
      </c>
      <c r="M25" s="185">
        <v>0</v>
      </c>
      <c r="N25" s="181">
        <f t="shared" si="14"/>
        <v>3121164</v>
      </c>
      <c r="O25" s="185">
        <v>3565541</v>
      </c>
      <c r="P25" s="185">
        <v>831702</v>
      </c>
      <c r="Q25" s="185">
        <v>149417</v>
      </c>
      <c r="R25" s="185">
        <v>0</v>
      </c>
      <c r="S25" s="181">
        <f t="shared" si="17"/>
        <v>4546660</v>
      </c>
      <c r="T25" s="183">
        <v>0</v>
      </c>
      <c r="U25" s="185">
        <v>0</v>
      </c>
      <c r="V25" s="185">
        <v>0</v>
      </c>
      <c r="W25" s="185">
        <v>0</v>
      </c>
      <c r="X25" s="181">
        <f t="shared" si="4"/>
        <v>0</v>
      </c>
      <c r="Y25" s="183">
        <v>0</v>
      </c>
      <c r="Z25" s="185">
        <v>0</v>
      </c>
      <c r="AA25" s="185">
        <v>0</v>
      </c>
      <c r="AB25" s="185">
        <v>0</v>
      </c>
      <c r="AC25" s="181">
        <f t="shared" si="5"/>
        <v>0</v>
      </c>
      <c r="AD25" s="183">
        <v>0</v>
      </c>
      <c r="AE25" s="185">
        <v>0</v>
      </c>
      <c r="AF25" s="185">
        <v>0</v>
      </c>
      <c r="AG25" s="185">
        <v>0</v>
      </c>
      <c r="AH25" s="181">
        <f t="shared" si="6"/>
        <v>0</v>
      </c>
      <c r="AI25" s="183">
        <v>0</v>
      </c>
      <c r="AJ25" s="185">
        <v>0</v>
      </c>
      <c r="AK25" s="185">
        <v>0</v>
      </c>
      <c r="AL25" s="185">
        <v>0</v>
      </c>
      <c r="AM25" s="181">
        <f t="shared" si="7"/>
        <v>0</v>
      </c>
      <c r="AN25" s="183">
        <v>0</v>
      </c>
      <c r="AO25" s="185">
        <v>0</v>
      </c>
      <c r="AP25" s="185">
        <v>0</v>
      </c>
      <c r="AQ25" s="185">
        <v>0</v>
      </c>
      <c r="AR25" s="181">
        <f t="shared" si="1"/>
        <v>0</v>
      </c>
      <c r="AS25" s="183">
        <v>0</v>
      </c>
      <c r="AT25" s="185">
        <v>0</v>
      </c>
      <c r="AU25" s="185">
        <v>0</v>
      </c>
      <c r="AV25" s="185">
        <v>0</v>
      </c>
      <c r="AW25" s="181">
        <f t="shared" si="8"/>
        <v>0</v>
      </c>
      <c r="AX25" s="183">
        <v>0</v>
      </c>
      <c r="AY25" s="185">
        <v>0</v>
      </c>
      <c r="AZ25" s="185">
        <v>0</v>
      </c>
      <c r="BA25" s="185">
        <v>0</v>
      </c>
      <c r="BB25" s="181">
        <f t="shared" si="9"/>
        <v>0</v>
      </c>
      <c r="BC25" s="183">
        <v>0</v>
      </c>
      <c r="BD25" s="185">
        <v>0</v>
      </c>
      <c r="BE25" s="185">
        <v>0</v>
      </c>
      <c r="BF25" s="185">
        <v>0</v>
      </c>
      <c r="BG25" s="181">
        <f t="shared" si="10"/>
        <v>0</v>
      </c>
      <c r="BH25" s="183">
        <v>0</v>
      </c>
      <c r="BI25" s="185">
        <v>0</v>
      </c>
      <c r="BJ25" s="185">
        <v>0</v>
      </c>
      <c r="BK25" s="185">
        <v>0</v>
      </c>
      <c r="BL25" s="181">
        <f t="shared" si="11"/>
        <v>0</v>
      </c>
      <c r="BM25" s="183">
        <v>0</v>
      </c>
      <c r="BN25" s="185">
        <v>0</v>
      </c>
      <c r="BO25" s="185">
        <v>0</v>
      </c>
      <c r="BP25" s="185">
        <v>0</v>
      </c>
      <c r="BQ25" s="181">
        <f t="shared" si="12"/>
        <v>0</v>
      </c>
      <c r="BR25" s="183">
        <f t="shared" si="16"/>
        <v>6300851</v>
      </c>
      <c r="BS25" s="88">
        <f t="shared" si="16"/>
        <v>1174173</v>
      </c>
      <c r="BT25" s="185">
        <f t="shared" si="16"/>
        <v>192800</v>
      </c>
      <c r="BU25" s="185">
        <f t="shared" si="16"/>
        <v>0</v>
      </c>
      <c r="BV25" s="183">
        <f t="shared" si="2"/>
        <v>7667824</v>
      </c>
      <c r="BW25" s="148"/>
      <c r="BX25" s="393">
        <f t="shared" si="15"/>
        <v>15.074863711689643</v>
      </c>
    </row>
    <row r="26" spans="1:80" x14ac:dyDescent="0.2">
      <c r="A26" s="388">
        <v>20</v>
      </c>
      <c r="B26" s="389" t="s">
        <v>248</v>
      </c>
      <c r="D26" s="390"/>
      <c r="E26" s="391">
        <v>332581</v>
      </c>
      <c r="F26" s="88">
        <v>1670</v>
      </c>
      <c r="G26" s="88">
        <v>2356</v>
      </c>
      <c r="H26" s="88">
        <v>0</v>
      </c>
      <c r="I26" s="181">
        <f t="shared" si="0"/>
        <v>336607</v>
      </c>
      <c r="J26" s="183">
        <v>24834</v>
      </c>
      <c r="K26" s="185">
        <v>35</v>
      </c>
      <c r="L26" s="185">
        <v>24</v>
      </c>
      <c r="M26" s="185">
        <v>0</v>
      </c>
      <c r="N26" s="181">
        <f t="shared" si="14"/>
        <v>24893</v>
      </c>
      <c r="O26" s="185">
        <v>21484</v>
      </c>
      <c r="P26" s="185">
        <v>49</v>
      </c>
      <c r="Q26" s="185">
        <v>6</v>
      </c>
      <c r="R26" s="185">
        <v>0</v>
      </c>
      <c r="S26" s="181">
        <f t="shared" si="17"/>
        <v>21539</v>
      </c>
      <c r="T26" s="183">
        <v>0</v>
      </c>
      <c r="U26" s="185">
        <v>0</v>
      </c>
      <c r="V26" s="185">
        <v>0</v>
      </c>
      <c r="W26" s="185">
        <v>0</v>
      </c>
      <c r="X26" s="181">
        <f t="shared" si="4"/>
        <v>0</v>
      </c>
      <c r="Y26" s="183">
        <v>0</v>
      </c>
      <c r="Z26" s="185">
        <v>0</v>
      </c>
      <c r="AA26" s="185">
        <v>0</v>
      </c>
      <c r="AB26" s="185">
        <v>0</v>
      </c>
      <c r="AC26" s="181">
        <f t="shared" si="5"/>
        <v>0</v>
      </c>
      <c r="AD26" s="183">
        <v>0</v>
      </c>
      <c r="AE26" s="185">
        <v>0</v>
      </c>
      <c r="AF26" s="185">
        <v>0</v>
      </c>
      <c r="AG26" s="185">
        <v>0</v>
      </c>
      <c r="AH26" s="181">
        <f t="shared" si="6"/>
        <v>0</v>
      </c>
      <c r="AI26" s="183">
        <v>0</v>
      </c>
      <c r="AJ26" s="185">
        <v>0</v>
      </c>
      <c r="AK26" s="185">
        <v>0</v>
      </c>
      <c r="AL26" s="185">
        <v>0</v>
      </c>
      <c r="AM26" s="181">
        <f t="shared" si="7"/>
        <v>0</v>
      </c>
      <c r="AN26" s="183">
        <v>0</v>
      </c>
      <c r="AO26" s="185">
        <v>0</v>
      </c>
      <c r="AP26" s="185">
        <v>0</v>
      </c>
      <c r="AQ26" s="185">
        <v>0</v>
      </c>
      <c r="AR26" s="181">
        <f t="shared" si="1"/>
        <v>0</v>
      </c>
      <c r="AS26" s="183">
        <v>0</v>
      </c>
      <c r="AT26" s="185">
        <v>0</v>
      </c>
      <c r="AU26" s="185">
        <v>0</v>
      </c>
      <c r="AV26" s="185">
        <v>0</v>
      </c>
      <c r="AW26" s="181">
        <f t="shared" si="8"/>
        <v>0</v>
      </c>
      <c r="AX26" s="183">
        <v>0</v>
      </c>
      <c r="AY26" s="185">
        <v>0</v>
      </c>
      <c r="AZ26" s="185">
        <v>0</v>
      </c>
      <c r="BA26" s="185">
        <v>0</v>
      </c>
      <c r="BB26" s="181">
        <f t="shared" si="9"/>
        <v>0</v>
      </c>
      <c r="BC26" s="183">
        <v>0</v>
      </c>
      <c r="BD26" s="185">
        <v>0</v>
      </c>
      <c r="BE26" s="185">
        <v>0</v>
      </c>
      <c r="BF26" s="185">
        <v>0</v>
      </c>
      <c r="BG26" s="181">
        <f t="shared" si="10"/>
        <v>0</v>
      </c>
      <c r="BH26" s="183">
        <v>0</v>
      </c>
      <c r="BI26" s="185">
        <v>0</v>
      </c>
      <c r="BJ26" s="185">
        <v>0</v>
      </c>
      <c r="BK26" s="185">
        <v>0</v>
      </c>
      <c r="BL26" s="181">
        <f t="shared" si="11"/>
        <v>0</v>
      </c>
      <c r="BM26" s="183">
        <v>0</v>
      </c>
      <c r="BN26" s="185">
        <v>0</v>
      </c>
      <c r="BO26" s="185">
        <v>0</v>
      </c>
      <c r="BP26" s="185">
        <v>0</v>
      </c>
      <c r="BQ26" s="181">
        <f t="shared" si="12"/>
        <v>0</v>
      </c>
      <c r="BR26" s="183">
        <f t="shared" si="16"/>
        <v>46318</v>
      </c>
      <c r="BS26" s="88">
        <f t="shared" si="16"/>
        <v>84</v>
      </c>
      <c r="BT26" s="185">
        <f t="shared" si="16"/>
        <v>30</v>
      </c>
      <c r="BU26" s="185">
        <f t="shared" si="16"/>
        <v>0</v>
      </c>
      <c r="BV26" s="183">
        <f t="shared" si="2"/>
        <v>46432</v>
      </c>
      <c r="BW26" s="148"/>
      <c r="BX26" s="393">
        <f t="shared" si="15"/>
        <v>13.794127870186895</v>
      </c>
    </row>
    <row r="27" spans="1:80" x14ac:dyDescent="0.2">
      <c r="A27" s="388">
        <v>21</v>
      </c>
      <c r="B27" s="389" t="s">
        <v>249</v>
      </c>
      <c r="D27" s="390"/>
      <c r="E27" s="391">
        <v>14547112</v>
      </c>
      <c r="F27" s="88">
        <v>2969362</v>
      </c>
      <c r="G27" s="88">
        <v>575394</v>
      </c>
      <c r="H27" s="88">
        <v>10492</v>
      </c>
      <c r="I27" s="181">
        <f t="shared" si="0"/>
        <v>18102360</v>
      </c>
      <c r="J27" s="183">
        <v>1047609</v>
      </c>
      <c r="K27" s="185">
        <v>246807</v>
      </c>
      <c r="L27" s="185">
        <v>58943</v>
      </c>
      <c r="M27" s="185">
        <v>20</v>
      </c>
      <c r="N27" s="181">
        <f t="shared" si="14"/>
        <v>1353379</v>
      </c>
      <c r="O27" s="185">
        <v>987834</v>
      </c>
      <c r="P27" s="185">
        <v>235842</v>
      </c>
      <c r="Q27" s="185">
        <v>17899</v>
      </c>
      <c r="R27" s="185">
        <v>0</v>
      </c>
      <c r="S27" s="181">
        <f t="shared" si="17"/>
        <v>1241575</v>
      </c>
      <c r="T27" s="183">
        <v>0</v>
      </c>
      <c r="U27" s="185">
        <v>0</v>
      </c>
      <c r="V27" s="185">
        <v>0</v>
      </c>
      <c r="W27" s="185">
        <v>0</v>
      </c>
      <c r="X27" s="181">
        <f t="shared" si="4"/>
        <v>0</v>
      </c>
      <c r="Y27" s="183">
        <v>0</v>
      </c>
      <c r="Z27" s="185">
        <v>0</v>
      </c>
      <c r="AA27" s="185">
        <v>0</v>
      </c>
      <c r="AB27" s="185">
        <v>0</v>
      </c>
      <c r="AC27" s="181">
        <f t="shared" si="5"/>
        <v>0</v>
      </c>
      <c r="AD27" s="183">
        <v>0</v>
      </c>
      <c r="AE27" s="185">
        <v>0</v>
      </c>
      <c r="AF27" s="185">
        <v>0</v>
      </c>
      <c r="AG27" s="185">
        <v>0</v>
      </c>
      <c r="AH27" s="181">
        <f t="shared" si="6"/>
        <v>0</v>
      </c>
      <c r="AI27" s="183">
        <v>0</v>
      </c>
      <c r="AJ27" s="185">
        <v>0</v>
      </c>
      <c r="AK27" s="185">
        <v>0</v>
      </c>
      <c r="AL27" s="185">
        <v>0</v>
      </c>
      <c r="AM27" s="181">
        <f t="shared" si="7"/>
        <v>0</v>
      </c>
      <c r="AN27" s="183">
        <v>0</v>
      </c>
      <c r="AO27" s="185">
        <v>0</v>
      </c>
      <c r="AP27" s="185">
        <v>0</v>
      </c>
      <c r="AQ27" s="185">
        <v>0</v>
      </c>
      <c r="AR27" s="181">
        <f t="shared" si="1"/>
        <v>0</v>
      </c>
      <c r="AS27" s="183">
        <v>0</v>
      </c>
      <c r="AT27" s="185">
        <v>0</v>
      </c>
      <c r="AU27" s="185">
        <v>0</v>
      </c>
      <c r="AV27" s="185">
        <v>0</v>
      </c>
      <c r="AW27" s="181">
        <f t="shared" si="8"/>
        <v>0</v>
      </c>
      <c r="AX27" s="183">
        <v>0</v>
      </c>
      <c r="AY27" s="185">
        <v>0</v>
      </c>
      <c r="AZ27" s="185">
        <v>0</v>
      </c>
      <c r="BA27" s="185">
        <v>0</v>
      </c>
      <c r="BB27" s="181">
        <f t="shared" si="9"/>
        <v>0</v>
      </c>
      <c r="BC27" s="183">
        <v>0</v>
      </c>
      <c r="BD27" s="185">
        <v>0</v>
      </c>
      <c r="BE27" s="185">
        <v>0</v>
      </c>
      <c r="BF27" s="185">
        <v>0</v>
      </c>
      <c r="BG27" s="181">
        <f t="shared" si="10"/>
        <v>0</v>
      </c>
      <c r="BH27" s="183">
        <v>0</v>
      </c>
      <c r="BI27" s="185">
        <v>0</v>
      </c>
      <c r="BJ27" s="185">
        <v>0</v>
      </c>
      <c r="BK27" s="185">
        <v>0</v>
      </c>
      <c r="BL27" s="181">
        <f t="shared" si="11"/>
        <v>0</v>
      </c>
      <c r="BM27" s="183">
        <v>0</v>
      </c>
      <c r="BN27" s="185">
        <v>0</v>
      </c>
      <c r="BO27" s="185">
        <v>0</v>
      </c>
      <c r="BP27" s="185">
        <v>0</v>
      </c>
      <c r="BQ27" s="181">
        <f t="shared" si="12"/>
        <v>0</v>
      </c>
      <c r="BR27" s="183">
        <f t="shared" si="16"/>
        <v>2035443</v>
      </c>
      <c r="BS27" s="88">
        <f t="shared" si="16"/>
        <v>482649</v>
      </c>
      <c r="BT27" s="185">
        <f t="shared" si="16"/>
        <v>76842</v>
      </c>
      <c r="BU27" s="185">
        <f t="shared" si="16"/>
        <v>20</v>
      </c>
      <c r="BV27" s="183">
        <f t="shared" si="2"/>
        <v>2594954</v>
      </c>
      <c r="BW27" s="148"/>
      <c r="BX27" s="393">
        <f t="shared" si="15"/>
        <v>14.334893350922201</v>
      </c>
    </row>
    <row r="28" spans="1:80" x14ac:dyDescent="0.2">
      <c r="A28" s="388">
        <v>22</v>
      </c>
      <c r="B28" s="359" t="s">
        <v>560</v>
      </c>
      <c r="D28" s="390"/>
      <c r="E28" s="391">
        <v>1018265</v>
      </c>
      <c r="F28" s="88">
        <v>3265</v>
      </c>
      <c r="G28" s="88">
        <v>112287</v>
      </c>
      <c r="H28" s="88">
        <v>24</v>
      </c>
      <c r="I28" s="181">
        <f t="shared" si="0"/>
        <v>1133841</v>
      </c>
      <c r="J28" s="183">
        <v>68601</v>
      </c>
      <c r="K28" s="185">
        <v>302</v>
      </c>
      <c r="L28" s="185">
        <v>934</v>
      </c>
      <c r="M28" s="185">
        <v>0</v>
      </c>
      <c r="N28" s="181">
        <f t="shared" si="14"/>
        <v>69837</v>
      </c>
      <c r="O28" s="185">
        <v>73422</v>
      </c>
      <c r="P28" s="185">
        <v>38</v>
      </c>
      <c r="Q28" s="185">
        <v>623</v>
      </c>
      <c r="R28" s="185">
        <v>24</v>
      </c>
      <c r="S28" s="181">
        <f>SUM(O28:R28)</f>
        <v>74107</v>
      </c>
      <c r="T28" s="183">
        <v>0</v>
      </c>
      <c r="U28" s="185">
        <v>0</v>
      </c>
      <c r="V28" s="185">
        <v>0</v>
      </c>
      <c r="W28" s="185">
        <v>0</v>
      </c>
      <c r="X28" s="181">
        <f t="shared" si="4"/>
        <v>0</v>
      </c>
      <c r="Y28" s="183">
        <v>0</v>
      </c>
      <c r="Z28" s="185">
        <v>0</v>
      </c>
      <c r="AA28" s="185">
        <v>0</v>
      </c>
      <c r="AB28" s="185">
        <v>0</v>
      </c>
      <c r="AC28" s="181">
        <f t="shared" si="5"/>
        <v>0</v>
      </c>
      <c r="AD28" s="183">
        <v>0</v>
      </c>
      <c r="AE28" s="185">
        <v>0</v>
      </c>
      <c r="AF28" s="185">
        <v>0</v>
      </c>
      <c r="AG28" s="185">
        <v>0</v>
      </c>
      <c r="AH28" s="181">
        <f t="shared" si="6"/>
        <v>0</v>
      </c>
      <c r="AI28" s="183">
        <v>0</v>
      </c>
      <c r="AJ28" s="185">
        <v>0</v>
      </c>
      <c r="AK28" s="185">
        <v>0</v>
      </c>
      <c r="AL28" s="185">
        <v>0</v>
      </c>
      <c r="AM28" s="181">
        <f t="shared" si="7"/>
        <v>0</v>
      </c>
      <c r="AN28" s="183">
        <v>0</v>
      </c>
      <c r="AO28" s="185">
        <v>0</v>
      </c>
      <c r="AP28" s="185">
        <v>0</v>
      </c>
      <c r="AQ28" s="185">
        <v>0</v>
      </c>
      <c r="AR28" s="181">
        <f t="shared" si="1"/>
        <v>0</v>
      </c>
      <c r="AS28" s="183">
        <v>0</v>
      </c>
      <c r="AT28" s="185">
        <v>0</v>
      </c>
      <c r="AU28" s="185">
        <v>0</v>
      </c>
      <c r="AV28" s="185">
        <v>0</v>
      </c>
      <c r="AW28" s="181">
        <f t="shared" si="8"/>
        <v>0</v>
      </c>
      <c r="AX28" s="183">
        <v>0</v>
      </c>
      <c r="AY28" s="185">
        <v>0</v>
      </c>
      <c r="AZ28" s="185">
        <v>0</v>
      </c>
      <c r="BA28" s="185">
        <v>0</v>
      </c>
      <c r="BB28" s="181">
        <f t="shared" si="9"/>
        <v>0</v>
      </c>
      <c r="BC28" s="183">
        <v>0</v>
      </c>
      <c r="BD28" s="185">
        <v>0</v>
      </c>
      <c r="BE28" s="185">
        <v>0</v>
      </c>
      <c r="BF28" s="185">
        <v>0</v>
      </c>
      <c r="BG28" s="181">
        <f t="shared" si="10"/>
        <v>0</v>
      </c>
      <c r="BH28" s="183">
        <v>0</v>
      </c>
      <c r="BI28" s="185">
        <v>0</v>
      </c>
      <c r="BJ28" s="185">
        <v>0</v>
      </c>
      <c r="BK28" s="185">
        <v>0</v>
      </c>
      <c r="BL28" s="181">
        <f t="shared" si="11"/>
        <v>0</v>
      </c>
      <c r="BM28" s="183">
        <v>0</v>
      </c>
      <c r="BN28" s="185">
        <v>0</v>
      </c>
      <c r="BO28" s="185">
        <v>0</v>
      </c>
      <c r="BP28" s="185">
        <v>0</v>
      </c>
      <c r="BQ28" s="181">
        <f t="shared" si="12"/>
        <v>0</v>
      </c>
      <c r="BR28" s="183">
        <f t="shared" si="16"/>
        <v>142023</v>
      </c>
      <c r="BS28" s="88">
        <f t="shared" si="16"/>
        <v>340</v>
      </c>
      <c r="BT28" s="185">
        <f t="shared" si="16"/>
        <v>1557</v>
      </c>
      <c r="BU28" s="185">
        <f t="shared" si="16"/>
        <v>24</v>
      </c>
      <c r="BV28" s="183">
        <f t="shared" si="2"/>
        <v>143944</v>
      </c>
      <c r="BW28" s="148"/>
      <c r="BX28" s="393">
        <f t="shared" si="15"/>
        <v>12.695254449256996</v>
      </c>
    </row>
    <row r="29" spans="1:80" x14ac:dyDescent="0.2">
      <c r="A29" s="388">
        <v>23</v>
      </c>
      <c r="B29" s="389" t="s">
        <v>252</v>
      </c>
      <c r="D29" s="390"/>
      <c r="E29" s="391">
        <v>92195281</v>
      </c>
      <c r="F29" s="88">
        <v>1409781</v>
      </c>
      <c r="G29" s="88">
        <v>2477432</v>
      </c>
      <c r="H29" s="88">
        <v>32307</v>
      </c>
      <c r="I29" s="181">
        <f t="shared" si="0"/>
        <v>96114801</v>
      </c>
      <c r="J29" s="183">
        <v>7584822</v>
      </c>
      <c r="K29" s="185">
        <v>126582</v>
      </c>
      <c r="L29" s="185">
        <v>77961</v>
      </c>
      <c r="M29" s="185">
        <v>833</v>
      </c>
      <c r="N29" s="181">
        <f t="shared" si="14"/>
        <v>7790198</v>
      </c>
      <c r="O29" s="185">
        <v>7378437</v>
      </c>
      <c r="P29" s="185">
        <v>109950</v>
      </c>
      <c r="Q29" s="185">
        <v>62539</v>
      </c>
      <c r="R29" s="185">
        <v>1248</v>
      </c>
      <c r="S29" s="181">
        <f>SUM(O29:R29)</f>
        <v>7552174</v>
      </c>
      <c r="T29" s="183">
        <v>0</v>
      </c>
      <c r="U29" s="185">
        <v>0</v>
      </c>
      <c r="V29" s="185">
        <v>0</v>
      </c>
      <c r="W29" s="185">
        <v>0</v>
      </c>
      <c r="X29" s="183">
        <f t="shared" si="4"/>
        <v>0</v>
      </c>
      <c r="Y29" s="183">
        <v>0</v>
      </c>
      <c r="Z29" s="185">
        <v>0</v>
      </c>
      <c r="AA29" s="185">
        <v>0</v>
      </c>
      <c r="AB29" s="185">
        <v>0</v>
      </c>
      <c r="AC29" s="181">
        <f t="shared" si="5"/>
        <v>0</v>
      </c>
      <c r="AD29" s="183">
        <v>0</v>
      </c>
      <c r="AE29" s="185">
        <v>0</v>
      </c>
      <c r="AF29" s="185">
        <v>0</v>
      </c>
      <c r="AG29" s="185">
        <v>0</v>
      </c>
      <c r="AH29" s="181">
        <f t="shared" si="6"/>
        <v>0</v>
      </c>
      <c r="AI29" s="183">
        <v>0</v>
      </c>
      <c r="AJ29" s="185">
        <v>0</v>
      </c>
      <c r="AK29" s="185">
        <v>0</v>
      </c>
      <c r="AL29" s="185">
        <v>0</v>
      </c>
      <c r="AM29" s="181">
        <f t="shared" si="7"/>
        <v>0</v>
      </c>
      <c r="AN29" s="183">
        <v>0</v>
      </c>
      <c r="AO29" s="185">
        <v>0</v>
      </c>
      <c r="AP29" s="185">
        <v>0</v>
      </c>
      <c r="AQ29" s="185">
        <v>0</v>
      </c>
      <c r="AR29" s="181">
        <f t="shared" si="1"/>
        <v>0</v>
      </c>
      <c r="AS29" s="183">
        <v>0</v>
      </c>
      <c r="AT29" s="185">
        <v>0</v>
      </c>
      <c r="AU29" s="185">
        <v>0</v>
      </c>
      <c r="AV29" s="185">
        <v>0</v>
      </c>
      <c r="AW29" s="181">
        <f t="shared" si="8"/>
        <v>0</v>
      </c>
      <c r="AX29" s="183">
        <v>0</v>
      </c>
      <c r="AY29" s="185">
        <v>0</v>
      </c>
      <c r="AZ29" s="185">
        <v>0</v>
      </c>
      <c r="BA29" s="185">
        <v>0</v>
      </c>
      <c r="BB29" s="181">
        <f t="shared" si="9"/>
        <v>0</v>
      </c>
      <c r="BC29" s="183">
        <v>0</v>
      </c>
      <c r="BD29" s="185">
        <v>0</v>
      </c>
      <c r="BE29" s="185">
        <v>0</v>
      </c>
      <c r="BF29" s="185">
        <v>0</v>
      </c>
      <c r="BG29" s="181">
        <f t="shared" si="10"/>
        <v>0</v>
      </c>
      <c r="BH29" s="183">
        <v>0</v>
      </c>
      <c r="BI29" s="185">
        <v>0</v>
      </c>
      <c r="BJ29" s="185">
        <v>0</v>
      </c>
      <c r="BK29" s="185">
        <v>0</v>
      </c>
      <c r="BL29" s="181">
        <f t="shared" si="11"/>
        <v>0</v>
      </c>
      <c r="BM29" s="183">
        <v>0</v>
      </c>
      <c r="BN29" s="185">
        <v>0</v>
      </c>
      <c r="BO29" s="185">
        <v>0</v>
      </c>
      <c r="BP29" s="185">
        <v>0</v>
      </c>
      <c r="BQ29" s="181">
        <f t="shared" si="12"/>
        <v>0</v>
      </c>
      <c r="BR29" s="183">
        <f t="shared" si="16"/>
        <v>14963259</v>
      </c>
      <c r="BS29" s="88">
        <f t="shared" si="16"/>
        <v>236532</v>
      </c>
      <c r="BT29" s="185">
        <f t="shared" si="16"/>
        <v>140500</v>
      </c>
      <c r="BU29" s="185">
        <f t="shared" si="16"/>
        <v>2081</v>
      </c>
      <c r="BV29" s="183">
        <f t="shared" si="2"/>
        <v>15342372</v>
      </c>
      <c r="BW29" s="148"/>
      <c r="BX29" s="393">
        <f t="shared" si="15"/>
        <v>15.962548785800431</v>
      </c>
    </row>
    <row r="30" spans="1:80" x14ac:dyDescent="0.2">
      <c r="A30" s="388">
        <v>24</v>
      </c>
      <c r="B30" s="389" t="s">
        <v>561</v>
      </c>
      <c r="D30" s="390"/>
      <c r="E30" s="391">
        <v>3052359</v>
      </c>
      <c r="F30" s="88">
        <v>4185491</v>
      </c>
      <c r="G30" s="88">
        <v>202307</v>
      </c>
      <c r="H30" s="88">
        <v>2831</v>
      </c>
      <c r="I30" s="181">
        <f t="shared" si="0"/>
        <v>7442988</v>
      </c>
      <c r="J30" s="183">
        <v>309658</v>
      </c>
      <c r="K30" s="185">
        <v>549654</v>
      </c>
      <c r="L30" s="185">
        <v>8219</v>
      </c>
      <c r="M30" s="185">
        <v>0</v>
      </c>
      <c r="N30" s="181">
        <f t="shared" si="14"/>
        <v>867531</v>
      </c>
      <c r="O30" s="185">
        <v>270415</v>
      </c>
      <c r="P30" s="185">
        <v>369038</v>
      </c>
      <c r="Q30" s="185">
        <v>20066</v>
      </c>
      <c r="R30" s="185">
        <v>17</v>
      </c>
      <c r="S30" s="181">
        <f>SUM(O30:R30)</f>
        <v>659536</v>
      </c>
      <c r="T30" s="183">
        <v>0</v>
      </c>
      <c r="U30" s="185">
        <v>0</v>
      </c>
      <c r="V30" s="185">
        <v>0</v>
      </c>
      <c r="W30" s="185">
        <v>0</v>
      </c>
      <c r="X30" s="181">
        <f t="shared" si="4"/>
        <v>0</v>
      </c>
      <c r="Y30" s="183">
        <v>0</v>
      </c>
      <c r="Z30" s="185">
        <v>0</v>
      </c>
      <c r="AA30" s="185">
        <v>0</v>
      </c>
      <c r="AB30" s="185">
        <v>0</v>
      </c>
      <c r="AC30" s="181">
        <f t="shared" si="5"/>
        <v>0</v>
      </c>
      <c r="AD30" s="183">
        <v>0</v>
      </c>
      <c r="AE30" s="185">
        <v>0</v>
      </c>
      <c r="AF30" s="185">
        <v>0</v>
      </c>
      <c r="AG30" s="185">
        <v>0</v>
      </c>
      <c r="AH30" s="181">
        <f t="shared" si="6"/>
        <v>0</v>
      </c>
      <c r="AI30" s="183">
        <v>0</v>
      </c>
      <c r="AJ30" s="185">
        <v>0</v>
      </c>
      <c r="AK30" s="185">
        <v>0</v>
      </c>
      <c r="AL30" s="185">
        <v>0</v>
      </c>
      <c r="AM30" s="181">
        <f t="shared" si="7"/>
        <v>0</v>
      </c>
      <c r="AN30" s="183">
        <v>0</v>
      </c>
      <c r="AO30" s="185">
        <v>0</v>
      </c>
      <c r="AP30" s="185">
        <v>0</v>
      </c>
      <c r="AQ30" s="185">
        <v>0</v>
      </c>
      <c r="AR30" s="181">
        <f t="shared" si="1"/>
        <v>0</v>
      </c>
      <c r="AS30" s="183">
        <v>0</v>
      </c>
      <c r="AT30" s="185">
        <v>0</v>
      </c>
      <c r="AU30" s="185">
        <v>0</v>
      </c>
      <c r="AV30" s="185">
        <v>0</v>
      </c>
      <c r="AW30" s="181">
        <f t="shared" si="8"/>
        <v>0</v>
      </c>
      <c r="AX30" s="183">
        <v>0</v>
      </c>
      <c r="AY30" s="185">
        <v>0</v>
      </c>
      <c r="AZ30" s="185">
        <v>0</v>
      </c>
      <c r="BA30" s="185">
        <v>0</v>
      </c>
      <c r="BB30" s="181">
        <f t="shared" si="9"/>
        <v>0</v>
      </c>
      <c r="BC30" s="183">
        <v>0</v>
      </c>
      <c r="BD30" s="185">
        <v>0</v>
      </c>
      <c r="BE30" s="185">
        <v>0</v>
      </c>
      <c r="BF30" s="185">
        <v>0</v>
      </c>
      <c r="BG30" s="181">
        <f t="shared" si="10"/>
        <v>0</v>
      </c>
      <c r="BH30" s="183">
        <v>0</v>
      </c>
      <c r="BI30" s="185">
        <v>0</v>
      </c>
      <c r="BJ30" s="185">
        <v>0</v>
      </c>
      <c r="BK30" s="185">
        <v>0</v>
      </c>
      <c r="BL30" s="181">
        <f t="shared" si="11"/>
        <v>0</v>
      </c>
      <c r="BM30" s="183">
        <v>0</v>
      </c>
      <c r="BN30" s="185">
        <v>0</v>
      </c>
      <c r="BO30" s="185">
        <v>0</v>
      </c>
      <c r="BP30" s="185">
        <v>0</v>
      </c>
      <c r="BQ30" s="181">
        <f t="shared" si="12"/>
        <v>0</v>
      </c>
      <c r="BR30" s="183">
        <f t="shared" si="16"/>
        <v>580073</v>
      </c>
      <c r="BS30" s="88">
        <f t="shared" si="16"/>
        <v>918692</v>
      </c>
      <c r="BT30" s="185">
        <f t="shared" si="16"/>
        <v>28285</v>
      </c>
      <c r="BU30" s="185">
        <f t="shared" si="16"/>
        <v>17</v>
      </c>
      <c r="BV30" s="183">
        <f t="shared" si="2"/>
        <v>1527067</v>
      </c>
      <c r="BW30" s="148"/>
      <c r="BX30" s="393">
        <f t="shared" si="15"/>
        <v>20.51685425262005</v>
      </c>
    </row>
    <row r="31" spans="1:80" x14ac:dyDescent="0.2">
      <c r="A31" s="388">
        <v>25</v>
      </c>
      <c r="B31" s="389" t="s">
        <v>562</v>
      </c>
      <c r="D31" s="390"/>
      <c r="E31" s="391">
        <v>124746</v>
      </c>
      <c r="F31" s="88">
        <v>840822</v>
      </c>
      <c r="G31" s="88">
        <v>763</v>
      </c>
      <c r="H31" s="88">
        <v>0</v>
      </c>
      <c r="I31" s="181">
        <f t="shared" si="0"/>
        <v>966331</v>
      </c>
      <c r="J31" s="183">
        <v>12577</v>
      </c>
      <c r="K31" s="185">
        <v>160603</v>
      </c>
      <c r="L31" s="185">
        <v>38</v>
      </c>
      <c r="M31" s="185">
        <v>0</v>
      </c>
      <c r="N31" s="181">
        <f t="shared" si="14"/>
        <v>173218</v>
      </c>
      <c r="O31" s="185">
        <v>8990</v>
      </c>
      <c r="P31" s="185">
        <v>72420</v>
      </c>
      <c r="Q31" s="185">
        <v>76</v>
      </c>
      <c r="R31" s="185">
        <v>0</v>
      </c>
      <c r="S31" s="181">
        <f>SUM(O31:R31)</f>
        <v>81486</v>
      </c>
      <c r="T31" s="183">
        <v>0</v>
      </c>
      <c r="U31" s="185">
        <v>0</v>
      </c>
      <c r="V31" s="185">
        <v>0</v>
      </c>
      <c r="W31" s="185">
        <v>0</v>
      </c>
      <c r="X31" s="181">
        <f t="shared" si="4"/>
        <v>0</v>
      </c>
      <c r="Y31" s="183">
        <v>0</v>
      </c>
      <c r="Z31" s="185">
        <v>0</v>
      </c>
      <c r="AA31" s="185">
        <v>0</v>
      </c>
      <c r="AB31" s="185">
        <v>0</v>
      </c>
      <c r="AC31" s="181">
        <f t="shared" si="5"/>
        <v>0</v>
      </c>
      <c r="AD31" s="183">
        <v>0</v>
      </c>
      <c r="AE31" s="185">
        <v>0</v>
      </c>
      <c r="AF31" s="185">
        <v>0</v>
      </c>
      <c r="AG31" s="185">
        <v>0</v>
      </c>
      <c r="AH31" s="181">
        <f t="shared" si="6"/>
        <v>0</v>
      </c>
      <c r="AI31" s="183">
        <v>0</v>
      </c>
      <c r="AJ31" s="185">
        <v>0</v>
      </c>
      <c r="AK31" s="185">
        <v>0</v>
      </c>
      <c r="AL31" s="185">
        <v>0</v>
      </c>
      <c r="AM31" s="181">
        <f t="shared" si="7"/>
        <v>0</v>
      </c>
      <c r="AN31" s="183">
        <v>0</v>
      </c>
      <c r="AO31" s="185">
        <v>0</v>
      </c>
      <c r="AP31" s="185">
        <v>0</v>
      </c>
      <c r="AQ31" s="185">
        <v>0</v>
      </c>
      <c r="AR31" s="181">
        <f t="shared" si="1"/>
        <v>0</v>
      </c>
      <c r="AS31" s="183">
        <v>0</v>
      </c>
      <c r="AT31" s="185">
        <v>0</v>
      </c>
      <c r="AU31" s="185">
        <v>0</v>
      </c>
      <c r="AV31" s="185">
        <v>0</v>
      </c>
      <c r="AW31" s="181">
        <f t="shared" si="8"/>
        <v>0</v>
      </c>
      <c r="AX31" s="183">
        <v>0</v>
      </c>
      <c r="AY31" s="185">
        <v>0</v>
      </c>
      <c r="AZ31" s="185">
        <v>0</v>
      </c>
      <c r="BA31" s="185">
        <v>0</v>
      </c>
      <c r="BB31" s="181">
        <f t="shared" si="9"/>
        <v>0</v>
      </c>
      <c r="BC31" s="183">
        <v>0</v>
      </c>
      <c r="BD31" s="185">
        <v>0</v>
      </c>
      <c r="BE31" s="185">
        <v>0</v>
      </c>
      <c r="BF31" s="185">
        <v>0</v>
      </c>
      <c r="BG31" s="181">
        <f t="shared" si="10"/>
        <v>0</v>
      </c>
      <c r="BH31" s="183">
        <v>0</v>
      </c>
      <c r="BI31" s="185">
        <v>0</v>
      </c>
      <c r="BJ31" s="185">
        <v>0</v>
      </c>
      <c r="BK31" s="185">
        <v>0</v>
      </c>
      <c r="BL31" s="181">
        <f t="shared" si="11"/>
        <v>0</v>
      </c>
      <c r="BM31" s="183">
        <v>0</v>
      </c>
      <c r="BN31" s="185">
        <v>0</v>
      </c>
      <c r="BO31" s="185">
        <v>0</v>
      </c>
      <c r="BP31" s="185">
        <v>0</v>
      </c>
      <c r="BQ31" s="181">
        <f t="shared" si="12"/>
        <v>0</v>
      </c>
      <c r="BR31" s="183">
        <f t="shared" si="16"/>
        <v>21567</v>
      </c>
      <c r="BS31" s="88">
        <f t="shared" si="16"/>
        <v>233023</v>
      </c>
      <c r="BT31" s="185">
        <f t="shared" si="16"/>
        <v>114</v>
      </c>
      <c r="BU31" s="185">
        <f t="shared" si="16"/>
        <v>0</v>
      </c>
      <c r="BV31" s="183">
        <f t="shared" si="2"/>
        <v>254704</v>
      </c>
      <c r="BW31" s="148"/>
      <c r="BX31" s="393">
        <f>(BV31/I31)*100</f>
        <v>26.357842188649645</v>
      </c>
    </row>
    <row r="32" spans="1:80" x14ac:dyDescent="0.2">
      <c r="A32" s="388">
        <v>26</v>
      </c>
      <c r="B32" s="389" t="s">
        <v>563</v>
      </c>
      <c r="D32" s="390"/>
      <c r="E32" s="391">
        <v>614953</v>
      </c>
      <c r="F32" s="88">
        <v>6348643</v>
      </c>
      <c r="G32" s="88">
        <v>2237</v>
      </c>
      <c r="H32" s="88">
        <v>11</v>
      </c>
      <c r="I32" s="181">
        <f t="shared" si="0"/>
        <v>6965844</v>
      </c>
      <c r="J32" s="183">
        <v>34656</v>
      </c>
      <c r="K32" s="185">
        <v>476094</v>
      </c>
      <c r="L32" s="185">
        <v>0</v>
      </c>
      <c r="M32" s="185">
        <v>0</v>
      </c>
      <c r="N32" s="181">
        <f t="shared" si="14"/>
        <v>510750</v>
      </c>
      <c r="O32" s="185">
        <v>41232</v>
      </c>
      <c r="P32" s="185">
        <v>613287</v>
      </c>
      <c r="Q32" s="185">
        <v>495</v>
      </c>
      <c r="R32" s="185">
        <v>0</v>
      </c>
      <c r="S32" s="181">
        <f>SUM(O32:R32)</f>
        <v>655014</v>
      </c>
      <c r="T32" s="183">
        <v>0</v>
      </c>
      <c r="U32" s="185">
        <v>0</v>
      </c>
      <c r="V32" s="185">
        <v>0</v>
      </c>
      <c r="W32" s="185">
        <v>0</v>
      </c>
      <c r="X32" s="181">
        <f t="shared" si="4"/>
        <v>0</v>
      </c>
      <c r="Y32" s="183">
        <v>0</v>
      </c>
      <c r="Z32" s="185">
        <v>0</v>
      </c>
      <c r="AA32" s="185">
        <v>0</v>
      </c>
      <c r="AB32" s="185">
        <v>0</v>
      </c>
      <c r="AC32" s="181">
        <f t="shared" si="5"/>
        <v>0</v>
      </c>
      <c r="AD32" s="183">
        <v>0</v>
      </c>
      <c r="AE32" s="185">
        <v>0</v>
      </c>
      <c r="AF32" s="185">
        <v>0</v>
      </c>
      <c r="AG32" s="185">
        <v>0</v>
      </c>
      <c r="AH32" s="181">
        <f>SUM(AD32:AG32)</f>
        <v>0</v>
      </c>
      <c r="AI32" s="183">
        <v>0</v>
      </c>
      <c r="AJ32" s="185">
        <v>0</v>
      </c>
      <c r="AK32" s="185">
        <v>0</v>
      </c>
      <c r="AL32" s="185">
        <v>0</v>
      </c>
      <c r="AM32" s="181">
        <f t="shared" si="7"/>
        <v>0</v>
      </c>
      <c r="AN32" s="183">
        <v>0</v>
      </c>
      <c r="AO32" s="185">
        <v>0</v>
      </c>
      <c r="AP32" s="185">
        <v>0</v>
      </c>
      <c r="AQ32" s="185">
        <v>0</v>
      </c>
      <c r="AR32" s="181">
        <f t="shared" si="1"/>
        <v>0</v>
      </c>
      <c r="AS32" s="183">
        <v>0</v>
      </c>
      <c r="AT32" s="185">
        <v>0</v>
      </c>
      <c r="AU32" s="185">
        <v>0</v>
      </c>
      <c r="AV32" s="185">
        <v>0</v>
      </c>
      <c r="AW32" s="181">
        <f t="shared" si="8"/>
        <v>0</v>
      </c>
      <c r="AX32" s="183">
        <v>0</v>
      </c>
      <c r="AY32" s="185">
        <v>0</v>
      </c>
      <c r="AZ32" s="185">
        <v>0</v>
      </c>
      <c r="BA32" s="185">
        <v>0</v>
      </c>
      <c r="BB32" s="181">
        <f t="shared" si="9"/>
        <v>0</v>
      </c>
      <c r="BC32" s="183">
        <v>0</v>
      </c>
      <c r="BD32" s="185">
        <v>0</v>
      </c>
      <c r="BE32" s="185">
        <v>0</v>
      </c>
      <c r="BF32" s="185">
        <v>0</v>
      </c>
      <c r="BG32" s="181">
        <f t="shared" si="10"/>
        <v>0</v>
      </c>
      <c r="BH32" s="183">
        <v>0</v>
      </c>
      <c r="BI32" s="185">
        <v>0</v>
      </c>
      <c r="BJ32" s="185">
        <v>0</v>
      </c>
      <c r="BK32" s="185">
        <v>0</v>
      </c>
      <c r="BL32" s="181">
        <f t="shared" si="11"/>
        <v>0</v>
      </c>
      <c r="BM32" s="183">
        <v>0</v>
      </c>
      <c r="BN32" s="185">
        <v>0</v>
      </c>
      <c r="BO32" s="185">
        <v>0</v>
      </c>
      <c r="BP32" s="185">
        <v>0</v>
      </c>
      <c r="BQ32" s="181">
        <f t="shared" si="12"/>
        <v>0</v>
      </c>
      <c r="BR32" s="183">
        <f t="shared" si="16"/>
        <v>75888</v>
      </c>
      <c r="BS32" s="88">
        <f t="shared" si="16"/>
        <v>1089381</v>
      </c>
      <c r="BT32" s="185">
        <f t="shared" si="16"/>
        <v>495</v>
      </c>
      <c r="BU32" s="185">
        <f t="shared" si="16"/>
        <v>0</v>
      </c>
      <c r="BV32" s="183">
        <f t="shared" si="2"/>
        <v>1165764</v>
      </c>
      <c r="BW32" s="148"/>
      <c r="BX32" s="393">
        <f>(BV32/I32)*100</f>
        <v>16.735430767614091</v>
      </c>
    </row>
    <row r="33" spans="1:78" x14ac:dyDescent="0.2">
      <c r="A33" s="388">
        <v>27</v>
      </c>
      <c r="B33" s="91" t="s">
        <v>564</v>
      </c>
      <c r="D33" s="394"/>
      <c r="E33" s="391">
        <v>5055861</v>
      </c>
      <c r="F33" s="88">
        <v>2095798</v>
      </c>
      <c r="G33" s="88">
        <v>205016</v>
      </c>
      <c r="H33" s="88">
        <v>1645</v>
      </c>
      <c r="I33" s="181">
        <f t="shared" si="0"/>
        <v>7358320</v>
      </c>
      <c r="J33" s="183">
        <v>152643</v>
      </c>
      <c r="K33" s="185">
        <v>126597</v>
      </c>
      <c r="L33" s="185">
        <v>69</v>
      </c>
      <c r="M33" s="185">
        <v>0</v>
      </c>
      <c r="N33" s="181">
        <f t="shared" si="14"/>
        <v>279309</v>
      </c>
      <c r="O33" s="185">
        <v>413177</v>
      </c>
      <c r="P33" s="185">
        <v>141813</v>
      </c>
      <c r="Q33" s="185">
        <v>1106</v>
      </c>
      <c r="R33" s="185">
        <v>0</v>
      </c>
      <c r="S33" s="181">
        <f t="shared" ref="S33:S46" si="18">SUM(O33:R33)</f>
        <v>556096</v>
      </c>
      <c r="T33" s="183">
        <v>0</v>
      </c>
      <c r="U33" s="185">
        <v>0</v>
      </c>
      <c r="V33" s="185">
        <v>0</v>
      </c>
      <c r="W33" s="185">
        <v>0</v>
      </c>
      <c r="X33" s="181">
        <f t="shared" si="4"/>
        <v>0</v>
      </c>
      <c r="Y33" s="183">
        <v>0</v>
      </c>
      <c r="Z33" s="185">
        <v>0</v>
      </c>
      <c r="AA33" s="185">
        <v>0</v>
      </c>
      <c r="AB33" s="185">
        <v>0</v>
      </c>
      <c r="AC33" s="181">
        <f t="shared" si="5"/>
        <v>0</v>
      </c>
      <c r="AD33" s="183">
        <v>0</v>
      </c>
      <c r="AE33" s="185">
        <v>0</v>
      </c>
      <c r="AF33" s="185">
        <v>0</v>
      </c>
      <c r="AG33" s="185">
        <v>0</v>
      </c>
      <c r="AH33" s="181">
        <f t="shared" si="6"/>
        <v>0</v>
      </c>
      <c r="AI33" s="183">
        <v>0</v>
      </c>
      <c r="AJ33" s="185">
        <v>0</v>
      </c>
      <c r="AK33" s="185">
        <v>0</v>
      </c>
      <c r="AL33" s="185">
        <v>0</v>
      </c>
      <c r="AM33" s="181">
        <f t="shared" si="7"/>
        <v>0</v>
      </c>
      <c r="AN33" s="183">
        <v>0</v>
      </c>
      <c r="AO33" s="185">
        <v>0</v>
      </c>
      <c r="AP33" s="185">
        <v>0</v>
      </c>
      <c r="AQ33" s="185">
        <v>0</v>
      </c>
      <c r="AR33" s="181">
        <f t="shared" si="1"/>
        <v>0</v>
      </c>
      <c r="AS33" s="183">
        <v>0</v>
      </c>
      <c r="AT33" s="185">
        <v>0</v>
      </c>
      <c r="AU33" s="185">
        <v>0</v>
      </c>
      <c r="AV33" s="185">
        <v>0</v>
      </c>
      <c r="AW33" s="181">
        <f t="shared" si="8"/>
        <v>0</v>
      </c>
      <c r="AX33" s="183">
        <v>0</v>
      </c>
      <c r="AY33" s="185">
        <v>0</v>
      </c>
      <c r="AZ33" s="185">
        <v>0</v>
      </c>
      <c r="BA33" s="185">
        <v>0</v>
      </c>
      <c r="BB33" s="181">
        <f t="shared" si="9"/>
        <v>0</v>
      </c>
      <c r="BC33" s="183">
        <v>0</v>
      </c>
      <c r="BD33" s="185">
        <v>0</v>
      </c>
      <c r="BE33" s="185">
        <v>0</v>
      </c>
      <c r="BF33" s="185">
        <v>0</v>
      </c>
      <c r="BG33" s="181">
        <f t="shared" si="10"/>
        <v>0</v>
      </c>
      <c r="BH33" s="183">
        <v>0</v>
      </c>
      <c r="BI33" s="185">
        <v>0</v>
      </c>
      <c r="BJ33" s="185">
        <v>0</v>
      </c>
      <c r="BK33" s="185">
        <v>0</v>
      </c>
      <c r="BL33" s="181">
        <f t="shared" si="11"/>
        <v>0</v>
      </c>
      <c r="BM33" s="183">
        <v>0</v>
      </c>
      <c r="BN33" s="185">
        <v>0</v>
      </c>
      <c r="BO33" s="185">
        <v>0</v>
      </c>
      <c r="BP33" s="185">
        <v>0</v>
      </c>
      <c r="BQ33" s="181">
        <f t="shared" si="12"/>
        <v>0</v>
      </c>
      <c r="BR33" s="183">
        <f t="shared" si="16"/>
        <v>565820</v>
      </c>
      <c r="BS33" s="88">
        <f t="shared" si="16"/>
        <v>268410</v>
      </c>
      <c r="BT33" s="185">
        <f t="shared" si="16"/>
        <v>1175</v>
      </c>
      <c r="BU33" s="185">
        <f t="shared" si="16"/>
        <v>0</v>
      </c>
      <c r="BV33" s="183">
        <f t="shared" si="2"/>
        <v>835405</v>
      </c>
      <c r="BW33" s="148"/>
      <c r="BX33" s="393">
        <f t="shared" si="15"/>
        <v>11.353202905010926</v>
      </c>
    </row>
    <row r="34" spans="1:78" x14ac:dyDescent="0.2">
      <c r="A34" s="388">
        <v>28</v>
      </c>
      <c r="B34" s="91" t="s">
        <v>565</v>
      </c>
      <c r="D34" s="390"/>
      <c r="E34" s="391">
        <v>1828299</v>
      </c>
      <c r="F34" s="88">
        <v>1338301</v>
      </c>
      <c r="G34" s="88">
        <v>43295</v>
      </c>
      <c r="H34" s="88">
        <v>1116</v>
      </c>
      <c r="I34" s="181">
        <f t="shared" si="0"/>
        <v>3211011</v>
      </c>
      <c r="J34" s="183">
        <v>125523</v>
      </c>
      <c r="K34" s="185">
        <v>292413</v>
      </c>
      <c r="L34" s="185">
        <v>628</v>
      </c>
      <c r="M34" s="185">
        <v>1</v>
      </c>
      <c r="N34" s="181">
        <f t="shared" si="14"/>
        <v>418565</v>
      </c>
      <c r="O34" s="185">
        <v>149186</v>
      </c>
      <c r="P34" s="185">
        <v>2085</v>
      </c>
      <c r="Q34" s="185">
        <v>2847</v>
      </c>
      <c r="R34" s="185">
        <v>60</v>
      </c>
      <c r="S34" s="181">
        <f t="shared" si="18"/>
        <v>154178</v>
      </c>
      <c r="T34" s="183">
        <v>0</v>
      </c>
      <c r="U34" s="185">
        <v>0</v>
      </c>
      <c r="V34" s="185">
        <v>0</v>
      </c>
      <c r="W34" s="185">
        <v>0</v>
      </c>
      <c r="X34" s="181">
        <f t="shared" si="4"/>
        <v>0</v>
      </c>
      <c r="Y34" s="183">
        <v>0</v>
      </c>
      <c r="Z34" s="185">
        <v>0</v>
      </c>
      <c r="AA34" s="185">
        <v>0</v>
      </c>
      <c r="AB34" s="185">
        <v>0</v>
      </c>
      <c r="AC34" s="181">
        <f t="shared" si="5"/>
        <v>0</v>
      </c>
      <c r="AD34" s="183">
        <v>0</v>
      </c>
      <c r="AE34" s="185">
        <v>0</v>
      </c>
      <c r="AF34" s="185">
        <v>0</v>
      </c>
      <c r="AG34" s="185">
        <v>0</v>
      </c>
      <c r="AH34" s="181">
        <f t="shared" si="6"/>
        <v>0</v>
      </c>
      <c r="AI34" s="183">
        <v>0</v>
      </c>
      <c r="AJ34" s="185">
        <v>0</v>
      </c>
      <c r="AK34" s="185">
        <v>0</v>
      </c>
      <c r="AL34" s="185">
        <v>0</v>
      </c>
      <c r="AM34" s="181">
        <f t="shared" si="7"/>
        <v>0</v>
      </c>
      <c r="AN34" s="183">
        <v>0</v>
      </c>
      <c r="AO34" s="185">
        <v>0</v>
      </c>
      <c r="AP34" s="185">
        <v>0</v>
      </c>
      <c r="AQ34" s="185">
        <v>0</v>
      </c>
      <c r="AR34" s="181">
        <f t="shared" si="1"/>
        <v>0</v>
      </c>
      <c r="AS34" s="183">
        <v>0</v>
      </c>
      <c r="AT34" s="185">
        <v>0</v>
      </c>
      <c r="AU34" s="185">
        <v>0</v>
      </c>
      <c r="AV34" s="185">
        <v>0</v>
      </c>
      <c r="AW34" s="181">
        <f t="shared" si="8"/>
        <v>0</v>
      </c>
      <c r="AX34" s="183">
        <v>0</v>
      </c>
      <c r="AY34" s="185">
        <v>0</v>
      </c>
      <c r="AZ34" s="185">
        <v>0</v>
      </c>
      <c r="BA34" s="185">
        <v>0</v>
      </c>
      <c r="BB34" s="181">
        <f t="shared" si="9"/>
        <v>0</v>
      </c>
      <c r="BC34" s="183">
        <v>0</v>
      </c>
      <c r="BD34" s="185">
        <v>0</v>
      </c>
      <c r="BE34" s="185">
        <v>0</v>
      </c>
      <c r="BF34" s="185">
        <v>0</v>
      </c>
      <c r="BG34" s="181">
        <f t="shared" si="10"/>
        <v>0</v>
      </c>
      <c r="BH34" s="183">
        <v>0</v>
      </c>
      <c r="BI34" s="185">
        <v>0</v>
      </c>
      <c r="BJ34" s="185">
        <v>0</v>
      </c>
      <c r="BK34" s="185">
        <v>0</v>
      </c>
      <c r="BL34" s="181">
        <f t="shared" si="11"/>
        <v>0</v>
      </c>
      <c r="BM34" s="183">
        <v>0</v>
      </c>
      <c r="BN34" s="185">
        <v>0</v>
      </c>
      <c r="BO34" s="185">
        <v>0</v>
      </c>
      <c r="BP34" s="185">
        <v>0</v>
      </c>
      <c r="BQ34" s="181">
        <f t="shared" si="12"/>
        <v>0</v>
      </c>
      <c r="BR34" s="183">
        <f t="shared" si="16"/>
        <v>274709</v>
      </c>
      <c r="BS34" s="88">
        <f t="shared" si="16"/>
        <v>294498</v>
      </c>
      <c r="BT34" s="185">
        <f t="shared" si="16"/>
        <v>3475</v>
      </c>
      <c r="BU34" s="185">
        <f t="shared" si="16"/>
        <v>61</v>
      </c>
      <c r="BV34" s="183">
        <f t="shared" si="2"/>
        <v>572743</v>
      </c>
      <c r="BW34" s="148"/>
      <c r="BX34" s="393">
        <f t="shared" si="15"/>
        <v>17.836843287051959</v>
      </c>
    </row>
    <row r="35" spans="1:78" x14ac:dyDescent="0.2">
      <c r="A35" s="388">
        <v>29</v>
      </c>
      <c r="B35" s="389" t="s">
        <v>566</v>
      </c>
      <c r="D35" s="390"/>
      <c r="E35" s="391">
        <v>937374</v>
      </c>
      <c r="F35" s="88">
        <v>1048650</v>
      </c>
      <c r="G35" s="88">
        <v>2196</v>
      </c>
      <c r="H35" s="88">
        <v>73</v>
      </c>
      <c r="I35" s="181">
        <f t="shared" si="0"/>
        <v>1988293</v>
      </c>
      <c r="J35" s="183">
        <v>91734</v>
      </c>
      <c r="K35" s="185">
        <v>200010</v>
      </c>
      <c r="L35" s="185">
        <v>133</v>
      </c>
      <c r="M35" s="185">
        <v>0</v>
      </c>
      <c r="N35" s="181">
        <f t="shared" si="14"/>
        <v>291877</v>
      </c>
      <c r="O35" s="185">
        <v>71355</v>
      </c>
      <c r="P35" s="185">
        <v>76379</v>
      </c>
      <c r="Q35" s="185">
        <v>569</v>
      </c>
      <c r="R35" s="185">
        <v>0</v>
      </c>
      <c r="S35" s="181">
        <f t="shared" si="18"/>
        <v>148303</v>
      </c>
      <c r="T35" s="183">
        <v>0</v>
      </c>
      <c r="U35" s="185">
        <v>0</v>
      </c>
      <c r="V35" s="185">
        <v>0</v>
      </c>
      <c r="W35" s="185">
        <v>0</v>
      </c>
      <c r="X35" s="181">
        <f t="shared" si="4"/>
        <v>0</v>
      </c>
      <c r="Y35" s="183">
        <v>0</v>
      </c>
      <c r="Z35" s="185">
        <v>0</v>
      </c>
      <c r="AA35" s="185">
        <v>0</v>
      </c>
      <c r="AB35" s="185">
        <v>0</v>
      </c>
      <c r="AC35" s="181">
        <f t="shared" si="5"/>
        <v>0</v>
      </c>
      <c r="AD35" s="183">
        <v>0</v>
      </c>
      <c r="AE35" s="185">
        <v>0</v>
      </c>
      <c r="AF35" s="185">
        <v>0</v>
      </c>
      <c r="AG35" s="185">
        <v>0</v>
      </c>
      <c r="AH35" s="181">
        <f t="shared" si="6"/>
        <v>0</v>
      </c>
      <c r="AI35" s="183">
        <v>0</v>
      </c>
      <c r="AJ35" s="185">
        <v>0</v>
      </c>
      <c r="AK35" s="185">
        <v>0</v>
      </c>
      <c r="AL35" s="185">
        <v>0</v>
      </c>
      <c r="AM35" s="181">
        <f t="shared" si="7"/>
        <v>0</v>
      </c>
      <c r="AN35" s="183">
        <v>0</v>
      </c>
      <c r="AO35" s="185">
        <v>0</v>
      </c>
      <c r="AP35" s="185">
        <v>0</v>
      </c>
      <c r="AQ35" s="185">
        <v>0</v>
      </c>
      <c r="AR35" s="181">
        <f t="shared" si="1"/>
        <v>0</v>
      </c>
      <c r="AS35" s="183">
        <v>0</v>
      </c>
      <c r="AT35" s="185">
        <v>0</v>
      </c>
      <c r="AU35" s="185">
        <v>0</v>
      </c>
      <c r="AV35" s="185">
        <v>0</v>
      </c>
      <c r="AW35" s="181">
        <f t="shared" si="8"/>
        <v>0</v>
      </c>
      <c r="AX35" s="183">
        <v>0</v>
      </c>
      <c r="AY35" s="185">
        <v>0</v>
      </c>
      <c r="AZ35" s="185">
        <v>0</v>
      </c>
      <c r="BA35" s="185">
        <v>0</v>
      </c>
      <c r="BB35" s="181">
        <f t="shared" si="9"/>
        <v>0</v>
      </c>
      <c r="BC35" s="183">
        <v>0</v>
      </c>
      <c r="BD35" s="185">
        <v>0</v>
      </c>
      <c r="BE35" s="185">
        <v>0</v>
      </c>
      <c r="BF35" s="185">
        <v>0</v>
      </c>
      <c r="BG35" s="181">
        <f t="shared" si="10"/>
        <v>0</v>
      </c>
      <c r="BH35" s="183">
        <v>0</v>
      </c>
      <c r="BI35" s="185">
        <v>0</v>
      </c>
      <c r="BJ35" s="185">
        <v>0</v>
      </c>
      <c r="BK35" s="185">
        <v>0</v>
      </c>
      <c r="BL35" s="181">
        <f t="shared" si="11"/>
        <v>0</v>
      </c>
      <c r="BM35" s="183">
        <v>0</v>
      </c>
      <c r="BN35" s="185">
        <v>0</v>
      </c>
      <c r="BO35" s="185">
        <v>0</v>
      </c>
      <c r="BP35" s="185">
        <v>0</v>
      </c>
      <c r="BQ35" s="181">
        <f t="shared" si="12"/>
        <v>0</v>
      </c>
      <c r="BR35" s="183">
        <f t="shared" si="16"/>
        <v>163089</v>
      </c>
      <c r="BS35" s="88">
        <f t="shared" si="16"/>
        <v>276389</v>
      </c>
      <c r="BT35" s="185">
        <f t="shared" si="16"/>
        <v>702</v>
      </c>
      <c r="BU35" s="185">
        <f t="shared" si="16"/>
        <v>0</v>
      </c>
      <c r="BV35" s="183">
        <f t="shared" si="2"/>
        <v>440180</v>
      </c>
      <c r="BW35" s="148"/>
      <c r="BX35" s="393">
        <f t="shared" si="15"/>
        <v>22.138588226181959</v>
      </c>
      <c r="BY35" s="358"/>
      <c r="BZ35" s="358"/>
    </row>
    <row r="36" spans="1:78" x14ac:dyDescent="0.2">
      <c r="A36" s="388">
        <v>30</v>
      </c>
      <c r="B36" s="389" t="s">
        <v>567</v>
      </c>
      <c r="D36" s="390"/>
      <c r="E36" s="391">
        <v>530883</v>
      </c>
      <c r="F36" s="88">
        <v>7513930</v>
      </c>
      <c r="G36" s="88">
        <v>7542</v>
      </c>
      <c r="H36" s="88">
        <v>90</v>
      </c>
      <c r="I36" s="181">
        <f t="shared" si="0"/>
        <v>8052445</v>
      </c>
      <c r="J36" s="183">
        <v>34532</v>
      </c>
      <c r="K36" s="185">
        <v>842756</v>
      </c>
      <c r="L36" s="185">
        <v>3</v>
      </c>
      <c r="M36" s="185">
        <v>0</v>
      </c>
      <c r="N36" s="181">
        <f t="shared" si="14"/>
        <v>877291</v>
      </c>
      <c r="O36" s="185">
        <v>36142</v>
      </c>
      <c r="P36" s="185">
        <v>30668</v>
      </c>
      <c r="Q36" s="185">
        <v>373</v>
      </c>
      <c r="R36" s="185">
        <v>0</v>
      </c>
      <c r="S36" s="181">
        <f t="shared" si="18"/>
        <v>67183</v>
      </c>
      <c r="T36" s="183">
        <v>0</v>
      </c>
      <c r="U36" s="185">
        <v>0</v>
      </c>
      <c r="V36" s="185">
        <v>0</v>
      </c>
      <c r="W36" s="185">
        <v>0</v>
      </c>
      <c r="X36" s="181">
        <f t="shared" si="4"/>
        <v>0</v>
      </c>
      <c r="Y36" s="183">
        <v>0</v>
      </c>
      <c r="Z36" s="185">
        <v>0</v>
      </c>
      <c r="AA36" s="185">
        <v>0</v>
      </c>
      <c r="AB36" s="185">
        <v>0</v>
      </c>
      <c r="AC36" s="181">
        <f t="shared" si="5"/>
        <v>0</v>
      </c>
      <c r="AD36" s="183">
        <v>0</v>
      </c>
      <c r="AE36" s="185">
        <v>0</v>
      </c>
      <c r="AF36" s="185">
        <v>0</v>
      </c>
      <c r="AG36" s="185">
        <v>0</v>
      </c>
      <c r="AH36" s="181">
        <f>SUM(AD36:AG36)</f>
        <v>0</v>
      </c>
      <c r="AI36" s="183">
        <v>0</v>
      </c>
      <c r="AJ36" s="185">
        <v>0</v>
      </c>
      <c r="AK36" s="185">
        <v>0</v>
      </c>
      <c r="AL36" s="185">
        <v>0</v>
      </c>
      <c r="AM36" s="181">
        <f t="shared" si="7"/>
        <v>0</v>
      </c>
      <c r="AN36" s="183">
        <v>0</v>
      </c>
      <c r="AO36" s="185">
        <v>0</v>
      </c>
      <c r="AP36" s="185">
        <v>0</v>
      </c>
      <c r="AQ36" s="185">
        <v>0</v>
      </c>
      <c r="AR36" s="181">
        <f t="shared" si="1"/>
        <v>0</v>
      </c>
      <c r="AS36" s="183">
        <v>0</v>
      </c>
      <c r="AT36" s="185">
        <v>0</v>
      </c>
      <c r="AU36" s="185">
        <v>0</v>
      </c>
      <c r="AV36" s="185">
        <v>0</v>
      </c>
      <c r="AW36" s="181">
        <f t="shared" si="8"/>
        <v>0</v>
      </c>
      <c r="AX36" s="183">
        <v>0</v>
      </c>
      <c r="AY36" s="185">
        <v>0</v>
      </c>
      <c r="AZ36" s="185">
        <v>0</v>
      </c>
      <c r="BA36" s="185">
        <v>0</v>
      </c>
      <c r="BB36" s="181">
        <f t="shared" si="9"/>
        <v>0</v>
      </c>
      <c r="BC36" s="183">
        <v>0</v>
      </c>
      <c r="BD36" s="185">
        <v>0</v>
      </c>
      <c r="BE36" s="185">
        <v>0</v>
      </c>
      <c r="BF36" s="185">
        <v>0</v>
      </c>
      <c r="BG36" s="181">
        <f t="shared" si="10"/>
        <v>0</v>
      </c>
      <c r="BH36" s="183">
        <v>0</v>
      </c>
      <c r="BI36" s="185">
        <v>0</v>
      </c>
      <c r="BJ36" s="185">
        <v>0</v>
      </c>
      <c r="BK36" s="185">
        <v>0</v>
      </c>
      <c r="BL36" s="181">
        <f t="shared" si="11"/>
        <v>0</v>
      </c>
      <c r="BM36" s="183">
        <v>0</v>
      </c>
      <c r="BN36" s="185">
        <v>0</v>
      </c>
      <c r="BO36" s="185">
        <v>0</v>
      </c>
      <c r="BP36" s="185">
        <v>0</v>
      </c>
      <c r="BQ36" s="181">
        <f t="shared" si="12"/>
        <v>0</v>
      </c>
      <c r="BR36" s="183">
        <f t="shared" si="16"/>
        <v>70674</v>
      </c>
      <c r="BS36" s="88">
        <f t="shared" si="16"/>
        <v>873424</v>
      </c>
      <c r="BT36" s="185">
        <f t="shared" si="16"/>
        <v>376</v>
      </c>
      <c r="BU36" s="185">
        <f t="shared" si="16"/>
        <v>0</v>
      </c>
      <c r="BV36" s="183">
        <f t="shared" si="2"/>
        <v>944474</v>
      </c>
      <c r="BW36" s="148"/>
      <c r="BX36" s="393">
        <f t="shared" si="15"/>
        <v>11.729033852451026</v>
      </c>
      <c r="BY36" s="358"/>
      <c r="BZ36" s="185"/>
    </row>
    <row r="37" spans="1:78" x14ac:dyDescent="0.2">
      <c r="A37" s="388">
        <v>31</v>
      </c>
      <c r="B37" s="359" t="s">
        <v>260</v>
      </c>
      <c r="D37" s="401"/>
      <c r="E37" s="391">
        <v>198837</v>
      </c>
      <c r="F37" s="88">
        <v>2016773</v>
      </c>
      <c r="G37" s="88">
        <v>4231</v>
      </c>
      <c r="H37" s="88">
        <v>0</v>
      </c>
      <c r="I37" s="181">
        <f t="shared" si="0"/>
        <v>2219841</v>
      </c>
      <c r="J37" s="183">
        <v>15388</v>
      </c>
      <c r="K37" s="185">
        <v>13938</v>
      </c>
      <c r="L37" s="185">
        <v>72</v>
      </c>
      <c r="M37" s="185">
        <v>0</v>
      </c>
      <c r="N37" s="181">
        <f t="shared" si="14"/>
        <v>29398</v>
      </c>
      <c r="O37" s="185">
        <v>16666</v>
      </c>
      <c r="P37" s="185">
        <v>219455</v>
      </c>
      <c r="Q37" s="185">
        <v>307</v>
      </c>
      <c r="R37" s="185">
        <v>0</v>
      </c>
      <c r="S37" s="181">
        <f t="shared" si="18"/>
        <v>236428</v>
      </c>
      <c r="T37" s="183">
        <v>0</v>
      </c>
      <c r="U37" s="185">
        <v>0</v>
      </c>
      <c r="V37" s="185">
        <v>0</v>
      </c>
      <c r="W37" s="185">
        <v>0</v>
      </c>
      <c r="X37" s="181">
        <f t="shared" si="4"/>
        <v>0</v>
      </c>
      <c r="Y37" s="183">
        <v>0</v>
      </c>
      <c r="Z37" s="185">
        <v>0</v>
      </c>
      <c r="AA37" s="185">
        <v>0</v>
      </c>
      <c r="AB37" s="185">
        <v>0</v>
      </c>
      <c r="AC37" s="181">
        <f t="shared" si="5"/>
        <v>0</v>
      </c>
      <c r="AD37" s="183">
        <v>0</v>
      </c>
      <c r="AE37" s="185">
        <v>0</v>
      </c>
      <c r="AF37" s="185">
        <v>0</v>
      </c>
      <c r="AG37" s="185">
        <v>0</v>
      </c>
      <c r="AH37" s="181">
        <f t="shared" si="6"/>
        <v>0</v>
      </c>
      <c r="AI37" s="183">
        <v>0</v>
      </c>
      <c r="AJ37" s="185">
        <v>0</v>
      </c>
      <c r="AK37" s="185">
        <v>0</v>
      </c>
      <c r="AL37" s="185">
        <v>0</v>
      </c>
      <c r="AM37" s="181">
        <f t="shared" si="7"/>
        <v>0</v>
      </c>
      <c r="AN37" s="183">
        <v>0</v>
      </c>
      <c r="AO37" s="185">
        <v>0</v>
      </c>
      <c r="AP37" s="185">
        <v>0</v>
      </c>
      <c r="AQ37" s="185">
        <v>0</v>
      </c>
      <c r="AR37" s="181">
        <f t="shared" si="1"/>
        <v>0</v>
      </c>
      <c r="AS37" s="183">
        <v>0</v>
      </c>
      <c r="AT37" s="185">
        <v>0</v>
      </c>
      <c r="AU37" s="185">
        <v>0</v>
      </c>
      <c r="AV37" s="185">
        <v>0</v>
      </c>
      <c r="AW37" s="181">
        <f t="shared" si="8"/>
        <v>0</v>
      </c>
      <c r="AX37" s="183">
        <v>0</v>
      </c>
      <c r="AY37" s="185">
        <v>0</v>
      </c>
      <c r="AZ37" s="185">
        <v>0</v>
      </c>
      <c r="BA37" s="185">
        <v>0</v>
      </c>
      <c r="BB37" s="181">
        <f t="shared" si="9"/>
        <v>0</v>
      </c>
      <c r="BC37" s="183">
        <v>0</v>
      </c>
      <c r="BD37" s="185">
        <v>0</v>
      </c>
      <c r="BE37" s="185">
        <v>0</v>
      </c>
      <c r="BF37" s="185">
        <v>0</v>
      </c>
      <c r="BG37" s="181">
        <f t="shared" si="10"/>
        <v>0</v>
      </c>
      <c r="BH37" s="183">
        <v>0</v>
      </c>
      <c r="BI37" s="185">
        <v>0</v>
      </c>
      <c r="BJ37" s="185">
        <v>0</v>
      </c>
      <c r="BK37" s="185">
        <v>0</v>
      </c>
      <c r="BL37" s="181">
        <f t="shared" si="11"/>
        <v>0</v>
      </c>
      <c r="BM37" s="183">
        <v>0</v>
      </c>
      <c r="BN37" s="185">
        <v>0</v>
      </c>
      <c r="BO37" s="185">
        <v>0</v>
      </c>
      <c r="BP37" s="185">
        <v>0</v>
      </c>
      <c r="BQ37" s="181">
        <f t="shared" si="12"/>
        <v>0</v>
      </c>
      <c r="BR37" s="183">
        <f t="shared" si="16"/>
        <v>32054</v>
      </c>
      <c r="BS37" s="88">
        <f t="shared" si="16"/>
        <v>233393</v>
      </c>
      <c r="BT37" s="185">
        <f t="shared" si="16"/>
        <v>379</v>
      </c>
      <c r="BU37" s="185">
        <f t="shared" si="16"/>
        <v>0</v>
      </c>
      <c r="BV37" s="183">
        <f t="shared" si="2"/>
        <v>265826</v>
      </c>
      <c r="BW37" s="148"/>
      <c r="BX37" s="393">
        <f t="shared" si="15"/>
        <v>11.975001813192927</v>
      </c>
      <c r="BY37" s="358"/>
      <c r="BZ37" s="185"/>
    </row>
    <row r="38" spans="1:78" x14ac:dyDescent="0.2">
      <c r="A38" s="388">
        <v>32</v>
      </c>
      <c r="B38" s="359" t="s">
        <v>568</v>
      </c>
      <c r="D38" s="390"/>
      <c r="E38" s="391">
        <v>552413</v>
      </c>
      <c r="F38" s="88">
        <v>1052673</v>
      </c>
      <c r="G38" s="88">
        <v>6883</v>
      </c>
      <c r="H38" s="88">
        <v>1</v>
      </c>
      <c r="I38" s="181">
        <f t="shared" si="0"/>
        <v>1611970</v>
      </c>
      <c r="J38" s="183">
        <v>27245</v>
      </c>
      <c r="K38" s="185">
        <v>218820</v>
      </c>
      <c r="L38" s="185">
        <v>944</v>
      </c>
      <c r="M38" s="185">
        <v>0</v>
      </c>
      <c r="N38" s="181">
        <f t="shared" si="14"/>
        <v>247009</v>
      </c>
      <c r="O38" s="185">
        <v>32341</v>
      </c>
      <c r="P38" s="185">
        <v>112743</v>
      </c>
      <c r="Q38" s="185">
        <v>204</v>
      </c>
      <c r="R38" s="185">
        <v>0</v>
      </c>
      <c r="S38" s="181">
        <f t="shared" si="18"/>
        <v>145288</v>
      </c>
      <c r="T38" s="183">
        <v>0</v>
      </c>
      <c r="U38" s="185">
        <v>0</v>
      </c>
      <c r="V38" s="185">
        <v>0</v>
      </c>
      <c r="W38" s="185">
        <v>0</v>
      </c>
      <c r="X38" s="181">
        <f t="shared" si="4"/>
        <v>0</v>
      </c>
      <c r="Y38" s="183">
        <v>0</v>
      </c>
      <c r="Z38" s="185">
        <v>0</v>
      </c>
      <c r="AA38" s="185">
        <v>0</v>
      </c>
      <c r="AB38" s="185">
        <v>0</v>
      </c>
      <c r="AC38" s="181">
        <f t="shared" si="5"/>
        <v>0</v>
      </c>
      <c r="AD38" s="183">
        <v>0</v>
      </c>
      <c r="AE38" s="185">
        <v>0</v>
      </c>
      <c r="AF38" s="185">
        <v>0</v>
      </c>
      <c r="AG38" s="185">
        <v>0</v>
      </c>
      <c r="AH38" s="181">
        <f t="shared" si="6"/>
        <v>0</v>
      </c>
      <c r="AI38" s="183">
        <v>0</v>
      </c>
      <c r="AJ38" s="185">
        <v>0</v>
      </c>
      <c r="AK38" s="185">
        <v>0</v>
      </c>
      <c r="AL38" s="185">
        <v>0</v>
      </c>
      <c r="AM38" s="181">
        <f t="shared" si="7"/>
        <v>0</v>
      </c>
      <c r="AN38" s="183">
        <v>0</v>
      </c>
      <c r="AO38" s="185">
        <v>0</v>
      </c>
      <c r="AP38" s="185">
        <v>0</v>
      </c>
      <c r="AQ38" s="185">
        <v>0</v>
      </c>
      <c r="AR38" s="181">
        <f t="shared" si="1"/>
        <v>0</v>
      </c>
      <c r="AS38" s="183">
        <v>0</v>
      </c>
      <c r="AT38" s="185">
        <v>0</v>
      </c>
      <c r="AU38" s="185">
        <v>0</v>
      </c>
      <c r="AV38" s="185">
        <v>0</v>
      </c>
      <c r="AW38" s="181">
        <f t="shared" si="8"/>
        <v>0</v>
      </c>
      <c r="AX38" s="183">
        <v>0</v>
      </c>
      <c r="AY38" s="185">
        <v>0</v>
      </c>
      <c r="AZ38" s="185">
        <v>0</v>
      </c>
      <c r="BA38" s="185">
        <v>0</v>
      </c>
      <c r="BB38" s="181">
        <f t="shared" si="9"/>
        <v>0</v>
      </c>
      <c r="BC38" s="183">
        <v>0</v>
      </c>
      <c r="BD38" s="185">
        <v>0</v>
      </c>
      <c r="BE38" s="185">
        <v>0</v>
      </c>
      <c r="BF38" s="185">
        <v>0</v>
      </c>
      <c r="BG38" s="181">
        <f t="shared" si="10"/>
        <v>0</v>
      </c>
      <c r="BH38" s="183">
        <v>0</v>
      </c>
      <c r="BI38" s="185">
        <v>0</v>
      </c>
      <c r="BJ38" s="185">
        <v>0</v>
      </c>
      <c r="BK38" s="185">
        <v>0</v>
      </c>
      <c r="BL38" s="181">
        <f t="shared" si="11"/>
        <v>0</v>
      </c>
      <c r="BM38" s="183">
        <v>0</v>
      </c>
      <c r="BN38" s="185">
        <v>0</v>
      </c>
      <c r="BO38" s="185">
        <v>0</v>
      </c>
      <c r="BP38" s="185">
        <v>0</v>
      </c>
      <c r="BQ38" s="181">
        <f t="shared" si="12"/>
        <v>0</v>
      </c>
      <c r="BR38" s="183">
        <f t="shared" si="16"/>
        <v>59586</v>
      </c>
      <c r="BS38" s="88">
        <f t="shared" si="16"/>
        <v>331563</v>
      </c>
      <c r="BT38" s="185">
        <f t="shared" si="16"/>
        <v>1148</v>
      </c>
      <c r="BU38" s="185">
        <f t="shared" si="16"/>
        <v>0</v>
      </c>
      <c r="BV38" s="183">
        <f t="shared" si="2"/>
        <v>392297</v>
      </c>
      <c r="BW38" s="148"/>
      <c r="BX38" s="393">
        <f>(BV38/I38)*100</f>
        <v>24.336495096062581</v>
      </c>
      <c r="BY38" s="358"/>
      <c r="BZ38" s="185"/>
    </row>
    <row r="39" spans="1:78" x14ac:dyDescent="0.2">
      <c r="A39" s="388">
        <v>33</v>
      </c>
      <c r="B39" s="389" t="s">
        <v>262</v>
      </c>
      <c r="D39" s="390"/>
      <c r="E39" s="391">
        <v>864750</v>
      </c>
      <c r="F39" s="88">
        <v>1499200</v>
      </c>
      <c r="G39" s="88">
        <v>20003</v>
      </c>
      <c r="H39" s="88">
        <v>264</v>
      </c>
      <c r="I39" s="181">
        <f t="shared" si="0"/>
        <v>2384217</v>
      </c>
      <c r="J39" s="183">
        <v>44361</v>
      </c>
      <c r="K39" s="185">
        <v>996606</v>
      </c>
      <c r="L39" s="185">
        <v>406</v>
      </c>
      <c r="M39" s="185">
        <v>7</v>
      </c>
      <c r="N39" s="181">
        <f>SUM(J39:M39)</f>
        <v>1041380</v>
      </c>
      <c r="O39" s="185">
        <v>64944</v>
      </c>
      <c r="P39" s="185">
        <v>14664</v>
      </c>
      <c r="Q39" s="185">
        <v>5626</v>
      </c>
      <c r="R39" s="185">
        <v>0</v>
      </c>
      <c r="S39" s="181">
        <f>SUM(O39:R39)</f>
        <v>85234</v>
      </c>
      <c r="T39" s="183">
        <v>0</v>
      </c>
      <c r="U39" s="185">
        <v>0</v>
      </c>
      <c r="V39" s="185">
        <v>0</v>
      </c>
      <c r="W39" s="185">
        <v>0</v>
      </c>
      <c r="X39" s="181">
        <f t="shared" si="4"/>
        <v>0</v>
      </c>
      <c r="Y39" s="183">
        <v>0</v>
      </c>
      <c r="Z39" s="185">
        <v>0</v>
      </c>
      <c r="AA39" s="185">
        <v>0</v>
      </c>
      <c r="AB39" s="185">
        <v>0</v>
      </c>
      <c r="AC39" s="181">
        <f t="shared" si="5"/>
        <v>0</v>
      </c>
      <c r="AD39" s="183">
        <v>0</v>
      </c>
      <c r="AE39" s="185">
        <v>0</v>
      </c>
      <c r="AF39" s="185">
        <v>0</v>
      </c>
      <c r="AG39" s="185">
        <v>0</v>
      </c>
      <c r="AH39" s="181">
        <f>SUM(AD39:AG39)</f>
        <v>0</v>
      </c>
      <c r="AI39" s="183">
        <v>0</v>
      </c>
      <c r="AJ39" s="185">
        <v>0</v>
      </c>
      <c r="AK39" s="185">
        <v>0</v>
      </c>
      <c r="AL39" s="185">
        <v>0</v>
      </c>
      <c r="AM39" s="181">
        <f t="shared" si="7"/>
        <v>0</v>
      </c>
      <c r="AN39" s="183">
        <v>0</v>
      </c>
      <c r="AO39" s="185">
        <v>0</v>
      </c>
      <c r="AP39" s="185">
        <v>0</v>
      </c>
      <c r="AQ39" s="185">
        <v>0</v>
      </c>
      <c r="AR39" s="181">
        <f t="shared" si="1"/>
        <v>0</v>
      </c>
      <c r="AS39" s="183">
        <v>0</v>
      </c>
      <c r="AT39" s="185">
        <v>0</v>
      </c>
      <c r="AU39" s="185">
        <v>0</v>
      </c>
      <c r="AV39" s="185">
        <v>0</v>
      </c>
      <c r="AW39" s="181">
        <f t="shared" si="8"/>
        <v>0</v>
      </c>
      <c r="AX39" s="183">
        <v>0</v>
      </c>
      <c r="AY39" s="185">
        <v>0</v>
      </c>
      <c r="AZ39" s="185">
        <v>0</v>
      </c>
      <c r="BA39" s="185">
        <v>0</v>
      </c>
      <c r="BB39" s="181">
        <f t="shared" si="9"/>
        <v>0</v>
      </c>
      <c r="BC39" s="183">
        <v>0</v>
      </c>
      <c r="BD39" s="185">
        <v>0</v>
      </c>
      <c r="BE39" s="185">
        <v>0</v>
      </c>
      <c r="BF39" s="185">
        <v>0</v>
      </c>
      <c r="BG39" s="181">
        <f t="shared" si="10"/>
        <v>0</v>
      </c>
      <c r="BH39" s="183">
        <v>0</v>
      </c>
      <c r="BI39" s="185">
        <v>0</v>
      </c>
      <c r="BJ39" s="185">
        <v>0</v>
      </c>
      <c r="BK39" s="185">
        <v>0</v>
      </c>
      <c r="BL39" s="181">
        <f t="shared" si="11"/>
        <v>0</v>
      </c>
      <c r="BM39" s="183">
        <v>0</v>
      </c>
      <c r="BN39" s="185">
        <v>0</v>
      </c>
      <c r="BO39" s="185">
        <v>0</v>
      </c>
      <c r="BP39" s="185">
        <v>0</v>
      </c>
      <c r="BQ39" s="181">
        <f t="shared" si="12"/>
        <v>0</v>
      </c>
      <c r="BR39" s="183">
        <f t="shared" si="16"/>
        <v>109305</v>
      </c>
      <c r="BS39" s="88">
        <f t="shared" si="16"/>
        <v>1011270</v>
      </c>
      <c r="BT39" s="185">
        <f t="shared" si="16"/>
        <v>6032</v>
      </c>
      <c r="BU39" s="185">
        <f t="shared" si="16"/>
        <v>7</v>
      </c>
      <c r="BV39" s="183">
        <f>SUM(BR39:BU39)</f>
        <v>1126614</v>
      </c>
      <c r="BW39" s="148"/>
      <c r="BX39" s="393">
        <f>(BV39/I39)*100</f>
        <v>47.252997524973608</v>
      </c>
      <c r="BY39" s="358"/>
      <c r="BZ39" s="185"/>
    </row>
    <row r="40" spans="1:78" ht="12" customHeight="1" x14ac:dyDescent="0.2">
      <c r="A40" s="388">
        <v>34</v>
      </c>
      <c r="B40" s="359" t="s">
        <v>569</v>
      </c>
      <c r="D40" s="390"/>
      <c r="E40" s="391">
        <v>1658763</v>
      </c>
      <c r="F40" s="88">
        <v>8261472</v>
      </c>
      <c r="G40" s="88">
        <v>11813</v>
      </c>
      <c r="H40" s="88">
        <v>3</v>
      </c>
      <c r="I40" s="181">
        <f t="shared" si="0"/>
        <v>9932051</v>
      </c>
      <c r="J40" s="183">
        <v>114852</v>
      </c>
      <c r="K40" s="185">
        <v>1113915</v>
      </c>
      <c r="L40" s="185">
        <v>0</v>
      </c>
      <c r="M40" s="185">
        <v>0</v>
      </c>
      <c r="N40" s="181">
        <f t="shared" si="14"/>
        <v>1228767</v>
      </c>
      <c r="O40" s="185">
        <v>132340</v>
      </c>
      <c r="P40" s="185">
        <v>365422</v>
      </c>
      <c r="Q40" s="185">
        <v>509</v>
      </c>
      <c r="R40" s="185">
        <v>0</v>
      </c>
      <c r="S40" s="181">
        <f t="shared" si="18"/>
        <v>498271</v>
      </c>
      <c r="T40" s="183">
        <v>0</v>
      </c>
      <c r="U40" s="185">
        <v>0</v>
      </c>
      <c r="V40" s="185">
        <v>0</v>
      </c>
      <c r="W40" s="185">
        <v>0</v>
      </c>
      <c r="X40" s="181">
        <f t="shared" si="4"/>
        <v>0</v>
      </c>
      <c r="Y40" s="183">
        <v>0</v>
      </c>
      <c r="Z40" s="185">
        <v>0</v>
      </c>
      <c r="AA40" s="185">
        <v>0</v>
      </c>
      <c r="AB40" s="185">
        <v>0</v>
      </c>
      <c r="AC40" s="181">
        <f t="shared" si="5"/>
        <v>0</v>
      </c>
      <c r="AD40" s="183">
        <v>0</v>
      </c>
      <c r="AE40" s="185">
        <v>0</v>
      </c>
      <c r="AF40" s="185">
        <v>0</v>
      </c>
      <c r="AG40" s="185">
        <v>0</v>
      </c>
      <c r="AH40" s="181">
        <f t="shared" si="6"/>
        <v>0</v>
      </c>
      <c r="AI40" s="183">
        <v>0</v>
      </c>
      <c r="AJ40" s="185">
        <v>0</v>
      </c>
      <c r="AK40" s="185">
        <v>0</v>
      </c>
      <c r="AL40" s="185">
        <v>0</v>
      </c>
      <c r="AM40" s="181">
        <f t="shared" si="7"/>
        <v>0</v>
      </c>
      <c r="AN40" s="183">
        <v>0</v>
      </c>
      <c r="AO40" s="185">
        <v>0</v>
      </c>
      <c r="AP40" s="185">
        <v>0</v>
      </c>
      <c r="AQ40" s="185">
        <v>0</v>
      </c>
      <c r="AR40" s="181">
        <f t="shared" si="1"/>
        <v>0</v>
      </c>
      <c r="AS40" s="183">
        <v>0</v>
      </c>
      <c r="AT40" s="185">
        <v>0</v>
      </c>
      <c r="AU40" s="185">
        <v>0</v>
      </c>
      <c r="AV40" s="185">
        <v>0</v>
      </c>
      <c r="AW40" s="181">
        <f t="shared" si="8"/>
        <v>0</v>
      </c>
      <c r="AX40" s="183">
        <v>0</v>
      </c>
      <c r="AY40" s="185">
        <v>0</v>
      </c>
      <c r="AZ40" s="185">
        <v>0</v>
      </c>
      <c r="BA40" s="185">
        <v>0</v>
      </c>
      <c r="BB40" s="181">
        <f t="shared" si="9"/>
        <v>0</v>
      </c>
      <c r="BC40" s="183">
        <v>0</v>
      </c>
      <c r="BD40" s="185">
        <v>0</v>
      </c>
      <c r="BE40" s="185">
        <v>0</v>
      </c>
      <c r="BF40" s="185">
        <v>0</v>
      </c>
      <c r="BG40" s="181">
        <f t="shared" si="10"/>
        <v>0</v>
      </c>
      <c r="BH40" s="183">
        <v>0</v>
      </c>
      <c r="BI40" s="185">
        <v>0</v>
      </c>
      <c r="BJ40" s="185">
        <v>0</v>
      </c>
      <c r="BK40" s="185">
        <v>0</v>
      </c>
      <c r="BL40" s="181">
        <f t="shared" si="11"/>
        <v>0</v>
      </c>
      <c r="BM40" s="183">
        <v>0</v>
      </c>
      <c r="BN40" s="185">
        <v>0</v>
      </c>
      <c r="BO40" s="185">
        <v>0</v>
      </c>
      <c r="BP40" s="185">
        <v>0</v>
      </c>
      <c r="BQ40" s="181">
        <f t="shared" si="12"/>
        <v>0</v>
      </c>
      <c r="BR40" s="183">
        <f t="shared" si="16"/>
        <v>247192</v>
      </c>
      <c r="BS40" s="88">
        <f t="shared" si="16"/>
        <v>1479337</v>
      </c>
      <c r="BT40" s="185">
        <f t="shared" si="16"/>
        <v>509</v>
      </c>
      <c r="BU40" s="185">
        <f t="shared" si="16"/>
        <v>0</v>
      </c>
      <c r="BV40" s="183">
        <f t="shared" si="2"/>
        <v>1727038</v>
      </c>
      <c r="BW40" s="148"/>
      <c r="BX40" s="393">
        <f t="shared" si="15"/>
        <v>17.388533345227486</v>
      </c>
      <c r="BY40" s="358"/>
      <c r="BZ40" s="185"/>
    </row>
    <row r="41" spans="1:78" x14ac:dyDescent="0.2">
      <c r="A41" s="388">
        <v>35</v>
      </c>
      <c r="B41" s="389" t="s">
        <v>264</v>
      </c>
      <c r="D41" s="390"/>
      <c r="E41" s="391">
        <v>1278332</v>
      </c>
      <c r="F41" s="88">
        <v>62412100</v>
      </c>
      <c r="G41" s="88">
        <v>9682</v>
      </c>
      <c r="H41" s="88">
        <v>6362</v>
      </c>
      <c r="I41" s="181">
        <f t="shared" si="0"/>
        <v>63706476</v>
      </c>
      <c r="J41" s="183">
        <v>51047</v>
      </c>
      <c r="K41" s="185">
        <v>2750093</v>
      </c>
      <c r="L41" s="185">
        <v>79</v>
      </c>
      <c r="M41" s="185">
        <v>0</v>
      </c>
      <c r="N41" s="181">
        <f t="shared" si="14"/>
        <v>2801219</v>
      </c>
      <c r="O41" s="185">
        <v>83842</v>
      </c>
      <c r="P41" s="185">
        <v>7264640</v>
      </c>
      <c r="Q41" s="185">
        <v>997</v>
      </c>
      <c r="R41" s="185">
        <v>25</v>
      </c>
      <c r="S41" s="181">
        <f t="shared" si="18"/>
        <v>7349504</v>
      </c>
      <c r="T41" s="183">
        <v>0</v>
      </c>
      <c r="U41" s="185">
        <v>0</v>
      </c>
      <c r="V41" s="185">
        <v>0</v>
      </c>
      <c r="W41" s="185">
        <v>0</v>
      </c>
      <c r="X41" s="181">
        <f t="shared" si="4"/>
        <v>0</v>
      </c>
      <c r="Y41" s="183">
        <v>0</v>
      </c>
      <c r="Z41" s="185">
        <v>0</v>
      </c>
      <c r="AA41" s="185">
        <v>0</v>
      </c>
      <c r="AB41" s="185">
        <v>0</v>
      </c>
      <c r="AC41" s="181">
        <f t="shared" si="5"/>
        <v>0</v>
      </c>
      <c r="AD41" s="183">
        <v>0</v>
      </c>
      <c r="AE41" s="185">
        <v>0</v>
      </c>
      <c r="AF41" s="185">
        <v>0</v>
      </c>
      <c r="AG41" s="185">
        <v>0</v>
      </c>
      <c r="AH41" s="181">
        <f>SUM(AD41:AG41)</f>
        <v>0</v>
      </c>
      <c r="AI41" s="183">
        <v>0</v>
      </c>
      <c r="AJ41" s="185">
        <v>0</v>
      </c>
      <c r="AK41" s="185">
        <v>0</v>
      </c>
      <c r="AL41" s="185">
        <v>0</v>
      </c>
      <c r="AM41" s="181">
        <f t="shared" si="7"/>
        <v>0</v>
      </c>
      <c r="AN41" s="183">
        <v>0</v>
      </c>
      <c r="AO41" s="185">
        <v>0</v>
      </c>
      <c r="AP41" s="185">
        <v>0</v>
      </c>
      <c r="AQ41" s="185">
        <v>0</v>
      </c>
      <c r="AR41" s="181">
        <f t="shared" si="1"/>
        <v>0</v>
      </c>
      <c r="AS41" s="183">
        <v>0</v>
      </c>
      <c r="AT41" s="185">
        <v>0</v>
      </c>
      <c r="AU41" s="185">
        <v>0</v>
      </c>
      <c r="AV41" s="185">
        <v>0</v>
      </c>
      <c r="AW41" s="181">
        <f t="shared" si="8"/>
        <v>0</v>
      </c>
      <c r="AX41" s="183">
        <v>0</v>
      </c>
      <c r="AY41" s="185">
        <v>0</v>
      </c>
      <c r="AZ41" s="185">
        <v>0</v>
      </c>
      <c r="BA41" s="185">
        <v>0</v>
      </c>
      <c r="BB41" s="181">
        <f t="shared" si="9"/>
        <v>0</v>
      </c>
      <c r="BC41" s="183">
        <v>0</v>
      </c>
      <c r="BD41" s="185">
        <v>0</v>
      </c>
      <c r="BE41" s="185">
        <v>0</v>
      </c>
      <c r="BF41" s="185">
        <v>0</v>
      </c>
      <c r="BG41" s="181">
        <f t="shared" si="10"/>
        <v>0</v>
      </c>
      <c r="BH41" s="183">
        <v>0</v>
      </c>
      <c r="BI41" s="185">
        <v>0</v>
      </c>
      <c r="BJ41" s="185">
        <v>0</v>
      </c>
      <c r="BK41" s="185">
        <v>0</v>
      </c>
      <c r="BL41" s="181">
        <f t="shared" si="11"/>
        <v>0</v>
      </c>
      <c r="BM41" s="183">
        <v>0</v>
      </c>
      <c r="BN41" s="185">
        <v>0</v>
      </c>
      <c r="BO41" s="185">
        <v>0</v>
      </c>
      <c r="BP41" s="185">
        <v>0</v>
      </c>
      <c r="BQ41" s="181">
        <f t="shared" si="12"/>
        <v>0</v>
      </c>
      <c r="BR41" s="183">
        <f t="shared" si="16"/>
        <v>134889</v>
      </c>
      <c r="BS41" s="88">
        <f t="shared" si="16"/>
        <v>10014733</v>
      </c>
      <c r="BT41" s="185">
        <f t="shared" si="16"/>
        <v>1076</v>
      </c>
      <c r="BU41" s="185">
        <f t="shared" si="16"/>
        <v>25</v>
      </c>
      <c r="BV41" s="183">
        <f t="shared" si="2"/>
        <v>10150723</v>
      </c>
      <c r="BW41" s="148"/>
      <c r="BX41" s="393">
        <f t="shared" si="15"/>
        <v>15.933581069528943</v>
      </c>
      <c r="BY41" s="358"/>
      <c r="BZ41" s="185"/>
    </row>
    <row r="42" spans="1:78" x14ac:dyDescent="0.2">
      <c r="A42" s="388">
        <v>36</v>
      </c>
      <c r="B42" s="389" t="s">
        <v>265</v>
      </c>
      <c r="D42" s="390"/>
      <c r="E42" s="391">
        <v>3341788</v>
      </c>
      <c r="F42" s="88">
        <v>9187437</v>
      </c>
      <c r="G42" s="88">
        <v>2425024</v>
      </c>
      <c r="H42" s="88">
        <v>738</v>
      </c>
      <c r="I42" s="181">
        <f t="shared" si="0"/>
        <v>14954987</v>
      </c>
      <c r="J42" s="183">
        <v>222359</v>
      </c>
      <c r="K42" s="185">
        <v>823699</v>
      </c>
      <c r="L42" s="185">
        <v>72483</v>
      </c>
      <c r="M42" s="185">
        <v>484</v>
      </c>
      <c r="N42" s="181">
        <f t="shared" si="14"/>
        <v>1119025</v>
      </c>
      <c r="O42" s="185">
        <v>259052</v>
      </c>
      <c r="P42" s="185">
        <v>10820</v>
      </c>
      <c r="Q42" s="185">
        <v>95915</v>
      </c>
      <c r="R42" s="185">
        <v>6</v>
      </c>
      <c r="S42" s="181">
        <f t="shared" si="18"/>
        <v>365793</v>
      </c>
      <c r="T42" s="183">
        <v>0</v>
      </c>
      <c r="U42" s="185">
        <v>0</v>
      </c>
      <c r="V42" s="185">
        <v>0</v>
      </c>
      <c r="W42" s="185">
        <v>0</v>
      </c>
      <c r="X42" s="181">
        <f t="shared" si="4"/>
        <v>0</v>
      </c>
      <c r="Y42" s="183">
        <v>0</v>
      </c>
      <c r="Z42" s="185">
        <v>0</v>
      </c>
      <c r="AA42" s="185">
        <v>0</v>
      </c>
      <c r="AB42" s="185">
        <v>0</v>
      </c>
      <c r="AC42" s="181">
        <f t="shared" si="5"/>
        <v>0</v>
      </c>
      <c r="AD42" s="183">
        <v>0</v>
      </c>
      <c r="AE42" s="185">
        <v>0</v>
      </c>
      <c r="AF42" s="185">
        <v>0</v>
      </c>
      <c r="AG42" s="185">
        <v>0</v>
      </c>
      <c r="AH42" s="181">
        <f t="shared" si="6"/>
        <v>0</v>
      </c>
      <c r="AI42" s="183">
        <v>0</v>
      </c>
      <c r="AJ42" s="185">
        <v>0</v>
      </c>
      <c r="AK42" s="185">
        <v>0</v>
      </c>
      <c r="AL42" s="185">
        <v>0</v>
      </c>
      <c r="AM42" s="181">
        <f t="shared" si="7"/>
        <v>0</v>
      </c>
      <c r="AN42" s="183">
        <v>0</v>
      </c>
      <c r="AO42" s="185">
        <v>0</v>
      </c>
      <c r="AP42" s="185">
        <v>0</v>
      </c>
      <c r="AQ42" s="185">
        <v>0</v>
      </c>
      <c r="AR42" s="181">
        <f t="shared" si="1"/>
        <v>0</v>
      </c>
      <c r="AS42" s="183">
        <v>0</v>
      </c>
      <c r="AT42" s="185">
        <v>0</v>
      </c>
      <c r="AU42" s="185">
        <v>0</v>
      </c>
      <c r="AV42" s="185">
        <v>0</v>
      </c>
      <c r="AW42" s="181">
        <f t="shared" si="8"/>
        <v>0</v>
      </c>
      <c r="AX42" s="183">
        <v>0</v>
      </c>
      <c r="AY42" s="185">
        <v>0</v>
      </c>
      <c r="AZ42" s="185">
        <v>0</v>
      </c>
      <c r="BA42" s="185">
        <v>0</v>
      </c>
      <c r="BB42" s="181">
        <f t="shared" si="9"/>
        <v>0</v>
      </c>
      <c r="BC42" s="183">
        <v>0</v>
      </c>
      <c r="BD42" s="185">
        <v>0</v>
      </c>
      <c r="BE42" s="185">
        <v>0</v>
      </c>
      <c r="BF42" s="185">
        <v>0</v>
      </c>
      <c r="BG42" s="181">
        <f t="shared" si="10"/>
        <v>0</v>
      </c>
      <c r="BH42" s="183">
        <v>0</v>
      </c>
      <c r="BI42" s="185">
        <v>0</v>
      </c>
      <c r="BJ42" s="185">
        <v>0</v>
      </c>
      <c r="BK42" s="185">
        <v>0</v>
      </c>
      <c r="BL42" s="181">
        <f t="shared" si="11"/>
        <v>0</v>
      </c>
      <c r="BM42" s="183">
        <v>0</v>
      </c>
      <c r="BN42" s="185">
        <v>0</v>
      </c>
      <c r="BO42" s="185">
        <v>0</v>
      </c>
      <c r="BP42" s="185">
        <v>0</v>
      </c>
      <c r="BQ42" s="181">
        <f t="shared" si="12"/>
        <v>0</v>
      </c>
      <c r="BR42" s="183">
        <f t="shared" si="16"/>
        <v>481411</v>
      </c>
      <c r="BS42" s="88">
        <f t="shared" si="16"/>
        <v>834519</v>
      </c>
      <c r="BT42" s="185">
        <f t="shared" si="16"/>
        <v>168398</v>
      </c>
      <c r="BU42" s="185">
        <f t="shared" si="16"/>
        <v>490</v>
      </c>
      <c r="BV42" s="183">
        <f t="shared" si="2"/>
        <v>1484818</v>
      </c>
      <c r="BW42" s="148"/>
      <c r="BX42" s="393">
        <f>(BV42/I42)*100</f>
        <v>9.9285810144803204</v>
      </c>
      <c r="BY42" s="358"/>
      <c r="BZ42" s="185"/>
    </row>
    <row r="43" spans="1:78" x14ac:dyDescent="0.2">
      <c r="A43" s="388">
        <v>37</v>
      </c>
      <c r="B43" s="389" t="s">
        <v>570</v>
      </c>
      <c r="D43" s="390"/>
      <c r="E43" s="391">
        <v>684803</v>
      </c>
      <c r="F43" s="88">
        <v>3624492</v>
      </c>
      <c r="G43" s="88">
        <v>45806</v>
      </c>
      <c r="H43" s="88">
        <v>749</v>
      </c>
      <c r="I43" s="181">
        <f t="shared" si="0"/>
        <v>4355850</v>
      </c>
      <c r="J43" s="183">
        <v>52549</v>
      </c>
      <c r="K43" s="185">
        <v>686320</v>
      </c>
      <c r="L43" s="185">
        <v>370</v>
      </c>
      <c r="M43" s="185">
        <v>0</v>
      </c>
      <c r="N43" s="181">
        <f t="shared" si="14"/>
        <v>739239</v>
      </c>
      <c r="O43" s="185">
        <v>58639</v>
      </c>
      <c r="P43" s="185">
        <v>41198</v>
      </c>
      <c r="Q43" s="185">
        <v>23502</v>
      </c>
      <c r="R43" s="185">
        <v>0</v>
      </c>
      <c r="S43" s="181">
        <f t="shared" si="18"/>
        <v>123339</v>
      </c>
      <c r="T43" s="183">
        <v>0</v>
      </c>
      <c r="U43" s="185">
        <v>0</v>
      </c>
      <c r="V43" s="185">
        <v>0</v>
      </c>
      <c r="W43" s="185">
        <v>0</v>
      </c>
      <c r="X43" s="181">
        <f t="shared" si="4"/>
        <v>0</v>
      </c>
      <c r="Y43" s="183">
        <v>0</v>
      </c>
      <c r="Z43" s="185">
        <v>0</v>
      </c>
      <c r="AA43" s="185">
        <v>0</v>
      </c>
      <c r="AB43" s="185">
        <v>0</v>
      </c>
      <c r="AC43" s="181">
        <f t="shared" si="5"/>
        <v>0</v>
      </c>
      <c r="AD43" s="183">
        <v>0</v>
      </c>
      <c r="AE43" s="185">
        <v>0</v>
      </c>
      <c r="AF43" s="185">
        <v>0</v>
      </c>
      <c r="AG43" s="185">
        <v>0</v>
      </c>
      <c r="AH43" s="181">
        <f t="shared" si="6"/>
        <v>0</v>
      </c>
      <c r="AI43" s="183">
        <v>0</v>
      </c>
      <c r="AJ43" s="185">
        <v>0</v>
      </c>
      <c r="AK43" s="185">
        <v>0</v>
      </c>
      <c r="AL43" s="185">
        <v>0</v>
      </c>
      <c r="AM43" s="181">
        <f t="shared" si="7"/>
        <v>0</v>
      </c>
      <c r="AN43" s="183">
        <v>0</v>
      </c>
      <c r="AO43" s="185">
        <v>0</v>
      </c>
      <c r="AP43" s="185">
        <v>0</v>
      </c>
      <c r="AQ43" s="185">
        <v>0</v>
      </c>
      <c r="AR43" s="181">
        <f t="shared" si="1"/>
        <v>0</v>
      </c>
      <c r="AS43" s="183">
        <v>0</v>
      </c>
      <c r="AT43" s="185">
        <v>0</v>
      </c>
      <c r="AU43" s="185">
        <v>0</v>
      </c>
      <c r="AV43" s="185">
        <v>0</v>
      </c>
      <c r="AW43" s="181">
        <f t="shared" si="8"/>
        <v>0</v>
      </c>
      <c r="AX43" s="183">
        <v>0</v>
      </c>
      <c r="AY43" s="185">
        <v>0</v>
      </c>
      <c r="AZ43" s="185">
        <v>0</v>
      </c>
      <c r="BA43" s="185">
        <v>0</v>
      </c>
      <c r="BB43" s="181">
        <f t="shared" si="9"/>
        <v>0</v>
      </c>
      <c r="BC43" s="183">
        <v>0</v>
      </c>
      <c r="BD43" s="185">
        <v>0</v>
      </c>
      <c r="BE43" s="185">
        <v>0</v>
      </c>
      <c r="BF43" s="185">
        <v>0</v>
      </c>
      <c r="BG43" s="181">
        <f t="shared" si="10"/>
        <v>0</v>
      </c>
      <c r="BH43" s="183">
        <v>0</v>
      </c>
      <c r="BI43" s="185">
        <v>0</v>
      </c>
      <c r="BJ43" s="185">
        <v>0</v>
      </c>
      <c r="BK43" s="185">
        <v>0</v>
      </c>
      <c r="BL43" s="181">
        <f t="shared" si="11"/>
        <v>0</v>
      </c>
      <c r="BM43" s="183">
        <v>0</v>
      </c>
      <c r="BN43" s="185">
        <v>0</v>
      </c>
      <c r="BO43" s="185">
        <v>0</v>
      </c>
      <c r="BP43" s="185">
        <v>0</v>
      </c>
      <c r="BQ43" s="181">
        <f>SUM(BM43:BP43)</f>
        <v>0</v>
      </c>
      <c r="BR43" s="183">
        <f t="shared" si="16"/>
        <v>111188</v>
      </c>
      <c r="BS43" s="88">
        <f t="shared" si="16"/>
        <v>727518</v>
      </c>
      <c r="BT43" s="185">
        <f t="shared" si="16"/>
        <v>23872</v>
      </c>
      <c r="BU43" s="185">
        <f t="shared" si="16"/>
        <v>0</v>
      </c>
      <c r="BV43" s="183">
        <f>SUM(BR43:BU43)</f>
        <v>862578</v>
      </c>
      <c r="BW43" s="148"/>
      <c r="BX43" s="393">
        <f>(BV43/I43)*100</f>
        <v>19.802748028513378</v>
      </c>
      <c r="BY43" s="358"/>
      <c r="BZ43" s="185"/>
    </row>
    <row r="44" spans="1:78" x14ac:dyDescent="0.2">
      <c r="A44" s="388">
        <v>38</v>
      </c>
      <c r="B44" s="389" t="s">
        <v>257</v>
      </c>
      <c r="D44" s="390"/>
      <c r="E44" s="391">
        <v>721621</v>
      </c>
      <c r="F44" s="88">
        <v>32560142</v>
      </c>
      <c r="G44" s="88">
        <v>5859</v>
      </c>
      <c r="H44" s="88">
        <v>50162</v>
      </c>
      <c r="I44" s="181">
        <f t="shared" si="0"/>
        <v>33337784</v>
      </c>
      <c r="J44" s="183">
        <v>48090</v>
      </c>
      <c r="K44" s="185">
        <v>970151</v>
      </c>
      <c r="L44" s="185">
        <v>958</v>
      </c>
      <c r="M44" s="185">
        <v>0</v>
      </c>
      <c r="N44" s="181">
        <f t="shared" si="14"/>
        <v>1019199</v>
      </c>
      <c r="O44" s="185">
        <v>60539</v>
      </c>
      <c r="P44" s="185">
        <v>1909703</v>
      </c>
      <c r="Q44" s="185">
        <v>153</v>
      </c>
      <c r="R44" s="185">
        <v>50071</v>
      </c>
      <c r="S44" s="181">
        <f t="shared" si="18"/>
        <v>2020466</v>
      </c>
      <c r="T44" s="183">
        <v>0</v>
      </c>
      <c r="U44" s="185">
        <v>0</v>
      </c>
      <c r="V44" s="185">
        <v>0</v>
      </c>
      <c r="W44" s="185">
        <v>0</v>
      </c>
      <c r="X44" s="181">
        <f t="shared" si="4"/>
        <v>0</v>
      </c>
      <c r="Y44" s="183">
        <v>0</v>
      </c>
      <c r="Z44" s="185">
        <v>0</v>
      </c>
      <c r="AA44" s="185">
        <v>0</v>
      </c>
      <c r="AB44" s="185">
        <v>0</v>
      </c>
      <c r="AC44" s="181">
        <f t="shared" si="5"/>
        <v>0</v>
      </c>
      <c r="AD44" s="183">
        <v>0</v>
      </c>
      <c r="AE44" s="185">
        <v>0</v>
      </c>
      <c r="AF44" s="185">
        <v>0</v>
      </c>
      <c r="AG44" s="185">
        <v>0</v>
      </c>
      <c r="AH44" s="181">
        <f t="shared" si="6"/>
        <v>0</v>
      </c>
      <c r="AI44" s="183">
        <v>0</v>
      </c>
      <c r="AJ44" s="185">
        <v>0</v>
      </c>
      <c r="AK44" s="185">
        <v>0</v>
      </c>
      <c r="AL44" s="185">
        <v>0</v>
      </c>
      <c r="AM44" s="181">
        <f t="shared" si="7"/>
        <v>0</v>
      </c>
      <c r="AN44" s="183">
        <v>0</v>
      </c>
      <c r="AO44" s="185">
        <v>0</v>
      </c>
      <c r="AP44" s="185">
        <v>0</v>
      </c>
      <c r="AQ44" s="185">
        <v>0</v>
      </c>
      <c r="AR44" s="181">
        <f t="shared" si="1"/>
        <v>0</v>
      </c>
      <c r="AS44" s="183">
        <v>0</v>
      </c>
      <c r="AT44" s="185">
        <v>0</v>
      </c>
      <c r="AU44" s="185">
        <v>0</v>
      </c>
      <c r="AV44" s="185">
        <v>0</v>
      </c>
      <c r="AW44" s="181">
        <f t="shared" si="8"/>
        <v>0</v>
      </c>
      <c r="AX44" s="183">
        <v>0</v>
      </c>
      <c r="AY44" s="185">
        <v>0</v>
      </c>
      <c r="AZ44" s="185">
        <v>0</v>
      </c>
      <c r="BA44" s="185">
        <v>0</v>
      </c>
      <c r="BB44" s="181">
        <f t="shared" si="9"/>
        <v>0</v>
      </c>
      <c r="BC44" s="183">
        <v>0</v>
      </c>
      <c r="BD44" s="185">
        <v>0</v>
      </c>
      <c r="BE44" s="185">
        <v>0</v>
      </c>
      <c r="BF44" s="185">
        <v>0</v>
      </c>
      <c r="BG44" s="181">
        <f t="shared" si="10"/>
        <v>0</v>
      </c>
      <c r="BH44" s="183">
        <v>0</v>
      </c>
      <c r="BI44" s="185">
        <v>0</v>
      </c>
      <c r="BJ44" s="185">
        <v>0</v>
      </c>
      <c r="BK44" s="185">
        <v>0</v>
      </c>
      <c r="BL44" s="181">
        <f t="shared" si="11"/>
        <v>0</v>
      </c>
      <c r="BM44" s="183">
        <v>0</v>
      </c>
      <c r="BN44" s="185">
        <v>0</v>
      </c>
      <c r="BO44" s="185">
        <v>0</v>
      </c>
      <c r="BP44" s="185">
        <v>0</v>
      </c>
      <c r="BQ44" s="181">
        <f>SUM(BM44:BP44)</f>
        <v>0</v>
      </c>
      <c r="BR44" s="183">
        <f t="shared" si="16"/>
        <v>108629</v>
      </c>
      <c r="BS44" s="88">
        <f t="shared" si="16"/>
        <v>2879854</v>
      </c>
      <c r="BT44" s="185">
        <f t="shared" si="16"/>
        <v>1111</v>
      </c>
      <c r="BU44" s="185">
        <f t="shared" si="16"/>
        <v>50071</v>
      </c>
      <c r="BV44" s="183">
        <f t="shared" si="2"/>
        <v>3039665</v>
      </c>
      <c r="BW44" s="148"/>
      <c r="BX44" s="393">
        <f>(BV44/I44)*100</f>
        <v>9.117777594335605</v>
      </c>
      <c r="BY44" s="358"/>
      <c r="BZ44" s="185"/>
    </row>
    <row r="45" spans="1:78" x14ac:dyDescent="0.2">
      <c r="A45" s="388">
        <v>39</v>
      </c>
      <c r="B45" s="389" t="s">
        <v>571</v>
      </c>
      <c r="D45" s="390"/>
      <c r="E45" s="391">
        <v>4621824</v>
      </c>
      <c r="F45" s="88">
        <v>5508928</v>
      </c>
      <c r="G45" s="88">
        <v>688076</v>
      </c>
      <c r="H45" s="88">
        <v>7259</v>
      </c>
      <c r="I45" s="181">
        <f t="shared" si="0"/>
        <v>10826087</v>
      </c>
      <c r="J45" s="183">
        <v>295601</v>
      </c>
      <c r="K45" s="185">
        <v>816400</v>
      </c>
      <c r="L45" s="185">
        <v>19695</v>
      </c>
      <c r="M45" s="185">
        <v>0</v>
      </c>
      <c r="N45" s="181">
        <f t="shared" si="14"/>
        <v>1131696</v>
      </c>
      <c r="O45" s="185">
        <v>348996</v>
      </c>
      <c r="P45" s="185">
        <v>216624</v>
      </c>
      <c r="Q45" s="185">
        <v>31997</v>
      </c>
      <c r="R45" s="185">
        <v>0</v>
      </c>
      <c r="S45" s="181">
        <f t="shared" si="18"/>
        <v>597617</v>
      </c>
      <c r="T45" s="183">
        <v>0</v>
      </c>
      <c r="U45" s="185">
        <v>0</v>
      </c>
      <c r="V45" s="185">
        <v>0</v>
      </c>
      <c r="W45" s="185">
        <v>0</v>
      </c>
      <c r="X45" s="181">
        <f t="shared" si="4"/>
        <v>0</v>
      </c>
      <c r="Y45" s="183">
        <v>0</v>
      </c>
      <c r="Z45" s="185">
        <v>0</v>
      </c>
      <c r="AA45" s="185">
        <v>0</v>
      </c>
      <c r="AB45" s="185">
        <v>0</v>
      </c>
      <c r="AC45" s="181">
        <f t="shared" si="5"/>
        <v>0</v>
      </c>
      <c r="AD45" s="183">
        <v>0</v>
      </c>
      <c r="AE45" s="185">
        <v>0</v>
      </c>
      <c r="AF45" s="185">
        <v>0</v>
      </c>
      <c r="AG45" s="185">
        <v>0</v>
      </c>
      <c r="AH45" s="181">
        <f t="shared" si="6"/>
        <v>0</v>
      </c>
      <c r="AI45" s="183">
        <v>0</v>
      </c>
      <c r="AJ45" s="185">
        <v>0</v>
      </c>
      <c r="AK45" s="185">
        <v>0</v>
      </c>
      <c r="AL45" s="185">
        <v>0</v>
      </c>
      <c r="AM45" s="181">
        <f t="shared" si="7"/>
        <v>0</v>
      </c>
      <c r="AN45" s="183">
        <v>0</v>
      </c>
      <c r="AO45" s="185">
        <v>0</v>
      </c>
      <c r="AP45" s="185">
        <v>0</v>
      </c>
      <c r="AQ45" s="185">
        <v>0</v>
      </c>
      <c r="AR45" s="181">
        <f t="shared" si="1"/>
        <v>0</v>
      </c>
      <c r="AS45" s="183">
        <v>0</v>
      </c>
      <c r="AT45" s="185">
        <v>0</v>
      </c>
      <c r="AU45" s="185">
        <v>0</v>
      </c>
      <c r="AV45" s="185">
        <v>0</v>
      </c>
      <c r="AW45" s="181">
        <f t="shared" si="8"/>
        <v>0</v>
      </c>
      <c r="AX45" s="183">
        <v>0</v>
      </c>
      <c r="AY45" s="185">
        <v>0</v>
      </c>
      <c r="AZ45" s="185">
        <v>0</v>
      </c>
      <c r="BA45" s="185">
        <v>0</v>
      </c>
      <c r="BB45" s="181">
        <f t="shared" si="9"/>
        <v>0</v>
      </c>
      <c r="BC45" s="183">
        <v>0</v>
      </c>
      <c r="BD45" s="185">
        <v>0</v>
      </c>
      <c r="BE45" s="185">
        <v>0</v>
      </c>
      <c r="BF45" s="185">
        <v>0</v>
      </c>
      <c r="BG45" s="181">
        <f t="shared" si="10"/>
        <v>0</v>
      </c>
      <c r="BH45" s="183">
        <v>0</v>
      </c>
      <c r="BI45" s="185">
        <v>0</v>
      </c>
      <c r="BJ45" s="185">
        <v>0</v>
      </c>
      <c r="BK45" s="185">
        <v>0</v>
      </c>
      <c r="BL45" s="181">
        <f t="shared" si="11"/>
        <v>0</v>
      </c>
      <c r="BM45" s="183">
        <v>0</v>
      </c>
      <c r="BN45" s="185">
        <v>0</v>
      </c>
      <c r="BO45" s="185">
        <v>0</v>
      </c>
      <c r="BP45" s="185">
        <v>0</v>
      </c>
      <c r="BQ45" s="181">
        <f t="shared" si="12"/>
        <v>0</v>
      </c>
      <c r="BR45" s="183">
        <f t="shared" si="16"/>
        <v>644597</v>
      </c>
      <c r="BS45" s="88">
        <f t="shared" si="16"/>
        <v>1033024</v>
      </c>
      <c r="BT45" s="185">
        <f t="shared" si="16"/>
        <v>51692</v>
      </c>
      <c r="BU45" s="185">
        <f t="shared" si="16"/>
        <v>0</v>
      </c>
      <c r="BV45" s="183">
        <f t="shared" si="2"/>
        <v>1729313</v>
      </c>
      <c r="BW45" s="148"/>
      <c r="BX45" s="393">
        <f t="shared" si="15"/>
        <v>15.97357383143143</v>
      </c>
      <c r="BY45" s="358"/>
      <c r="BZ45" s="185"/>
    </row>
    <row r="46" spans="1:78" x14ac:dyDescent="0.2">
      <c r="A46" s="420">
        <v>40</v>
      </c>
      <c r="B46" s="745" t="s">
        <v>572</v>
      </c>
      <c r="C46" s="745"/>
      <c r="D46" s="405"/>
      <c r="E46" s="391">
        <v>265285</v>
      </c>
      <c r="F46" s="88">
        <v>855648</v>
      </c>
      <c r="G46" s="88">
        <v>2922</v>
      </c>
      <c r="H46" s="88">
        <v>94</v>
      </c>
      <c r="I46" s="181">
        <f t="shared" si="0"/>
        <v>1123949</v>
      </c>
      <c r="J46" s="183">
        <v>16922</v>
      </c>
      <c r="K46" s="185">
        <v>6459</v>
      </c>
      <c r="L46" s="185">
        <v>95</v>
      </c>
      <c r="M46" s="185">
        <v>0</v>
      </c>
      <c r="N46" s="181">
        <f t="shared" si="14"/>
        <v>23476</v>
      </c>
      <c r="O46" s="185">
        <v>19126</v>
      </c>
      <c r="P46" s="185">
        <v>196</v>
      </c>
      <c r="Q46" s="185">
        <v>26</v>
      </c>
      <c r="R46" s="185">
        <v>0</v>
      </c>
      <c r="S46" s="181">
        <f t="shared" si="18"/>
        <v>19348</v>
      </c>
      <c r="T46" s="183">
        <v>0</v>
      </c>
      <c r="U46" s="185">
        <v>0</v>
      </c>
      <c r="V46" s="185">
        <v>0</v>
      </c>
      <c r="W46" s="185">
        <v>0</v>
      </c>
      <c r="X46" s="181">
        <f t="shared" si="4"/>
        <v>0</v>
      </c>
      <c r="Y46" s="183">
        <v>0</v>
      </c>
      <c r="Z46" s="185">
        <v>0</v>
      </c>
      <c r="AA46" s="185">
        <v>0</v>
      </c>
      <c r="AB46" s="185">
        <v>0</v>
      </c>
      <c r="AC46" s="181">
        <f t="shared" si="5"/>
        <v>0</v>
      </c>
      <c r="AD46" s="183">
        <v>0</v>
      </c>
      <c r="AE46" s="185">
        <v>0</v>
      </c>
      <c r="AF46" s="185">
        <v>0</v>
      </c>
      <c r="AG46" s="185">
        <v>0</v>
      </c>
      <c r="AH46" s="181">
        <f t="shared" si="6"/>
        <v>0</v>
      </c>
      <c r="AI46" s="183">
        <v>0</v>
      </c>
      <c r="AJ46" s="185">
        <v>0</v>
      </c>
      <c r="AK46" s="185">
        <v>0</v>
      </c>
      <c r="AL46" s="185">
        <v>0</v>
      </c>
      <c r="AM46" s="181">
        <f t="shared" si="7"/>
        <v>0</v>
      </c>
      <c r="AN46" s="183">
        <v>0</v>
      </c>
      <c r="AO46" s="185">
        <v>0</v>
      </c>
      <c r="AP46" s="185">
        <v>0</v>
      </c>
      <c r="AQ46" s="185">
        <v>0</v>
      </c>
      <c r="AR46" s="181">
        <f>SUM(AN46:AQ46)</f>
        <v>0</v>
      </c>
      <c r="AS46" s="183">
        <v>0</v>
      </c>
      <c r="AT46" s="185">
        <v>0</v>
      </c>
      <c r="AU46" s="185">
        <v>0</v>
      </c>
      <c r="AV46" s="185">
        <v>0</v>
      </c>
      <c r="AW46" s="181">
        <f t="shared" si="8"/>
        <v>0</v>
      </c>
      <c r="AX46" s="183">
        <v>0</v>
      </c>
      <c r="AY46" s="185">
        <v>0</v>
      </c>
      <c r="AZ46" s="185">
        <v>0</v>
      </c>
      <c r="BA46" s="185">
        <v>0</v>
      </c>
      <c r="BB46" s="181">
        <f t="shared" si="9"/>
        <v>0</v>
      </c>
      <c r="BC46" s="183">
        <v>0</v>
      </c>
      <c r="BD46" s="185">
        <v>0</v>
      </c>
      <c r="BE46" s="185">
        <v>0</v>
      </c>
      <c r="BF46" s="185">
        <v>0</v>
      </c>
      <c r="BG46" s="181">
        <f t="shared" si="10"/>
        <v>0</v>
      </c>
      <c r="BH46" s="183">
        <v>0</v>
      </c>
      <c r="BI46" s="185">
        <v>0</v>
      </c>
      <c r="BJ46" s="185">
        <v>0</v>
      </c>
      <c r="BK46" s="185">
        <v>0</v>
      </c>
      <c r="BL46" s="181">
        <f t="shared" si="11"/>
        <v>0</v>
      </c>
      <c r="BM46" s="183">
        <v>0</v>
      </c>
      <c r="BN46" s="185">
        <v>0</v>
      </c>
      <c r="BO46" s="746">
        <v>0</v>
      </c>
      <c r="BP46" s="185">
        <v>0</v>
      </c>
      <c r="BQ46" s="181">
        <f t="shared" si="12"/>
        <v>0</v>
      </c>
      <c r="BR46" s="183">
        <f t="shared" si="16"/>
        <v>36048</v>
      </c>
      <c r="BS46" s="88">
        <f t="shared" si="16"/>
        <v>6655</v>
      </c>
      <c r="BT46" s="185">
        <f t="shared" si="16"/>
        <v>121</v>
      </c>
      <c r="BU46" s="185">
        <f t="shared" si="16"/>
        <v>0</v>
      </c>
      <c r="BV46" s="183">
        <f t="shared" si="2"/>
        <v>42824</v>
      </c>
      <c r="BW46" s="148"/>
      <c r="BX46" s="393">
        <f t="shared" si="15"/>
        <v>3.8101372927063415</v>
      </c>
      <c r="BY46" s="358"/>
      <c r="BZ46" s="185"/>
    </row>
    <row r="47" spans="1:78" x14ac:dyDescent="0.2">
      <c r="A47" s="747" t="s">
        <v>266</v>
      </c>
      <c r="B47" s="389"/>
      <c r="D47" s="406"/>
      <c r="E47" s="177">
        <f t="shared" ref="E47:J47" si="19">SUM(E7:E46)</f>
        <v>241301656</v>
      </c>
      <c r="F47" s="176">
        <f t="shared" si="19"/>
        <v>626614172</v>
      </c>
      <c r="G47" s="176">
        <f t="shared" si="19"/>
        <v>11702183</v>
      </c>
      <c r="H47" s="176">
        <f t="shared" si="19"/>
        <v>64213311</v>
      </c>
      <c r="I47" s="156">
        <f t="shared" si="19"/>
        <v>943831322</v>
      </c>
      <c r="J47" s="177">
        <f t="shared" si="19"/>
        <v>17419897</v>
      </c>
      <c r="K47" s="176">
        <f>SUM(K7:K46)</f>
        <v>58376647</v>
      </c>
      <c r="L47" s="176">
        <f t="shared" ref="L47:AB47" si="20">SUM(L7:L46)</f>
        <v>362073</v>
      </c>
      <c r="M47" s="176">
        <f t="shared" si="20"/>
        <v>2125</v>
      </c>
      <c r="N47" s="156">
        <f>SUM(N7:N46)</f>
        <v>76160742</v>
      </c>
      <c r="O47" s="176">
        <f>SUM(O7:O46)</f>
        <v>18816680</v>
      </c>
      <c r="P47" s="176">
        <f t="shared" si="20"/>
        <v>46735572</v>
      </c>
      <c r="Q47" s="176">
        <f t="shared" si="20"/>
        <v>582691</v>
      </c>
      <c r="R47" s="176">
        <f t="shared" si="20"/>
        <v>51556</v>
      </c>
      <c r="S47" s="156">
        <f>SUM(S7:S46)</f>
        <v>66186499</v>
      </c>
      <c r="T47" s="177">
        <f t="shared" si="20"/>
        <v>0</v>
      </c>
      <c r="U47" s="176">
        <f t="shared" si="20"/>
        <v>0</v>
      </c>
      <c r="V47" s="176">
        <f t="shared" si="20"/>
        <v>0</v>
      </c>
      <c r="W47" s="176">
        <f t="shared" si="20"/>
        <v>0</v>
      </c>
      <c r="X47" s="156">
        <f>SUM(X7:X46)</f>
        <v>0</v>
      </c>
      <c r="Y47" s="177">
        <f t="shared" si="20"/>
        <v>0</v>
      </c>
      <c r="Z47" s="176">
        <f t="shared" si="20"/>
        <v>0</v>
      </c>
      <c r="AA47" s="176">
        <f t="shared" si="20"/>
        <v>0</v>
      </c>
      <c r="AB47" s="176">
        <f t="shared" si="20"/>
        <v>0</v>
      </c>
      <c r="AC47" s="156">
        <f>SUM(AC7:AC46)</f>
        <v>0</v>
      </c>
      <c r="AD47" s="177">
        <f t="shared" ref="AD47:AL47" si="21">SUM(AD7:AD46)</f>
        <v>0</v>
      </c>
      <c r="AE47" s="176">
        <f t="shared" si="21"/>
        <v>0</v>
      </c>
      <c r="AF47" s="176">
        <f t="shared" si="21"/>
        <v>0</v>
      </c>
      <c r="AG47" s="176">
        <f t="shared" si="21"/>
        <v>0</v>
      </c>
      <c r="AH47" s="156">
        <f>SUM(AH7:AH46)</f>
        <v>0</v>
      </c>
      <c r="AI47" s="177">
        <f t="shared" si="21"/>
        <v>0</v>
      </c>
      <c r="AJ47" s="176">
        <f t="shared" si="21"/>
        <v>0</v>
      </c>
      <c r="AK47" s="176">
        <f t="shared" si="21"/>
        <v>0</v>
      </c>
      <c r="AL47" s="176">
        <f t="shared" si="21"/>
        <v>0</v>
      </c>
      <c r="AM47" s="156">
        <f t="shared" ref="AM47:AV47" si="22">SUM(AM7:AM46)</f>
        <v>0</v>
      </c>
      <c r="AN47" s="177">
        <f>SUM(AN7:AN46)</f>
        <v>0</v>
      </c>
      <c r="AO47" s="176">
        <f>SUM(AO7:AO46)</f>
        <v>0</v>
      </c>
      <c r="AP47" s="176">
        <f>SUM(AP7:AP46)</f>
        <v>0</v>
      </c>
      <c r="AQ47" s="176">
        <f>SUM(AQ7:AQ46)</f>
        <v>0</v>
      </c>
      <c r="AR47" s="156">
        <f>SUM(AR7:AR46)</f>
        <v>0</v>
      </c>
      <c r="AS47" s="177">
        <f t="shared" si="22"/>
        <v>0</v>
      </c>
      <c r="AT47" s="176">
        <f t="shared" si="22"/>
        <v>0</v>
      </c>
      <c r="AU47" s="176">
        <f t="shared" si="22"/>
        <v>0</v>
      </c>
      <c r="AV47" s="176">
        <f t="shared" si="22"/>
        <v>0</v>
      </c>
      <c r="AW47" s="156">
        <f t="shared" ref="AW47:BU47" si="23">SUM(AW7:AW46)</f>
        <v>0</v>
      </c>
      <c r="AX47" s="177">
        <f>SUM(AX7:AX46)</f>
        <v>0</v>
      </c>
      <c r="AY47" s="176">
        <f t="shared" si="23"/>
        <v>0</v>
      </c>
      <c r="AZ47" s="176">
        <f t="shared" si="23"/>
        <v>0</v>
      </c>
      <c r="BA47" s="176">
        <f t="shared" si="23"/>
        <v>0</v>
      </c>
      <c r="BB47" s="156">
        <f>SUM(BB7:BB46)</f>
        <v>0</v>
      </c>
      <c r="BC47" s="177">
        <f t="shared" si="23"/>
        <v>0</v>
      </c>
      <c r="BD47" s="176">
        <f t="shared" si="23"/>
        <v>0</v>
      </c>
      <c r="BE47" s="176">
        <f t="shared" si="23"/>
        <v>0</v>
      </c>
      <c r="BF47" s="176">
        <f>SUM(BF7:BF46)</f>
        <v>0</v>
      </c>
      <c r="BG47" s="156">
        <f>SUM(BG7:BG46)</f>
        <v>0</v>
      </c>
      <c r="BH47" s="177">
        <f t="shared" si="23"/>
        <v>0</v>
      </c>
      <c r="BI47" s="176">
        <f t="shared" si="23"/>
        <v>0</v>
      </c>
      <c r="BJ47" s="176">
        <f t="shared" si="23"/>
        <v>0</v>
      </c>
      <c r="BK47" s="176">
        <f t="shared" si="23"/>
        <v>0</v>
      </c>
      <c r="BL47" s="156">
        <f t="shared" si="23"/>
        <v>0</v>
      </c>
      <c r="BM47" s="177">
        <f t="shared" si="23"/>
        <v>0</v>
      </c>
      <c r="BN47" s="176">
        <f t="shared" si="23"/>
        <v>0</v>
      </c>
      <c r="BO47" s="176">
        <f t="shared" si="23"/>
        <v>0</v>
      </c>
      <c r="BP47" s="176">
        <f t="shared" si="23"/>
        <v>0</v>
      </c>
      <c r="BQ47" s="156">
        <f t="shared" si="23"/>
        <v>0</v>
      </c>
      <c r="BR47" s="177">
        <f t="shared" si="23"/>
        <v>36236577</v>
      </c>
      <c r="BS47" s="176">
        <f t="shared" si="23"/>
        <v>105112219</v>
      </c>
      <c r="BT47" s="176">
        <f t="shared" si="23"/>
        <v>944764</v>
      </c>
      <c r="BU47" s="176">
        <f t="shared" si="23"/>
        <v>53681</v>
      </c>
      <c r="BV47" s="156">
        <f>SUM(BV7:BV46)</f>
        <v>142347241</v>
      </c>
      <c r="BW47" s="148"/>
      <c r="BX47" s="393">
        <f t="shared" si="15"/>
        <v>15.08185177605284</v>
      </c>
      <c r="BY47" s="358"/>
      <c r="BZ47" s="185"/>
    </row>
    <row r="48" spans="1:78" x14ac:dyDescent="0.2">
      <c r="A48" s="407" t="s">
        <v>267</v>
      </c>
      <c r="B48" s="389"/>
      <c r="D48" s="406"/>
      <c r="E48" s="201"/>
      <c r="F48" s="158"/>
      <c r="G48" s="158"/>
      <c r="H48" s="158"/>
      <c r="I48" s="202"/>
      <c r="J48" s="201"/>
      <c r="K48" s="158"/>
      <c r="L48" s="158"/>
      <c r="M48" s="158"/>
      <c r="N48" s="202"/>
      <c r="O48" s="158"/>
      <c r="P48" s="158"/>
      <c r="Q48" s="158"/>
      <c r="R48" s="158"/>
      <c r="S48" s="202"/>
      <c r="T48" s="201"/>
      <c r="U48" s="158"/>
      <c r="V48" s="158"/>
      <c r="W48" s="158"/>
      <c r="X48" s="202"/>
      <c r="Y48" s="201"/>
      <c r="Z48" s="158"/>
      <c r="AA48" s="158"/>
      <c r="AB48" s="158"/>
      <c r="AC48" s="202"/>
      <c r="AD48" s="201"/>
      <c r="AE48" s="158"/>
      <c r="AF48" s="158"/>
      <c r="AG48" s="158"/>
      <c r="AH48" s="202"/>
      <c r="AI48" s="201"/>
      <c r="AJ48" s="158"/>
      <c r="AK48" s="158"/>
      <c r="AL48" s="158"/>
      <c r="AM48" s="202"/>
      <c r="AN48" s="201"/>
      <c r="AO48" s="158"/>
      <c r="AP48" s="158"/>
      <c r="AQ48" s="158"/>
      <c r="AR48" s="202"/>
      <c r="AS48" s="201"/>
      <c r="AT48" s="158"/>
      <c r="AU48" s="158"/>
      <c r="AV48" s="158"/>
      <c r="AW48" s="202"/>
      <c r="AX48" s="201"/>
      <c r="AY48" s="158"/>
      <c r="AZ48" s="158"/>
      <c r="BA48" s="158"/>
      <c r="BB48" s="202"/>
      <c r="BC48" s="201"/>
      <c r="BD48" s="158"/>
      <c r="BE48" s="158"/>
      <c r="BF48" s="158"/>
      <c r="BG48" s="202"/>
      <c r="BH48" s="201"/>
      <c r="BI48" s="158"/>
      <c r="BJ48" s="158"/>
      <c r="BK48" s="158"/>
      <c r="BL48" s="202"/>
      <c r="BM48" s="201"/>
      <c r="BN48" s="158"/>
      <c r="BO48" s="158"/>
      <c r="BP48" s="158"/>
      <c r="BQ48" s="202"/>
      <c r="BR48" s="201"/>
      <c r="BS48" s="158"/>
      <c r="BT48" s="158"/>
      <c r="BU48" s="158"/>
      <c r="BV48" s="202"/>
      <c r="BW48" s="148"/>
      <c r="BX48" s="393"/>
      <c r="BY48" s="358"/>
      <c r="BZ48" s="185"/>
    </row>
    <row r="49" spans="1:78" x14ac:dyDescent="0.2">
      <c r="A49" s="385" t="s">
        <v>27</v>
      </c>
      <c r="D49" s="408"/>
      <c r="E49" s="409"/>
      <c r="F49" s="74"/>
      <c r="G49" s="74"/>
      <c r="H49" s="74"/>
      <c r="I49" s="201"/>
      <c r="J49" s="409"/>
      <c r="K49" s="74"/>
      <c r="L49" s="74"/>
      <c r="M49" s="74"/>
      <c r="N49" s="202"/>
      <c r="O49" s="74"/>
      <c r="P49" s="74"/>
      <c r="Q49" s="74"/>
      <c r="R49" s="74"/>
      <c r="S49" s="201"/>
      <c r="T49" s="409"/>
      <c r="U49" s="74"/>
      <c r="V49" s="74"/>
      <c r="W49" s="74"/>
      <c r="X49" s="201"/>
      <c r="Y49" s="409"/>
      <c r="Z49" s="74"/>
      <c r="AA49" s="74"/>
      <c r="AB49" s="74"/>
      <c r="AC49" s="201"/>
      <c r="AD49" s="409"/>
      <c r="AE49" s="74"/>
      <c r="AF49" s="74"/>
      <c r="AG49" s="74"/>
      <c r="AH49" s="201"/>
      <c r="AI49" s="409"/>
      <c r="AJ49" s="74"/>
      <c r="AK49" s="74"/>
      <c r="AL49" s="74"/>
      <c r="AM49" s="201"/>
      <c r="AN49" s="409"/>
      <c r="AO49" s="74"/>
      <c r="AP49" s="74"/>
      <c r="AQ49" s="74"/>
      <c r="AR49" s="201"/>
      <c r="AS49" s="409"/>
      <c r="AT49" s="74"/>
      <c r="AU49" s="74"/>
      <c r="AV49" s="74"/>
      <c r="AW49" s="201"/>
      <c r="AX49" s="409"/>
      <c r="AY49" s="74"/>
      <c r="AZ49" s="74"/>
      <c r="BA49" s="74"/>
      <c r="BB49" s="201"/>
      <c r="BC49" s="409"/>
      <c r="BD49" s="74"/>
      <c r="BE49" s="74"/>
      <c r="BF49" s="74"/>
      <c r="BG49" s="201"/>
      <c r="BH49" s="409"/>
      <c r="BI49" s="74"/>
      <c r="BJ49" s="74"/>
      <c r="BK49" s="74"/>
      <c r="BL49" s="201"/>
      <c r="BM49" s="409"/>
      <c r="BN49" s="74"/>
      <c r="BO49" s="74"/>
      <c r="BP49" s="74"/>
      <c r="BQ49" s="201"/>
      <c r="BR49" s="409"/>
      <c r="BS49" s="74"/>
      <c r="BT49" s="74"/>
      <c r="BU49" s="74"/>
      <c r="BV49" s="201"/>
      <c r="BW49" s="410"/>
      <c r="BX49" s="393"/>
      <c r="BY49" s="358"/>
      <c r="BZ49" s="185"/>
    </row>
    <row r="50" spans="1:78" x14ac:dyDescent="0.2">
      <c r="A50" s="388" t="s">
        <v>268</v>
      </c>
      <c r="B50" s="411"/>
      <c r="C50" s="411"/>
      <c r="D50" s="408"/>
      <c r="E50" s="88">
        <v>5708</v>
      </c>
      <c r="F50" s="88">
        <v>0</v>
      </c>
      <c r="G50" s="88">
        <v>0</v>
      </c>
      <c r="H50" s="88">
        <v>0</v>
      </c>
      <c r="I50" s="181">
        <f t="shared" ref="I50:I56" si="24">SUM(E50:H50)</f>
        <v>5708</v>
      </c>
      <c r="J50" s="391">
        <v>475</v>
      </c>
      <c r="K50" s="88">
        <v>0</v>
      </c>
      <c r="L50" s="88">
        <v>0</v>
      </c>
      <c r="M50" s="88">
        <v>0</v>
      </c>
      <c r="N50" s="181">
        <f>SUM(J50:M50)</f>
        <v>475</v>
      </c>
      <c r="O50" s="88">
        <v>475</v>
      </c>
      <c r="P50" s="88">
        <v>0</v>
      </c>
      <c r="Q50" s="88">
        <v>0</v>
      </c>
      <c r="R50" s="88">
        <v>0</v>
      </c>
      <c r="S50" s="181">
        <f>SUM(O50:R50)</f>
        <v>475</v>
      </c>
      <c r="T50" s="88">
        <v>0</v>
      </c>
      <c r="U50" s="88">
        <v>0</v>
      </c>
      <c r="V50" s="88">
        <v>0</v>
      </c>
      <c r="W50" s="88">
        <v>0</v>
      </c>
      <c r="X50" s="181">
        <f>SUM(T50:W50)</f>
        <v>0</v>
      </c>
      <c r="Y50" s="88">
        <v>0</v>
      </c>
      <c r="Z50" s="88">
        <v>0</v>
      </c>
      <c r="AA50" s="88">
        <v>0</v>
      </c>
      <c r="AB50" s="88">
        <v>0</v>
      </c>
      <c r="AC50" s="181">
        <f>SUM(Y50:AB50)</f>
        <v>0</v>
      </c>
      <c r="AD50" s="88">
        <v>0</v>
      </c>
      <c r="AE50" s="88">
        <v>0</v>
      </c>
      <c r="AF50" s="88">
        <v>0</v>
      </c>
      <c r="AG50" s="88">
        <v>0</v>
      </c>
      <c r="AH50" s="181">
        <f>SUM(AD50:AG50)</f>
        <v>0</v>
      </c>
      <c r="AI50" s="88">
        <v>0</v>
      </c>
      <c r="AJ50" s="88">
        <v>0</v>
      </c>
      <c r="AK50" s="88">
        <v>0</v>
      </c>
      <c r="AL50" s="88">
        <v>0</v>
      </c>
      <c r="AM50" s="181">
        <f>SUM(AI50:AL50)</f>
        <v>0</v>
      </c>
      <c r="AN50" s="88">
        <v>0</v>
      </c>
      <c r="AO50" s="88">
        <v>0</v>
      </c>
      <c r="AP50" s="88">
        <v>0</v>
      </c>
      <c r="AQ50" s="88">
        <v>0</v>
      </c>
      <c r="AR50" s="181">
        <f>SUM(AN50:AQ50)</f>
        <v>0</v>
      </c>
      <c r="AS50" s="88">
        <v>0</v>
      </c>
      <c r="AT50" s="88">
        <v>0</v>
      </c>
      <c r="AU50" s="88">
        <v>0</v>
      </c>
      <c r="AV50" s="88">
        <v>0</v>
      </c>
      <c r="AW50" s="181">
        <f>SUM(AS50:AV50)</f>
        <v>0</v>
      </c>
      <c r="AX50" s="88">
        <v>0</v>
      </c>
      <c r="AY50" s="88">
        <v>0</v>
      </c>
      <c r="AZ50" s="88">
        <v>0</v>
      </c>
      <c r="BA50" s="88">
        <v>0</v>
      </c>
      <c r="BB50" s="181">
        <f>SUM(AX50:BA50)</f>
        <v>0</v>
      </c>
      <c r="BC50" s="88">
        <v>0</v>
      </c>
      <c r="BD50" s="88">
        <v>0</v>
      </c>
      <c r="BE50" s="88">
        <v>0</v>
      </c>
      <c r="BF50" s="88">
        <v>0</v>
      </c>
      <c r="BG50" s="181">
        <f>SUM(BC50:BF50)</f>
        <v>0</v>
      </c>
      <c r="BH50" s="88">
        <v>0</v>
      </c>
      <c r="BI50" s="88">
        <v>0</v>
      </c>
      <c r="BJ50" s="88">
        <v>0</v>
      </c>
      <c r="BK50" s="88">
        <v>0</v>
      </c>
      <c r="BL50" s="181">
        <f>SUM(BH50:BK50)</f>
        <v>0</v>
      </c>
      <c r="BM50" s="88">
        <v>0</v>
      </c>
      <c r="BN50" s="88">
        <v>0</v>
      </c>
      <c r="BO50" s="88">
        <v>0</v>
      </c>
      <c r="BP50" s="88">
        <v>0</v>
      </c>
      <c r="BQ50" s="181">
        <f>SUM(BM50:BP50)</f>
        <v>0</v>
      </c>
      <c r="BR50" s="88">
        <f t="shared" ref="BR50:BT51" si="25">+J50+O50+T50+Y50+AD50+AI50+AN50+AS50+AX50+BC50+BH50+BM50</f>
        <v>950</v>
      </c>
      <c r="BS50" s="88">
        <f t="shared" si="25"/>
        <v>0</v>
      </c>
      <c r="BT50" s="88">
        <f t="shared" si="25"/>
        <v>0</v>
      </c>
      <c r="BU50" s="88">
        <f>+M50+R50+W50+AB50+AG50+AL50+AQ50+AV50+BA50+BF50+BK50+BP50</f>
        <v>0</v>
      </c>
      <c r="BV50" s="181">
        <f>SUM(BR50:BU50)</f>
        <v>950</v>
      </c>
      <c r="BW50" s="148"/>
      <c r="BX50" s="393">
        <f t="shared" si="15"/>
        <v>16.643307638402245</v>
      </c>
      <c r="BY50" s="358"/>
      <c r="BZ50" s="185"/>
    </row>
    <row r="51" spans="1:78" x14ac:dyDescent="0.2">
      <c r="A51" s="388" t="s">
        <v>269</v>
      </c>
      <c r="B51" s="411"/>
      <c r="C51" s="359"/>
      <c r="D51" s="406" t="s">
        <v>87</v>
      </c>
      <c r="E51" s="88">
        <v>600518</v>
      </c>
      <c r="F51" s="88">
        <v>0</v>
      </c>
      <c r="G51" s="88">
        <v>0</v>
      </c>
      <c r="H51" s="88">
        <v>0</v>
      </c>
      <c r="I51" s="181">
        <f t="shared" si="24"/>
        <v>600518</v>
      </c>
      <c r="J51" s="391">
        <v>43960</v>
      </c>
      <c r="K51" s="88">
        <v>0</v>
      </c>
      <c r="L51" s="88">
        <v>0</v>
      </c>
      <c r="M51" s="88">
        <v>0</v>
      </c>
      <c r="N51" s="181">
        <f>SUM(J51:M51)</f>
        <v>43960</v>
      </c>
      <c r="O51" s="88">
        <v>43960</v>
      </c>
      <c r="P51" s="88">
        <v>0</v>
      </c>
      <c r="Q51" s="88">
        <v>0</v>
      </c>
      <c r="R51" s="88">
        <v>0</v>
      </c>
      <c r="S51" s="181">
        <f>SUM(O51:R51)</f>
        <v>43960</v>
      </c>
      <c r="T51" s="88">
        <v>0</v>
      </c>
      <c r="U51" s="88">
        <v>0</v>
      </c>
      <c r="V51" s="88">
        <v>0</v>
      </c>
      <c r="W51" s="88">
        <v>0</v>
      </c>
      <c r="X51" s="181">
        <f>SUM(T51:W51)</f>
        <v>0</v>
      </c>
      <c r="Y51" s="88">
        <v>0</v>
      </c>
      <c r="Z51" s="88">
        <v>0</v>
      </c>
      <c r="AA51" s="88">
        <v>0</v>
      </c>
      <c r="AB51" s="88">
        <v>0</v>
      </c>
      <c r="AC51" s="181">
        <f>SUM(Y51:AB51)</f>
        <v>0</v>
      </c>
      <c r="AD51" s="88">
        <v>0</v>
      </c>
      <c r="AE51" s="88">
        <v>0</v>
      </c>
      <c r="AF51" s="88">
        <v>0</v>
      </c>
      <c r="AG51" s="88">
        <v>0</v>
      </c>
      <c r="AH51" s="181">
        <f>SUM(AD51:AG51)</f>
        <v>0</v>
      </c>
      <c r="AI51" s="88">
        <v>0</v>
      </c>
      <c r="AJ51" s="88">
        <v>0</v>
      </c>
      <c r="AK51" s="88">
        <v>0</v>
      </c>
      <c r="AL51" s="88">
        <v>0</v>
      </c>
      <c r="AM51" s="181">
        <f>SUM(AI51:AL51)</f>
        <v>0</v>
      </c>
      <c r="AN51" s="88">
        <v>0</v>
      </c>
      <c r="AO51" s="88">
        <v>0</v>
      </c>
      <c r="AP51" s="88">
        <v>0</v>
      </c>
      <c r="AQ51" s="88">
        <v>0</v>
      </c>
      <c r="AR51" s="181">
        <f>SUM(AN51:AQ51)</f>
        <v>0</v>
      </c>
      <c r="AS51" s="88">
        <v>0</v>
      </c>
      <c r="AT51" s="88">
        <v>0</v>
      </c>
      <c r="AU51" s="88">
        <v>0</v>
      </c>
      <c r="AV51" s="88">
        <v>0</v>
      </c>
      <c r="AW51" s="181">
        <f>SUM(AS51:AV51)</f>
        <v>0</v>
      </c>
      <c r="AX51" s="88">
        <v>0</v>
      </c>
      <c r="AY51" s="88">
        <v>0</v>
      </c>
      <c r="AZ51" s="88">
        <v>0</v>
      </c>
      <c r="BA51" s="88">
        <v>0</v>
      </c>
      <c r="BB51" s="181">
        <f>SUM(AX51:BA51)</f>
        <v>0</v>
      </c>
      <c r="BC51" s="88">
        <v>0</v>
      </c>
      <c r="BD51" s="88">
        <v>0</v>
      </c>
      <c r="BE51" s="88">
        <v>0</v>
      </c>
      <c r="BF51" s="88">
        <v>0</v>
      </c>
      <c r="BG51" s="181">
        <f>SUM(BC51:BF51)</f>
        <v>0</v>
      </c>
      <c r="BH51" s="88">
        <v>0</v>
      </c>
      <c r="BI51" s="88">
        <v>0</v>
      </c>
      <c r="BJ51" s="88">
        <v>0</v>
      </c>
      <c r="BK51" s="88">
        <v>0</v>
      </c>
      <c r="BL51" s="181">
        <f>SUM(BH51:BK51)</f>
        <v>0</v>
      </c>
      <c r="BM51" s="88">
        <v>0</v>
      </c>
      <c r="BN51" s="88">
        <v>0</v>
      </c>
      <c r="BO51" s="88">
        <v>0</v>
      </c>
      <c r="BP51" s="88">
        <v>0</v>
      </c>
      <c r="BQ51" s="181">
        <f>SUM(BM51:BP51)</f>
        <v>0</v>
      </c>
      <c r="BR51" s="88">
        <f t="shared" si="25"/>
        <v>87920</v>
      </c>
      <c r="BS51" s="88">
        <f t="shared" si="25"/>
        <v>0</v>
      </c>
      <c r="BT51" s="88">
        <f t="shared" si="25"/>
        <v>0</v>
      </c>
      <c r="BU51" s="88">
        <f>+M51+R51+W51+AB51+AG51+AL51+AQ51+AV51+BA51+BF51+BK51+BP51</f>
        <v>0</v>
      </c>
      <c r="BV51" s="181">
        <f>SUM(BR51:BU51)</f>
        <v>87920</v>
      </c>
      <c r="BW51" s="148"/>
      <c r="BX51" s="393">
        <f t="shared" si="15"/>
        <v>14.640693534581811</v>
      </c>
      <c r="BY51" s="358"/>
      <c r="BZ51" s="185"/>
    </row>
    <row r="52" spans="1:78" x14ac:dyDescent="0.2">
      <c r="A52" s="388" t="s">
        <v>270</v>
      </c>
      <c r="B52" s="411"/>
      <c r="C52" s="359"/>
      <c r="D52" s="412"/>
      <c r="E52" s="88">
        <f>SUM(E53:E54)</f>
        <v>204769349.69999999</v>
      </c>
      <c r="F52" s="88">
        <v>0</v>
      </c>
      <c r="G52" s="88">
        <v>0</v>
      </c>
      <c r="H52" s="88">
        <v>0</v>
      </c>
      <c r="I52" s="181">
        <f t="shared" ref="I52:BL52" si="26">SUM(I53:I54)</f>
        <v>204769349.69999999</v>
      </c>
      <c r="J52" s="391">
        <f t="shared" si="26"/>
        <v>3587887</v>
      </c>
      <c r="K52" s="88">
        <f t="shared" si="26"/>
        <v>0</v>
      </c>
      <c r="L52" s="88">
        <f t="shared" si="26"/>
        <v>0</v>
      </c>
      <c r="M52" s="88">
        <f t="shared" si="26"/>
        <v>0</v>
      </c>
      <c r="N52" s="181">
        <f t="shared" si="26"/>
        <v>3587887</v>
      </c>
      <c r="O52" s="88">
        <f>SUM(O53:O54)</f>
        <v>4274259</v>
      </c>
      <c r="P52" s="88">
        <f>SUM(P53:P54)</f>
        <v>0</v>
      </c>
      <c r="Q52" s="88">
        <f>SUM(Q53:Q54)</f>
        <v>0</v>
      </c>
      <c r="R52" s="88">
        <f>SUM(R53:R54)</f>
        <v>0</v>
      </c>
      <c r="S52" s="181">
        <f t="shared" si="26"/>
        <v>4274259</v>
      </c>
      <c r="T52" s="88">
        <f t="shared" si="26"/>
        <v>0</v>
      </c>
      <c r="U52" s="88">
        <f t="shared" si="26"/>
        <v>0</v>
      </c>
      <c r="V52" s="88">
        <f t="shared" si="26"/>
        <v>0</v>
      </c>
      <c r="W52" s="88">
        <f t="shared" si="26"/>
        <v>0</v>
      </c>
      <c r="X52" s="181">
        <f t="shared" si="26"/>
        <v>0</v>
      </c>
      <c r="Y52" s="88">
        <f t="shared" si="26"/>
        <v>0</v>
      </c>
      <c r="Z52" s="88">
        <f t="shared" si="26"/>
        <v>0</v>
      </c>
      <c r="AA52" s="88">
        <f t="shared" si="26"/>
        <v>0</v>
      </c>
      <c r="AB52" s="88">
        <f t="shared" si="26"/>
        <v>0</v>
      </c>
      <c r="AC52" s="181">
        <f t="shared" si="26"/>
        <v>0</v>
      </c>
      <c r="AD52" s="88">
        <f t="shared" si="26"/>
        <v>0</v>
      </c>
      <c r="AE52" s="88">
        <f t="shared" si="26"/>
        <v>0</v>
      </c>
      <c r="AF52" s="88">
        <f t="shared" si="26"/>
        <v>0</v>
      </c>
      <c r="AG52" s="88">
        <f t="shared" si="26"/>
        <v>0</v>
      </c>
      <c r="AH52" s="181">
        <f t="shared" si="26"/>
        <v>0</v>
      </c>
      <c r="AI52" s="88">
        <f t="shared" si="26"/>
        <v>0</v>
      </c>
      <c r="AJ52" s="88">
        <f t="shared" si="26"/>
        <v>0</v>
      </c>
      <c r="AK52" s="88">
        <f t="shared" si="26"/>
        <v>0</v>
      </c>
      <c r="AL52" s="88">
        <f t="shared" si="26"/>
        <v>0</v>
      </c>
      <c r="AM52" s="181">
        <f t="shared" si="26"/>
        <v>0</v>
      </c>
      <c r="AN52" s="88">
        <f t="shared" si="26"/>
        <v>0</v>
      </c>
      <c r="AO52" s="88">
        <f t="shared" si="26"/>
        <v>0</v>
      </c>
      <c r="AP52" s="88">
        <f t="shared" si="26"/>
        <v>0</v>
      </c>
      <c r="AQ52" s="88">
        <f t="shared" si="26"/>
        <v>0</v>
      </c>
      <c r="AR52" s="181">
        <f t="shared" si="26"/>
        <v>0</v>
      </c>
      <c r="AS52" s="88">
        <f t="shared" si="26"/>
        <v>0</v>
      </c>
      <c r="AT52" s="88">
        <f t="shared" si="26"/>
        <v>0</v>
      </c>
      <c r="AU52" s="88">
        <f t="shared" si="26"/>
        <v>0</v>
      </c>
      <c r="AV52" s="88">
        <f t="shared" si="26"/>
        <v>0</v>
      </c>
      <c r="AW52" s="181">
        <f t="shared" si="26"/>
        <v>0</v>
      </c>
      <c r="AX52" s="88">
        <f t="shared" si="26"/>
        <v>0</v>
      </c>
      <c r="AY52" s="88">
        <f t="shared" si="26"/>
        <v>0</v>
      </c>
      <c r="AZ52" s="88">
        <f t="shared" si="26"/>
        <v>0</v>
      </c>
      <c r="BA52" s="88">
        <f t="shared" si="26"/>
        <v>0</v>
      </c>
      <c r="BB52" s="181">
        <f t="shared" si="26"/>
        <v>0</v>
      </c>
      <c r="BC52" s="88">
        <f t="shared" si="26"/>
        <v>0</v>
      </c>
      <c r="BD52" s="88">
        <f t="shared" si="26"/>
        <v>0</v>
      </c>
      <c r="BE52" s="88">
        <f t="shared" si="26"/>
        <v>0</v>
      </c>
      <c r="BF52" s="88">
        <f t="shared" si="26"/>
        <v>0</v>
      </c>
      <c r="BG52" s="181">
        <f t="shared" si="26"/>
        <v>0</v>
      </c>
      <c r="BH52" s="88">
        <f t="shared" si="26"/>
        <v>0</v>
      </c>
      <c r="BI52" s="88">
        <f t="shared" si="26"/>
        <v>0</v>
      </c>
      <c r="BJ52" s="88">
        <f t="shared" si="26"/>
        <v>0</v>
      </c>
      <c r="BK52" s="88">
        <f t="shared" si="26"/>
        <v>0</v>
      </c>
      <c r="BL52" s="181">
        <f t="shared" si="26"/>
        <v>0</v>
      </c>
      <c r="BM52" s="88">
        <v>0</v>
      </c>
      <c r="BN52" s="88">
        <v>0</v>
      </c>
      <c r="BO52" s="88">
        <v>0</v>
      </c>
      <c r="BP52" s="88">
        <v>0</v>
      </c>
      <c r="BQ52" s="181">
        <f t="shared" ref="BQ52:BV52" si="27">SUM(BQ53:BQ54)</f>
        <v>0</v>
      </c>
      <c r="BR52" s="88">
        <f t="shared" si="27"/>
        <v>7862146</v>
      </c>
      <c r="BS52" s="88">
        <f t="shared" si="27"/>
        <v>0</v>
      </c>
      <c r="BT52" s="88">
        <f t="shared" si="27"/>
        <v>0</v>
      </c>
      <c r="BU52" s="88">
        <f t="shared" si="27"/>
        <v>0</v>
      </c>
      <c r="BV52" s="181">
        <f t="shared" si="27"/>
        <v>7862146</v>
      </c>
      <c r="BW52" s="148"/>
      <c r="BX52" s="393">
        <f>(BV52/I52)*100</f>
        <v>3.8395130968177318</v>
      </c>
      <c r="BY52" s="358"/>
      <c r="BZ52" s="358"/>
    </row>
    <row r="53" spans="1:78" s="414" customFormat="1" x14ac:dyDescent="0.2">
      <c r="A53" s="413" t="s">
        <v>132</v>
      </c>
      <c r="C53" s="415"/>
      <c r="D53" s="412"/>
      <c r="E53" s="80">
        <v>204620553.25</v>
      </c>
      <c r="F53" s="80">
        <v>0</v>
      </c>
      <c r="G53" s="80">
        <v>0</v>
      </c>
      <c r="H53" s="80">
        <v>0</v>
      </c>
      <c r="I53" s="218">
        <f>SUM(E53:H53)</f>
        <v>204620553.25</v>
      </c>
      <c r="J53" s="416">
        <v>3587571</v>
      </c>
      <c r="K53" s="80">
        <v>0</v>
      </c>
      <c r="L53" s="80">
        <v>0</v>
      </c>
      <c r="M53" s="80">
        <v>0</v>
      </c>
      <c r="N53" s="218">
        <f t="shared" ref="N53:N67" si="28">SUM(J53:M53)</f>
        <v>3587571</v>
      </c>
      <c r="O53" s="80">
        <v>4257039</v>
      </c>
      <c r="P53" s="80">
        <v>0</v>
      </c>
      <c r="Q53" s="80">
        <v>0</v>
      </c>
      <c r="R53" s="80">
        <v>0</v>
      </c>
      <c r="S53" s="218">
        <f t="shared" ref="S53:S67" si="29">SUM(O53:R53)</f>
        <v>4257039</v>
      </c>
      <c r="T53" s="80">
        <v>0</v>
      </c>
      <c r="U53" s="80">
        <v>0</v>
      </c>
      <c r="V53" s="80">
        <v>0</v>
      </c>
      <c r="W53" s="80">
        <v>0</v>
      </c>
      <c r="X53" s="218">
        <f t="shared" ref="X53:X67" si="30">SUM(T53:W53)</f>
        <v>0</v>
      </c>
      <c r="Y53" s="417">
        <v>0</v>
      </c>
      <c r="Z53" s="80">
        <v>0</v>
      </c>
      <c r="AA53" s="80">
        <v>0</v>
      </c>
      <c r="AB53" s="80">
        <v>0</v>
      </c>
      <c r="AC53" s="218">
        <f t="shared" ref="AC53:AC67" si="31">SUM(Y53:AB53)</f>
        <v>0</v>
      </c>
      <c r="AD53" s="80">
        <v>0</v>
      </c>
      <c r="AE53" s="80">
        <v>0</v>
      </c>
      <c r="AF53" s="80">
        <v>0</v>
      </c>
      <c r="AG53" s="80">
        <v>0</v>
      </c>
      <c r="AH53" s="218">
        <f t="shared" ref="AH53:AH67" si="32">SUM(AD53:AG53)</f>
        <v>0</v>
      </c>
      <c r="AI53" s="80">
        <v>0</v>
      </c>
      <c r="AJ53" s="80">
        <v>0</v>
      </c>
      <c r="AK53" s="80">
        <v>0</v>
      </c>
      <c r="AL53" s="80">
        <v>0</v>
      </c>
      <c r="AM53" s="218">
        <f t="shared" ref="AM53:AM67" si="33">SUM(AI53:AL53)</f>
        <v>0</v>
      </c>
      <c r="AN53" s="80">
        <v>0</v>
      </c>
      <c r="AO53" s="80">
        <v>0</v>
      </c>
      <c r="AP53" s="80">
        <v>0</v>
      </c>
      <c r="AQ53" s="80">
        <v>0</v>
      </c>
      <c r="AR53" s="218">
        <f t="shared" ref="AR53:AR67" si="34">SUM(AN53:AQ53)</f>
        <v>0</v>
      </c>
      <c r="AS53" s="80">
        <v>0</v>
      </c>
      <c r="AT53" s="80">
        <v>0</v>
      </c>
      <c r="AU53" s="80">
        <v>0</v>
      </c>
      <c r="AV53" s="80">
        <v>0</v>
      </c>
      <c r="AW53" s="218">
        <f t="shared" ref="AW53:AW67" si="35">SUM(AS53:AV53)</f>
        <v>0</v>
      </c>
      <c r="AX53" s="80">
        <v>0</v>
      </c>
      <c r="AY53" s="80">
        <v>0</v>
      </c>
      <c r="AZ53" s="80">
        <v>0</v>
      </c>
      <c r="BA53" s="80">
        <v>0</v>
      </c>
      <c r="BB53" s="218">
        <f t="shared" ref="BB53:BB67" si="36">SUM(AX53:BA53)</f>
        <v>0</v>
      </c>
      <c r="BC53" s="80">
        <v>0</v>
      </c>
      <c r="BD53" s="80">
        <v>0</v>
      </c>
      <c r="BE53" s="80">
        <v>0</v>
      </c>
      <c r="BF53" s="80">
        <v>0</v>
      </c>
      <c r="BG53" s="218">
        <f t="shared" ref="BG53:BG67" si="37">SUM(BC53:BF53)</f>
        <v>0</v>
      </c>
      <c r="BH53" s="80">
        <v>0</v>
      </c>
      <c r="BI53" s="80">
        <v>0</v>
      </c>
      <c r="BJ53" s="80">
        <v>0</v>
      </c>
      <c r="BK53" s="80">
        <v>0</v>
      </c>
      <c r="BL53" s="218">
        <f t="shared" ref="BL53:BL67" si="38">SUM(BH53:BK53)</f>
        <v>0</v>
      </c>
      <c r="BM53" s="80">
        <v>0</v>
      </c>
      <c r="BN53" s="80">
        <v>0</v>
      </c>
      <c r="BO53" s="80">
        <v>0</v>
      </c>
      <c r="BP53" s="80">
        <v>0</v>
      </c>
      <c r="BQ53" s="218">
        <f t="shared" ref="BQ53:BQ67" si="39">SUM(BM53:BP53)</f>
        <v>0</v>
      </c>
      <c r="BR53" s="80">
        <f t="shared" ref="BR53:BU67" si="40">+J53+O53+T53+Y53+AD53+AI53+AN53+AS53+AX53+BC53+BH53+BM53</f>
        <v>7844610</v>
      </c>
      <c r="BS53" s="80">
        <f t="shared" si="40"/>
        <v>0</v>
      </c>
      <c r="BT53" s="80">
        <f t="shared" si="40"/>
        <v>0</v>
      </c>
      <c r="BU53" s="80">
        <f>+M53+R53+W53+AB53+AG53+AL53+AQ53+AV53+BA53+BF53+BK53+BP53</f>
        <v>0</v>
      </c>
      <c r="BV53" s="218">
        <f t="shared" ref="BV53:BV67" si="41">SUM(BR53:BU53)</f>
        <v>7844610</v>
      </c>
      <c r="BW53" s="186"/>
      <c r="BX53" s="748">
        <f t="shared" si="15"/>
        <v>3.8337351138014286</v>
      </c>
      <c r="BY53" s="415"/>
      <c r="BZ53" s="415"/>
    </row>
    <row r="54" spans="1:78" s="414" customFormat="1" x14ac:dyDescent="0.2">
      <c r="A54" s="413" t="s">
        <v>271</v>
      </c>
      <c r="C54" s="415"/>
      <c r="D54" s="412"/>
      <c r="E54" s="80">
        <v>148796.45000000001</v>
      </c>
      <c r="F54" s="80">
        <v>0</v>
      </c>
      <c r="G54" s="80">
        <v>0</v>
      </c>
      <c r="H54" s="80">
        <v>0</v>
      </c>
      <c r="I54" s="218">
        <f>SUM(E54:H54)</f>
        <v>148796.45000000001</v>
      </c>
      <c r="J54" s="416">
        <v>316</v>
      </c>
      <c r="K54" s="80">
        <v>0</v>
      </c>
      <c r="L54" s="80">
        <v>0</v>
      </c>
      <c r="M54" s="80">
        <v>0</v>
      </c>
      <c r="N54" s="218">
        <f t="shared" si="28"/>
        <v>316</v>
      </c>
      <c r="O54" s="80">
        <v>17220</v>
      </c>
      <c r="P54" s="80">
        <v>0</v>
      </c>
      <c r="Q54" s="80">
        <v>0</v>
      </c>
      <c r="R54" s="80">
        <v>0</v>
      </c>
      <c r="S54" s="218">
        <f t="shared" si="29"/>
        <v>17220</v>
      </c>
      <c r="T54" s="80">
        <v>0</v>
      </c>
      <c r="U54" s="80">
        <v>0</v>
      </c>
      <c r="V54" s="80">
        <v>0</v>
      </c>
      <c r="W54" s="80">
        <v>0</v>
      </c>
      <c r="X54" s="218">
        <f t="shared" si="30"/>
        <v>0</v>
      </c>
      <c r="Y54" s="417">
        <v>0</v>
      </c>
      <c r="Z54" s="80">
        <v>0</v>
      </c>
      <c r="AA54" s="80">
        <v>0</v>
      </c>
      <c r="AB54" s="80">
        <v>0</v>
      </c>
      <c r="AC54" s="218">
        <f t="shared" si="31"/>
        <v>0</v>
      </c>
      <c r="AD54" s="80">
        <v>0</v>
      </c>
      <c r="AE54" s="80">
        <v>0</v>
      </c>
      <c r="AF54" s="80">
        <v>0</v>
      </c>
      <c r="AG54" s="80">
        <v>0</v>
      </c>
      <c r="AH54" s="218">
        <f t="shared" si="32"/>
        <v>0</v>
      </c>
      <c r="AI54" s="80">
        <v>0</v>
      </c>
      <c r="AJ54" s="80">
        <v>0</v>
      </c>
      <c r="AK54" s="80">
        <v>0</v>
      </c>
      <c r="AL54" s="80">
        <v>0</v>
      </c>
      <c r="AM54" s="218">
        <f t="shared" si="33"/>
        <v>0</v>
      </c>
      <c r="AN54" s="80">
        <v>0</v>
      </c>
      <c r="AO54" s="80">
        <v>0</v>
      </c>
      <c r="AP54" s="80">
        <v>0</v>
      </c>
      <c r="AQ54" s="80">
        <v>0</v>
      </c>
      <c r="AR54" s="218">
        <f t="shared" si="34"/>
        <v>0</v>
      </c>
      <c r="AS54" s="80">
        <v>0</v>
      </c>
      <c r="AT54" s="80">
        <v>0</v>
      </c>
      <c r="AU54" s="80">
        <v>0</v>
      </c>
      <c r="AV54" s="80">
        <v>0</v>
      </c>
      <c r="AW54" s="218">
        <f t="shared" si="35"/>
        <v>0</v>
      </c>
      <c r="AX54" s="80">
        <v>0</v>
      </c>
      <c r="AY54" s="80">
        <v>0</v>
      </c>
      <c r="AZ54" s="80">
        <v>0</v>
      </c>
      <c r="BA54" s="80">
        <v>0</v>
      </c>
      <c r="BB54" s="218">
        <f t="shared" si="36"/>
        <v>0</v>
      </c>
      <c r="BC54" s="80">
        <v>0</v>
      </c>
      <c r="BD54" s="80">
        <v>0</v>
      </c>
      <c r="BE54" s="80">
        <v>0</v>
      </c>
      <c r="BF54" s="80">
        <v>0</v>
      </c>
      <c r="BG54" s="218">
        <f t="shared" si="37"/>
        <v>0</v>
      </c>
      <c r="BH54" s="80">
        <v>0</v>
      </c>
      <c r="BI54" s="80">
        <v>0</v>
      </c>
      <c r="BJ54" s="80">
        <v>0</v>
      </c>
      <c r="BK54" s="80">
        <v>0</v>
      </c>
      <c r="BL54" s="218">
        <f t="shared" si="38"/>
        <v>0</v>
      </c>
      <c r="BM54" s="80">
        <v>0</v>
      </c>
      <c r="BN54" s="80">
        <v>0</v>
      </c>
      <c r="BO54" s="80">
        <v>0</v>
      </c>
      <c r="BP54" s="80">
        <v>0</v>
      </c>
      <c r="BQ54" s="218">
        <f t="shared" si="39"/>
        <v>0</v>
      </c>
      <c r="BR54" s="80">
        <f t="shared" si="40"/>
        <v>17536</v>
      </c>
      <c r="BS54" s="80">
        <f t="shared" si="40"/>
        <v>0</v>
      </c>
      <c r="BT54" s="80">
        <f t="shared" si="40"/>
        <v>0</v>
      </c>
      <c r="BU54" s="80">
        <f>+M54+R54+W54+AB54+AG54+AL54+AQ54+AV54+BA54+BF54+BK54+BP54</f>
        <v>0</v>
      </c>
      <c r="BV54" s="218">
        <f t="shared" si="41"/>
        <v>17536</v>
      </c>
      <c r="BW54" s="186"/>
      <c r="BX54" s="748">
        <f>(BV54/I54)*100</f>
        <v>11.785227402938711</v>
      </c>
      <c r="BY54" s="415"/>
      <c r="BZ54" s="415"/>
    </row>
    <row r="55" spans="1:78" x14ac:dyDescent="0.2">
      <c r="A55" s="388" t="s">
        <v>272</v>
      </c>
      <c r="B55" s="411"/>
      <c r="C55" s="359"/>
      <c r="D55" s="406"/>
      <c r="E55" s="88">
        <v>0</v>
      </c>
      <c r="F55" s="88">
        <v>505553753</v>
      </c>
      <c r="G55" s="88">
        <v>0</v>
      </c>
      <c r="H55" s="88">
        <v>0</v>
      </c>
      <c r="I55" s="181">
        <f t="shared" si="24"/>
        <v>505553753</v>
      </c>
      <c r="J55" s="391">
        <v>0</v>
      </c>
      <c r="K55" s="88">
        <v>42129484</v>
      </c>
      <c r="L55" s="88">
        <v>0</v>
      </c>
      <c r="M55" s="88">
        <v>0</v>
      </c>
      <c r="N55" s="181">
        <f t="shared" si="28"/>
        <v>42129484</v>
      </c>
      <c r="O55" s="88">
        <v>0</v>
      </c>
      <c r="P55" s="88">
        <v>42129482</v>
      </c>
      <c r="Q55" s="88">
        <v>0</v>
      </c>
      <c r="R55" s="88">
        <v>0</v>
      </c>
      <c r="S55" s="181">
        <f t="shared" si="29"/>
        <v>42129482</v>
      </c>
      <c r="T55" s="88">
        <v>0</v>
      </c>
      <c r="U55" s="88">
        <v>0</v>
      </c>
      <c r="V55" s="88">
        <v>0</v>
      </c>
      <c r="W55" s="88">
        <v>0</v>
      </c>
      <c r="X55" s="181">
        <f t="shared" si="30"/>
        <v>0</v>
      </c>
      <c r="Y55" s="88">
        <v>0</v>
      </c>
      <c r="Z55" s="88">
        <v>0</v>
      </c>
      <c r="AA55" s="88">
        <v>0</v>
      </c>
      <c r="AB55" s="88">
        <v>0</v>
      </c>
      <c r="AC55" s="181">
        <f t="shared" si="31"/>
        <v>0</v>
      </c>
      <c r="AD55" s="88">
        <v>0</v>
      </c>
      <c r="AE55" s="88">
        <v>0</v>
      </c>
      <c r="AF55" s="88">
        <v>0</v>
      </c>
      <c r="AG55" s="88">
        <v>0</v>
      </c>
      <c r="AH55" s="181">
        <f t="shared" si="32"/>
        <v>0</v>
      </c>
      <c r="AI55" s="88">
        <v>0</v>
      </c>
      <c r="AJ55" s="88">
        <v>0</v>
      </c>
      <c r="AK55" s="88">
        <v>0</v>
      </c>
      <c r="AL55" s="88">
        <v>0</v>
      </c>
      <c r="AM55" s="181">
        <f t="shared" si="33"/>
        <v>0</v>
      </c>
      <c r="AN55" s="88">
        <v>0</v>
      </c>
      <c r="AO55" s="88">
        <v>0</v>
      </c>
      <c r="AP55" s="88">
        <v>0</v>
      </c>
      <c r="AQ55" s="88">
        <v>0</v>
      </c>
      <c r="AR55" s="181">
        <f t="shared" si="34"/>
        <v>0</v>
      </c>
      <c r="AS55" s="88">
        <v>0</v>
      </c>
      <c r="AT55" s="88">
        <v>0</v>
      </c>
      <c r="AU55" s="88">
        <v>0</v>
      </c>
      <c r="AV55" s="88">
        <v>0</v>
      </c>
      <c r="AW55" s="181">
        <f t="shared" si="35"/>
        <v>0</v>
      </c>
      <c r="AX55" s="88">
        <v>0</v>
      </c>
      <c r="AY55" s="88">
        <v>0</v>
      </c>
      <c r="AZ55" s="88">
        <v>0</v>
      </c>
      <c r="BA55" s="88">
        <v>0</v>
      </c>
      <c r="BB55" s="181">
        <f t="shared" si="36"/>
        <v>0</v>
      </c>
      <c r="BC55" s="88">
        <v>0</v>
      </c>
      <c r="BD55" s="88">
        <v>0</v>
      </c>
      <c r="BE55" s="88">
        <v>0</v>
      </c>
      <c r="BF55" s="88">
        <v>0</v>
      </c>
      <c r="BG55" s="181">
        <f t="shared" si="37"/>
        <v>0</v>
      </c>
      <c r="BH55" s="88">
        <v>0</v>
      </c>
      <c r="BI55" s="88">
        <v>0</v>
      </c>
      <c r="BJ55" s="88">
        <v>0</v>
      </c>
      <c r="BK55" s="88">
        <v>0</v>
      </c>
      <c r="BL55" s="181">
        <f t="shared" si="38"/>
        <v>0</v>
      </c>
      <c r="BM55" s="88">
        <v>0</v>
      </c>
      <c r="BN55" s="88">
        <v>0</v>
      </c>
      <c r="BO55" s="88">
        <v>0</v>
      </c>
      <c r="BP55" s="88">
        <v>0</v>
      </c>
      <c r="BQ55" s="181">
        <f>SUM(BM55:BP55)</f>
        <v>0</v>
      </c>
      <c r="BR55" s="88">
        <f t="shared" si="40"/>
        <v>0</v>
      </c>
      <c r="BS55" s="88">
        <f t="shared" si="40"/>
        <v>84258966</v>
      </c>
      <c r="BT55" s="88">
        <f t="shared" si="40"/>
        <v>0</v>
      </c>
      <c r="BU55" s="88">
        <f>+M55+R55+W55+AB55+AG55+AL55+AQ55+AV55+BA55+BF55+BK55+BP55</f>
        <v>0</v>
      </c>
      <c r="BV55" s="181">
        <f t="shared" si="41"/>
        <v>84258966</v>
      </c>
      <c r="BW55" s="148"/>
      <c r="BX55" s="393">
        <f t="shared" si="15"/>
        <v>16.666668084254137</v>
      </c>
      <c r="BY55" s="136"/>
    </row>
    <row r="56" spans="1:78" x14ac:dyDescent="0.2">
      <c r="A56" s="388" t="s">
        <v>273</v>
      </c>
      <c r="B56" s="411"/>
      <c r="C56" s="359"/>
      <c r="D56" s="408"/>
      <c r="E56" s="88">
        <v>0</v>
      </c>
      <c r="F56" s="88">
        <v>13166793</v>
      </c>
      <c r="G56" s="88">
        <v>0</v>
      </c>
      <c r="H56" s="88">
        <v>0</v>
      </c>
      <c r="I56" s="181">
        <f t="shared" si="24"/>
        <v>13166793</v>
      </c>
      <c r="J56" s="391">
        <v>0</v>
      </c>
      <c r="K56" s="88">
        <v>0</v>
      </c>
      <c r="L56" s="88">
        <v>0</v>
      </c>
      <c r="M56" s="88">
        <v>0</v>
      </c>
      <c r="N56" s="181">
        <f t="shared" si="28"/>
        <v>0</v>
      </c>
      <c r="O56" s="88">
        <v>0</v>
      </c>
      <c r="P56" s="88">
        <v>0</v>
      </c>
      <c r="Q56" s="88">
        <v>0</v>
      </c>
      <c r="R56" s="88">
        <v>0</v>
      </c>
      <c r="S56" s="181">
        <f t="shared" si="29"/>
        <v>0</v>
      </c>
      <c r="T56" s="88">
        <v>0</v>
      </c>
      <c r="U56" s="88">
        <v>0</v>
      </c>
      <c r="V56" s="88">
        <v>0</v>
      </c>
      <c r="W56" s="88">
        <v>0</v>
      </c>
      <c r="X56" s="181">
        <f t="shared" si="30"/>
        <v>0</v>
      </c>
      <c r="Y56" s="88">
        <v>0</v>
      </c>
      <c r="Z56" s="88">
        <v>0</v>
      </c>
      <c r="AA56" s="88">
        <v>0</v>
      </c>
      <c r="AB56" s="88">
        <v>0</v>
      </c>
      <c r="AC56" s="181">
        <f t="shared" si="31"/>
        <v>0</v>
      </c>
      <c r="AD56" s="88">
        <v>0</v>
      </c>
      <c r="AE56" s="88">
        <v>0</v>
      </c>
      <c r="AF56" s="88">
        <v>0</v>
      </c>
      <c r="AG56" s="88">
        <v>0</v>
      </c>
      <c r="AH56" s="181">
        <f t="shared" si="32"/>
        <v>0</v>
      </c>
      <c r="AI56" s="88">
        <v>0</v>
      </c>
      <c r="AJ56" s="88">
        <v>0</v>
      </c>
      <c r="AK56" s="88">
        <v>0</v>
      </c>
      <c r="AL56" s="88">
        <v>0</v>
      </c>
      <c r="AM56" s="181">
        <f t="shared" si="33"/>
        <v>0</v>
      </c>
      <c r="AN56" s="88">
        <v>0</v>
      </c>
      <c r="AO56" s="88">
        <v>0</v>
      </c>
      <c r="AP56" s="88">
        <v>0</v>
      </c>
      <c r="AQ56" s="88">
        <v>0</v>
      </c>
      <c r="AR56" s="181">
        <f t="shared" si="34"/>
        <v>0</v>
      </c>
      <c r="AS56" s="88">
        <v>0</v>
      </c>
      <c r="AT56" s="88">
        <v>0</v>
      </c>
      <c r="AU56" s="88">
        <v>0</v>
      </c>
      <c r="AV56" s="88">
        <v>0</v>
      </c>
      <c r="AW56" s="181">
        <f t="shared" si="35"/>
        <v>0</v>
      </c>
      <c r="AX56" s="88">
        <v>0</v>
      </c>
      <c r="AY56" s="88">
        <v>0</v>
      </c>
      <c r="AZ56" s="88">
        <v>0</v>
      </c>
      <c r="BA56" s="88">
        <v>0</v>
      </c>
      <c r="BB56" s="181">
        <f t="shared" si="36"/>
        <v>0</v>
      </c>
      <c r="BC56" s="88">
        <v>0</v>
      </c>
      <c r="BD56" s="88">
        <v>0</v>
      </c>
      <c r="BE56" s="88">
        <v>0</v>
      </c>
      <c r="BF56" s="88">
        <v>0</v>
      </c>
      <c r="BG56" s="181">
        <f t="shared" si="37"/>
        <v>0</v>
      </c>
      <c r="BH56" s="88">
        <v>0</v>
      </c>
      <c r="BI56" s="88">
        <v>0</v>
      </c>
      <c r="BJ56" s="88">
        <v>0</v>
      </c>
      <c r="BK56" s="88">
        <v>0</v>
      </c>
      <c r="BL56" s="181">
        <f t="shared" si="38"/>
        <v>0</v>
      </c>
      <c r="BM56" s="88">
        <v>0</v>
      </c>
      <c r="BN56" s="88">
        <v>0</v>
      </c>
      <c r="BO56" s="88">
        <v>0</v>
      </c>
      <c r="BP56" s="88">
        <v>0</v>
      </c>
      <c r="BQ56" s="181">
        <f t="shared" si="39"/>
        <v>0</v>
      </c>
      <c r="BR56" s="88">
        <f t="shared" si="40"/>
        <v>0</v>
      </c>
      <c r="BS56" s="88">
        <f t="shared" si="40"/>
        <v>0</v>
      </c>
      <c r="BT56" s="88">
        <f t="shared" si="40"/>
        <v>0</v>
      </c>
      <c r="BU56" s="88">
        <f>+M56+R56+W56+AB56+AG56+AL56+AQ56+AV56+BA56+BF56+BK56+BP56</f>
        <v>0</v>
      </c>
      <c r="BV56" s="181">
        <f t="shared" si="41"/>
        <v>0</v>
      </c>
      <c r="BW56" s="148"/>
      <c r="BX56" s="393">
        <f t="shared" si="15"/>
        <v>0</v>
      </c>
    </row>
    <row r="57" spans="1:78" ht="12" customHeight="1" x14ac:dyDescent="0.2">
      <c r="A57" s="388" t="s">
        <v>274</v>
      </c>
      <c r="B57" s="411"/>
      <c r="C57" s="359"/>
      <c r="D57" s="406" t="s">
        <v>89</v>
      </c>
      <c r="E57" s="88">
        <v>0</v>
      </c>
      <c r="F57" s="88">
        <v>0</v>
      </c>
      <c r="G57" s="88">
        <v>0</v>
      </c>
      <c r="H57" s="88">
        <v>468468</v>
      </c>
      <c r="I57" s="181">
        <f t="shared" ref="I57:I67" si="42">SUM(E57:H57)</f>
        <v>468468</v>
      </c>
      <c r="J57" s="391">
        <v>0</v>
      </c>
      <c r="K57" s="88">
        <v>0</v>
      </c>
      <c r="L57" s="88">
        <v>0</v>
      </c>
      <c r="M57" s="88">
        <f>-[61]original!$G$40</f>
        <v>131872</v>
      </c>
      <c r="N57" s="181">
        <f t="shared" si="28"/>
        <v>131872</v>
      </c>
      <c r="O57" s="88">
        <v>0</v>
      </c>
      <c r="P57" s="88">
        <v>0</v>
      </c>
      <c r="Q57" s="88">
        <v>0</v>
      </c>
      <c r="R57" s="88">
        <f>-[62]original!$H$40</f>
        <v>83878</v>
      </c>
      <c r="S57" s="181">
        <f>SUM(O57:R57)</f>
        <v>83878</v>
      </c>
      <c r="T57" s="88">
        <v>0</v>
      </c>
      <c r="U57" s="88">
        <v>0</v>
      </c>
      <c r="V57" s="88">
        <v>0</v>
      </c>
      <c r="W57" s="88">
        <v>0</v>
      </c>
      <c r="X57" s="181">
        <f t="shared" si="30"/>
        <v>0</v>
      </c>
      <c r="Y57" s="88">
        <v>0</v>
      </c>
      <c r="Z57" s="88">
        <v>0</v>
      </c>
      <c r="AA57" s="88">
        <v>0</v>
      </c>
      <c r="AB57" s="88">
        <v>0</v>
      </c>
      <c r="AC57" s="181">
        <f t="shared" si="31"/>
        <v>0</v>
      </c>
      <c r="AD57" s="88">
        <v>0</v>
      </c>
      <c r="AE57" s="88">
        <v>0</v>
      </c>
      <c r="AF57" s="88">
        <v>0</v>
      </c>
      <c r="AG57" s="88">
        <v>0</v>
      </c>
      <c r="AH57" s="181">
        <f t="shared" ref="AH57:AH64" si="43">SUM(AD57:AG57)</f>
        <v>0</v>
      </c>
      <c r="AI57" s="88">
        <v>0</v>
      </c>
      <c r="AJ57" s="88">
        <v>0</v>
      </c>
      <c r="AK57" s="88">
        <v>0</v>
      </c>
      <c r="AL57" s="88">
        <v>0</v>
      </c>
      <c r="AM57" s="181">
        <f>SUM(AI57:AL57)</f>
        <v>0</v>
      </c>
      <c r="AN57" s="88">
        <v>0</v>
      </c>
      <c r="AO57" s="88">
        <v>0</v>
      </c>
      <c r="AP57" s="88">
        <v>0</v>
      </c>
      <c r="AQ57" s="88">
        <v>0</v>
      </c>
      <c r="AR57" s="181">
        <f t="shared" si="34"/>
        <v>0</v>
      </c>
      <c r="AS57" s="88">
        <v>0</v>
      </c>
      <c r="AT57" s="88">
        <v>0</v>
      </c>
      <c r="AU57" s="88">
        <v>0</v>
      </c>
      <c r="AV57" s="88">
        <v>0</v>
      </c>
      <c r="AW57" s="181">
        <f t="shared" si="35"/>
        <v>0</v>
      </c>
      <c r="AX57" s="88">
        <v>0</v>
      </c>
      <c r="AY57" s="88">
        <v>0</v>
      </c>
      <c r="AZ57" s="88">
        <v>0</v>
      </c>
      <c r="BA57" s="88">
        <v>0</v>
      </c>
      <c r="BB57" s="181">
        <f>SUM(AX57:BA57)</f>
        <v>0</v>
      </c>
      <c r="BC57" s="88">
        <v>0</v>
      </c>
      <c r="BD57" s="88">
        <v>0</v>
      </c>
      <c r="BE57" s="88">
        <v>0</v>
      </c>
      <c r="BF57" s="88">
        <v>0</v>
      </c>
      <c r="BG57" s="181">
        <f t="shared" si="37"/>
        <v>0</v>
      </c>
      <c r="BH57" s="88">
        <v>0</v>
      </c>
      <c r="BI57" s="88">
        <v>0</v>
      </c>
      <c r="BJ57" s="88">
        <v>0</v>
      </c>
      <c r="BK57" s="88">
        <v>0</v>
      </c>
      <c r="BL57" s="181">
        <f t="shared" si="38"/>
        <v>0</v>
      </c>
      <c r="BM57" s="88">
        <v>0</v>
      </c>
      <c r="BN57" s="88">
        <v>0</v>
      </c>
      <c r="BO57" s="88">
        <v>0</v>
      </c>
      <c r="BP57" s="88">
        <v>0</v>
      </c>
      <c r="BQ57" s="181">
        <f t="shared" si="39"/>
        <v>0</v>
      </c>
      <c r="BR57" s="88">
        <f t="shared" si="40"/>
        <v>0</v>
      </c>
      <c r="BS57" s="88">
        <f t="shared" si="40"/>
        <v>0</v>
      </c>
      <c r="BT57" s="88">
        <f t="shared" si="40"/>
        <v>0</v>
      </c>
      <c r="BU57" s="88">
        <f>+M57+R57+W57+AB57+AG57+AL57+AQ57+AV57+BA57+BF57+BK57+BP57</f>
        <v>215750</v>
      </c>
      <c r="BV57" s="181">
        <f t="shared" si="41"/>
        <v>215750</v>
      </c>
      <c r="BW57" s="148"/>
      <c r="BX57" s="393">
        <f>(BV57/I57)*100</f>
        <v>46.054372977449901</v>
      </c>
    </row>
    <row r="58" spans="1:78" x14ac:dyDescent="0.2">
      <c r="A58" s="388" t="s">
        <v>573</v>
      </c>
      <c r="B58" s="411"/>
      <c r="C58" s="359"/>
      <c r="D58" s="406" t="s">
        <v>117</v>
      </c>
      <c r="E58" s="88">
        <v>0</v>
      </c>
      <c r="F58" s="88">
        <v>0</v>
      </c>
      <c r="G58" s="88">
        <v>0</v>
      </c>
      <c r="H58" s="88">
        <v>0</v>
      </c>
      <c r="I58" s="181">
        <f t="shared" si="42"/>
        <v>0</v>
      </c>
      <c r="J58" s="391">
        <v>0</v>
      </c>
      <c r="K58" s="88">
        <v>0</v>
      </c>
      <c r="L58" s="88">
        <v>0</v>
      </c>
      <c r="M58" s="88">
        <v>13500000</v>
      </c>
      <c r="N58" s="181">
        <f t="shared" si="28"/>
        <v>13500000</v>
      </c>
      <c r="O58" s="88">
        <v>0</v>
      </c>
      <c r="P58" s="88">
        <v>0</v>
      </c>
      <c r="Q58" s="88">
        <v>0</v>
      </c>
      <c r="R58" s="88">
        <v>0</v>
      </c>
      <c r="S58" s="181">
        <f t="shared" si="29"/>
        <v>0</v>
      </c>
      <c r="T58" s="88">
        <v>0</v>
      </c>
      <c r="U58" s="88">
        <v>0</v>
      </c>
      <c r="V58" s="88">
        <v>0</v>
      </c>
      <c r="W58" s="88">
        <v>0</v>
      </c>
      <c r="X58" s="181">
        <f t="shared" si="30"/>
        <v>0</v>
      </c>
      <c r="Y58" s="88">
        <v>0</v>
      </c>
      <c r="Z58" s="88">
        <v>0</v>
      </c>
      <c r="AA58" s="88">
        <v>0</v>
      </c>
      <c r="AB58" s="88">
        <v>0</v>
      </c>
      <c r="AC58" s="181">
        <f t="shared" si="31"/>
        <v>0</v>
      </c>
      <c r="AD58" s="88">
        <v>0</v>
      </c>
      <c r="AE58" s="88">
        <v>0</v>
      </c>
      <c r="AF58" s="88">
        <v>0</v>
      </c>
      <c r="AG58" s="88">
        <v>0</v>
      </c>
      <c r="AH58" s="181">
        <f t="shared" si="43"/>
        <v>0</v>
      </c>
      <c r="AI58" s="88">
        <v>0</v>
      </c>
      <c r="AJ58" s="88">
        <v>0</v>
      </c>
      <c r="AK58" s="88">
        <v>0</v>
      </c>
      <c r="AL58" s="88">
        <v>0</v>
      </c>
      <c r="AM58" s="181">
        <f t="shared" si="33"/>
        <v>0</v>
      </c>
      <c r="AN58" s="88">
        <v>0</v>
      </c>
      <c r="AO58" s="88">
        <v>0</v>
      </c>
      <c r="AP58" s="88">
        <v>0</v>
      </c>
      <c r="AQ58" s="88">
        <v>0</v>
      </c>
      <c r="AR58" s="181">
        <f t="shared" si="34"/>
        <v>0</v>
      </c>
      <c r="AS58" s="88">
        <v>0</v>
      </c>
      <c r="AT58" s="88">
        <v>0</v>
      </c>
      <c r="AU58" s="88">
        <v>0</v>
      </c>
      <c r="AV58" s="88">
        <v>0</v>
      </c>
      <c r="AW58" s="181">
        <f t="shared" si="35"/>
        <v>0</v>
      </c>
      <c r="AX58" s="88">
        <v>0</v>
      </c>
      <c r="AY58" s="88">
        <v>0</v>
      </c>
      <c r="AZ58" s="88">
        <v>0</v>
      </c>
      <c r="BA58" s="88">
        <v>0</v>
      </c>
      <c r="BB58" s="181">
        <f t="shared" si="36"/>
        <v>0</v>
      </c>
      <c r="BC58" s="88">
        <v>0</v>
      </c>
      <c r="BD58" s="88">
        <v>0</v>
      </c>
      <c r="BE58" s="88">
        <v>0</v>
      </c>
      <c r="BF58" s="88">
        <v>0</v>
      </c>
      <c r="BG58" s="181">
        <f t="shared" si="37"/>
        <v>0</v>
      </c>
      <c r="BH58" s="88">
        <v>0</v>
      </c>
      <c r="BI58" s="88">
        <v>0</v>
      </c>
      <c r="BJ58" s="88">
        <v>0</v>
      </c>
      <c r="BK58" s="88">
        <v>0</v>
      </c>
      <c r="BL58" s="181">
        <f t="shared" si="38"/>
        <v>0</v>
      </c>
      <c r="BM58" s="88">
        <v>0</v>
      </c>
      <c r="BN58" s="88">
        <v>0</v>
      </c>
      <c r="BO58" s="88">
        <v>0</v>
      </c>
      <c r="BP58" s="88">
        <v>0</v>
      </c>
      <c r="BQ58" s="181">
        <f t="shared" si="39"/>
        <v>0</v>
      </c>
      <c r="BR58" s="88">
        <f t="shared" si="40"/>
        <v>0</v>
      </c>
      <c r="BS58" s="88">
        <f t="shared" si="40"/>
        <v>0</v>
      </c>
      <c r="BT58" s="88">
        <f t="shared" si="40"/>
        <v>0</v>
      </c>
      <c r="BU58" s="88">
        <f t="shared" si="40"/>
        <v>13500000</v>
      </c>
      <c r="BV58" s="181">
        <f t="shared" ref="BV58:BV63" si="44">SUM(BR58:BU58)</f>
        <v>13500000</v>
      </c>
      <c r="BW58" s="148"/>
      <c r="BX58" s="393">
        <v>0</v>
      </c>
    </row>
    <row r="59" spans="1:78" hidden="1" x14ac:dyDescent="0.2">
      <c r="A59" s="388" t="s">
        <v>574</v>
      </c>
      <c r="B59" s="411"/>
      <c r="C59" s="359"/>
      <c r="D59" s="406" t="s">
        <v>117</v>
      </c>
      <c r="E59" s="88">
        <v>0</v>
      </c>
      <c r="F59" s="88">
        <v>0</v>
      </c>
      <c r="G59" s="88">
        <v>0</v>
      </c>
      <c r="H59" s="88">
        <v>0</v>
      </c>
      <c r="I59" s="181">
        <f t="shared" si="42"/>
        <v>0</v>
      </c>
      <c r="J59" s="391">
        <v>0</v>
      </c>
      <c r="K59" s="88">
        <v>0</v>
      </c>
      <c r="L59" s="88">
        <v>0</v>
      </c>
      <c r="M59" s="88">
        <v>0</v>
      </c>
      <c r="N59" s="181">
        <f t="shared" si="28"/>
        <v>0</v>
      </c>
      <c r="O59" s="88">
        <v>0</v>
      </c>
      <c r="P59" s="88">
        <v>0</v>
      </c>
      <c r="Q59" s="88">
        <v>0</v>
      </c>
      <c r="R59" s="88">
        <v>0</v>
      </c>
      <c r="S59" s="181">
        <f>SUM(O59:R59)</f>
        <v>0</v>
      </c>
      <c r="T59" s="88">
        <v>0</v>
      </c>
      <c r="U59" s="88">
        <v>0</v>
      </c>
      <c r="V59" s="88">
        <v>0</v>
      </c>
      <c r="W59" s="88">
        <v>0</v>
      </c>
      <c r="X59" s="181">
        <f t="shared" si="30"/>
        <v>0</v>
      </c>
      <c r="Y59" s="88">
        <v>0</v>
      </c>
      <c r="Z59" s="88">
        <v>0</v>
      </c>
      <c r="AA59" s="88">
        <v>0</v>
      </c>
      <c r="AB59" s="88">
        <v>0</v>
      </c>
      <c r="AC59" s="181">
        <f>SUM(Y59:AB59)</f>
        <v>0</v>
      </c>
      <c r="AD59" s="88">
        <v>0</v>
      </c>
      <c r="AE59" s="88">
        <v>0</v>
      </c>
      <c r="AF59" s="88">
        <v>0</v>
      </c>
      <c r="AG59" s="88">
        <v>0</v>
      </c>
      <c r="AH59" s="181">
        <f t="shared" si="43"/>
        <v>0</v>
      </c>
      <c r="AI59" s="88">
        <v>0</v>
      </c>
      <c r="AJ59" s="88">
        <v>0</v>
      </c>
      <c r="AK59" s="88">
        <v>0</v>
      </c>
      <c r="AL59" s="88">
        <v>0</v>
      </c>
      <c r="AM59" s="181">
        <f>SUM(AI59:AL59)</f>
        <v>0</v>
      </c>
      <c r="AN59" s="88">
        <v>0</v>
      </c>
      <c r="AO59" s="88">
        <v>0</v>
      </c>
      <c r="AP59" s="88">
        <v>0</v>
      </c>
      <c r="AQ59" s="88">
        <v>0</v>
      </c>
      <c r="AR59" s="181">
        <f t="shared" si="34"/>
        <v>0</v>
      </c>
      <c r="AS59" s="88">
        <v>0</v>
      </c>
      <c r="AT59" s="88">
        <v>0</v>
      </c>
      <c r="AU59" s="88">
        <v>0</v>
      </c>
      <c r="AV59" s="88">
        <v>0</v>
      </c>
      <c r="AW59" s="181">
        <f t="shared" si="35"/>
        <v>0</v>
      </c>
      <c r="AX59" s="88">
        <v>0</v>
      </c>
      <c r="AY59" s="88">
        <v>0</v>
      </c>
      <c r="AZ59" s="88">
        <v>0</v>
      </c>
      <c r="BA59" s="88">
        <v>0</v>
      </c>
      <c r="BB59" s="181">
        <f t="shared" si="36"/>
        <v>0</v>
      </c>
      <c r="BC59" s="88">
        <v>0</v>
      </c>
      <c r="BD59" s="88">
        <v>0</v>
      </c>
      <c r="BE59" s="88">
        <v>0</v>
      </c>
      <c r="BF59" s="88">
        <v>0</v>
      </c>
      <c r="BG59" s="181">
        <f t="shared" si="37"/>
        <v>0</v>
      </c>
      <c r="BH59" s="88">
        <v>0</v>
      </c>
      <c r="BI59" s="88">
        <v>0</v>
      </c>
      <c r="BJ59" s="88">
        <v>0</v>
      </c>
      <c r="BK59" s="88">
        <v>0</v>
      </c>
      <c r="BL59" s="181">
        <f t="shared" si="38"/>
        <v>0</v>
      </c>
      <c r="BM59" s="88">
        <v>0</v>
      </c>
      <c r="BN59" s="88">
        <v>0</v>
      </c>
      <c r="BO59" s="88">
        <v>0</v>
      </c>
      <c r="BP59" s="88">
        <v>0</v>
      </c>
      <c r="BQ59" s="181">
        <f t="shared" si="39"/>
        <v>0</v>
      </c>
      <c r="BR59" s="88">
        <f t="shared" si="40"/>
        <v>0</v>
      </c>
      <c r="BS59" s="88">
        <f t="shared" si="40"/>
        <v>0</v>
      </c>
      <c r="BT59" s="88">
        <f t="shared" si="40"/>
        <v>0</v>
      </c>
      <c r="BU59" s="88">
        <f t="shared" si="40"/>
        <v>0</v>
      </c>
      <c r="BV59" s="181">
        <f t="shared" si="44"/>
        <v>0</v>
      </c>
      <c r="BW59" s="148"/>
      <c r="BX59" s="393">
        <v>0</v>
      </c>
    </row>
    <row r="60" spans="1:78" hidden="1" x14ac:dyDescent="0.2">
      <c r="A60" s="413" t="s">
        <v>575</v>
      </c>
      <c r="B60" s="411"/>
      <c r="C60" s="359"/>
      <c r="D60" s="406"/>
      <c r="E60" s="88">
        <v>0</v>
      </c>
      <c r="F60" s="88">
        <v>0</v>
      </c>
      <c r="G60" s="88">
        <v>0</v>
      </c>
      <c r="H60" s="88">
        <v>0</v>
      </c>
      <c r="I60" s="181">
        <f>SUM(E60:H60)</f>
        <v>0</v>
      </c>
      <c r="J60" s="391">
        <v>0</v>
      </c>
      <c r="K60" s="88">
        <v>0</v>
      </c>
      <c r="L60" s="88">
        <v>0</v>
      </c>
      <c r="M60" s="88">
        <v>0</v>
      </c>
      <c r="N60" s="181">
        <f t="shared" si="28"/>
        <v>0</v>
      </c>
      <c r="O60" s="88">
        <v>0</v>
      </c>
      <c r="P60" s="88">
        <v>0</v>
      </c>
      <c r="Q60" s="88">
        <v>0</v>
      </c>
      <c r="R60" s="88">
        <v>0</v>
      </c>
      <c r="S60" s="181">
        <f>SUM(O60:R60)</f>
        <v>0</v>
      </c>
      <c r="T60" s="88">
        <v>0</v>
      </c>
      <c r="U60" s="88">
        <v>0</v>
      </c>
      <c r="V60" s="88">
        <v>0</v>
      </c>
      <c r="W60" s="88">
        <v>0</v>
      </c>
      <c r="X60" s="181">
        <f t="shared" si="30"/>
        <v>0</v>
      </c>
      <c r="Y60" s="88">
        <v>0</v>
      </c>
      <c r="Z60" s="88">
        <v>0</v>
      </c>
      <c r="AA60" s="88">
        <v>0</v>
      </c>
      <c r="AB60" s="88">
        <v>0</v>
      </c>
      <c r="AC60" s="181">
        <f>SUM(Y60:AB60)</f>
        <v>0</v>
      </c>
      <c r="AD60" s="80">
        <v>0</v>
      </c>
      <c r="AE60" s="80">
        <v>0</v>
      </c>
      <c r="AF60" s="80">
        <v>0</v>
      </c>
      <c r="AG60" s="80">
        <v>0</v>
      </c>
      <c r="AH60" s="218">
        <f t="shared" si="43"/>
        <v>0</v>
      </c>
      <c r="AI60" s="88">
        <v>0</v>
      </c>
      <c r="AJ60" s="88">
        <v>0</v>
      </c>
      <c r="AK60" s="88">
        <v>0</v>
      </c>
      <c r="AL60" s="80">
        <v>0</v>
      </c>
      <c r="AM60" s="218">
        <f>SUM(AI60:AL60)</f>
        <v>0</v>
      </c>
      <c r="AN60" s="88">
        <v>0</v>
      </c>
      <c r="AO60" s="88">
        <v>0</v>
      </c>
      <c r="AP60" s="88">
        <v>0</v>
      </c>
      <c r="AQ60" s="88">
        <v>0</v>
      </c>
      <c r="AR60" s="181">
        <f t="shared" si="34"/>
        <v>0</v>
      </c>
      <c r="AS60" s="88">
        <v>0</v>
      </c>
      <c r="AT60" s="88">
        <v>0</v>
      </c>
      <c r="AU60" s="88">
        <v>0</v>
      </c>
      <c r="AV60" s="88">
        <v>0</v>
      </c>
      <c r="AW60" s="181">
        <f t="shared" si="35"/>
        <v>0</v>
      </c>
      <c r="AX60" s="88">
        <v>0</v>
      </c>
      <c r="AY60" s="88">
        <v>0</v>
      </c>
      <c r="AZ60" s="88">
        <v>0</v>
      </c>
      <c r="BA60" s="88">
        <v>0</v>
      </c>
      <c r="BB60" s="181">
        <f t="shared" si="36"/>
        <v>0</v>
      </c>
      <c r="BC60" s="88">
        <v>0</v>
      </c>
      <c r="BD60" s="88">
        <v>0</v>
      </c>
      <c r="BE60" s="88">
        <v>0</v>
      </c>
      <c r="BF60" s="88">
        <v>0</v>
      </c>
      <c r="BG60" s="181">
        <f t="shared" si="37"/>
        <v>0</v>
      </c>
      <c r="BH60" s="88">
        <v>0</v>
      </c>
      <c r="BI60" s="88">
        <v>0</v>
      </c>
      <c r="BJ60" s="88">
        <v>0</v>
      </c>
      <c r="BK60" s="88">
        <v>0</v>
      </c>
      <c r="BL60" s="181">
        <f t="shared" si="38"/>
        <v>0</v>
      </c>
      <c r="BM60" s="88">
        <v>0</v>
      </c>
      <c r="BN60" s="88">
        <v>0</v>
      </c>
      <c r="BO60" s="88">
        <v>0</v>
      </c>
      <c r="BP60" s="88">
        <v>0</v>
      </c>
      <c r="BQ60" s="181">
        <f t="shared" si="39"/>
        <v>0</v>
      </c>
      <c r="BR60" s="80">
        <f t="shared" si="40"/>
        <v>0</v>
      </c>
      <c r="BS60" s="80">
        <f t="shared" si="40"/>
        <v>0</v>
      </c>
      <c r="BT60" s="80">
        <f t="shared" si="40"/>
        <v>0</v>
      </c>
      <c r="BU60" s="80">
        <f>+M60+R60+W60+AB60+AG60+AL60+AQ60+AV60+BA60+BF60+BK60+BP60</f>
        <v>0</v>
      </c>
      <c r="BV60" s="218">
        <f t="shared" si="44"/>
        <v>0</v>
      </c>
      <c r="BW60" s="148"/>
      <c r="BX60" s="393">
        <v>0</v>
      </c>
    </row>
    <row r="61" spans="1:78" hidden="1" x14ac:dyDescent="0.2">
      <c r="A61" s="413" t="s">
        <v>576</v>
      </c>
      <c r="B61" s="411"/>
      <c r="C61" s="359"/>
      <c r="D61" s="406"/>
      <c r="E61" s="88">
        <v>0</v>
      </c>
      <c r="F61" s="88">
        <v>0</v>
      </c>
      <c r="G61" s="88">
        <v>0</v>
      </c>
      <c r="H61" s="88">
        <v>0</v>
      </c>
      <c r="I61" s="181">
        <f>SUM(E61:H61)</f>
        <v>0</v>
      </c>
      <c r="J61" s="391">
        <v>0</v>
      </c>
      <c r="K61" s="88">
        <v>0</v>
      </c>
      <c r="L61" s="88">
        <v>0</v>
      </c>
      <c r="M61" s="88">
        <v>0</v>
      </c>
      <c r="N61" s="181">
        <f t="shared" si="28"/>
        <v>0</v>
      </c>
      <c r="O61" s="88">
        <v>0</v>
      </c>
      <c r="P61" s="88">
        <v>0</v>
      </c>
      <c r="Q61" s="88">
        <v>0</v>
      </c>
      <c r="R61" s="88">
        <v>0</v>
      </c>
      <c r="S61" s="181">
        <f>SUM(O61:R61)</f>
        <v>0</v>
      </c>
      <c r="T61" s="88">
        <v>0</v>
      </c>
      <c r="U61" s="88">
        <v>0</v>
      </c>
      <c r="V61" s="88">
        <v>0</v>
      </c>
      <c r="W61" s="88">
        <v>0</v>
      </c>
      <c r="X61" s="181">
        <f t="shared" si="30"/>
        <v>0</v>
      </c>
      <c r="Y61" s="88">
        <v>0</v>
      </c>
      <c r="Z61" s="88">
        <v>0</v>
      </c>
      <c r="AA61" s="88">
        <v>0</v>
      </c>
      <c r="AB61" s="88">
        <v>0</v>
      </c>
      <c r="AC61" s="181">
        <f>SUM(Y61:AB61)</f>
        <v>0</v>
      </c>
      <c r="AD61" s="80">
        <v>0</v>
      </c>
      <c r="AE61" s="80">
        <v>0</v>
      </c>
      <c r="AF61" s="80">
        <v>0</v>
      </c>
      <c r="AG61" s="80">
        <v>0</v>
      </c>
      <c r="AH61" s="218">
        <f t="shared" si="43"/>
        <v>0</v>
      </c>
      <c r="AI61" s="88">
        <v>0</v>
      </c>
      <c r="AJ61" s="88">
        <v>0</v>
      </c>
      <c r="AK61" s="88">
        <v>0</v>
      </c>
      <c r="AL61" s="88">
        <v>0</v>
      </c>
      <c r="AM61" s="181">
        <f>SUM(AI61:AL61)</f>
        <v>0</v>
      </c>
      <c r="AN61" s="88">
        <v>0</v>
      </c>
      <c r="AO61" s="88">
        <v>0</v>
      </c>
      <c r="AP61" s="88">
        <v>0</v>
      </c>
      <c r="AQ61" s="88">
        <v>0</v>
      </c>
      <c r="AR61" s="181">
        <f t="shared" si="34"/>
        <v>0</v>
      </c>
      <c r="AS61" s="88">
        <v>0</v>
      </c>
      <c r="AT61" s="88">
        <v>0</v>
      </c>
      <c r="AU61" s="88">
        <v>0</v>
      </c>
      <c r="AV61" s="88">
        <v>0</v>
      </c>
      <c r="AW61" s="181">
        <f t="shared" si="35"/>
        <v>0</v>
      </c>
      <c r="AX61" s="88">
        <v>0</v>
      </c>
      <c r="AY61" s="88">
        <v>0</v>
      </c>
      <c r="AZ61" s="88">
        <v>0</v>
      </c>
      <c r="BA61" s="88">
        <v>0</v>
      </c>
      <c r="BB61" s="181">
        <f t="shared" si="36"/>
        <v>0</v>
      </c>
      <c r="BC61" s="88">
        <v>0</v>
      </c>
      <c r="BD61" s="88">
        <v>0</v>
      </c>
      <c r="BE61" s="88">
        <v>0</v>
      </c>
      <c r="BF61" s="88">
        <v>0</v>
      </c>
      <c r="BG61" s="181">
        <f t="shared" si="37"/>
        <v>0</v>
      </c>
      <c r="BH61" s="88">
        <v>0</v>
      </c>
      <c r="BI61" s="88">
        <v>0</v>
      </c>
      <c r="BJ61" s="88">
        <v>0</v>
      </c>
      <c r="BK61" s="88">
        <v>0</v>
      </c>
      <c r="BL61" s="181">
        <f t="shared" si="38"/>
        <v>0</v>
      </c>
      <c r="BM61" s="88">
        <v>0</v>
      </c>
      <c r="BN61" s="88">
        <v>0</v>
      </c>
      <c r="BO61" s="88">
        <v>0</v>
      </c>
      <c r="BP61" s="88">
        <v>0</v>
      </c>
      <c r="BQ61" s="181">
        <f t="shared" si="39"/>
        <v>0</v>
      </c>
      <c r="BR61" s="80">
        <f t="shared" si="40"/>
        <v>0</v>
      </c>
      <c r="BS61" s="80">
        <f t="shared" si="40"/>
        <v>0</v>
      </c>
      <c r="BT61" s="80">
        <f t="shared" si="40"/>
        <v>0</v>
      </c>
      <c r="BU61" s="80">
        <f t="shared" si="40"/>
        <v>0</v>
      </c>
      <c r="BV61" s="218">
        <f t="shared" si="44"/>
        <v>0</v>
      </c>
      <c r="BW61" s="148"/>
      <c r="BX61" s="393">
        <v>0</v>
      </c>
    </row>
    <row r="62" spans="1:78" hidden="1" x14ac:dyDescent="0.2">
      <c r="A62" s="413" t="s">
        <v>577</v>
      </c>
      <c r="B62" s="411"/>
      <c r="C62" s="359"/>
      <c r="D62" s="406"/>
      <c r="E62" s="88">
        <v>0</v>
      </c>
      <c r="F62" s="88">
        <v>0</v>
      </c>
      <c r="G62" s="88">
        <v>0</v>
      </c>
      <c r="H62" s="88">
        <v>0</v>
      </c>
      <c r="I62" s="181">
        <f>SUM(E62:H62)</f>
        <v>0</v>
      </c>
      <c r="J62" s="391"/>
      <c r="K62" s="88"/>
      <c r="L62" s="88"/>
      <c r="M62" s="88"/>
      <c r="N62" s="181"/>
      <c r="O62" s="88">
        <v>0</v>
      </c>
      <c r="P62" s="88">
        <v>0</v>
      </c>
      <c r="Q62" s="88">
        <v>0</v>
      </c>
      <c r="R62" s="88">
        <v>0</v>
      </c>
      <c r="S62" s="181"/>
      <c r="T62" s="88">
        <v>0</v>
      </c>
      <c r="U62" s="88">
        <v>0</v>
      </c>
      <c r="V62" s="88">
        <v>0</v>
      </c>
      <c r="W62" s="88">
        <v>0</v>
      </c>
      <c r="X62" s="181"/>
      <c r="Y62" s="88">
        <v>0</v>
      </c>
      <c r="Z62" s="88">
        <v>0</v>
      </c>
      <c r="AA62" s="88">
        <v>0</v>
      </c>
      <c r="AB62" s="88">
        <v>0</v>
      </c>
      <c r="AC62" s="181"/>
      <c r="AD62" s="80">
        <v>0</v>
      </c>
      <c r="AE62" s="80">
        <v>0</v>
      </c>
      <c r="AF62" s="80">
        <v>0</v>
      </c>
      <c r="AG62" s="80">
        <v>0</v>
      </c>
      <c r="AH62" s="218">
        <f t="shared" si="43"/>
        <v>0</v>
      </c>
      <c r="AI62" s="88">
        <v>0</v>
      </c>
      <c r="AJ62" s="88">
        <v>0</v>
      </c>
      <c r="AK62" s="88">
        <v>0</v>
      </c>
      <c r="AL62" s="88">
        <v>0</v>
      </c>
      <c r="AM62" s="181">
        <f>SUM(AI62:AL62)</f>
        <v>0</v>
      </c>
      <c r="AN62" s="88">
        <v>0</v>
      </c>
      <c r="AO62" s="88">
        <v>0</v>
      </c>
      <c r="AP62" s="88">
        <v>0</v>
      </c>
      <c r="AQ62" s="88">
        <v>0</v>
      </c>
      <c r="AR62" s="181">
        <f t="shared" si="34"/>
        <v>0</v>
      </c>
      <c r="AS62" s="88">
        <v>0</v>
      </c>
      <c r="AT62" s="88">
        <v>0</v>
      </c>
      <c r="AU62" s="88">
        <v>0</v>
      </c>
      <c r="AV62" s="88">
        <v>0</v>
      </c>
      <c r="AW62" s="181">
        <f t="shared" si="35"/>
        <v>0</v>
      </c>
      <c r="AX62" s="88">
        <v>0</v>
      </c>
      <c r="AY62" s="88">
        <v>0</v>
      </c>
      <c r="AZ62" s="88">
        <v>0</v>
      </c>
      <c r="BA62" s="88">
        <v>0</v>
      </c>
      <c r="BB62" s="181">
        <f t="shared" si="36"/>
        <v>0</v>
      </c>
      <c r="BC62" s="88">
        <v>0</v>
      </c>
      <c r="BD62" s="88">
        <v>0</v>
      </c>
      <c r="BE62" s="88">
        <v>0</v>
      </c>
      <c r="BF62" s="88">
        <v>0</v>
      </c>
      <c r="BG62" s="181">
        <f t="shared" si="37"/>
        <v>0</v>
      </c>
      <c r="BH62" s="88">
        <v>0</v>
      </c>
      <c r="BI62" s="88">
        <v>0</v>
      </c>
      <c r="BJ62" s="88">
        <v>0</v>
      </c>
      <c r="BK62" s="88">
        <v>0</v>
      </c>
      <c r="BL62" s="181">
        <f t="shared" si="38"/>
        <v>0</v>
      </c>
      <c r="BM62" s="88">
        <v>0</v>
      </c>
      <c r="BN62" s="88">
        <v>0</v>
      </c>
      <c r="BO62" s="88">
        <v>0</v>
      </c>
      <c r="BP62" s="88">
        <v>0</v>
      </c>
      <c r="BQ62" s="181">
        <f t="shared" si="39"/>
        <v>0</v>
      </c>
      <c r="BR62" s="80">
        <f t="shared" si="40"/>
        <v>0</v>
      </c>
      <c r="BS62" s="80">
        <f t="shared" si="40"/>
        <v>0</v>
      </c>
      <c r="BT62" s="80">
        <f t="shared" si="40"/>
        <v>0</v>
      </c>
      <c r="BU62" s="80">
        <f t="shared" si="40"/>
        <v>0</v>
      </c>
      <c r="BV62" s="218">
        <f t="shared" si="44"/>
        <v>0</v>
      </c>
      <c r="BW62" s="148"/>
      <c r="BX62" s="393">
        <v>0</v>
      </c>
    </row>
    <row r="63" spans="1:78" hidden="1" x14ac:dyDescent="0.2">
      <c r="A63" s="413" t="s">
        <v>578</v>
      </c>
      <c r="B63" s="411"/>
      <c r="C63" s="359"/>
      <c r="D63" s="406"/>
      <c r="E63" s="88">
        <v>0</v>
      </c>
      <c r="F63" s="88">
        <v>0</v>
      </c>
      <c r="G63" s="88">
        <v>0</v>
      </c>
      <c r="H63" s="88">
        <v>0</v>
      </c>
      <c r="I63" s="181">
        <f>SUM(E63:H63)</f>
        <v>0</v>
      </c>
      <c r="J63" s="391">
        <v>0</v>
      </c>
      <c r="K63" s="88">
        <v>0</v>
      </c>
      <c r="L63" s="88">
        <v>0</v>
      </c>
      <c r="M63" s="88">
        <v>0</v>
      </c>
      <c r="N63" s="181">
        <f t="shared" si="28"/>
        <v>0</v>
      </c>
      <c r="O63" s="88">
        <v>0</v>
      </c>
      <c r="P63" s="88">
        <v>0</v>
      </c>
      <c r="Q63" s="88">
        <v>0</v>
      </c>
      <c r="R63" s="88">
        <v>0</v>
      </c>
      <c r="S63" s="181">
        <f>SUM(O63:R63)</f>
        <v>0</v>
      </c>
      <c r="T63" s="88">
        <v>0</v>
      </c>
      <c r="U63" s="88">
        <v>0</v>
      </c>
      <c r="V63" s="88">
        <v>0</v>
      </c>
      <c r="W63" s="88">
        <v>0</v>
      </c>
      <c r="X63" s="181">
        <f t="shared" si="30"/>
        <v>0</v>
      </c>
      <c r="Y63" s="88">
        <v>0</v>
      </c>
      <c r="Z63" s="88">
        <v>0</v>
      </c>
      <c r="AA63" s="88">
        <v>0</v>
      </c>
      <c r="AB63" s="88">
        <v>0</v>
      </c>
      <c r="AC63" s="181">
        <f>SUM(Y63:AB63)</f>
        <v>0</v>
      </c>
      <c r="AD63" s="80">
        <v>0</v>
      </c>
      <c r="AE63" s="80">
        <v>0</v>
      </c>
      <c r="AF63" s="80">
        <v>0</v>
      </c>
      <c r="AG63" s="80">
        <v>0</v>
      </c>
      <c r="AH63" s="218">
        <f t="shared" si="43"/>
        <v>0</v>
      </c>
      <c r="AI63" s="88">
        <v>0</v>
      </c>
      <c r="AJ63" s="88">
        <v>0</v>
      </c>
      <c r="AK63" s="88">
        <v>0</v>
      </c>
      <c r="AL63" s="88">
        <v>0</v>
      </c>
      <c r="AM63" s="181">
        <f t="shared" si="33"/>
        <v>0</v>
      </c>
      <c r="AN63" s="88">
        <v>0</v>
      </c>
      <c r="AO63" s="88">
        <v>0</v>
      </c>
      <c r="AP63" s="88">
        <v>0</v>
      </c>
      <c r="AQ63" s="88">
        <v>0</v>
      </c>
      <c r="AR63" s="181">
        <f t="shared" si="34"/>
        <v>0</v>
      </c>
      <c r="AS63" s="88">
        <v>0</v>
      </c>
      <c r="AT63" s="88">
        <v>0</v>
      </c>
      <c r="AU63" s="88">
        <v>0</v>
      </c>
      <c r="AV63" s="88">
        <v>0</v>
      </c>
      <c r="AW63" s="181">
        <f t="shared" si="35"/>
        <v>0</v>
      </c>
      <c r="AX63" s="88">
        <v>0</v>
      </c>
      <c r="AY63" s="88">
        <v>0</v>
      </c>
      <c r="AZ63" s="88">
        <v>0</v>
      </c>
      <c r="BA63" s="88">
        <v>0</v>
      </c>
      <c r="BB63" s="181">
        <f t="shared" si="36"/>
        <v>0</v>
      </c>
      <c r="BC63" s="88">
        <v>0</v>
      </c>
      <c r="BD63" s="88">
        <v>0</v>
      </c>
      <c r="BE63" s="88">
        <v>0</v>
      </c>
      <c r="BF63" s="88">
        <v>0</v>
      </c>
      <c r="BG63" s="181">
        <f t="shared" si="37"/>
        <v>0</v>
      </c>
      <c r="BH63" s="88">
        <v>0</v>
      </c>
      <c r="BI63" s="88">
        <v>0</v>
      </c>
      <c r="BJ63" s="88">
        <v>0</v>
      </c>
      <c r="BK63" s="88">
        <v>0</v>
      </c>
      <c r="BL63" s="181">
        <f t="shared" si="38"/>
        <v>0</v>
      </c>
      <c r="BM63" s="88">
        <v>0</v>
      </c>
      <c r="BN63" s="88">
        <v>0</v>
      </c>
      <c r="BO63" s="88">
        <v>0</v>
      </c>
      <c r="BP63" s="88">
        <v>0</v>
      </c>
      <c r="BQ63" s="181">
        <f t="shared" si="39"/>
        <v>0</v>
      </c>
      <c r="BR63" s="80">
        <f t="shared" si="40"/>
        <v>0</v>
      </c>
      <c r="BS63" s="80">
        <f t="shared" si="40"/>
        <v>0</v>
      </c>
      <c r="BT63" s="80">
        <f t="shared" si="40"/>
        <v>0</v>
      </c>
      <c r="BU63" s="80">
        <f t="shared" si="40"/>
        <v>0</v>
      </c>
      <c r="BV63" s="218">
        <f t="shared" si="44"/>
        <v>0</v>
      </c>
      <c r="BW63" s="148"/>
      <c r="BX63" s="393">
        <v>0</v>
      </c>
    </row>
    <row r="64" spans="1:78" x14ac:dyDescent="0.2">
      <c r="A64" s="388" t="s">
        <v>276</v>
      </c>
      <c r="B64" s="411"/>
      <c r="C64" s="411"/>
      <c r="D64" s="408"/>
      <c r="E64" s="88">
        <v>0</v>
      </c>
      <c r="F64" s="88">
        <v>18283843</v>
      </c>
      <c r="G64" s="88">
        <v>0</v>
      </c>
      <c r="H64" s="88">
        <v>0</v>
      </c>
      <c r="I64" s="181">
        <f t="shared" si="42"/>
        <v>18283843</v>
      </c>
      <c r="J64" s="391">
        <v>0</v>
      </c>
      <c r="K64" s="88">
        <v>1549593</v>
      </c>
      <c r="L64" s="88">
        <v>0</v>
      </c>
      <c r="M64" s="88">
        <v>0</v>
      </c>
      <c r="N64" s="181">
        <f t="shared" si="28"/>
        <v>1549593</v>
      </c>
      <c r="O64" s="88">
        <v>0</v>
      </c>
      <c r="P64" s="88">
        <v>1486615</v>
      </c>
      <c r="Q64" s="88">
        <v>0</v>
      </c>
      <c r="R64" s="88">
        <v>0</v>
      </c>
      <c r="S64" s="181">
        <f t="shared" si="29"/>
        <v>1486615</v>
      </c>
      <c r="T64" s="88">
        <v>0</v>
      </c>
      <c r="U64" s="88">
        <v>0</v>
      </c>
      <c r="V64" s="88">
        <v>0</v>
      </c>
      <c r="W64" s="88">
        <v>0</v>
      </c>
      <c r="X64" s="181">
        <f t="shared" si="30"/>
        <v>0</v>
      </c>
      <c r="Y64" s="88">
        <v>0</v>
      </c>
      <c r="Z64" s="88">
        <v>0</v>
      </c>
      <c r="AA64" s="88">
        <v>0</v>
      </c>
      <c r="AB64" s="88">
        <v>0</v>
      </c>
      <c r="AC64" s="181">
        <f t="shared" si="31"/>
        <v>0</v>
      </c>
      <c r="AD64" s="88">
        <v>0</v>
      </c>
      <c r="AE64" s="88">
        <v>0</v>
      </c>
      <c r="AF64" s="88">
        <v>0</v>
      </c>
      <c r="AG64" s="88">
        <v>0</v>
      </c>
      <c r="AH64" s="181">
        <f t="shared" si="43"/>
        <v>0</v>
      </c>
      <c r="AI64" s="88">
        <v>0</v>
      </c>
      <c r="AJ64" s="88">
        <v>0</v>
      </c>
      <c r="AK64" s="88">
        <v>0</v>
      </c>
      <c r="AL64" s="88">
        <v>0</v>
      </c>
      <c r="AM64" s="181">
        <f t="shared" si="33"/>
        <v>0</v>
      </c>
      <c r="AN64" s="88">
        <v>0</v>
      </c>
      <c r="AO64" s="88">
        <v>0</v>
      </c>
      <c r="AP64" s="88">
        <v>0</v>
      </c>
      <c r="AQ64" s="88">
        <v>0</v>
      </c>
      <c r="AR64" s="181">
        <f t="shared" si="34"/>
        <v>0</v>
      </c>
      <c r="AS64" s="88">
        <v>0</v>
      </c>
      <c r="AT64" s="88">
        <v>0</v>
      </c>
      <c r="AU64" s="88">
        <v>0</v>
      </c>
      <c r="AV64" s="88">
        <v>0</v>
      </c>
      <c r="AW64" s="181">
        <f t="shared" si="35"/>
        <v>0</v>
      </c>
      <c r="AX64" s="88">
        <v>0</v>
      </c>
      <c r="AY64" s="88">
        <v>0</v>
      </c>
      <c r="AZ64" s="88">
        <v>0</v>
      </c>
      <c r="BA64" s="88">
        <v>0</v>
      </c>
      <c r="BB64" s="181">
        <f t="shared" si="36"/>
        <v>0</v>
      </c>
      <c r="BC64" s="88">
        <v>0</v>
      </c>
      <c r="BD64" s="88">
        <v>0</v>
      </c>
      <c r="BE64" s="88">
        <v>0</v>
      </c>
      <c r="BF64" s="88">
        <v>0</v>
      </c>
      <c r="BG64" s="181">
        <f t="shared" si="37"/>
        <v>0</v>
      </c>
      <c r="BH64" s="88">
        <v>0</v>
      </c>
      <c r="BI64" s="88">
        <v>0</v>
      </c>
      <c r="BJ64" s="88">
        <v>0</v>
      </c>
      <c r="BK64" s="88">
        <v>0</v>
      </c>
      <c r="BL64" s="181">
        <f t="shared" si="38"/>
        <v>0</v>
      </c>
      <c r="BM64" s="88">
        <v>0</v>
      </c>
      <c r="BN64" s="88">
        <v>0</v>
      </c>
      <c r="BO64" s="88">
        <v>0</v>
      </c>
      <c r="BP64" s="88">
        <v>0</v>
      </c>
      <c r="BQ64" s="181">
        <f t="shared" si="39"/>
        <v>0</v>
      </c>
      <c r="BR64" s="88">
        <f t="shared" si="40"/>
        <v>0</v>
      </c>
      <c r="BS64" s="88">
        <f t="shared" si="40"/>
        <v>3036208</v>
      </c>
      <c r="BT64" s="88">
        <f t="shared" si="40"/>
        <v>0</v>
      </c>
      <c r="BU64" s="88">
        <f>+M64+R64+W64+AB64+AG64+AL64+AQ64+AV64+BA64+BF64+BK64+BP64</f>
        <v>0</v>
      </c>
      <c r="BV64" s="181">
        <f t="shared" si="41"/>
        <v>3036208</v>
      </c>
      <c r="BW64" s="148"/>
      <c r="BX64" s="393">
        <f>(BV64/I64)*100</f>
        <v>16.605961886677761</v>
      </c>
    </row>
    <row r="65" spans="1:76" x14ac:dyDescent="0.2">
      <c r="A65" s="388" t="s">
        <v>277</v>
      </c>
      <c r="B65" s="411"/>
      <c r="C65" s="359"/>
      <c r="D65" s="408"/>
      <c r="E65" s="88">
        <v>2074816</v>
      </c>
      <c r="F65" s="88">
        <v>23445</v>
      </c>
      <c r="G65" s="88">
        <v>0</v>
      </c>
      <c r="H65" s="88">
        <v>0</v>
      </c>
      <c r="I65" s="181">
        <f t="shared" si="42"/>
        <v>2098261</v>
      </c>
      <c r="J65" s="391">
        <v>169724</v>
      </c>
      <c r="K65" s="88">
        <v>936</v>
      </c>
      <c r="L65" s="88">
        <v>0</v>
      </c>
      <c r="M65" s="88">
        <v>0</v>
      </c>
      <c r="N65" s="181">
        <f t="shared" si="28"/>
        <v>170660</v>
      </c>
      <c r="O65" s="88">
        <v>170631</v>
      </c>
      <c r="P65" s="88">
        <v>1218</v>
      </c>
      <c r="Q65" s="88">
        <v>0</v>
      </c>
      <c r="R65" s="88">
        <v>0</v>
      </c>
      <c r="S65" s="181">
        <f t="shared" si="29"/>
        <v>171849</v>
      </c>
      <c r="T65" s="88">
        <v>0</v>
      </c>
      <c r="U65" s="88">
        <v>0</v>
      </c>
      <c r="V65" s="88">
        <v>0</v>
      </c>
      <c r="W65" s="88">
        <v>0</v>
      </c>
      <c r="X65" s="181">
        <f t="shared" si="30"/>
        <v>0</v>
      </c>
      <c r="Y65" s="88">
        <v>0</v>
      </c>
      <c r="Z65" s="88">
        <v>0</v>
      </c>
      <c r="AA65" s="88">
        <v>0</v>
      </c>
      <c r="AB65" s="88">
        <v>0</v>
      </c>
      <c r="AC65" s="181">
        <f t="shared" si="31"/>
        <v>0</v>
      </c>
      <c r="AD65" s="88">
        <v>0</v>
      </c>
      <c r="AE65" s="88">
        <v>0</v>
      </c>
      <c r="AF65" s="88">
        <v>0</v>
      </c>
      <c r="AG65" s="88">
        <v>0</v>
      </c>
      <c r="AH65" s="181">
        <f t="shared" si="32"/>
        <v>0</v>
      </c>
      <c r="AI65" s="88">
        <v>0</v>
      </c>
      <c r="AJ65" s="88">
        <v>0</v>
      </c>
      <c r="AK65" s="88">
        <v>0</v>
      </c>
      <c r="AL65" s="88">
        <v>0</v>
      </c>
      <c r="AM65" s="181">
        <f t="shared" si="33"/>
        <v>0</v>
      </c>
      <c r="AN65" s="88">
        <v>0</v>
      </c>
      <c r="AO65" s="88">
        <v>0</v>
      </c>
      <c r="AP65" s="88">
        <v>0</v>
      </c>
      <c r="AQ65" s="88">
        <v>0</v>
      </c>
      <c r="AR65" s="181">
        <f t="shared" si="34"/>
        <v>0</v>
      </c>
      <c r="AS65" s="88">
        <v>0</v>
      </c>
      <c r="AT65" s="88">
        <v>0</v>
      </c>
      <c r="AU65" s="88">
        <v>0</v>
      </c>
      <c r="AV65" s="88">
        <v>0</v>
      </c>
      <c r="AW65" s="181">
        <f t="shared" si="35"/>
        <v>0</v>
      </c>
      <c r="AX65" s="88">
        <v>0</v>
      </c>
      <c r="AY65" s="88">
        <v>0</v>
      </c>
      <c r="AZ65" s="88">
        <v>0</v>
      </c>
      <c r="BA65" s="88">
        <v>0</v>
      </c>
      <c r="BB65" s="181">
        <f t="shared" si="36"/>
        <v>0</v>
      </c>
      <c r="BC65" s="88">
        <v>0</v>
      </c>
      <c r="BD65" s="88">
        <v>0</v>
      </c>
      <c r="BE65" s="88">
        <v>0</v>
      </c>
      <c r="BF65" s="88">
        <v>0</v>
      </c>
      <c r="BG65" s="181">
        <f t="shared" si="37"/>
        <v>0</v>
      </c>
      <c r="BH65" s="88">
        <v>0</v>
      </c>
      <c r="BI65" s="88">
        <v>0</v>
      </c>
      <c r="BJ65" s="88">
        <v>0</v>
      </c>
      <c r="BK65" s="88">
        <v>0</v>
      </c>
      <c r="BL65" s="181">
        <f t="shared" si="38"/>
        <v>0</v>
      </c>
      <c r="BM65" s="88">
        <v>0</v>
      </c>
      <c r="BN65" s="88">
        <v>0</v>
      </c>
      <c r="BO65" s="88">
        <v>0</v>
      </c>
      <c r="BP65" s="88">
        <v>0</v>
      </c>
      <c r="BQ65" s="181">
        <f>SUM(BM65:BP65)</f>
        <v>0</v>
      </c>
      <c r="BR65" s="88">
        <f t="shared" si="40"/>
        <v>340355</v>
      </c>
      <c r="BS65" s="88">
        <f t="shared" si="40"/>
        <v>2154</v>
      </c>
      <c r="BT65" s="88">
        <f t="shared" si="40"/>
        <v>0</v>
      </c>
      <c r="BU65" s="88">
        <f>+M65+R65+W65+AB65+AG65+AL65+AQ65+AV65+BA65+BF65+BK65+BP65</f>
        <v>0</v>
      </c>
      <c r="BV65" s="181">
        <f t="shared" si="41"/>
        <v>342509</v>
      </c>
      <c r="BW65" s="148"/>
      <c r="BX65" s="393">
        <f t="shared" si="15"/>
        <v>16.323469768536896</v>
      </c>
    </row>
    <row r="66" spans="1:76" x14ac:dyDescent="0.2">
      <c r="A66" s="418" t="s">
        <v>278</v>
      </c>
      <c r="B66" s="419"/>
      <c r="C66" s="359"/>
      <c r="D66" s="408"/>
      <c r="E66" s="88">
        <v>980047</v>
      </c>
      <c r="F66" s="88">
        <v>71738</v>
      </c>
      <c r="G66" s="88">
        <v>0</v>
      </c>
      <c r="H66" s="88">
        <v>0</v>
      </c>
      <c r="I66" s="181">
        <f t="shared" si="42"/>
        <v>1051785</v>
      </c>
      <c r="J66" s="391">
        <v>77886</v>
      </c>
      <c r="K66" s="88">
        <v>1909</v>
      </c>
      <c r="L66" s="88">
        <v>0</v>
      </c>
      <c r="M66" s="88">
        <v>0</v>
      </c>
      <c r="N66" s="181">
        <f t="shared" si="28"/>
        <v>79795</v>
      </c>
      <c r="O66" s="88">
        <v>83988</v>
      </c>
      <c r="P66" s="88">
        <v>281</v>
      </c>
      <c r="Q66" s="88">
        <v>0</v>
      </c>
      <c r="R66" s="88">
        <v>0</v>
      </c>
      <c r="S66" s="181">
        <f t="shared" si="29"/>
        <v>84269</v>
      </c>
      <c r="T66" s="88">
        <v>0</v>
      </c>
      <c r="U66" s="88">
        <v>0</v>
      </c>
      <c r="V66" s="88">
        <v>0</v>
      </c>
      <c r="W66" s="88">
        <v>0</v>
      </c>
      <c r="X66" s="181">
        <f t="shared" si="30"/>
        <v>0</v>
      </c>
      <c r="Y66" s="88">
        <v>0</v>
      </c>
      <c r="Z66" s="88">
        <v>0</v>
      </c>
      <c r="AA66" s="88">
        <v>0</v>
      </c>
      <c r="AB66" s="88">
        <v>0</v>
      </c>
      <c r="AC66" s="181">
        <f t="shared" si="31"/>
        <v>0</v>
      </c>
      <c r="AD66" s="88">
        <v>0</v>
      </c>
      <c r="AE66" s="88">
        <v>0</v>
      </c>
      <c r="AF66" s="88">
        <v>0</v>
      </c>
      <c r="AG66" s="88">
        <v>0</v>
      </c>
      <c r="AH66" s="181">
        <f t="shared" si="32"/>
        <v>0</v>
      </c>
      <c r="AI66" s="88">
        <v>0</v>
      </c>
      <c r="AJ66" s="88">
        <v>0</v>
      </c>
      <c r="AK66" s="88">
        <v>0</v>
      </c>
      <c r="AL66" s="88">
        <v>0</v>
      </c>
      <c r="AM66" s="181">
        <f t="shared" si="33"/>
        <v>0</v>
      </c>
      <c r="AN66" s="88">
        <v>0</v>
      </c>
      <c r="AO66" s="88">
        <v>0</v>
      </c>
      <c r="AP66" s="88">
        <v>0</v>
      </c>
      <c r="AQ66" s="88">
        <v>0</v>
      </c>
      <c r="AR66" s="181">
        <f t="shared" si="34"/>
        <v>0</v>
      </c>
      <c r="AS66" s="88">
        <v>0</v>
      </c>
      <c r="AT66" s="88">
        <v>0</v>
      </c>
      <c r="AU66" s="88">
        <v>0</v>
      </c>
      <c r="AV66" s="88">
        <v>0</v>
      </c>
      <c r="AW66" s="181">
        <f t="shared" si="35"/>
        <v>0</v>
      </c>
      <c r="AX66" s="88">
        <v>0</v>
      </c>
      <c r="AY66" s="88">
        <v>0</v>
      </c>
      <c r="AZ66" s="88">
        <v>0</v>
      </c>
      <c r="BA66" s="88">
        <v>0</v>
      </c>
      <c r="BB66" s="181">
        <f t="shared" si="36"/>
        <v>0</v>
      </c>
      <c r="BC66" s="88">
        <v>0</v>
      </c>
      <c r="BD66" s="88">
        <v>0</v>
      </c>
      <c r="BE66" s="88">
        <v>0</v>
      </c>
      <c r="BF66" s="88">
        <v>0</v>
      </c>
      <c r="BG66" s="181">
        <f t="shared" si="37"/>
        <v>0</v>
      </c>
      <c r="BH66" s="88">
        <v>0</v>
      </c>
      <c r="BI66" s="88">
        <v>0</v>
      </c>
      <c r="BJ66" s="88">
        <v>0</v>
      </c>
      <c r="BK66" s="88">
        <v>0</v>
      </c>
      <c r="BL66" s="181">
        <f t="shared" si="38"/>
        <v>0</v>
      </c>
      <c r="BM66" s="88">
        <v>0</v>
      </c>
      <c r="BN66" s="88">
        <v>0</v>
      </c>
      <c r="BO66" s="88">
        <v>0</v>
      </c>
      <c r="BP66" s="88">
        <v>0</v>
      </c>
      <c r="BQ66" s="181">
        <f>SUM(BM66:BP66)</f>
        <v>0</v>
      </c>
      <c r="BR66" s="88">
        <f t="shared" si="40"/>
        <v>161874</v>
      </c>
      <c r="BS66" s="88">
        <f t="shared" si="40"/>
        <v>2190</v>
      </c>
      <c r="BT66" s="88">
        <f t="shared" si="40"/>
        <v>0</v>
      </c>
      <c r="BU66" s="88">
        <f>+M66+R66+W66+AB66+AG66+AL66+AQ66+AV66+BA66+BF66+BK66+BP66</f>
        <v>0</v>
      </c>
      <c r="BV66" s="181">
        <f>SUM(BR66:BU66)</f>
        <v>164064</v>
      </c>
      <c r="BW66" s="148"/>
      <c r="BX66" s="393">
        <f t="shared" si="15"/>
        <v>15.598625194312527</v>
      </c>
    </row>
    <row r="67" spans="1:76" s="358" customFormat="1" x14ac:dyDescent="0.2">
      <c r="A67" s="420" t="s">
        <v>279</v>
      </c>
      <c r="B67" s="421"/>
      <c r="C67" s="404"/>
      <c r="D67" s="405"/>
      <c r="E67" s="88">
        <v>0</v>
      </c>
      <c r="F67" s="88">
        <v>2614</v>
      </c>
      <c r="G67" s="88">
        <v>0</v>
      </c>
      <c r="H67" s="88">
        <v>0</v>
      </c>
      <c r="I67" s="181">
        <f t="shared" si="42"/>
        <v>2614</v>
      </c>
      <c r="J67" s="391">
        <v>0</v>
      </c>
      <c r="K67" s="88">
        <v>0</v>
      </c>
      <c r="L67" s="88">
        <v>0</v>
      </c>
      <c r="M67" s="88">
        <v>0</v>
      </c>
      <c r="N67" s="181">
        <f t="shared" si="28"/>
        <v>0</v>
      </c>
      <c r="O67" s="88">
        <v>0</v>
      </c>
      <c r="P67" s="88">
        <v>0</v>
      </c>
      <c r="Q67" s="88">
        <v>0</v>
      </c>
      <c r="R67" s="88">
        <v>0</v>
      </c>
      <c r="S67" s="181">
        <f t="shared" si="29"/>
        <v>0</v>
      </c>
      <c r="T67" s="88">
        <v>0</v>
      </c>
      <c r="U67" s="88">
        <v>0</v>
      </c>
      <c r="V67" s="88">
        <v>0</v>
      </c>
      <c r="W67" s="88">
        <v>0</v>
      </c>
      <c r="X67" s="181">
        <f t="shared" si="30"/>
        <v>0</v>
      </c>
      <c r="Y67" s="88">
        <v>0</v>
      </c>
      <c r="Z67" s="88">
        <v>0</v>
      </c>
      <c r="AA67" s="88">
        <v>0</v>
      </c>
      <c r="AB67" s="88">
        <v>0</v>
      </c>
      <c r="AC67" s="181">
        <f t="shared" si="31"/>
        <v>0</v>
      </c>
      <c r="AD67" s="88">
        <v>0</v>
      </c>
      <c r="AE67" s="88">
        <v>0</v>
      </c>
      <c r="AF67" s="88">
        <v>0</v>
      </c>
      <c r="AG67" s="88">
        <v>0</v>
      </c>
      <c r="AH67" s="181">
        <f t="shared" si="32"/>
        <v>0</v>
      </c>
      <c r="AI67" s="88">
        <v>0</v>
      </c>
      <c r="AJ67" s="88">
        <v>0</v>
      </c>
      <c r="AK67" s="88">
        <v>0</v>
      </c>
      <c r="AL67" s="88">
        <v>0</v>
      </c>
      <c r="AM67" s="181">
        <f t="shared" si="33"/>
        <v>0</v>
      </c>
      <c r="AN67" s="88">
        <v>0</v>
      </c>
      <c r="AO67" s="88">
        <v>0</v>
      </c>
      <c r="AP67" s="88">
        <v>0</v>
      </c>
      <c r="AQ67" s="88">
        <v>0</v>
      </c>
      <c r="AR67" s="181">
        <f t="shared" si="34"/>
        <v>0</v>
      </c>
      <c r="AS67" s="88">
        <v>0</v>
      </c>
      <c r="AT67" s="88">
        <v>0</v>
      </c>
      <c r="AU67" s="88">
        <v>0</v>
      </c>
      <c r="AV67" s="88">
        <v>0</v>
      </c>
      <c r="AW67" s="181">
        <f t="shared" si="35"/>
        <v>0</v>
      </c>
      <c r="AX67" s="88">
        <v>0</v>
      </c>
      <c r="AY67" s="88">
        <v>0</v>
      </c>
      <c r="AZ67" s="88">
        <v>0</v>
      </c>
      <c r="BA67" s="88">
        <v>0</v>
      </c>
      <c r="BB67" s="181">
        <f t="shared" si="36"/>
        <v>0</v>
      </c>
      <c r="BC67" s="88">
        <v>0</v>
      </c>
      <c r="BD67" s="88">
        <v>0</v>
      </c>
      <c r="BE67" s="88">
        <v>0</v>
      </c>
      <c r="BF67" s="88">
        <v>0</v>
      </c>
      <c r="BG67" s="181">
        <f t="shared" si="37"/>
        <v>0</v>
      </c>
      <c r="BH67" s="88">
        <v>0</v>
      </c>
      <c r="BI67" s="88">
        <v>0</v>
      </c>
      <c r="BJ67" s="88">
        <v>0</v>
      </c>
      <c r="BK67" s="88">
        <v>0</v>
      </c>
      <c r="BL67" s="181">
        <f t="shared" si="38"/>
        <v>0</v>
      </c>
      <c r="BM67" s="88">
        <v>0</v>
      </c>
      <c r="BN67" s="88">
        <v>0</v>
      </c>
      <c r="BO67" s="88">
        <v>0</v>
      </c>
      <c r="BP67" s="88">
        <v>0</v>
      </c>
      <c r="BQ67" s="181">
        <f t="shared" si="39"/>
        <v>0</v>
      </c>
      <c r="BR67" s="88">
        <f t="shared" si="40"/>
        <v>0</v>
      </c>
      <c r="BS67" s="88">
        <f t="shared" si="40"/>
        <v>0</v>
      </c>
      <c r="BT67" s="88">
        <f t="shared" si="40"/>
        <v>0</v>
      </c>
      <c r="BU67" s="88">
        <f>+M67+R67+W67+AB67+AG67+AL67+AQ67+AV67+BA67+BF67+BK67+BP67</f>
        <v>0</v>
      </c>
      <c r="BV67" s="181">
        <f t="shared" si="41"/>
        <v>0</v>
      </c>
      <c r="BW67" s="148"/>
      <c r="BX67" s="393">
        <f>(BV67/I67)*100</f>
        <v>0</v>
      </c>
    </row>
    <row r="68" spans="1:76" x14ac:dyDescent="0.2">
      <c r="A68" s="385" t="s">
        <v>280</v>
      </c>
      <c r="B68" s="389"/>
      <c r="D68" s="408"/>
      <c r="E68" s="177">
        <f t="shared" ref="E68:AD68" si="45">SUM(E50:E67)-E52</f>
        <v>208430438.69999999</v>
      </c>
      <c r="F68" s="176">
        <f t="shared" si="45"/>
        <v>537102186</v>
      </c>
      <c r="G68" s="176">
        <f t="shared" si="45"/>
        <v>0</v>
      </c>
      <c r="H68" s="176">
        <f t="shared" si="45"/>
        <v>468468</v>
      </c>
      <c r="I68" s="156">
        <f t="shared" si="45"/>
        <v>746001092.70000005</v>
      </c>
      <c r="J68" s="177">
        <f t="shared" si="45"/>
        <v>3879932</v>
      </c>
      <c r="K68" s="176">
        <f t="shared" si="45"/>
        <v>43681922</v>
      </c>
      <c r="L68" s="176">
        <f t="shared" si="45"/>
        <v>0</v>
      </c>
      <c r="M68" s="176">
        <f t="shared" si="45"/>
        <v>13631872</v>
      </c>
      <c r="N68" s="156">
        <f t="shared" si="45"/>
        <v>61193726</v>
      </c>
      <c r="O68" s="176">
        <f t="shared" si="45"/>
        <v>4573313</v>
      </c>
      <c r="P68" s="176">
        <f t="shared" si="45"/>
        <v>43617596</v>
      </c>
      <c r="Q68" s="176">
        <f t="shared" si="45"/>
        <v>0</v>
      </c>
      <c r="R68" s="176">
        <f t="shared" si="45"/>
        <v>83878</v>
      </c>
      <c r="S68" s="156">
        <f t="shared" si="45"/>
        <v>48274787</v>
      </c>
      <c r="T68" s="177">
        <f t="shared" si="45"/>
        <v>0</v>
      </c>
      <c r="U68" s="176">
        <f t="shared" si="45"/>
        <v>0</v>
      </c>
      <c r="V68" s="176">
        <f t="shared" si="45"/>
        <v>0</v>
      </c>
      <c r="W68" s="176">
        <f t="shared" si="45"/>
        <v>0</v>
      </c>
      <c r="X68" s="156">
        <f t="shared" si="45"/>
        <v>0</v>
      </c>
      <c r="Y68" s="177">
        <f t="shared" si="45"/>
        <v>0</v>
      </c>
      <c r="Z68" s="176">
        <f t="shared" si="45"/>
        <v>0</v>
      </c>
      <c r="AA68" s="176">
        <f t="shared" si="45"/>
        <v>0</v>
      </c>
      <c r="AB68" s="176">
        <f t="shared" si="45"/>
        <v>0</v>
      </c>
      <c r="AC68" s="156">
        <f t="shared" si="45"/>
        <v>0</v>
      </c>
      <c r="AD68" s="177">
        <f t="shared" si="45"/>
        <v>0</v>
      </c>
      <c r="AE68" s="176">
        <f t="shared" ref="AE68:AM68" si="46">SUM(AE50:AE67)-AE52-AE59</f>
        <v>0</v>
      </c>
      <c r="AF68" s="176">
        <f t="shared" si="46"/>
        <v>0</v>
      </c>
      <c r="AG68" s="176">
        <f t="shared" si="46"/>
        <v>0</v>
      </c>
      <c r="AH68" s="156">
        <f t="shared" si="46"/>
        <v>0</v>
      </c>
      <c r="AI68" s="177">
        <f t="shared" si="46"/>
        <v>0</v>
      </c>
      <c r="AJ68" s="176">
        <f t="shared" si="46"/>
        <v>0</v>
      </c>
      <c r="AK68" s="176">
        <f t="shared" si="46"/>
        <v>0</v>
      </c>
      <c r="AL68" s="176">
        <f t="shared" si="46"/>
        <v>0</v>
      </c>
      <c r="AM68" s="156">
        <f t="shared" si="46"/>
        <v>0</v>
      </c>
      <c r="AN68" s="177">
        <f>SUM(AN50:AN67)-AN52-AN59</f>
        <v>0</v>
      </c>
      <c r="AO68" s="176">
        <f>SUM(AO50:AO67)-AO52-AO59</f>
        <v>0</v>
      </c>
      <c r="AP68" s="176">
        <f>SUM(AP50:AP67)-AP52-AP55</f>
        <v>0</v>
      </c>
      <c r="AQ68" s="176">
        <f>SUM(AQ50:AQ67)-AQ52-AQ59</f>
        <v>0</v>
      </c>
      <c r="AR68" s="156">
        <f>SUM(AR50:AR67)-AR52-AR59</f>
        <v>0</v>
      </c>
      <c r="AS68" s="177">
        <f t="shared" ref="AS68:BQ68" si="47">SUM(AS50:AS67)-AS52</f>
        <v>0</v>
      </c>
      <c r="AT68" s="176">
        <f t="shared" si="47"/>
        <v>0</v>
      </c>
      <c r="AU68" s="176">
        <f t="shared" si="47"/>
        <v>0</v>
      </c>
      <c r="AV68" s="176">
        <f t="shared" si="47"/>
        <v>0</v>
      </c>
      <c r="AW68" s="156">
        <f>SUM(AW50:AW67)-AW52</f>
        <v>0</v>
      </c>
      <c r="AX68" s="177">
        <f t="shared" si="47"/>
        <v>0</v>
      </c>
      <c r="AY68" s="176">
        <f t="shared" si="47"/>
        <v>0</v>
      </c>
      <c r="AZ68" s="176">
        <f t="shared" si="47"/>
        <v>0</v>
      </c>
      <c r="BA68" s="176">
        <f t="shared" si="47"/>
        <v>0</v>
      </c>
      <c r="BB68" s="156">
        <f t="shared" si="47"/>
        <v>0</v>
      </c>
      <c r="BC68" s="177">
        <f t="shared" si="47"/>
        <v>0</v>
      </c>
      <c r="BD68" s="176">
        <f t="shared" si="47"/>
        <v>0</v>
      </c>
      <c r="BE68" s="176">
        <f t="shared" si="47"/>
        <v>0</v>
      </c>
      <c r="BF68" s="176">
        <f>SUM(BF50:BF67)-BF52-BF59</f>
        <v>0</v>
      </c>
      <c r="BG68" s="156">
        <f>SUM(BG50:BG67)-BG52-BG59</f>
        <v>0</v>
      </c>
      <c r="BH68" s="177">
        <f t="shared" si="47"/>
        <v>0</v>
      </c>
      <c r="BI68" s="176">
        <f t="shared" si="47"/>
        <v>0</v>
      </c>
      <c r="BJ68" s="176">
        <f t="shared" si="47"/>
        <v>0</v>
      </c>
      <c r="BK68" s="176">
        <f t="shared" si="47"/>
        <v>0</v>
      </c>
      <c r="BL68" s="156">
        <f t="shared" si="47"/>
        <v>0</v>
      </c>
      <c r="BM68" s="177">
        <f t="shared" si="47"/>
        <v>0</v>
      </c>
      <c r="BN68" s="176">
        <f t="shared" si="47"/>
        <v>0</v>
      </c>
      <c r="BO68" s="176">
        <f t="shared" si="47"/>
        <v>0</v>
      </c>
      <c r="BP68" s="176">
        <f t="shared" si="47"/>
        <v>0</v>
      </c>
      <c r="BQ68" s="156">
        <f t="shared" si="47"/>
        <v>0</v>
      </c>
      <c r="BR68" s="177">
        <f>SUM(BR50:BR67)-BR52-BR59</f>
        <v>8453245</v>
      </c>
      <c r="BS68" s="176">
        <f>SUM(BS50:BS67)-BS52-BS59</f>
        <v>87299518</v>
      </c>
      <c r="BT68" s="176">
        <f>SUM(BT50:BT67)-BT52-BT59</f>
        <v>0</v>
      </c>
      <c r="BU68" s="176">
        <f>SUM(BU50:BU67)-BU52-BU59</f>
        <v>13715750</v>
      </c>
      <c r="BV68" s="153">
        <f>SUM(BV50:BV67)-BV52-BV59</f>
        <v>109468513</v>
      </c>
      <c r="BW68" s="149"/>
      <c r="BX68" s="393">
        <f t="shared" si="15"/>
        <v>14.674041911091692</v>
      </c>
    </row>
    <row r="69" spans="1:76" hidden="1" x14ac:dyDescent="0.2">
      <c r="A69" s="407" t="s">
        <v>281</v>
      </c>
      <c r="B69" s="389"/>
      <c r="D69" s="408"/>
      <c r="E69" s="185">
        <v>0</v>
      </c>
      <c r="F69" s="185">
        <v>0</v>
      </c>
      <c r="G69" s="185">
        <v>0</v>
      </c>
      <c r="H69" s="185">
        <v>0</v>
      </c>
      <c r="I69" s="181"/>
      <c r="J69" s="183">
        <v>0</v>
      </c>
      <c r="K69" s="185">
        <v>0</v>
      </c>
      <c r="L69" s="185">
        <v>0</v>
      </c>
      <c r="M69" s="185">
        <v>0</v>
      </c>
      <c r="N69" s="181">
        <v>0</v>
      </c>
      <c r="O69" s="185">
        <v>0</v>
      </c>
      <c r="P69" s="185">
        <v>0</v>
      </c>
      <c r="Q69" s="185">
        <v>0</v>
      </c>
      <c r="R69" s="185">
        <v>0</v>
      </c>
      <c r="S69" s="181">
        <v>0</v>
      </c>
      <c r="T69" s="185">
        <v>0</v>
      </c>
      <c r="U69" s="185">
        <v>0</v>
      </c>
      <c r="V69" s="185">
        <v>0</v>
      </c>
      <c r="W69" s="185">
        <v>0</v>
      </c>
      <c r="X69" s="181">
        <v>0</v>
      </c>
      <c r="Y69" s="185">
        <v>0</v>
      </c>
      <c r="Z69" s="185">
        <v>0</v>
      </c>
      <c r="AA69" s="185">
        <v>0</v>
      </c>
      <c r="AB69" s="185">
        <v>0</v>
      </c>
      <c r="AC69" s="181">
        <v>0</v>
      </c>
      <c r="AD69" s="185">
        <v>0</v>
      </c>
      <c r="AE69" s="185">
        <v>0</v>
      </c>
      <c r="AF69" s="185">
        <v>0</v>
      </c>
      <c r="AG69" s="185">
        <v>0</v>
      </c>
      <c r="AH69" s="181">
        <v>0</v>
      </c>
      <c r="AI69" s="185">
        <v>0</v>
      </c>
      <c r="AJ69" s="185">
        <v>0</v>
      </c>
      <c r="AK69" s="185">
        <v>0</v>
      </c>
      <c r="AL69" s="185">
        <v>0</v>
      </c>
      <c r="AM69" s="181">
        <v>0</v>
      </c>
      <c r="AN69" s="185">
        <v>0</v>
      </c>
      <c r="AO69" s="185">
        <v>0</v>
      </c>
      <c r="AP69" s="185">
        <v>0</v>
      </c>
      <c r="AQ69" s="185">
        <v>0</v>
      </c>
      <c r="AR69" s="181">
        <v>0</v>
      </c>
      <c r="AS69" s="185">
        <v>0</v>
      </c>
      <c r="AT69" s="185">
        <v>0</v>
      </c>
      <c r="AU69" s="185">
        <v>0</v>
      </c>
      <c r="AV69" s="185">
        <v>0</v>
      </c>
      <c r="AW69" s="181">
        <v>0</v>
      </c>
      <c r="AX69" s="185">
        <v>0</v>
      </c>
      <c r="AY69" s="185">
        <v>0</v>
      </c>
      <c r="AZ69" s="185">
        <v>0</v>
      </c>
      <c r="BA69" s="185">
        <v>0</v>
      </c>
      <c r="BB69" s="181">
        <v>0</v>
      </c>
      <c r="BC69" s="185">
        <v>0</v>
      </c>
      <c r="BD69" s="185">
        <v>0</v>
      </c>
      <c r="BE69" s="185">
        <v>0</v>
      </c>
      <c r="BF69" s="185">
        <v>0</v>
      </c>
      <c r="BG69" s="181">
        <v>0</v>
      </c>
      <c r="BH69" s="185">
        <v>0</v>
      </c>
      <c r="BI69" s="185">
        <v>0</v>
      </c>
      <c r="BJ69" s="185">
        <v>0</v>
      </c>
      <c r="BK69" s="185">
        <v>0</v>
      </c>
      <c r="BL69" s="181">
        <v>0</v>
      </c>
      <c r="BM69" s="185">
        <v>0</v>
      </c>
      <c r="BN69" s="185">
        <v>0</v>
      </c>
      <c r="BO69" s="185">
        <v>0</v>
      </c>
      <c r="BP69" s="185">
        <v>0</v>
      </c>
      <c r="BQ69" s="181">
        <v>0</v>
      </c>
      <c r="BR69" s="185">
        <v>0</v>
      </c>
      <c r="BS69" s="185">
        <v>0</v>
      </c>
      <c r="BT69" s="185">
        <v>0</v>
      </c>
      <c r="BU69" s="185">
        <v>0</v>
      </c>
      <c r="BV69" s="182">
        <v>0</v>
      </c>
      <c r="BW69" s="137"/>
      <c r="BX69" s="393" t="e">
        <f t="shared" si="15"/>
        <v>#DIV/0!</v>
      </c>
    </row>
    <row r="70" spans="1:76" hidden="1" x14ac:dyDescent="0.2">
      <c r="A70" s="407" t="s">
        <v>579</v>
      </c>
      <c r="B70" s="389"/>
      <c r="D70" s="408"/>
      <c r="E70" s="185">
        <v>0</v>
      </c>
      <c r="F70" s="185">
        <v>0</v>
      </c>
      <c r="G70" s="185">
        <v>0</v>
      </c>
      <c r="H70" s="185">
        <v>0</v>
      </c>
      <c r="I70" s="181"/>
      <c r="J70" s="183">
        <v>0</v>
      </c>
      <c r="K70" s="185">
        <v>0</v>
      </c>
      <c r="L70" s="185">
        <v>0</v>
      </c>
      <c r="M70" s="185">
        <v>0</v>
      </c>
      <c r="N70" s="181">
        <v>0</v>
      </c>
      <c r="O70" s="185">
        <v>0</v>
      </c>
      <c r="P70" s="185">
        <v>0</v>
      </c>
      <c r="Q70" s="185">
        <v>0</v>
      </c>
      <c r="R70" s="185">
        <v>0</v>
      </c>
      <c r="S70" s="181">
        <v>0</v>
      </c>
      <c r="T70" s="185">
        <v>0</v>
      </c>
      <c r="U70" s="185">
        <v>0</v>
      </c>
      <c r="V70" s="185">
        <v>0</v>
      </c>
      <c r="W70" s="185">
        <v>0</v>
      </c>
      <c r="X70" s="181">
        <v>0</v>
      </c>
      <c r="Y70" s="185">
        <v>0</v>
      </c>
      <c r="Z70" s="185">
        <v>0</v>
      </c>
      <c r="AA70" s="185">
        <v>0</v>
      </c>
      <c r="AB70" s="185">
        <v>0</v>
      </c>
      <c r="AC70" s="181">
        <v>0</v>
      </c>
      <c r="AD70" s="185">
        <v>0</v>
      </c>
      <c r="AE70" s="185">
        <v>0</v>
      </c>
      <c r="AF70" s="185">
        <v>0</v>
      </c>
      <c r="AG70" s="185">
        <v>0</v>
      </c>
      <c r="AH70" s="181">
        <v>0</v>
      </c>
      <c r="AI70" s="185">
        <v>0</v>
      </c>
      <c r="AJ70" s="185">
        <v>0</v>
      </c>
      <c r="AK70" s="185">
        <v>0</v>
      </c>
      <c r="AL70" s="185">
        <v>0</v>
      </c>
      <c r="AM70" s="181">
        <v>0</v>
      </c>
      <c r="AN70" s="185">
        <v>0</v>
      </c>
      <c r="AO70" s="185">
        <v>0</v>
      </c>
      <c r="AP70" s="185">
        <v>0</v>
      </c>
      <c r="AQ70" s="185">
        <v>0</v>
      </c>
      <c r="AR70" s="181">
        <v>0</v>
      </c>
      <c r="AS70" s="185">
        <v>0</v>
      </c>
      <c r="AT70" s="185">
        <v>0</v>
      </c>
      <c r="AU70" s="185">
        <v>0</v>
      </c>
      <c r="AV70" s="185">
        <v>0</v>
      </c>
      <c r="AW70" s="181">
        <v>0</v>
      </c>
      <c r="AX70" s="185"/>
      <c r="AY70" s="185"/>
      <c r="AZ70" s="185"/>
      <c r="BA70" s="185"/>
      <c r="BB70" s="181"/>
      <c r="BC70" s="185"/>
      <c r="BD70" s="185"/>
      <c r="BE70" s="185"/>
      <c r="BF70" s="185"/>
      <c r="BG70" s="181"/>
      <c r="BH70" s="185"/>
      <c r="BI70" s="185"/>
      <c r="BJ70" s="185"/>
      <c r="BK70" s="185"/>
      <c r="BL70" s="181"/>
      <c r="BM70" s="185"/>
      <c r="BN70" s="185"/>
      <c r="BO70" s="185"/>
      <c r="BP70" s="185"/>
      <c r="BQ70" s="181"/>
      <c r="BR70" s="185">
        <v>0</v>
      </c>
      <c r="BS70" s="185">
        <v>0</v>
      </c>
      <c r="BT70" s="185">
        <v>0</v>
      </c>
      <c r="BU70" s="185">
        <v>0</v>
      </c>
      <c r="BV70" s="182">
        <v>0</v>
      </c>
      <c r="BW70" s="137"/>
      <c r="BX70" s="393" t="e">
        <f t="shared" si="15"/>
        <v>#DIV/0!</v>
      </c>
    </row>
    <row r="71" spans="1:76" hidden="1" x14ac:dyDescent="0.2">
      <c r="A71" s="407" t="s">
        <v>282</v>
      </c>
      <c r="B71" s="389"/>
      <c r="D71" s="408"/>
      <c r="E71" s="185">
        <v>0</v>
      </c>
      <c r="F71" s="185">
        <v>0</v>
      </c>
      <c r="G71" s="185">
        <v>0</v>
      </c>
      <c r="H71" s="185">
        <v>0</v>
      </c>
      <c r="I71" s="181"/>
      <c r="J71" s="183">
        <v>0</v>
      </c>
      <c r="K71" s="185">
        <v>0</v>
      </c>
      <c r="L71" s="185">
        <v>0</v>
      </c>
      <c r="M71" s="185">
        <v>0</v>
      </c>
      <c r="N71" s="181">
        <f>SUM(J71:M71)</f>
        <v>0</v>
      </c>
      <c r="O71" s="185">
        <v>0</v>
      </c>
      <c r="P71" s="185">
        <v>0</v>
      </c>
      <c r="Q71" s="185">
        <v>0</v>
      </c>
      <c r="R71" s="185">
        <v>0</v>
      </c>
      <c r="S71" s="181">
        <v>0</v>
      </c>
      <c r="T71" s="185">
        <v>0</v>
      </c>
      <c r="U71" s="185">
        <v>0</v>
      </c>
      <c r="V71" s="185">
        <v>0</v>
      </c>
      <c r="W71" s="185">
        <v>0</v>
      </c>
      <c r="X71" s="181">
        <v>0</v>
      </c>
      <c r="Y71" s="185">
        <v>0</v>
      </c>
      <c r="Z71" s="185">
        <v>0</v>
      </c>
      <c r="AA71" s="185">
        <v>0</v>
      </c>
      <c r="AB71" s="185">
        <v>0</v>
      </c>
      <c r="AC71" s="181">
        <v>0</v>
      </c>
      <c r="AD71" s="185">
        <v>0</v>
      </c>
      <c r="AE71" s="185">
        <v>0</v>
      </c>
      <c r="AF71" s="185">
        <v>0</v>
      </c>
      <c r="AG71" s="185">
        <v>0</v>
      </c>
      <c r="AH71" s="181">
        <v>0</v>
      </c>
      <c r="AI71" s="185">
        <v>0</v>
      </c>
      <c r="AJ71" s="185">
        <v>0</v>
      </c>
      <c r="AK71" s="185">
        <v>0</v>
      </c>
      <c r="AL71" s="185">
        <v>0</v>
      </c>
      <c r="AM71" s="181">
        <v>0</v>
      </c>
      <c r="AN71" s="185">
        <v>0</v>
      </c>
      <c r="AO71" s="185">
        <v>0</v>
      </c>
      <c r="AP71" s="185">
        <v>0</v>
      </c>
      <c r="AQ71" s="185">
        <v>0</v>
      </c>
      <c r="AR71" s="181">
        <v>0</v>
      </c>
      <c r="AS71" s="185">
        <v>0</v>
      </c>
      <c r="AT71" s="185">
        <v>0</v>
      </c>
      <c r="AU71" s="185">
        <v>0</v>
      </c>
      <c r="AV71" s="185">
        <v>0</v>
      </c>
      <c r="AW71" s="181">
        <v>0</v>
      </c>
      <c r="AX71" s="185"/>
      <c r="AY71" s="185"/>
      <c r="AZ71" s="185"/>
      <c r="BA71" s="185"/>
      <c r="BB71" s="181"/>
      <c r="BC71" s="185"/>
      <c r="BD71" s="185"/>
      <c r="BE71" s="185"/>
      <c r="BF71" s="185"/>
      <c r="BG71" s="181"/>
      <c r="BH71" s="185"/>
      <c r="BI71" s="185"/>
      <c r="BJ71" s="185"/>
      <c r="BK71" s="185"/>
      <c r="BL71" s="181"/>
      <c r="BM71" s="185"/>
      <c r="BN71" s="185"/>
      <c r="BO71" s="185"/>
      <c r="BP71" s="185"/>
      <c r="BQ71" s="181"/>
      <c r="BR71" s="185">
        <f>+J71+O71+T71+Y71+AD71+AI71+AN71+AS71+AX71+BC71+BH71+BM71</f>
        <v>0</v>
      </c>
      <c r="BS71" s="185">
        <f>+K71+P71+U71+Z71+AE71+AJ71+AO71+AT71+AY71+BD71+BI71+BN71</f>
        <v>0</v>
      </c>
      <c r="BT71" s="185">
        <f>+L71+Q71+V71+AA71+AF71+AK71+AP71+AU71+AZ71+BE71+BJ71+BO71</f>
        <v>0</v>
      </c>
      <c r="BU71" s="185">
        <f>+M71+R71+W71+AB71+AG71+AL71+AQ71+AV71+BA71+BF71+BK71+BP71</f>
        <v>0</v>
      </c>
      <c r="BV71" s="182">
        <f>SUM(BR71:BU71)</f>
        <v>0</v>
      </c>
      <c r="BW71" s="137"/>
      <c r="BX71" s="393" t="e">
        <f t="shared" si="15"/>
        <v>#DIV/0!</v>
      </c>
    </row>
    <row r="72" spans="1:76" hidden="1" x14ac:dyDescent="0.2">
      <c r="A72" s="407" t="s">
        <v>580</v>
      </c>
      <c r="B72" s="389"/>
      <c r="D72" s="408"/>
      <c r="E72" s="185">
        <v>0</v>
      </c>
      <c r="F72" s="185">
        <v>0</v>
      </c>
      <c r="G72" s="185">
        <v>0</v>
      </c>
      <c r="H72" s="185">
        <v>0</v>
      </c>
      <c r="I72" s="181"/>
      <c r="J72" s="183">
        <v>0</v>
      </c>
      <c r="K72" s="185">
        <v>0</v>
      </c>
      <c r="L72" s="185">
        <v>0</v>
      </c>
      <c r="M72" s="185">
        <v>0</v>
      </c>
      <c r="N72" s="181">
        <v>0</v>
      </c>
      <c r="O72" s="185">
        <v>0</v>
      </c>
      <c r="P72" s="185">
        <v>0</v>
      </c>
      <c r="Q72" s="185">
        <v>0</v>
      </c>
      <c r="R72" s="185">
        <v>0</v>
      </c>
      <c r="S72" s="181">
        <v>0</v>
      </c>
      <c r="T72" s="185">
        <v>0</v>
      </c>
      <c r="U72" s="185">
        <v>0</v>
      </c>
      <c r="V72" s="185">
        <v>0</v>
      </c>
      <c r="W72" s="185">
        <v>0</v>
      </c>
      <c r="X72" s="181">
        <v>0</v>
      </c>
      <c r="Y72" s="185">
        <v>0</v>
      </c>
      <c r="Z72" s="185">
        <v>0</v>
      </c>
      <c r="AA72" s="185">
        <v>0</v>
      </c>
      <c r="AB72" s="185">
        <v>0</v>
      </c>
      <c r="AC72" s="181">
        <v>0</v>
      </c>
      <c r="AD72" s="185">
        <v>0</v>
      </c>
      <c r="AE72" s="185">
        <v>0</v>
      </c>
      <c r="AF72" s="185">
        <v>0</v>
      </c>
      <c r="AG72" s="185">
        <v>0</v>
      </c>
      <c r="AH72" s="181">
        <v>0</v>
      </c>
      <c r="AI72" s="185">
        <v>0</v>
      </c>
      <c r="AJ72" s="185">
        <v>0</v>
      </c>
      <c r="AK72" s="185">
        <v>0</v>
      </c>
      <c r="AL72" s="185">
        <v>0</v>
      </c>
      <c r="AM72" s="181">
        <v>0</v>
      </c>
      <c r="AN72" s="185">
        <v>0</v>
      </c>
      <c r="AO72" s="185">
        <v>0</v>
      </c>
      <c r="AP72" s="185">
        <v>0</v>
      </c>
      <c r="AQ72" s="185">
        <v>0</v>
      </c>
      <c r="AR72" s="181">
        <v>0</v>
      </c>
      <c r="AS72" s="185">
        <v>0</v>
      </c>
      <c r="AT72" s="185">
        <v>0</v>
      </c>
      <c r="AU72" s="185">
        <v>0</v>
      </c>
      <c r="AV72" s="185">
        <v>0</v>
      </c>
      <c r="AW72" s="181">
        <v>0</v>
      </c>
      <c r="AX72" s="185"/>
      <c r="AY72" s="185"/>
      <c r="AZ72" s="185"/>
      <c r="BA72" s="185"/>
      <c r="BB72" s="181"/>
      <c r="BC72" s="185"/>
      <c r="BD72" s="185"/>
      <c r="BE72" s="185"/>
      <c r="BF72" s="185"/>
      <c r="BG72" s="181"/>
      <c r="BH72" s="185"/>
      <c r="BI72" s="185"/>
      <c r="BJ72" s="185"/>
      <c r="BK72" s="185"/>
      <c r="BL72" s="181"/>
      <c r="BM72" s="185"/>
      <c r="BN72" s="185"/>
      <c r="BO72" s="185"/>
      <c r="BP72" s="185"/>
      <c r="BQ72" s="181"/>
      <c r="BR72" s="185">
        <v>0</v>
      </c>
      <c r="BS72" s="185">
        <v>0</v>
      </c>
      <c r="BT72" s="185">
        <v>0</v>
      </c>
      <c r="BU72" s="185">
        <v>0</v>
      </c>
      <c r="BV72" s="182">
        <v>0</v>
      </c>
      <c r="BW72" s="137"/>
      <c r="BX72" s="393" t="e">
        <f t="shared" si="15"/>
        <v>#DIV/0!</v>
      </c>
    </row>
    <row r="73" spans="1:76" ht="13.5" customHeight="1" x14ac:dyDescent="0.2">
      <c r="A73" s="422" t="s">
        <v>219</v>
      </c>
      <c r="B73" s="423"/>
      <c r="C73" s="423"/>
      <c r="D73" s="424"/>
      <c r="E73" s="425">
        <f t="shared" ref="E73:BP73" si="48">+E47+E68+E69+E70+E71+E72</f>
        <v>449732094.69999999</v>
      </c>
      <c r="F73" s="426">
        <f t="shared" si="48"/>
        <v>1163716358</v>
      </c>
      <c r="G73" s="426">
        <f t="shared" si="48"/>
        <v>11702183</v>
      </c>
      <c r="H73" s="426">
        <f t="shared" si="48"/>
        <v>64681779</v>
      </c>
      <c r="I73" s="427">
        <f>+I47+I68</f>
        <v>1689832414.7</v>
      </c>
      <c r="J73" s="425">
        <f t="shared" si="48"/>
        <v>21299829</v>
      </c>
      <c r="K73" s="426">
        <f t="shared" si="48"/>
        <v>102058569</v>
      </c>
      <c r="L73" s="426">
        <f t="shared" si="48"/>
        <v>362073</v>
      </c>
      <c r="M73" s="426">
        <f t="shared" si="48"/>
        <v>13633997</v>
      </c>
      <c r="N73" s="427">
        <f t="shared" si="48"/>
        <v>137354468</v>
      </c>
      <c r="O73" s="426">
        <f t="shared" si="48"/>
        <v>23389993</v>
      </c>
      <c r="P73" s="426">
        <f t="shared" si="48"/>
        <v>90353168</v>
      </c>
      <c r="Q73" s="426">
        <f t="shared" si="48"/>
        <v>582691</v>
      </c>
      <c r="R73" s="426">
        <f t="shared" si="48"/>
        <v>135434</v>
      </c>
      <c r="S73" s="427">
        <f t="shared" si="48"/>
        <v>114461286</v>
      </c>
      <c r="T73" s="425">
        <f t="shared" si="48"/>
        <v>0</v>
      </c>
      <c r="U73" s="426">
        <f t="shared" si="48"/>
        <v>0</v>
      </c>
      <c r="V73" s="426">
        <f t="shared" si="48"/>
        <v>0</v>
      </c>
      <c r="W73" s="426">
        <f t="shared" si="48"/>
        <v>0</v>
      </c>
      <c r="X73" s="427">
        <f t="shared" si="48"/>
        <v>0</v>
      </c>
      <c r="Y73" s="425">
        <f t="shared" si="48"/>
        <v>0</v>
      </c>
      <c r="Z73" s="426">
        <f t="shared" si="48"/>
        <v>0</v>
      </c>
      <c r="AA73" s="426">
        <f t="shared" si="48"/>
        <v>0</v>
      </c>
      <c r="AB73" s="426">
        <f t="shared" si="48"/>
        <v>0</v>
      </c>
      <c r="AC73" s="427">
        <f t="shared" si="48"/>
        <v>0</v>
      </c>
      <c r="AD73" s="425">
        <f t="shared" si="48"/>
        <v>0</v>
      </c>
      <c r="AE73" s="426">
        <f t="shared" si="48"/>
        <v>0</v>
      </c>
      <c r="AF73" s="426">
        <f t="shared" si="48"/>
        <v>0</v>
      </c>
      <c r="AG73" s="426">
        <f t="shared" si="48"/>
        <v>0</v>
      </c>
      <c r="AH73" s="427">
        <f t="shared" si="48"/>
        <v>0</v>
      </c>
      <c r="AI73" s="425">
        <f t="shared" si="48"/>
        <v>0</v>
      </c>
      <c r="AJ73" s="426">
        <f t="shared" si="48"/>
        <v>0</v>
      </c>
      <c r="AK73" s="426">
        <f t="shared" si="48"/>
        <v>0</v>
      </c>
      <c r="AL73" s="426">
        <f t="shared" si="48"/>
        <v>0</v>
      </c>
      <c r="AM73" s="427">
        <f t="shared" si="48"/>
        <v>0</v>
      </c>
      <c r="AN73" s="425">
        <f>+AN47+AN68+AN69+AN70+AN71+AN72</f>
        <v>0</v>
      </c>
      <c r="AO73" s="426">
        <f t="shared" si="48"/>
        <v>0</v>
      </c>
      <c r="AP73" s="426">
        <f t="shared" si="48"/>
        <v>0</v>
      </c>
      <c r="AQ73" s="426">
        <f>+AQ47+AQ68+AQ69+AQ70+AQ71+AQ72</f>
        <v>0</v>
      </c>
      <c r="AR73" s="427">
        <f>+AR47+AR68+AR69+AR70+AR71+AR72</f>
        <v>0</v>
      </c>
      <c r="AS73" s="425">
        <f t="shared" si="48"/>
        <v>0</v>
      </c>
      <c r="AT73" s="426">
        <f t="shared" si="48"/>
        <v>0</v>
      </c>
      <c r="AU73" s="426">
        <f t="shared" si="48"/>
        <v>0</v>
      </c>
      <c r="AV73" s="426">
        <f t="shared" si="48"/>
        <v>0</v>
      </c>
      <c r="AW73" s="427">
        <f t="shared" si="48"/>
        <v>0</v>
      </c>
      <c r="AX73" s="425">
        <f t="shared" si="48"/>
        <v>0</v>
      </c>
      <c r="AY73" s="426">
        <f t="shared" si="48"/>
        <v>0</v>
      </c>
      <c r="AZ73" s="426">
        <f t="shared" si="48"/>
        <v>0</v>
      </c>
      <c r="BA73" s="426">
        <f t="shared" si="48"/>
        <v>0</v>
      </c>
      <c r="BB73" s="427">
        <f t="shared" si="48"/>
        <v>0</v>
      </c>
      <c r="BC73" s="425">
        <f t="shared" si="48"/>
        <v>0</v>
      </c>
      <c r="BD73" s="426">
        <f t="shared" si="48"/>
        <v>0</v>
      </c>
      <c r="BE73" s="426">
        <f t="shared" si="48"/>
        <v>0</v>
      </c>
      <c r="BF73" s="426">
        <f t="shared" si="48"/>
        <v>0</v>
      </c>
      <c r="BG73" s="427">
        <f t="shared" si="48"/>
        <v>0</v>
      </c>
      <c r="BH73" s="425">
        <f t="shared" si="48"/>
        <v>0</v>
      </c>
      <c r="BI73" s="426">
        <f t="shared" si="48"/>
        <v>0</v>
      </c>
      <c r="BJ73" s="426">
        <f t="shared" si="48"/>
        <v>0</v>
      </c>
      <c r="BK73" s="426">
        <f t="shared" si="48"/>
        <v>0</v>
      </c>
      <c r="BL73" s="427">
        <f t="shared" si="48"/>
        <v>0</v>
      </c>
      <c r="BM73" s="425">
        <f t="shared" si="48"/>
        <v>0</v>
      </c>
      <c r="BN73" s="426">
        <f t="shared" si="48"/>
        <v>0</v>
      </c>
      <c r="BO73" s="426">
        <f t="shared" si="48"/>
        <v>0</v>
      </c>
      <c r="BP73" s="426">
        <f t="shared" si="48"/>
        <v>0</v>
      </c>
      <c r="BQ73" s="427">
        <f t="shared" ref="BQ73:BV73" si="49">+BQ47+BQ68+BQ69+BQ70+BQ71+BQ72</f>
        <v>0</v>
      </c>
      <c r="BR73" s="425">
        <f t="shared" si="49"/>
        <v>44689822</v>
      </c>
      <c r="BS73" s="426">
        <f t="shared" si="49"/>
        <v>192411737</v>
      </c>
      <c r="BT73" s="426">
        <f t="shared" si="49"/>
        <v>944764</v>
      </c>
      <c r="BU73" s="426">
        <f t="shared" si="49"/>
        <v>13769431</v>
      </c>
      <c r="BV73" s="428">
        <f t="shared" si="49"/>
        <v>251815754</v>
      </c>
      <c r="BW73" s="137"/>
      <c r="BX73" s="393">
        <f>(BV73/I73)*100</f>
        <v>14.90181818087005</v>
      </c>
    </row>
    <row r="74" spans="1:76" ht="13.5" hidden="1" customHeight="1" x14ac:dyDescent="0.2">
      <c r="A74" s="407"/>
      <c r="B74" s="358"/>
      <c r="D74" s="406" t="s">
        <v>157</v>
      </c>
      <c r="E74" s="391">
        <v>0</v>
      </c>
      <c r="F74" s="88">
        <v>0</v>
      </c>
      <c r="G74" s="88">
        <v>0</v>
      </c>
      <c r="H74" s="87">
        <v>0</v>
      </c>
      <c r="I74" s="180">
        <v>0</v>
      </c>
      <c r="J74" s="391">
        <v>0</v>
      </c>
      <c r="K74" s="88">
        <v>0</v>
      </c>
      <c r="L74" s="88">
        <v>0</v>
      </c>
      <c r="M74" s="87">
        <v>0</v>
      </c>
      <c r="N74" s="181">
        <v>0</v>
      </c>
      <c r="O74" s="88">
        <v>0</v>
      </c>
      <c r="P74" s="88">
        <v>0</v>
      </c>
      <c r="Q74" s="88">
        <v>0</v>
      </c>
      <c r="R74" s="87">
        <v>0</v>
      </c>
      <c r="S74" s="180">
        <v>0</v>
      </c>
      <c r="T74" s="391">
        <v>0</v>
      </c>
      <c r="U74" s="88">
        <v>0</v>
      </c>
      <c r="V74" s="88">
        <v>0</v>
      </c>
      <c r="W74" s="87">
        <v>0</v>
      </c>
      <c r="X74" s="180">
        <v>0</v>
      </c>
      <c r="Y74" s="391">
        <v>0</v>
      </c>
      <c r="Z74" s="88">
        <v>0</v>
      </c>
      <c r="AA74" s="88">
        <v>0</v>
      </c>
      <c r="AB74" s="88">
        <v>0</v>
      </c>
      <c r="AC74" s="305">
        <f>SUM(Y74:AB74)</f>
        <v>0</v>
      </c>
      <c r="AD74" s="391">
        <v>0</v>
      </c>
      <c r="AE74" s="88">
        <v>0</v>
      </c>
      <c r="AF74" s="88">
        <v>0</v>
      </c>
      <c r="AG74" s="87">
        <v>0</v>
      </c>
      <c r="AH74" s="180">
        <f>SUM(AD74:AG74)</f>
        <v>0</v>
      </c>
      <c r="AI74" s="391">
        <v>0</v>
      </c>
      <c r="AJ74" s="88">
        <v>0</v>
      </c>
      <c r="AK74" s="88">
        <v>0</v>
      </c>
      <c r="AL74" s="87">
        <v>0</v>
      </c>
      <c r="AM74" s="180">
        <f>SUM(AI74:AL74)</f>
        <v>0</v>
      </c>
      <c r="AN74" s="391">
        <v>0</v>
      </c>
      <c r="AO74" s="88">
        <v>0</v>
      </c>
      <c r="AP74" s="88">
        <v>0</v>
      </c>
      <c r="AQ74" s="87">
        <v>0</v>
      </c>
      <c r="AR74" s="180">
        <f>SUM(AN74:AQ74)</f>
        <v>0</v>
      </c>
      <c r="AS74" s="391">
        <v>0</v>
      </c>
      <c r="AT74" s="88">
        <v>0</v>
      </c>
      <c r="AU74" s="88">
        <v>0</v>
      </c>
      <c r="AV74" s="87">
        <v>0</v>
      </c>
      <c r="AW74" s="180">
        <f>SUM(AS74:AV74)</f>
        <v>0</v>
      </c>
      <c r="AX74" s="391">
        <v>0</v>
      </c>
      <c r="AY74" s="88">
        <v>0</v>
      </c>
      <c r="AZ74" s="88">
        <v>0</v>
      </c>
      <c r="BA74" s="87">
        <v>0</v>
      </c>
      <c r="BB74" s="180">
        <f>SUM(AX74:BA74)</f>
        <v>0</v>
      </c>
      <c r="BC74" s="391">
        <v>0</v>
      </c>
      <c r="BD74" s="88">
        <v>0</v>
      </c>
      <c r="BE74" s="88">
        <v>0</v>
      </c>
      <c r="BF74" s="87">
        <v>0</v>
      </c>
      <c r="BG74" s="180">
        <f>SUM(BC74:BF74)</f>
        <v>0</v>
      </c>
      <c r="BH74" s="391">
        <v>0</v>
      </c>
      <c r="BI74" s="88">
        <v>0</v>
      </c>
      <c r="BJ74" s="88">
        <v>0</v>
      </c>
      <c r="BK74" s="87">
        <v>0</v>
      </c>
      <c r="BL74" s="180">
        <f>SUM(BH74:BK74)</f>
        <v>0</v>
      </c>
      <c r="BM74" s="391">
        <v>0</v>
      </c>
      <c r="BN74" s="88">
        <v>0</v>
      </c>
      <c r="BO74" s="88">
        <v>0</v>
      </c>
      <c r="BP74" s="87">
        <v>0</v>
      </c>
      <c r="BQ74" s="180">
        <f>SUM(BM74:BP74)</f>
        <v>0</v>
      </c>
      <c r="BR74" s="391">
        <v>0</v>
      </c>
      <c r="BS74" s="88">
        <v>0</v>
      </c>
      <c r="BT74" s="88">
        <v>0</v>
      </c>
      <c r="BU74" s="87">
        <v>0</v>
      </c>
      <c r="BV74" s="182">
        <f>SUM(BR74:BU74)</f>
        <v>0</v>
      </c>
      <c r="BW74" s="137"/>
      <c r="BX74" s="393" t="e">
        <f t="shared" si="15"/>
        <v>#DIV/0!</v>
      </c>
    </row>
    <row r="75" spans="1:76" ht="13.5" customHeight="1" x14ac:dyDescent="0.2">
      <c r="A75" s="407" t="s">
        <v>285</v>
      </c>
      <c r="B75" s="358"/>
      <c r="D75" s="408"/>
      <c r="E75" s="88">
        <v>0</v>
      </c>
      <c r="F75" s="88">
        <v>0</v>
      </c>
      <c r="G75" s="88">
        <v>0</v>
      </c>
      <c r="H75" s="88">
        <v>0</v>
      </c>
      <c r="I75" s="181">
        <v>0</v>
      </c>
      <c r="J75" s="391">
        <v>0</v>
      </c>
      <c r="K75" s="88">
        <v>0</v>
      </c>
      <c r="L75" s="88">
        <v>0</v>
      </c>
      <c r="M75" s="88">
        <v>0</v>
      </c>
      <c r="N75" s="181">
        <v>0</v>
      </c>
      <c r="O75" s="88">
        <v>0</v>
      </c>
      <c r="P75" s="88">
        <v>0</v>
      </c>
      <c r="Q75" s="88">
        <v>0</v>
      </c>
      <c r="R75" s="88">
        <v>0</v>
      </c>
      <c r="S75" s="181">
        <v>0</v>
      </c>
      <c r="T75" s="88">
        <v>0</v>
      </c>
      <c r="U75" s="88">
        <v>0</v>
      </c>
      <c r="V75" s="88">
        <v>0</v>
      </c>
      <c r="W75" s="88">
        <v>0</v>
      </c>
      <c r="X75" s="181">
        <v>0</v>
      </c>
      <c r="Y75" s="88">
        <v>0</v>
      </c>
      <c r="Z75" s="88">
        <v>0</v>
      </c>
      <c r="AA75" s="88">
        <v>0</v>
      </c>
      <c r="AB75" s="88">
        <v>0</v>
      </c>
      <c r="AC75" s="181">
        <f>SUM(Y75:AB75)</f>
        <v>0</v>
      </c>
      <c r="AD75" s="88">
        <v>0</v>
      </c>
      <c r="AE75" s="88">
        <v>0</v>
      </c>
      <c r="AF75" s="88">
        <v>0</v>
      </c>
      <c r="AG75" s="88">
        <v>0</v>
      </c>
      <c r="AH75" s="181">
        <f>SUM(AD75:AG75)</f>
        <v>0</v>
      </c>
      <c r="AI75" s="88">
        <v>0</v>
      </c>
      <c r="AJ75" s="88">
        <v>0</v>
      </c>
      <c r="AK75" s="88">
        <v>0</v>
      </c>
      <c r="AL75" s="88">
        <v>0</v>
      </c>
      <c r="AM75" s="181">
        <f>SUM(AI75:AL75)</f>
        <v>0</v>
      </c>
      <c r="AN75" s="88">
        <v>0</v>
      </c>
      <c r="AO75" s="88">
        <v>0</v>
      </c>
      <c r="AP75" s="88">
        <v>0</v>
      </c>
      <c r="AQ75" s="88">
        <v>0</v>
      </c>
      <c r="AR75" s="181">
        <f>SUM(AN75:AQ75)</f>
        <v>0</v>
      </c>
      <c r="AS75" s="88">
        <v>0</v>
      </c>
      <c r="AT75" s="88">
        <v>0</v>
      </c>
      <c r="AU75" s="88">
        <v>0</v>
      </c>
      <c r="AV75" s="88">
        <v>0</v>
      </c>
      <c r="AW75" s="181">
        <f>SUM(AS75:AV75)</f>
        <v>0</v>
      </c>
      <c r="AX75" s="88">
        <v>0</v>
      </c>
      <c r="AY75" s="88">
        <v>0</v>
      </c>
      <c r="AZ75" s="88">
        <v>0</v>
      </c>
      <c r="BA75" s="88">
        <v>0</v>
      </c>
      <c r="BB75" s="181">
        <f>SUM(AX75:BA75)</f>
        <v>0</v>
      </c>
      <c r="BC75" s="88">
        <v>0</v>
      </c>
      <c r="BD75" s="88">
        <v>0</v>
      </c>
      <c r="BE75" s="88">
        <v>0</v>
      </c>
      <c r="BF75" s="88">
        <v>0</v>
      </c>
      <c r="BG75" s="181">
        <f>SUM(BC75:BF75)</f>
        <v>0</v>
      </c>
      <c r="BH75" s="88">
        <v>0</v>
      </c>
      <c r="BI75" s="88">
        <v>0</v>
      </c>
      <c r="BJ75" s="88">
        <v>0</v>
      </c>
      <c r="BK75" s="88">
        <v>0</v>
      </c>
      <c r="BL75" s="181">
        <f>SUM(BH75:BK75)</f>
        <v>0</v>
      </c>
      <c r="BM75" s="88">
        <v>0</v>
      </c>
      <c r="BN75" s="88">
        <v>0</v>
      </c>
      <c r="BO75" s="88">
        <v>0</v>
      </c>
      <c r="BP75" s="88">
        <v>0</v>
      </c>
      <c r="BQ75" s="181">
        <f>SUM(BM75:BP75)</f>
        <v>0</v>
      </c>
      <c r="BR75" s="88">
        <v>0</v>
      </c>
      <c r="BS75" s="88">
        <v>0</v>
      </c>
      <c r="BT75" s="88">
        <v>0</v>
      </c>
      <c r="BU75" s="88">
        <v>0</v>
      </c>
      <c r="BV75" s="182">
        <f>SUM(BR75:BU75)</f>
        <v>0</v>
      </c>
      <c r="BW75" s="137"/>
      <c r="BX75" s="393">
        <v>0</v>
      </c>
    </row>
    <row r="76" spans="1:76" ht="13.5" hidden="1" customHeight="1" x14ac:dyDescent="0.2">
      <c r="A76" s="407"/>
      <c r="B76" s="358"/>
      <c r="D76" s="408"/>
      <c r="E76" s="88">
        <v>0</v>
      </c>
      <c r="F76" s="88">
        <v>0</v>
      </c>
      <c r="G76" s="88">
        <v>0</v>
      </c>
      <c r="H76" s="88">
        <v>0</v>
      </c>
      <c r="I76" s="181">
        <v>0</v>
      </c>
      <c r="J76" s="391">
        <v>0</v>
      </c>
      <c r="K76" s="88">
        <v>0</v>
      </c>
      <c r="L76" s="88">
        <v>0</v>
      </c>
      <c r="M76" s="88">
        <v>0</v>
      </c>
      <c r="N76" s="181">
        <v>0</v>
      </c>
      <c r="O76" s="88">
        <v>0</v>
      </c>
      <c r="P76" s="88">
        <v>0</v>
      </c>
      <c r="Q76" s="88">
        <v>0</v>
      </c>
      <c r="R76" s="88">
        <v>0</v>
      </c>
      <c r="S76" s="181">
        <v>0</v>
      </c>
      <c r="T76" s="88">
        <v>0</v>
      </c>
      <c r="U76" s="88">
        <v>0</v>
      </c>
      <c r="V76" s="88">
        <v>0</v>
      </c>
      <c r="W76" s="88">
        <v>0</v>
      </c>
      <c r="X76" s="181">
        <v>0</v>
      </c>
      <c r="Y76" s="88">
        <v>0</v>
      </c>
      <c r="Z76" s="88">
        <v>0</v>
      </c>
      <c r="AA76" s="88">
        <v>0</v>
      </c>
      <c r="AB76" s="88">
        <v>0</v>
      </c>
      <c r="AC76" s="334">
        <f>SUM(Y76:AB76)</f>
        <v>0</v>
      </c>
      <c r="AD76" s="88">
        <v>0</v>
      </c>
      <c r="AE76" s="88">
        <v>0</v>
      </c>
      <c r="AF76" s="88">
        <v>0</v>
      </c>
      <c r="AG76" s="88">
        <v>0</v>
      </c>
      <c r="AH76" s="181">
        <f>SUM(AD76:AG76)</f>
        <v>0</v>
      </c>
      <c r="AI76" s="88">
        <v>0</v>
      </c>
      <c r="AJ76" s="88">
        <v>0</v>
      </c>
      <c r="AK76" s="88">
        <v>0</v>
      </c>
      <c r="AL76" s="88">
        <v>0</v>
      </c>
      <c r="AM76" s="181">
        <f>SUM(AI76:AL76)</f>
        <v>0</v>
      </c>
      <c r="AN76" s="88">
        <v>0</v>
      </c>
      <c r="AO76" s="88">
        <v>0</v>
      </c>
      <c r="AP76" s="88">
        <v>0</v>
      </c>
      <c r="AQ76" s="88">
        <v>0</v>
      </c>
      <c r="AR76" s="181">
        <f>SUM(AN76:AQ76)</f>
        <v>0</v>
      </c>
      <c r="AS76" s="88">
        <v>0</v>
      </c>
      <c r="AT76" s="88">
        <v>0</v>
      </c>
      <c r="AU76" s="88">
        <v>0</v>
      </c>
      <c r="AV76" s="88">
        <v>0</v>
      </c>
      <c r="AW76" s="181">
        <f>SUM(AS76:AV76)</f>
        <v>0</v>
      </c>
      <c r="AX76" s="88">
        <v>0</v>
      </c>
      <c r="AY76" s="88">
        <v>0</v>
      </c>
      <c r="AZ76" s="88">
        <v>0</v>
      </c>
      <c r="BA76" s="88">
        <v>0</v>
      </c>
      <c r="BB76" s="181">
        <f>SUM(AX76:BA76)</f>
        <v>0</v>
      </c>
      <c r="BC76" s="88">
        <v>0</v>
      </c>
      <c r="BD76" s="88">
        <v>0</v>
      </c>
      <c r="BE76" s="88">
        <v>0</v>
      </c>
      <c r="BF76" s="88">
        <v>0</v>
      </c>
      <c r="BG76" s="181">
        <f>SUM(BC76:BF76)</f>
        <v>0</v>
      </c>
      <c r="BH76" s="88">
        <v>0</v>
      </c>
      <c r="BI76" s="88">
        <v>0</v>
      </c>
      <c r="BJ76" s="88">
        <v>0</v>
      </c>
      <c r="BK76" s="88">
        <v>0</v>
      </c>
      <c r="BL76" s="181">
        <f>SUM(BH76:BK76)</f>
        <v>0</v>
      </c>
      <c r="BM76" s="88">
        <v>0</v>
      </c>
      <c r="BN76" s="88">
        <v>0</v>
      </c>
      <c r="BO76" s="88">
        <v>0</v>
      </c>
      <c r="BP76" s="88">
        <v>0</v>
      </c>
      <c r="BQ76" s="181">
        <f>SUM(BM76:BP76)</f>
        <v>0</v>
      </c>
      <c r="BR76" s="88">
        <v>0</v>
      </c>
      <c r="BS76" s="88">
        <v>0</v>
      </c>
      <c r="BT76" s="88">
        <v>0</v>
      </c>
      <c r="BU76" s="88">
        <v>0</v>
      </c>
      <c r="BV76" s="182">
        <f>SUM(BR76:BU76)</f>
        <v>0</v>
      </c>
      <c r="BW76" s="137"/>
      <c r="BX76" s="393"/>
    </row>
    <row r="77" spans="1:76" x14ac:dyDescent="0.2">
      <c r="A77" s="422" t="s">
        <v>286</v>
      </c>
      <c r="B77" s="429"/>
      <c r="C77" s="423"/>
      <c r="D77" s="430"/>
      <c r="E77" s="431">
        <f>+E73+E74+E75</f>
        <v>449732094.69999999</v>
      </c>
      <c r="F77" s="431">
        <f>+F73+F74+F75</f>
        <v>1163716358</v>
      </c>
      <c r="G77" s="431">
        <f>+G73+G74+G75</f>
        <v>11702183</v>
      </c>
      <c r="H77" s="431">
        <f>+H73+H74+H75</f>
        <v>64681779</v>
      </c>
      <c r="I77" s="432">
        <f>+I73+I74+I75</f>
        <v>1689832414.7</v>
      </c>
      <c r="J77" s="433">
        <f t="shared" ref="J77:BU77" si="50">+J73+J74+J75</f>
        <v>21299829</v>
      </c>
      <c r="K77" s="431">
        <f t="shared" si="50"/>
        <v>102058569</v>
      </c>
      <c r="L77" s="431">
        <f t="shared" si="50"/>
        <v>362073</v>
      </c>
      <c r="M77" s="431">
        <f t="shared" si="50"/>
        <v>13633997</v>
      </c>
      <c r="N77" s="432">
        <f t="shared" si="50"/>
        <v>137354468</v>
      </c>
      <c r="O77" s="431">
        <f t="shared" si="50"/>
        <v>23389993</v>
      </c>
      <c r="P77" s="431">
        <f t="shared" si="50"/>
        <v>90353168</v>
      </c>
      <c r="Q77" s="431">
        <f t="shared" si="50"/>
        <v>582691</v>
      </c>
      <c r="R77" s="431">
        <f t="shared" si="50"/>
        <v>135434</v>
      </c>
      <c r="S77" s="432">
        <f t="shared" si="50"/>
        <v>114461286</v>
      </c>
      <c r="T77" s="431">
        <f t="shared" si="50"/>
        <v>0</v>
      </c>
      <c r="U77" s="431">
        <f t="shared" si="50"/>
        <v>0</v>
      </c>
      <c r="V77" s="431">
        <f t="shared" si="50"/>
        <v>0</v>
      </c>
      <c r="W77" s="431">
        <f t="shared" si="50"/>
        <v>0</v>
      </c>
      <c r="X77" s="432">
        <f t="shared" si="50"/>
        <v>0</v>
      </c>
      <c r="Y77" s="431">
        <f t="shared" si="50"/>
        <v>0</v>
      </c>
      <c r="Z77" s="431">
        <f t="shared" si="50"/>
        <v>0</v>
      </c>
      <c r="AA77" s="431">
        <f t="shared" si="50"/>
        <v>0</v>
      </c>
      <c r="AB77" s="431">
        <f t="shared" si="50"/>
        <v>0</v>
      </c>
      <c r="AC77" s="432">
        <f t="shared" si="50"/>
        <v>0</v>
      </c>
      <c r="AD77" s="431">
        <f t="shared" si="50"/>
        <v>0</v>
      </c>
      <c r="AE77" s="431">
        <f t="shared" si="50"/>
        <v>0</v>
      </c>
      <c r="AF77" s="431">
        <f t="shared" si="50"/>
        <v>0</v>
      </c>
      <c r="AG77" s="431">
        <f t="shared" si="50"/>
        <v>0</v>
      </c>
      <c r="AH77" s="432">
        <f t="shared" si="50"/>
        <v>0</v>
      </c>
      <c r="AI77" s="431">
        <f t="shared" si="50"/>
        <v>0</v>
      </c>
      <c r="AJ77" s="431">
        <f t="shared" si="50"/>
        <v>0</v>
      </c>
      <c r="AK77" s="431">
        <f t="shared" si="50"/>
        <v>0</v>
      </c>
      <c r="AL77" s="431">
        <f t="shared" si="50"/>
        <v>0</v>
      </c>
      <c r="AM77" s="432">
        <f t="shared" si="50"/>
        <v>0</v>
      </c>
      <c r="AN77" s="431">
        <f t="shared" si="50"/>
        <v>0</v>
      </c>
      <c r="AO77" s="431">
        <f t="shared" si="50"/>
        <v>0</v>
      </c>
      <c r="AP77" s="431">
        <f t="shared" si="50"/>
        <v>0</v>
      </c>
      <c r="AQ77" s="431">
        <f t="shared" si="50"/>
        <v>0</v>
      </c>
      <c r="AR77" s="432">
        <f t="shared" si="50"/>
        <v>0</v>
      </c>
      <c r="AS77" s="431">
        <f t="shared" si="50"/>
        <v>0</v>
      </c>
      <c r="AT77" s="431">
        <f t="shared" si="50"/>
        <v>0</v>
      </c>
      <c r="AU77" s="431">
        <f t="shared" si="50"/>
        <v>0</v>
      </c>
      <c r="AV77" s="431">
        <f t="shared" si="50"/>
        <v>0</v>
      </c>
      <c r="AW77" s="432">
        <f t="shared" si="50"/>
        <v>0</v>
      </c>
      <c r="AX77" s="431">
        <f t="shared" si="50"/>
        <v>0</v>
      </c>
      <c r="AY77" s="431">
        <f t="shared" si="50"/>
        <v>0</v>
      </c>
      <c r="AZ77" s="431">
        <f t="shared" si="50"/>
        <v>0</v>
      </c>
      <c r="BA77" s="431">
        <f t="shared" si="50"/>
        <v>0</v>
      </c>
      <c r="BB77" s="432">
        <f t="shared" si="50"/>
        <v>0</v>
      </c>
      <c r="BC77" s="431">
        <f t="shared" si="50"/>
        <v>0</v>
      </c>
      <c r="BD77" s="431">
        <f t="shared" si="50"/>
        <v>0</v>
      </c>
      <c r="BE77" s="431">
        <f t="shared" si="50"/>
        <v>0</v>
      </c>
      <c r="BF77" s="431">
        <f t="shared" si="50"/>
        <v>0</v>
      </c>
      <c r="BG77" s="432">
        <f t="shared" si="50"/>
        <v>0</v>
      </c>
      <c r="BH77" s="431">
        <f t="shared" si="50"/>
        <v>0</v>
      </c>
      <c r="BI77" s="431">
        <f t="shared" si="50"/>
        <v>0</v>
      </c>
      <c r="BJ77" s="431">
        <f t="shared" si="50"/>
        <v>0</v>
      </c>
      <c r="BK77" s="431">
        <f t="shared" si="50"/>
        <v>0</v>
      </c>
      <c r="BL77" s="432">
        <f t="shared" si="50"/>
        <v>0</v>
      </c>
      <c r="BM77" s="431">
        <f t="shared" si="50"/>
        <v>0</v>
      </c>
      <c r="BN77" s="431">
        <f t="shared" si="50"/>
        <v>0</v>
      </c>
      <c r="BO77" s="431">
        <f t="shared" si="50"/>
        <v>0</v>
      </c>
      <c r="BP77" s="431">
        <f t="shared" si="50"/>
        <v>0</v>
      </c>
      <c r="BQ77" s="432">
        <f t="shared" si="50"/>
        <v>0</v>
      </c>
      <c r="BR77" s="431">
        <f t="shared" si="50"/>
        <v>44689822</v>
      </c>
      <c r="BS77" s="431">
        <f t="shared" si="50"/>
        <v>192411737</v>
      </c>
      <c r="BT77" s="431">
        <f t="shared" si="50"/>
        <v>944764</v>
      </c>
      <c r="BU77" s="431">
        <f t="shared" si="50"/>
        <v>13769431</v>
      </c>
      <c r="BV77" s="434">
        <f t="shared" ref="BV77:DB77" si="51">+BV73+BV74+BV75</f>
        <v>251815754</v>
      </c>
      <c r="BW77" s="435"/>
      <c r="BX77" s="393">
        <f>(BV77/I77)*100</f>
        <v>14.90181818087005</v>
      </c>
    </row>
    <row r="78" spans="1:76" ht="12" customHeight="1" x14ac:dyDescent="0.2">
      <c r="A78" s="436" t="s">
        <v>287</v>
      </c>
      <c r="B78" s="437"/>
      <c r="C78" s="437"/>
      <c r="D78" s="389"/>
      <c r="E78" s="438"/>
      <c r="F78" s="439"/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39"/>
      <c r="Z78" s="439"/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39"/>
      <c r="AL78" s="439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39"/>
      <c r="AX78" s="439"/>
      <c r="AY78" s="439"/>
      <c r="AZ78" s="439"/>
      <c r="BA78" s="439"/>
      <c r="BB78" s="439"/>
      <c r="BC78" s="439"/>
      <c r="BD78" s="439"/>
      <c r="BE78" s="439"/>
      <c r="BF78" s="439"/>
      <c r="BG78" s="439"/>
      <c r="BH78" s="439"/>
      <c r="BI78" s="439"/>
      <c r="BJ78" s="439"/>
      <c r="BK78" s="439"/>
      <c r="BL78" s="439"/>
      <c r="BM78" s="439"/>
      <c r="BN78" s="439"/>
      <c r="BO78" s="439"/>
      <c r="BP78" s="439"/>
      <c r="BQ78" s="439"/>
      <c r="BR78" s="439"/>
      <c r="BS78" s="439"/>
      <c r="BT78" s="439"/>
      <c r="BU78" s="439"/>
      <c r="BV78" s="439"/>
    </row>
    <row r="79" spans="1:76" x14ac:dyDescent="0.2">
      <c r="A79" s="414" t="s">
        <v>581</v>
      </c>
      <c r="B79" s="440"/>
      <c r="C79" s="440"/>
      <c r="D79" s="440"/>
      <c r="E79" s="440"/>
      <c r="F79" s="440"/>
      <c r="G79" s="440"/>
      <c r="H79" s="440"/>
      <c r="I79" s="21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439"/>
      <c r="AF79" s="439"/>
      <c r="AG79" s="439"/>
      <c r="AH79" s="439"/>
      <c r="AI79" s="439"/>
      <c r="AK79" s="439"/>
      <c r="AL79" s="439"/>
      <c r="AM79" s="439"/>
      <c r="AN79" s="439"/>
      <c r="AO79" s="439"/>
      <c r="AP79" s="439"/>
      <c r="AQ79" s="439"/>
      <c r="AR79" s="439"/>
      <c r="AS79" s="439"/>
      <c r="AT79" s="439"/>
      <c r="AU79" s="439"/>
      <c r="AV79" s="439"/>
      <c r="AW79" s="439"/>
      <c r="AX79" s="439"/>
      <c r="AY79" s="439"/>
      <c r="AZ79" s="439"/>
      <c r="BA79" s="439"/>
      <c r="BB79" s="439"/>
      <c r="BC79" s="439"/>
      <c r="BD79" s="439"/>
      <c r="BE79" s="439"/>
      <c r="BF79" s="439"/>
      <c r="BG79" s="439"/>
      <c r="BH79" s="439"/>
      <c r="BI79" s="439"/>
      <c r="BJ79" s="439"/>
      <c r="BK79" s="439"/>
      <c r="BL79" s="439"/>
      <c r="BM79" s="439"/>
      <c r="BN79" s="439"/>
      <c r="BO79" s="439"/>
      <c r="BP79" s="439"/>
      <c r="BQ79" s="439"/>
      <c r="BR79" s="439"/>
      <c r="BS79" s="439"/>
      <c r="BT79" s="439"/>
      <c r="BU79" s="439"/>
      <c r="BV79" s="439"/>
    </row>
    <row r="80" spans="1:76" x14ac:dyDescent="0.2">
      <c r="A80" s="415" t="s">
        <v>290</v>
      </c>
      <c r="B80" s="415"/>
      <c r="C80" s="415"/>
      <c r="D80" s="415"/>
      <c r="E80" s="415"/>
      <c r="F80" s="415"/>
      <c r="G80" s="415"/>
      <c r="H80" s="415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39"/>
      <c r="Z80" s="439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39"/>
      <c r="AL80" s="439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39"/>
      <c r="AX80" s="439"/>
      <c r="AY80" s="439"/>
      <c r="AZ80" s="439"/>
      <c r="BA80" s="439"/>
      <c r="BB80" s="439"/>
      <c r="BC80" s="439"/>
      <c r="BD80" s="439"/>
      <c r="BE80" s="439"/>
      <c r="BF80" s="439"/>
      <c r="BG80" s="439"/>
      <c r="BH80" s="439"/>
      <c r="BI80" s="439"/>
      <c r="BJ80" s="439"/>
      <c r="BK80" s="439"/>
      <c r="BL80" s="439"/>
      <c r="BM80" s="439"/>
      <c r="BN80" s="439"/>
      <c r="BO80" s="439"/>
      <c r="BP80" s="439"/>
      <c r="BQ80" s="439"/>
      <c r="BR80" s="439"/>
      <c r="BS80" s="439"/>
      <c r="BT80" s="439"/>
      <c r="BU80" s="439"/>
      <c r="BV80" s="439"/>
    </row>
    <row r="81" spans="1:75" x14ac:dyDescent="0.2">
      <c r="A81" s="414"/>
      <c r="B81" s="440"/>
      <c r="C81" s="440"/>
      <c r="D81" s="440"/>
      <c r="E81" s="440"/>
      <c r="F81" s="440"/>
      <c r="G81" s="440"/>
      <c r="H81" s="440"/>
      <c r="I81" s="21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39"/>
      <c r="Z81" s="439"/>
      <c r="AA81" s="439"/>
      <c r="AB81" s="439"/>
      <c r="AC81" s="439"/>
      <c r="AD81" s="439"/>
      <c r="AE81" s="439"/>
      <c r="AF81" s="439"/>
      <c r="AG81" s="439"/>
      <c r="AH81" s="439"/>
      <c r="AI81" s="439"/>
      <c r="AK81" s="439"/>
      <c r="AL81" s="439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39"/>
      <c r="AX81" s="439"/>
      <c r="AY81" s="439"/>
      <c r="AZ81" s="439"/>
      <c r="BA81" s="439"/>
      <c r="BB81" s="439"/>
      <c r="BC81" s="439"/>
      <c r="BD81" s="439"/>
      <c r="BE81" s="439"/>
      <c r="BF81" s="439"/>
      <c r="BG81" s="439"/>
      <c r="BH81" s="439"/>
      <c r="BI81" s="439"/>
      <c r="BJ81" s="439"/>
      <c r="BK81" s="439"/>
      <c r="BL81" s="439"/>
      <c r="BM81" s="439"/>
      <c r="BN81" s="439"/>
      <c r="BO81" s="439"/>
      <c r="BP81" s="439"/>
      <c r="BQ81" s="439"/>
      <c r="BR81" s="439"/>
      <c r="BS81" s="439"/>
      <c r="BT81" s="439"/>
      <c r="BU81" s="439"/>
      <c r="BV81" s="439"/>
    </row>
    <row r="84" spans="1:75" x14ac:dyDescent="0.2">
      <c r="B84" s="91"/>
      <c r="C84" s="389"/>
      <c r="D84" s="389"/>
      <c r="E84" s="438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39"/>
      <c r="BB84" s="439"/>
      <c r="BC84" s="439"/>
      <c r="BD84" s="439"/>
      <c r="BE84" s="439"/>
      <c r="BF84" s="439"/>
      <c r="BG84" s="439"/>
      <c r="BH84" s="439"/>
      <c r="BI84" s="439"/>
      <c r="BJ84" s="439"/>
      <c r="BK84" s="439"/>
      <c r="BL84" s="439"/>
      <c r="BM84" s="439"/>
      <c r="BN84" s="439"/>
      <c r="BO84" s="439"/>
      <c r="BP84" s="439"/>
      <c r="BQ84" s="439"/>
      <c r="BR84" s="439"/>
      <c r="BS84" s="439"/>
      <c r="BT84" s="439"/>
      <c r="BU84" s="439"/>
      <c r="BV84" s="439"/>
      <c r="BW84" s="358"/>
    </row>
    <row r="85" spans="1:75" x14ac:dyDescent="0.2">
      <c r="B85" s="91"/>
      <c r="C85" s="389"/>
      <c r="D85" s="389"/>
      <c r="E85" s="438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39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39"/>
      <c r="BB85" s="439"/>
      <c r="BC85" s="439"/>
      <c r="BD85" s="439"/>
      <c r="BE85" s="439"/>
      <c r="BF85" s="439"/>
      <c r="BG85" s="439"/>
      <c r="BH85" s="439"/>
      <c r="BI85" s="439"/>
      <c r="BJ85" s="439"/>
      <c r="BK85" s="439"/>
      <c r="BL85" s="439"/>
      <c r="BM85" s="439"/>
      <c r="BN85" s="439"/>
      <c r="BO85" s="439"/>
      <c r="BP85" s="439"/>
      <c r="BQ85" s="439"/>
      <c r="BR85" s="439"/>
      <c r="BS85" s="439"/>
      <c r="BT85" s="439"/>
      <c r="BU85" s="439"/>
      <c r="BV85" s="439"/>
      <c r="BW85" s="358"/>
    </row>
    <row r="86" spans="1:75" x14ac:dyDescent="0.2">
      <c r="B86" s="91"/>
      <c r="C86" s="389"/>
      <c r="D86" s="389"/>
      <c r="E86" s="438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439"/>
      <c r="AK86" s="4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39"/>
      <c r="BB86" s="439"/>
      <c r="BC86" s="439"/>
      <c r="BD86" s="439"/>
      <c r="BE86" s="439"/>
      <c r="BF86" s="439"/>
      <c r="BG86" s="439"/>
      <c r="BH86" s="439"/>
      <c r="BI86" s="439"/>
      <c r="BJ86" s="439"/>
      <c r="BK86" s="439"/>
      <c r="BL86" s="439"/>
      <c r="BM86" s="439"/>
      <c r="BN86" s="439"/>
      <c r="BO86" s="439"/>
      <c r="BP86" s="439"/>
      <c r="BQ86" s="439"/>
      <c r="BR86" s="439"/>
      <c r="BS86" s="439"/>
      <c r="BT86" s="439"/>
      <c r="BU86" s="439"/>
      <c r="BV86" s="439"/>
      <c r="BW86" s="358"/>
    </row>
    <row r="87" spans="1:75" x14ac:dyDescent="0.2">
      <c r="B87" s="91"/>
      <c r="C87" s="389"/>
      <c r="D87" s="389"/>
      <c r="E87" s="438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  <c r="AA87" s="439"/>
      <c r="AB87" s="439"/>
      <c r="AC87" s="439"/>
      <c r="AD87" s="439"/>
      <c r="AE87" s="439"/>
      <c r="AF87" s="439"/>
      <c r="AG87" s="439"/>
      <c r="AH87" s="439"/>
      <c r="AI87" s="439"/>
      <c r="AJ87" s="439"/>
      <c r="AK87" s="439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39"/>
      <c r="BB87" s="439"/>
      <c r="BC87" s="439"/>
      <c r="BD87" s="439"/>
      <c r="BE87" s="439"/>
      <c r="BF87" s="439"/>
      <c r="BG87" s="439"/>
      <c r="BH87" s="439"/>
      <c r="BI87" s="439"/>
      <c r="BJ87" s="439"/>
      <c r="BK87" s="439"/>
      <c r="BL87" s="439"/>
      <c r="BM87" s="439"/>
      <c r="BN87" s="439"/>
      <c r="BO87" s="439"/>
      <c r="BP87" s="439"/>
      <c r="BQ87" s="439"/>
      <c r="BR87" s="439"/>
      <c r="BS87" s="439"/>
      <c r="BT87" s="439"/>
      <c r="BU87" s="439"/>
      <c r="BV87" s="439"/>
      <c r="BW87" s="358"/>
    </row>
    <row r="88" spans="1:75" x14ac:dyDescent="0.2">
      <c r="B88" s="91"/>
      <c r="C88" s="389"/>
      <c r="D88" s="389"/>
      <c r="E88" s="438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  <c r="AA88" s="439"/>
      <c r="AB88" s="439"/>
      <c r="AC88" s="439"/>
      <c r="AD88" s="439"/>
      <c r="AE88" s="439"/>
      <c r="AF88" s="439"/>
      <c r="AG88" s="439"/>
      <c r="AH88" s="439"/>
      <c r="AI88" s="439"/>
      <c r="AJ88" s="439"/>
      <c r="AK88" s="439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439"/>
      <c r="BA88" s="439"/>
      <c r="BB88" s="439"/>
      <c r="BC88" s="439"/>
      <c r="BD88" s="439"/>
      <c r="BE88" s="439"/>
      <c r="BF88" s="439"/>
      <c r="BG88" s="439"/>
      <c r="BH88" s="439"/>
      <c r="BI88" s="439"/>
      <c r="BJ88" s="439"/>
      <c r="BK88" s="439"/>
      <c r="BL88" s="439"/>
      <c r="BM88" s="439"/>
      <c r="BN88" s="439"/>
      <c r="BO88" s="439"/>
      <c r="BP88" s="439"/>
      <c r="BQ88" s="439"/>
      <c r="BR88" s="439"/>
      <c r="BS88" s="439"/>
      <c r="BT88" s="439"/>
      <c r="BU88" s="439"/>
      <c r="BV88" s="439"/>
      <c r="BW88" s="358"/>
    </row>
    <row r="89" spans="1:75" x14ac:dyDescent="0.2">
      <c r="B89" s="91"/>
      <c r="C89" s="389"/>
      <c r="D89" s="389"/>
      <c r="E89" s="438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358"/>
    </row>
    <row r="90" spans="1:75" x14ac:dyDescent="0.2">
      <c r="B90" s="91"/>
      <c r="C90" s="389"/>
      <c r="D90" s="389"/>
      <c r="E90" s="438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  <c r="AA90" s="439"/>
      <c r="AB90" s="439"/>
      <c r="AC90" s="439"/>
      <c r="AD90" s="439"/>
      <c r="AE90" s="439"/>
      <c r="AF90" s="439"/>
      <c r="AG90" s="439"/>
      <c r="AH90" s="439"/>
      <c r="AI90" s="439"/>
      <c r="AJ90" s="439"/>
      <c r="AK90" s="439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439"/>
      <c r="BC90" s="439"/>
      <c r="BD90" s="439"/>
      <c r="BE90" s="439"/>
      <c r="BF90" s="439"/>
      <c r="BG90" s="439"/>
      <c r="BH90" s="439"/>
      <c r="BI90" s="439"/>
      <c r="BJ90" s="439"/>
      <c r="BK90" s="439"/>
      <c r="BL90" s="439"/>
      <c r="BM90" s="439"/>
      <c r="BN90" s="439"/>
      <c r="BO90" s="439"/>
      <c r="BP90" s="439"/>
      <c r="BQ90" s="439"/>
      <c r="BR90" s="439"/>
      <c r="BS90" s="439"/>
      <c r="BT90" s="439"/>
      <c r="BU90" s="439"/>
      <c r="BV90" s="439"/>
    </row>
    <row r="91" spans="1:75" x14ac:dyDescent="0.2">
      <c r="B91" s="91"/>
      <c r="C91" s="389"/>
      <c r="D91" s="389"/>
      <c r="E91" s="438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</row>
    <row r="92" spans="1:75" x14ac:dyDescent="0.2">
      <c r="B92" s="91"/>
      <c r="C92" s="389"/>
      <c r="D92" s="389"/>
      <c r="E92" s="438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</row>
    <row r="93" spans="1:75" x14ac:dyDescent="0.2">
      <c r="B93" s="91"/>
      <c r="C93" s="389"/>
      <c r="D93" s="389"/>
      <c r="E93" s="438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  <c r="AA93" s="439"/>
      <c r="AB93" s="439"/>
      <c r="AC93" s="439"/>
      <c r="AD93" s="439"/>
      <c r="AE93" s="439"/>
      <c r="AF93" s="439"/>
      <c r="AG93" s="439"/>
      <c r="AH93" s="439"/>
      <c r="AI93" s="439"/>
      <c r="AJ93" s="439"/>
      <c r="AK93" s="439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439"/>
      <c r="BA93" s="439"/>
      <c r="BB93" s="439"/>
      <c r="BC93" s="439"/>
      <c r="BD93" s="439"/>
      <c r="BE93" s="439"/>
      <c r="BF93" s="439"/>
      <c r="BG93" s="439"/>
      <c r="BH93" s="439"/>
      <c r="BI93" s="439"/>
      <c r="BJ93" s="439"/>
      <c r="BK93" s="439"/>
      <c r="BL93" s="439"/>
      <c r="BM93" s="439"/>
      <c r="BN93" s="439"/>
      <c r="BO93" s="439"/>
      <c r="BP93" s="439"/>
      <c r="BQ93" s="439"/>
      <c r="BR93" s="439"/>
      <c r="BS93" s="439"/>
      <c r="BT93" s="439"/>
      <c r="BU93" s="439"/>
      <c r="BV93" s="439"/>
    </row>
    <row r="94" spans="1:75" x14ac:dyDescent="0.2">
      <c r="B94" s="91"/>
      <c r="C94" s="389"/>
      <c r="D94" s="389"/>
      <c r="E94" s="438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39"/>
      <c r="Y94" s="439"/>
      <c r="Z94" s="439"/>
      <c r="AA94" s="439"/>
      <c r="AB94" s="439"/>
      <c r="AC94" s="439"/>
      <c r="AD94" s="439"/>
      <c r="AE94" s="439"/>
      <c r="AF94" s="439"/>
      <c r="AG94" s="439"/>
      <c r="AH94" s="439"/>
      <c r="AI94" s="439"/>
      <c r="AJ94" s="439"/>
      <c r="AK94" s="439"/>
      <c r="AL94" s="439"/>
      <c r="AM94" s="439"/>
      <c r="AN94" s="439"/>
      <c r="AO94" s="439"/>
      <c r="AP94" s="439"/>
      <c r="AQ94" s="439"/>
      <c r="AR94" s="439"/>
      <c r="AS94" s="439"/>
      <c r="AT94" s="439"/>
      <c r="AU94" s="439"/>
      <c r="AV94" s="439"/>
      <c r="AW94" s="439"/>
      <c r="AX94" s="439"/>
      <c r="AY94" s="439"/>
      <c r="AZ94" s="439"/>
      <c r="BA94" s="439"/>
      <c r="BB94" s="439"/>
      <c r="BC94" s="439"/>
      <c r="BD94" s="439"/>
      <c r="BE94" s="439"/>
      <c r="BF94" s="439"/>
      <c r="BG94" s="439"/>
      <c r="BH94" s="439"/>
      <c r="BI94" s="439"/>
      <c r="BJ94" s="439"/>
      <c r="BK94" s="439"/>
      <c r="BL94" s="439"/>
      <c r="BM94" s="439"/>
      <c r="BN94" s="439"/>
      <c r="BO94" s="439"/>
      <c r="BP94" s="439"/>
      <c r="BQ94" s="439"/>
      <c r="BR94" s="439"/>
      <c r="BS94" s="439"/>
      <c r="BT94" s="439"/>
      <c r="BU94" s="439"/>
      <c r="BV94" s="439"/>
    </row>
    <row r="95" spans="1:75" x14ac:dyDescent="0.2">
      <c r="B95" s="91"/>
      <c r="C95" s="389"/>
      <c r="D95" s="389"/>
      <c r="E95" s="438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  <c r="AA95" s="439"/>
      <c r="AB95" s="439"/>
      <c r="AC95" s="439"/>
      <c r="AD95" s="439"/>
      <c r="AE95" s="439"/>
      <c r="AF95" s="439"/>
      <c r="AG95" s="439"/>
      <c r="AH95" s="439"/>
      <c r="AI95" s="439"/>
      <c r="AJ95" s="439"/>
      <c r="AK95" s="439"/>
      <c r="AL95" s="439"/>
      <c r="AM95" s="439"/>
      <c r="AN95" s="439"/>
      <c r="AO95" s="439"/>
      <c r="AP95" s="439"/>
      <c r="AQ95" s="439"/>
      <c r="AR95" s="439"/>
      <c r="AS95" s="439"/>
      <c r="AT95" s="439"/>
      <c r="AU95" s="439"/>
      <c r="AV95" s="439"/>
      <c r="AW95" s="439"/>
      <c r="AX95" s="439"/>
      <c r="AY95" s="439"/>
      <c r="AZ95" s="439"/>
      <c r="BA95" s="439"/>
      <c r="BB95" s="439"/>
      <c r="BC95" s="439"/>
      <c r="BD95" s="439"/>
      <c r="BE95" s="439"/>
      <c r="BF95" s="439"/>
      <c r="BG95" s="439"/>
      <c r="BH95" s="439"/>
      <c r="BI95" s="439"/>
      <c r="BJ95" s="439"/>
      <c r="BK95" s="439"/>
      <c r="BL95" s="439"/>
      <c r="BM95" s="439"/>
      <c r="BN95" s="439"/>
      <c r="BO95" s="439"/>
      <c r="BP95" s="439"/>
      <c r="BQ95" s="439"/>
      <c r="BR95" s="439"/>
      <c r="BS95" s="439"/>
      <c r="BT95" s="439"/>
      <c r="BU95" s="439"/>
      <c r="BV95" s="439"/>
    </row>
    <row r="96" spans="1:75" x14ac:dyDescent="0.2">
      <c r="B96" s="91"/>
      <c r="C96" s="389"/>
      <c r="D96" s="389"/>
      <c r="E96" s="438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  <c r="AA96" s="439"/>
      <c r="AB96" s="439"/>
      <c r="AC96" s="439"/>
      <c r="AD96" s="439"/>
      <c r="AE96" s="439"/>
      <c r="AF96" s="439"/>
      <c r="AG96" s="439"/>
      <c r="AH96" s="439"/>
      <c r="AI96" s="439"/>
      <c r="AJ96" s="439"/>
      <c r="AK96" s="439"/>
      <c r="AL96" s="439"/>
      <c r="AM96" s="439"/>
      <c r="AN96" s="439"/>
      <c r="AO96" s="439"/>
      <c r="AP96" s="439"/>
      <c r="AQ96" s="439"/>
      <c r="AR96" s="439"/>
      <c r="AS96" s="439"/>
      <c r="AT96" s="439"/>
      <c r="AU96" s="439"/>
      <c r="AV96" s="439"/>
      <c r="AW96" s="439"/>
      <c r="AX96" s="439"/>
      <c r="AY96" s="439"/>
      <c r="AZ96" s="439"/>
      <c r="BA96" s="439"/>
      <c r="BB96" s="439"/>
      <c r="BC96" s="439"/>
      <c r="BD96" s="439"/>
      <c r="BE96" s="439"/>
      <c r="BF96" s="439"/>
      <c r="BG96" s="439"/>
      <c r="BH96" s="439"/>
      <c r="BI96" s="439"/>
      <c r="BJ96" s="439"/>
      <c r="BK96" s="439"/>
      <c r="BL96" s="439"/>
      <c r="BM96" s="439"/>
      <c r="BN96" s="439"/>
      <c r="BO96" s="439"/>
      <c r="BP96" s="439"/>
      <c r="BQ96" s="439"/>
      <c r="BR96" s="439"/>
      <c r="BS96" s="439"/>
      <c r="BT96" s="439"/>
      <c r="BU96" s="439"/>
      <c r="BV96" s="439"/>
    </row>
    <row r="97" spans="2:74" x14ac:dyDescent="0.2">
      <c r="B97" s="91"/>
      <c r="C97" s="389"/>
      <c r="D97" s="389"/>
      <c r="E97" s="438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</row>
    <row r="98" spans="2:74" x14ac:dyDescent="0.2">
      <c r="B98" s="91"/>
      <c r="C98" s="389"/>
      <c r="D98" s="389"/>
      <c r="E98" s="438"/>
      <c r="F98" s="439"/>
      <c r="G98" s="439"/>
      <c r="H98" s="439"/>
      <c r="I98" s="439"/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9"/>
      <c r="U98" s="439"/>
      <c r="V98" s="439"/>
      <c r="W98" s="439"/>
      <c r="X98" s="439"/>
      <c r="Y98" s="439"/>
      <c r="Z98" s="439"/>
      <c r="AA98" s="439"/>
      <c r="AB98" s="439"/>
      <c r="AC98" s="439"/>
      <c r="AD98" s="439"/>
      <c r="AE98" s="439"/>
      <c r="AF98" s="439"/>
      <c r="AG98" s="439"/>
      <c r="AH98" s="439"/>
      <c r="AI98" s="439"/>
      <c r="AJ98" s="439"/>
      <c r="AK98" s="439"/>
      <c r="AL98" s="439"/>
      <c r="AM98" s="439"/>
      <c r="AN98" s="439"/>
      <c r="AO98" s="439"/>
      <c r="AP98" s="439"/>
      <c r="AQ98" s="439"/>
      <c r="AR98" s="439"/>
      <c r="AS98" s="439"/>
      <c r="AT98" s="439"/>
      <c r="AU98" s="439"/>
      <c r="AV98" s="439"/>
      <c r="AW98" s="439"/>
      <c r="AX98" s="439"/>
      <c r="AY98" s="439"/>
      <c r="AZ98" s="439"/>
      <c r="BA98" s="439"/>
      <c r="BB98" s="439"/>
      <c r="BC98" s="439"/>
      <c r="BD98" s="439"/>
      <c r="BE98" s="439"/>
      <c r="BF98" s="439"/>
      <c r="BG98" s="439"/>
      <c r="BH98" s="439"/>
      <c r="BI98" s="439"/>
      <c r="BJ98" s="439"/>
      <c r="BK98" s="439"/>
      <c r="BL98" s="439"/>
      <c r="BM98" s="439"/>
      <c r="BN98" s="439"/>
      <c r="BO98" s="439"/>
      <c r="BP98" s="439"/>
      <c r="BQ98" s="439"/>
      <c r="BR98" s="439"/>
      <c r="BS98" s="439"/>
      <c r="BT98" s="439"/>
      <c r="BU98" s="439"/>
      <c r="BV98" s="439"/>
    </row>
    <row r="99" spans="2:74" x14ac:dyDescent="0.2">
      <c r="B99" s="91"/>
      <c r="C99" s="389"/>
      <c r="D99" s="389"/>
      <c r="E99" s="438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9"/>
      <c r="U99" s="439"/>
      <c r="V99" s="439"/>
      <c r="W99" s="439"/>
      <c r="X99" s="439"/>
      <c r="Y99" s="439"/>
      <c r="Z99" s="439"/>
      <c r="AA99" s="439"/>
      <c r="AB99" s="439"/>
      <c r="AC99" s="439"/>
      <c r="AD99" s="439"/>
      <c r="AE99" s="439"/>
      <c r="AF99" s="439"/>
      <c r="AG99" s="439"/>
      <c r="AH99" s="439"/>
      <c r="AI99" s="439"/>
      <c r="AJ99" s="439"/>
      <c r="AK99" s="439"/>
      <c r="AL99" s="439"/>
      <c r="AM99" s="439"/>
      <c r="AN99" s="439"/>
      <c r="AO99" s="439"/>
      <c r="AP99" s="439"/>
      <c r="AQ99" s="439"/>
      <c r="AR99" s="439"/>
      <c r="AS99" s="439"/>
      <c r="AT99" s="439"/>
      <c r="AU99" s="439"/>
      <c r="AV99" s="439"/>
      <c r="AW99" s="439"/>
      <c r="AX99" s="439"/>
      <c r="AY99" s="439"/>
      <c r="AZ99" s="439"/>
      <c r="BA99" s="439"/>
      <c r="BB99" s="439"/>
      <c r="BC99" s="439"/>
      <c r="BD99" s="439"/>
      <c r="BE99" s="439"/>
      <c r="BF99" s="439"/>
      <c r="BG99" s="439"/>
      <c r="BH99" s="439"/>
      <c r="BI99" s="439"/>
      <c r="BJ99" s="439"/>
      <c r="BK99" s="439"/>
      <c r="BL99" s="439"/>
      <c r="BM99" s="439"/>
      <c r="BN99" s="439"/>
      <c r="BO99" s="439"/>
      <c r="BP99" s="439"/>
      <c r="BQ99" s="439"/>
      <c r="BR99" s="439"/>
      <c r="BS99" s="439"/>
      <c r="BT99" s="439"/>
      <c r="BU99" s="439"/>
      <c r="BV99" s="439"/>
    </row>
    <row r="100" spans="2:74" x14ac:dyDescent="0.2">
      <c r="B100" s="91"/>
      <c r="C100" s="389"/>
      <c r="D100" s="389"/>
      <c r="E100" s="438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  <c r="AA100" s="439"/>
      <c r="AB100" s="439"/>
      <c r="AC100" s="439"/>
      <c r="AD100" s="439"/>
      <c r="AE100" s="439"/>
      <c r="AF100" s="439"/>
      <c r="AG100" s="439"/>
      <c r="AH100" s="439"/>
      <c r="AI100" s="439"/>
      <c r="AJ100" s="439"/>
      <c r="AK100" s="439"/>
      <c r="AL100" s="439"/>
      <c r="AM100" s="439"/>
      <c r="AN100" s="439"/>
      <c r="AO100" s="439"/>
      <c r="AP100" s="439"/>
      <c r="AQ100" s="439"/>
      <c r="AR100" s="439"/>
      <c r="AS100" s="439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439"/>
      <c r="BD100" s="439"/>
      <c r="BE100" s="439"/>
      <c r="BF100" s="439"/>
      <c r="BG100" s="439"/>
      <c r="BH100" s="439"/>
      <c r="BI100" s="439"/>
      <c r="BJ100" s="439"/>
      <c r="BK100" s="439"/>
      <c r="BL100" s="439"/>
      <c r="BM100" s="439"/>
      <c r="BN100" s="439"/>
      <c r="BO100" s="439"/>
      <c r="BP100" s="439"/>
      <c r="BQ100" s="439"/>
      <c r="BR100" s="439"/>
      <c r="BS100" s="439"/>
      <c r="BT100" s="439"/>
      <c r="BU100" s="439"/>
      <c r="BV100" s="439"/>
    </row>
    <row r="101" spans="2:74" x14ac:dyDescent="0.2">
      <c r="B101" s="91"/>
      <c r="C101" s="389"/>
      <c r="D101" s="389"/>
      <c r="E101" s="438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  <c r="AA101" s="439"/>
      <c r="AB101" s="439"/>
      <c r="AC101" s="439"/>
      <c r="AD101" s="439"/>
      <c r="AE101" s="439"/>
      <c r="AF101" s="439"/>
      <c r="AG101" s="439"/>
      <c r="AH101" s="439"/>
      <c r="AI101" s="439"/>
      <c r="AJ101" s="439"/>
      <c r="AK101" s="439"/>
      <c r="AL101" s="439"/>
      <c r="AM101" s="439"/>
      <c r="AN101" s="439"/>
      <c r="AO101" s="439"/>
      <c r="AP101" s="439"/>
      <c r="AQ101" s="439"/>
      <c r="AR101" s="439"/>
      <c r="AS101" s="439"/>
      <c r="AT101" s="439"/>
      <c r="AU101" s="439"/>
      <c r="AV101" s="439"/>
      <c r="AW101" s="439"/>
      <c r="AX101" s="439"/>
      <c r="AY101" s="439"/>
      <c r="AZ101" s="439"/>
      <c r="BA101" s="439"/>
      <c r="BB101" s="439"/>
      <c r="BC101" s="439"/>
      <c r="BD101" s="439"/>
      <c r="BE101" s="439"/>
      <c r="BF101" s="439"/>
      <c r="BG101" s="439"/>
      <c r="BH101" s="439"/>
      <c r="BI101" s="439"/>
      <c r="BJ101" s="439"/>
      <c r="BK101" s="439"/>
      <c r="BL101" s="439"/>
      <c r="BM101" s="439"/>
      <c r="BN101" s="439"/>
      <c r="BO101" s="439"/>
      <c r="BP101" s="439"/>
      <c r="BQ101" s="439"/>
      <c r="BR101" s="439"/>
      <c r="BS101" s="439"/>
      <c r="BT101" s="439"/>
      <c r="BU101" s="439"/>
      <c r="BV101" s="439"/>
    </row>
    <row r="102" spans="2:74" x14ac:dyDescent="0.2">
      <c r="B102" s="91"/>
      <c r="C102" s="389"/>
      <c r="D102" s="389"/>
      <c r="E102" s="438"/>
      <c r="F102" s="439"/>
      <c r="G102" s="439"/>
      <c r="H102" s="439"/>
      <c r="I102" s="439"/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9"/>
      <c r="U102" s="439"/>
      <c r="V102" s="439"/>
      <c r="W102" s="439"/>
      <c r="X102" s="439"/>
      <c r="Y102" s="439"/>
      <c r="Z102" s="439"/>
      <c r="AA102" s="439"/>
      <c r="AB102" s="439"/>
      <c r="AC102" s="439"/>
      <c r="AD102" s="439"/>
      <c r="AE102" s="439"/>
      <c r="AF102" s="439"/>
      <c r="AG102" s="439"/>
      <c r="AH102" s="439"/>
      <c r="AI102" s="439"/>
      <c r="AJ102" s="439"/>
      <c r="AK102" s="439"/>
      <c r="AL102" s="439"/>
      <c r="AM102" s="439"/>
      <c r="AN102" s="439"/>
      <c r="AO102" s="439"/>
      <c r="AP102" s="439"/>
      <c r="AQ102" s="439"/>
      <c r="AR102" s="439"/>
      <c r="AS102" s="439"/>
      <c r="AT102" s="439"/>
      <c r="AU102" s="439"/>
      <c r="AV102" s="439"/>
      <c r="AW102" s="439"/>
      <c r="AX102" s="439"/>
      <c r="AY102" s="439"/>
      <c r="AZ102" s="439"/>
      <c r="BA102" s="439"/>
      <c r="BB102" s="439"/>
      <c r="BC102" s="439"/>
      <c r="BD102" s="439"/>
      <c r="BE102" s="439"/>
      <c r="BF102" s="439"/>
      <c r="BG102" s="439"/>
      <c r="BH102" s="439"/>
      <c r="BI102" s="439"/>
      <c r="BJ102" s="439"/>
      <c r="BK102" s="439"/>
      <c r="BL102" s="439"/>
      <c r="BM102" s="439"/>
      <c r="BN102" s="439"/>
      <c r="BO102" s="439"/>
      <c r="BP102" s="439"/>
      <c r="BQ102" s="439"/>
      <c r="BR102" s="439"/>
      <c r="BS102" s="439"/>
      <c r="BT102" s="439"/>
      <c r="BU102" s="439"/>
      <c r="BV102" s="439"/>
    </row>
    <row r="103" spans="2:74" x14ac:dyDescent="0.2">
      <c r="B103" s="91"/>
      <c r="C103" s="389"/>
      <c r="D103" s="389"/>
      <c r="E103" s="438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39"/>
      <c r="Y103" s="439"/>
      <c r="Z103" s="439"/>
      <c r="AA103" s="439"/>
      <c r="AB103" s="439"/>
      <c r="AC103" s="439"/>
      <c r="AD103" s="439"/>
      <c r="AE103" s="439"/>
      <c r="AF103" s="439"/>
      <c r="AG103" s="439"/>
      <c r="AH103" s="439"/>
      <c r="AI103" s="439"/>
      <c r="AJ103" s="439"/>
      <c r="AK103" s="439"/>
      <c r="AL103" s="439"/>
      <c r="AM103" s="439"/>
      <c r="AN103" s="439"/>
      <c r="AO103" s="439"/>
      <c r="AP103" s="439"/>
      <c r="AQ103" s="439"/>
      <c r="AR103" s="439"/>
      <c r="AS103" s="439"/>
      <c r="AT103" s="439"/>
      <c r="AU103" s="439"/>
      <c r="AV103" s="439"/>
      <c r="AW103" s="439"/>
      <c r="AX103" s="439"/>
      <c r="AY103" s="439"/>
      <c r="AZ103" s="439"/>
      <c r="BA103" s="439"/>
      <c r="BB103" s="439"/>
      <c r="BC103" s="439"/>
      <c r="BD103" s="439"/>
      <c r="BE103" s="439"/>
      <c r="BF103" s="439"/>
      <c r="BG103" s="439"/>
      <c r="BH103" s="439"/>
      <c r="BI103" s="439"/>
      <c r="BJ103" s="439"/>
      <c r="BK103" s="439"/>
      <c r="BL103" s="439"/>
      <c r="BM103" s="439"/>
      <c r="BN103" s="439"/>
      <c r="BO103" s="439"/>
      <c r="BP103" s="439"/>
      <c r="BQ103" s="439"/>
      <c r="BR103" s="439"/>
      <c r="BS103" s="439"/>
      <c r="BT103" s="439"/>
      <c r="BU103" s="439"/>
      <c r="BV103" s="439"/>
    </row>
    <row r="104" spans="2:74" x14ac:dyDescent="0.2">
      <c r="B104" s="91"/>
      <c r="C104" s="389"/>
      <c r="D104" s="389"/>
      <c r="E104" s="438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39"/>
      <c r="Y104" s="439"/>
      <c r="Z104" s="439"/>
      <c r="AA104" s="439"/>
      <c r="AB104" s="439"/>
      <c r="AC104" s="439"/>
      <c r="AD104" s="439"/>
      <c r="AE104" s="439"/>
      <c r="AF104" s="439"/>
      <c r="AG104" s="439"/>
      <c r="AH104" s="439"/>
      <c r="AI104" s="439"/>
      <c r="AJ104" s="439"/>
      <c r="AK104" s="439"/>
      <c r="AL104" s="439"/>
      <c r="AM104" s="439"/>
      <c r="AN104" s="439"/>
      <c r="AO104" s="439"/>
      <c r="AP104" s="439"/>
      <c r="AQ104" s="439"/>
      <c r="AR104" s="439"/>
      <c r="AS104" s="439"/>
      <c r="AT104" s="439"/>
      <c r="AU104" s="439"/>
      <c r="AV104" s="439"/>
      <c r="AW104" s="439"/>
      <c r="AX104" s="439"/>
      <c r="AY104" s="439"/>
      <c r="AZ104" s="439"/>
      <c r="BA104" s="439"/>
      <c r="BB104" s="439"/>
      <c r="BC104" s="439"/>
      <c r="BD104" s="439"/>
      <c r="BE104" s="439"/>
      <c r="BF104" s="439"/>
      <c r="BG104" s="439"/>
      <c r="BH104" s="439"/>
      <c r="BI104" s="439"/>
      <c r="BJ104" s="439"/>
      <c r="BK104" s="439"/>
      <c r="BL104" s="439"/>
      <c r="BM104" s="439"/>
      <c r="BN104" s="439"/>
      <c r="BO104" s="439"/>
      <c r="BP104" s="439"/>
      <c r="BQ104" s="439"/>
      <c r="BR104" s="439"/>
      <c r="BS104" s="439"/>
      <c r="BT104" s="439"/>
      <c r="BU104" s="439"/>
      <c r="BV104" s="439"/>
    </row>
    <row r="105" spans="2:74" x14ac:dyDescent="0.2">
      <c r="B105" s="91"/>
      <c r="C105" s="389"/>
      <c r="D105" s="389"/>
      <c r="E105" s="438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  <c r="AA105" s="439"/>
      <c r="AB105" s="439"/>
      <c r="AC105" s="439"/>
      <c r="AD105" s="439"/>
      <c r="AE105" s="439"/>
      <c r="AF105" s="439"/>
      <c r="AG105" s="439"/>
      <c r="AH105" s="439"/>
      <c r="AI105" s="439"/>
      <c r="AJ105" s="439"/>
      <c r="AK105" s="439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439"/>
      <c r="AV105" s="439"/>
      <c r="AW105" s="439"/>
      <c r="AX105" s="439"/>
      <c r="AY105" s="439"/>
      <c r="AZ105" s="439"/>
      <c r="BA105" s="439"/>
      <c r="BB105" s="439"/>
      <c r="BC105" s="439"/>
      <c r="BD105" s="439"/>
      <c r="BE105" s="439"/>
      <c r="BF105" s="439"/>
      <c r="BG105" s="439"/>
      <c r="BH105" s="439"/>
      <c r="BI105" s="439"/>
      <c r="BJ105" s="439"/>
      <c r="BK105" s="439"/>
      <c r="BL105" s="439"/>
      <c r="BM105" s="439"/>
      <c r="BN105" s="439"/>
      <c r="BO105" s="439"/>
      <c r="BP105" s="439"/>
      <c r="BQ105" s="439"/>
      <c r="BR105" s="439"/>
      <c r="BS105" s="439"/>
      <c r="BT105" s="439"/>
      <c r="BU105" s="439"/>
      <c r="BV105" s="439"/>
    </row>
    <row r="106" spans="2:74" x14ac:dyDescent="0.2">
      <c r="B106" s="91"/>
      <c r="C106" s="389"/>
      <c r="D106" s="389"/>
      <c r="E106" s="438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39"/>
      <c r="AI106" s="439"/>
      <c r="AJ106" s="439"/>
      <c r="AK106" s="439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439"/>
      <c r="AV106" s="439"/>
      <c r="AW106" s="439"/>
      <c r="AX106" s="439"/>
      <c r="AY106" s="439"/>
      <c r="AZ106" s="439"/>
      <c r="BA106" s="439"/>
      <c r="BB106" s="439"/>
      <c r="BC106" s="439"/>
      <c r="BD106" s="439"/>
      <c r="BE106" s="439"/>
      <c r="BF106" s="439"/>
      <c r="BG106" s="439"/>
      <c r="BH106" s="439"/>
      <c r="BI106" s="439"/>
      <c r="BJ106" s="439"/>
      <c r="BK106" s="439"/>
      <c r="BL106" s="439"/>
      <c r="BM106" s="439"/>
      <c r="BN106" s="439"/>
      <c r="BO106" s="439"/>
      <c r="BP106" s="439"/>
      <c r="BQ106" s="439"/>
      <c r="BR106" s="439"/>
      <c r="BS106" s="439"/>
      <c r="BT106" s="439"/>
      <c r="BU106" s="439"/>
      <c r="BV106" s="439"/>
    </row>
    <row r="107" spans="2:74" x14ac:dyDescent="0.2">
      <c r="B107" s="91"/>
      <c r="C107" s="389"/>
      <c r="D107" s="389"/>
      <c r="E107" s="438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39"/>
      <c r="AH107" s="439"/>
      <c r="AI107" s="439"/>
      <c r="AJ107" s="439"/>
      <c r="AK107" s="439"/>
      <c r="AL107" s="439"/>
      <c r="AM107" s="439"/>
      <c r="AN107" s="439"/>
      <c r="AO107" s="439"/>
      <c r="AP107" s="439"/>
      <c r="AQ107" s="439"/>
      <c r="AR107" s="439"/>
      <c r="AS107" s="439"/>
      <c r="AT107" s="439"/>
      <c r="AU107" s="439"/>
      <c r="AV107" s="439"/>
      <c r="AW107" s="439"/>
      <c r="AX107" s="439"/>
      <c r="AY107" s="439"/>
      <c r="AZ107" s="439"/>
      <c r="BA107" s="439"/>
      <c r="BB107" s="439"/>
      <c r="BC107" s="439"/>
      <c r="BD107" s="439"/>
      <c r="BE107" s="439"/>
      <c r="BF107" s="439"/>
      <c r="BG107" s="439"/>
      <c r="BH107" s="439"/>
      <c r="BI107" s="439"/>
      <c r="BJ107" s="439"/>
      <c r="BK107" s="439"/>
      <c r="BL107" s="439"/>
      <c r="BM107" s="439"/>
      <c r="BN107" s="439"/>
      <c r="BO107" s="439"/>
      <c r="BP107" s="439"/>
      <c r="BQ107" s="439"/>
      <c r="BR107" s="439"/>
      <c r="BS107" s="439"/>
      <c r="BT107" s="439"/>
      <c r="BU107" s="439"/>
      <c r="BV107" s="439"/>
    </row>
    <row r="108" spans="2:74" x14ac:dyDescent="0.2">
      <c r="B108" s="91"/>
      <c r="C108" s="389"/>
      <c r="D108" s="389"/>
      <c r="E108" s="438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39"/>
      <c r="AI108" s="439"/>
      <c r="AJ108" s="439"/>
      <c r="AK108" s="439"/>
      <c r="AL108" s="439"/>
      <c r="AM108" s="439"/>
      <c r="AN108" s="439"/>
      <c r="AO108" s="439"/>
      <c r="AP108" s="439"/>
      <c r="AQ108" s="439"/>
      <c r="AR108" s="439"/>
      <c r="AS108" s="439"/>
      <c r="AT108" s="439"/>
      <c r="AU108" s="439"/>
      <c r="AV108" s="439"/>
      <c r="AW108" s="439"/>
      <c r="AX108" s="439"/>
      <c r="AY108" s="439"/>
      <c r="AZ108" s="439"/>
      <c r="BA108" s="439"/>
      <c r="BB108" s="439"/>
      <c r="BC108" s="439"/>
      <c r="BD108" s="439"/>
      <c r="BE108" s="439"/>
      <c r="BF108" s="439"/>
      <c r="BG108" s="439"/>
      <c r="BH108" s="439"/>
      <c r="BI108" s="439"/>
      <c r="BJ108" s="439"/>
      <c r="BK108" s="439"/>
      <c r="BL108" s="439"/>
      <c r="BM108" s="439"/>
      <c r="BN108" s="439"/>
      <c r="BO108" s="439"/>
      <c r="BP108" s="439"/>
      <c r="BQ108" s="439"/>
      <c r="BR108" s="439"/>
      <c r="BS108" s="439"/>
      <c r="BT108" s="439"/>
      <c r="BU108" s="439"/>
      <c r="BV108" s="439"/>
    </row>
    <row r="109" spans="2:74" x14ac:dyDescent="0.2">
      <c r="B109" s="91"/>
      <c r="C109" s="389"/>
      <c r="D109" s="389"/>
      <c r="E109" s="438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39"/>
      <c r="AI109" s="439"/>
      <c r="AJ109" s="439"/>
      <c r="AK109" s="439"/>
      <c r="AL109" s="439"/>
      <c r="AM109" s="439"/>
      <c r="AN109" s="439"/>
      <c r="AO109" s="439"/>
      <c r="AP109" s="439"/>
      <c r="AQ109" s="439"/>
      <c r="AR109" s="439"/>
      <c r="AS109" s="439"/>
      <c r="AT109" s="439"/>
      <c r="AU109" s="439"/>
      <c r="AV109" s="439"/>
      <c r="AW109" s="439"/>
      <c r="AX109" s="439"/>
      <c r="AY109" s="439"/>
      <c r="AZ109" s="439"/>
      <c r="BA109" s="439"/>
      <c r="BB109" s="439"/>
      <c r="BC109" s="439"/>
      <c r="BD109" s="439"/>
      <c r="BE109" s="439"/>
      <c r="BF109" s="439"/>
      <c r="BG109" s="439"/>
      <c r="BH109" s="439"/>
      <c r="BI109" s="439"/>
      <c r="BJ109" s="439"/>
      <c r="BK109" s="439"/>
      <c r="BL109" s="439"/>
      <c r="BM109" s="439"/>
      <c r="BN109" s="439"/>
      <c r="BO109" s="439"/>
      <c r="BP109" s="439"/>
      <c r="BQ109" s="439"/>
      <c r="BR109" s="439"/>
      <c r="BS109" s="439"/>
      <c r="BT109" s="439"/>
      <c r="BU109" s="439"/>
      <c r="BV109" s="439"/>
    </row>
    <row r="110" spans="2:74" x14ac:dyDescent="0.2">
      <c r="B110" s="358"/>
      <c r="D110" s="358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</row>
    <row r="111" spans="2:74" x14ac:dyDescent="0.2">
      <c r="B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  <c r="AB111" s="358"/>
      <c r="AC111" s="358"/>
      <c r="AD111" s="358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358"/>
      <c r="BH111" s="358"/>
      <c r="BI111" s="358"/>
      <c r="BJ111" s="358"/>
      <c r="BK111" s="358"/>
      <c r="BL111" s="358"/>
      <c r="BM111" s="358"/>
      <c r="BN111" s="358"/>
      <c r="BO111" s="358"/>
      <c r="BP111" s="358"/>
      <c r="BQ111" s="358"/>
      <c r="BR111" s="358"/>
      <c r="BS111" s="358"/>
      <c r="BT111" s="358"/>
      <c r="BU111" s="358"/>
      <c r="BV111" s="358"/>
    </row>
    <row r="112" spans="2:74" x14ac:dyDescent="0.2">
      <c r="B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358"/>
      <c r="AX112" s="358"/>
      <c r="AY112" s="358"/>
      <c r="AZ112" s="358"/>
      <c r="BA112" s="358"/>
      <c r="BB112" s="358"/>
      <c r="BC112" s="358"/>
      <c r="BD112" s="358"/>
      <c r="BE112" s="358"/>
      <c r="BF112" s="358"/>
      <c r="BG112" s="358"/>
      <c r="BH112" s="358"/>
      <c r="BI112" s="358"/>
      <c r="BJ112" s="358"/>
      <c r="BK112" s="358"/>
      <c r="BL112" s="358"/>
      <c r="BM112" s="358"/>
      <c r="BN112" s="358"/>
      <c r="BO112" s="358"/>
      <c r="BP112" s="358"/>
      <c r="BQ112" s="358"/>
      <c r="BR112" s="358"/>
      <c r="BS112" s="358"/>
      <c r="BT112" s="358"/>
      <c r="BU112" s="358"/>
      <c r="BV112" s="358"/>
    </row>
    <row r="113" spans="2:74" x14ac:dyDescent="0.2">
      <c r="B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  <c r="AN113" s="358"/>
      <c r="AO113" s="358"/>
      <c r="AP113" s="358"/>
      <c r="AQ113" s="358"/>
      <c r="AR113" s="358"/>
      <c r="AS113" s="358"/>
      <c r="AT113" s="358"/>
      <c r="AU113" s="358"/>
      <c r="AV113" s="358"/>
      <c r="AW113" s="358"/>
      <c r="AX113" s="358"/>
      <c r="AY113" s="358"/>
      <c r="AZ113" s="358"/>
      <c r="BA113" s="358"/>
      <c r="BB113" s="358"/>
      <c r="BC113" s="358"/>
      <c r="BD113" s="358"/>
      <c r="BE113" s="358"/>
      <c r="BF113" s="358"/>
      <c r="BG113" s="358"/>
      <c r="BH113" s="358"/>
      <c r="BI113" s="358"/>
      <c r="BJ113" s="358"/>
      <c r="BK113" s="358"/>
      <c r="BL113" s="358"/>
      <c r="BM113" s="358"/>
      <c r="BN113" s="358"/>
      <c r="BO113" s="358"/>
      <c r="BP113" s="358"/>
      <c r="BQ113" s="358"/>
      <c r="BR113" s="358"/>
      <c r="BS113" s="358"/>
      <c r="BT113" s="358"/>
      <c r="BU113" s="358"/>
      <c r="BV113" s="358"/>
    </row>
    <row r="114" spans="2:74" x14ac:dyDescent="0.2">
      <c r="B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8"/>
      <c r="BH114" s="358"/>
      <c r="BI114" s="358"/>
      <c r="BJ114" s="358"/>
      <c r="BK114" s="358"/>
      <c r="BL114" s="358"/>
      <c r="BM114" s="358"/>
      <c r="BN114" s="358"/>
      <c r="BO114" s="358"/>
      <c r="BP114" s="358"/>
      <c r="BQ114" s="358"/>
      <c r="BR114" s="358"/>
      <c r="BS114" s="358"/>
      <c r="BT114" s="358"/>
      <c r="BU114" s="358"/>
      <c r="BV114" s="358"/>
    </row>
    <row r="115" spans="2:74" x14ac:dyDescent="0.2">
      <c r="B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  <c r="AN115" s="358"/>
      <c r="AO115" s="358"/>
      <c r="AP115" s="358"/>
      <c r="AQ115" s="358"/>
      <c r="AR115" s="358"/>
      <c r="AS115" s="358"/>
      <c r="AT115" s="358"/>
      <c r="AU115" s="358"/>
      <c r="AV115" s="358"/>
      <c r="AW115" s="358"/>
      <c r="AX115" s="358"/>
      <c r="AY115" s="358"/>
      <c r="AZ115" s="358"/>
      <c r="BA115" s="358"/>
      <c r="BB115" s="358"/>
      <c r="BC115" s="358"/>
      <c r="BD115" s="358"/>
      <c r="BE115" s="358"/>
      <c r="BF115" s="358"/>
      <c r="BG115" s="358"/>
      <c r="BH115" s="358"/>
      <c r="BI115" s="358"/>
      <c r="BJ115" s="358"/>
      <c r="BK115" s="358"/>
      <c r="BL115" s="358"/>
      <c r="BM115" s="358"/>
      <c r="BN115" s="358"/>
      <c r="BO115" s="358"/>
      <c r="BP115" s="358"/>
      <c r="BQ115" s="358"/>
      <c r="BR115" s="358"/>
      <c r="BS115" s="358"/>
      <c r="BT115" s="358"/>
      <c r="BU115" s="358"/>
      <c r="BV115" s="358"/>
    </row>
    <row r="116" spans="2:74" x14ac:dyDescent="0.2">
      <c r="B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  <c r="AS116" s="358"/>
      <c r="AT116" s="358"/>
      <c r="AU116" s="358"/>
      <c r="AV116" s="358"/>
      <c r="AW116" s="358"/>
      <c r="AX116" s="358"/>
      <c r="AY116" s="358"/>
      <c r="AZ116" s="358"/>
      <c r="BA116" s="358"/>
      <c r="BB116" s="358"/>
      <c r="BC116" s="358"/>
      <c r="BD116" s="358"/>
      <c r="BE116" s="358"/>
      <c r="BF116" s="358"/>
      <c r="BG116" s="358"/>
      <c r="BH116" s="358"/>
      <c r="BI116" s="358"/>
      <c r="BJ116" s="358"/>
      <c r="BK116" s="358"/>
      <c r="BL116" s="358"/>
      <c r="BM116" s="358"/>
      <c r="BN116" s="358"/>
      <c r="BO116" s="358"/>
      <c r="BP116" s="358"/>
      <c r="BQ116" s="358"/>
      <c r="BR116" s="358"/>
      <c r="BS116" s="358"/>
      <c r="BT116" s="358"/>
      <c r="BU116" s="358"/>
      <c r="BV116" s="358"/>
    </row>
    <row r="117" spans="2:74" x14ac:dyDescent="0.2">
      <c r="B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  <c r="AN117" s="358"/>
      <c r="AO117" s="358"/>
      <c r="AP117" s="358"/>
      <c r="AQ117" s="358"/>
      <c r="AR117" s="358"/>
      <c r="AS117" s="358"/>
      <c r="AT117" s="358"/>
      <c r="AU117" s="358"/>
      <c r="AV117" s="358"/>
      <c r="AW117" s="358"/>
      <c r="AX117" s="358"/>
      <c r="AY117" s="358"/>
      <c r="AZ117" s="358"/>
      <c r="BA117" s="358"/>
      <c r="BB117" s="358"/>
      <c r="BC117" s="358"/>
      <c r="BD117" s="358"/>
      <c r="BE117" s="358"/>
      <c r="BF117" s="358"/>
      <c r="BG117" s="358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58"/>
      <c r="BS117" s="358"/>
      <c r="BT117" s="358"/>
      <c r="BU117" s="358"/>
      <c r="BV117" s="358"/>
    </row>
    <row r="118" spans="2:74" x14ac:dyDescent="0.2">
      <c r="B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358"/>
      <c r="AO118" s="358"/>
      <c r="AP118" s="358"/>
      <c r="AQ118" s="358"/>
      <c r="AR118" s="358"/>
      <c r="AS118" s="358"/>
      <c r="AT118" s="358"/>
      <c r="AU118" s="358"/>
      <c r="AV118" s="358"/>
      <c r="AW118" s="358"/>
      <c r="AX118" s="358"/>
      <c r="AY118" s="358"/>
      <c r="AZ118" s="358"/>
      <c r="BA118" s="358"/>
      <c r="BB118" s="358"/>
      <c r="BC118" s="358"/>
      <c r="BD118" s="358"/>
      <c r="BE118" s="358"/>
      <c r="BF118" s="358"/>
      <c r="BG118" s="358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58"/>
      <c r="BS118" s="358"/>
      <c r="BT118" s="358"/>
      <c r="BU118" s="358"/>
      <c r="BV118" s="358"/>
    </row>
    <row r="119" spans="2:74" x14ac:dyDescent="0.2">
      <c r="B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358"/>
      <c r="AO119" s="358"/>
      <c r="AP119" s="358"/>
      <c r="AQ119" s="358"/>
      <c r="AR119" s="358"/>
      <c r="AS119" s="358"/>
      <c r="AT119" s="358"/>
      <c r="AU119" s="358"/>
      <c r="AV119" s="358"/>
      <c r="AW119" s="358"/>
      <c r="AX119" s="358"/>
      <c r="AY119" s="358"/>
      <c r="AZ119" s="358"/>
      <c r="BA119" s="358"/>
      <c r="BB119" s="358"/>
      <c r="BC119" s="358"/>
      <c r="BD119" s="358"/>
      <c r="BE119" s="358"/>
      <c r="BF119" s="358"/>
      <c r="BG119" s="358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58"/>
      <c r="BS119" s="358"/>
      <c r="BT119" s="358"/>
      <c r="BU119" s="358"/>
      <c r="BV119" s="358"/>
    </row>
    <row r="120" spans="2:74" x14ac:dyDescent="0.2">
      <c r="B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  <c r="AN120" s="358"/>
      <c r="AO120" s="358"/>
      <c r="AP120" s="358"/>
      <c r="AQ120" s="358"/>
      <c r="AR120" s="358"/>
      <c r="AS120" s="358"/>
      <c r="AT120" s="358"/>
      <c r="AU120" s="358"/>
      <c r="AV120" s="358"/>
      <c r="AW120" s="358"/>
      <c r="AX120" s="358"/>
      <c r="AY120" s="358"/>
      <c r="AZ120" s="358"/>
      <c r="BA120" s="358"/>
      <c r="BB120" s="358"/>
      <c r="BC120" s="358"/>
      <c r="BD120" s="358"/>
      <c r="BE120" s="358"/>
      <c r="BF120" s="358"/>
      <c r="BG120" s="358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58"/>
      <c r="BS120" s="358"/>
      <c r="BT120" s="358"/>
      <c r="BU120" s="358"/>
      <c r="BV120" s="358"/>
    </row>
    <row r="121" spans="2:74" x14ac:dyDescent="0.2">
      <c r="B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8"/>
      <c r="AJ121" s="358"/>
      <c r="AK121" s="358"/>
      <c r="AL121" s="358"/>
      <c r="AM121" s="358"/>
      <c r="AN121" s="358"/>
      <c r="AO121" s="358"/>
      <c r="AP121" s="358"/>
      <c r="AQ121" s="358"/>
      <c r="AR121" s="358"/>
      <c r="AS121" s="358"/>
      <c r="AT121" s="358"/>
      <c r="AU121" s="358"/>
      <c r="AV121" s="358"/>
      <c r="AW121" s="358"/>
      <c r="AX121" s="358"/>
      <c r="AY121" s="358"/>
      <c r="AZ121" s="358"/>
      <c r="BA121" s="358"/>
      <c r="BB121" s="358"/>
      <c r="BC121" s="358"/>
      <c r="BD121" s="358"/>
      <c r="BE121" s="358"/>
      <c r="BF121" s="358"/>
      <c r="BG121" s="358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58"/>
      <c r="BS121" s="358"/>
      <c r="BT121" s="358"/>
      <c r="BU121" s="358"/>
      <c r="BV121" s="358"/>
    </row>
    <row r="122" spans="2:74" x14ac:dyDescent="0.2">
      <c r="B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  <c r="AA122" s="358"/>
      <c r="AB122" s="358"/>
      <c r="AC122" s="358"/>
      <c r="AD122" s="358"/>
      <c r="AE122" s="358"/>
      <c r="AF122" s="358"/>
      <c r="AG122" s="358"/>
      <c r="AH122" s="358"/>
      <c r="AI122" s="358"/>
      <c r="AJ122" s="358"/>
      <c r="AK122" s="358"/>
      <c r="AL122" s="358"/>
      <c r="AM122" s="358"/>
      <c r="AN122" s="358"/>
      <c r="AO122" s="358"/>
      <c r="AP122" s="358"/>
      <c r="AQ122" s="358"/>
      <c r="AR122" s="358"/>
      <c r="AS122" s="358"/>
      <c r="AT122" s="358"/>
      <c r="AU122" s="358"/>
      <c r="AV122" s="358"/>
      <c r="AW122" s="358"/>
      <c r="AX122" s="358"/>
      <c r="AY122" s="358"/>
      <c r="AZ122" s="358"/>
      <c r="BA122" s="358"/>
      <c r="BB122" s="358"/>
      <c r="BC122" s="358"/>
      <c r="BD122" s="358"/>
      <c r="BE122" s="358"/>
      <c r="BF122" s="358"/>
      <c r="BG122" s="358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58"/>
      <c r="BS122" s="358"/>
      <c r="BT122" s="358"/>
      <c r="BU122" s="358"/>
      <c r="BV122" s="358"/>
    </row>
    <row r="123" spans="2:74" x14ac:dyDescent="0.2">
      <c r="B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8"/>
      <c r="AM123" s="358"/>
      <c r="AN123" s="358"/>
      <c r="AO123" s="358"/>
      <c r="AP123" s="358"/>
      <c r="AQ123" s="358"/>
      <c r="AR123" s="358"/>
      <c r="AS123" s="358"/>
      <c r="AT123" s="358"/>
      <c r="AU123" s="358"/>
      <c r="AV123" s="358"/>
      <c r="AW123" s="358"/>
      <c r="AX123" s="358"/>
      <c r="AY123" s="358"/>
      <c r="AZ123" s="358"/>
      <c r="BA123" s="358"/>
      <c r="BB123" s="358"/>
      <c r="BC123" s="358"/>
      <c r="BD123" s="358"/>
      <c r="BE123" s="358"/>
      <c r="BF123" s="358"/>
      <c r="BG123" s="358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58"/>
      <c r="BS123" s="358"/>
      <c r="BT123" s="358"/>
      <c r="BU123" s="358"/>
      <c r="BV123" s="358"/>
    </row>
    <row r="124" spans="2:74" x14ac:dyDescent="0.2">
      <c r="B124" s="358"/>
      <c r="D124" s="35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</row>
    <row r="125" spans="2:74" x14ac:dyDescent="0.2">
      <c r="B125" s="358"/>
      <c r="D125" s="35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</row>
    <row r="126" spans="2:74" x14ac:dyDescent="0.2">
      <c r="B126" s="91"/>
      <c r="C126" s="389"/>
      <c r="D126" s="389"/>
      <c r="E126" s="438"/>
      <c r="F126" s="439"/>
      <c r="G126" s="439"/>
      <c r="H126" s="439"/>
      <c r="I126" s="439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39"/>
      <c r="Y126" s="439"/>
      <c r="Z126" s="439"/>
      <c r="AA126" s="439"/>
      <c r="AB126" s="439"/>
      <c r="AC126" s="439"/>
      <c r="AD126" s="439"/>
      <c r="AE126" s="439"/>
      <c r="AF126" s="439"/>
      <c r="AG126" s="439"/>
      <c r="AH126" s="439"/>
      <c r="AI126" s="439"/>
      <c r="AJ126" s="439"/>
      <c r="AK126" s="439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439"/>
      <c r="AW126" s="439"/>
      <c r="AX126" s="439"/>
      <c r="AY126" s="439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439"/>
      <c r="BN126" s="439"/>
      <c r="BO126" s="439"/>
      <c r="BP126" s="439"/>
      <c r="BQ126" s="439"/>
      <c r="BR126" s="439"/>
      <c r="BS126" s="439"/>
      <c r="BT126" s="439"/>
      <c r="BU126" s="439"/>
      <c r="BV126" s="439"/>
    </row>
    <row r="127" spans="2:74" x14ac:dyDescent="0.2">
      <c r="B127" s="91"/>
      <c r="C127" s="91"/>
      <c r="D127" s="91"/>
      <c r="E127" s="438"/>
      <c r="F127" s="439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39"/>
      <c r="Y127" s="439"/>
      <c r="Z127" s="439"/>
      <c r="AA127" s="439"/>
      <c r="AB127" s="439"/>
      <c r="AC127" s="439"/>
      <c r="AD127" s="439"/>
      <c r="AE127" s="439"/>
      <c r="AF127" s="439"/>
      <c r="AG127" s="439"/>
      <c r="AH127" s="439"/>
      <c r="AI127" s="439"/>
      <c r="AJ127" s="439"/>
      <c r="AK127" s="439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439"/>
      <c r="AW127" s="439"/>
      <c r="AX127" s="439"/>
      <c r="AY127" s="439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439"/>
      <c r="BN127" s="439"/>
      <c r="BO127" s="439"/>
      <c r="BP127" s="439"/>
      <c r="BQ127" s="439"/>
      <c r="BR127" s="439"/>
      <c r="BS127" s="439"/>
      <c r="BT127" s="439"/>
      <c r="BU127" s="439"/>
      <c r="BV127" s="439"/>
    </row>
    <row r="128" spans="2:74" x14ac:dyDescent="0.2">
      <c r="B128" s="91"/>
      <c r="C128" s="389"/>
      <c r="D128" s="389"/>
      <c r="E128" s="438"/>
      <c r="F128" s="439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  <c r="AA128" s="439"/>
      <c r="AB128" s="439"/>
      <c r="AC128" s="439"/>
      <c r="AD128" s="439"/>
      <c r="AE128" s="439"/>
      <c r="AF128" s="439"/>
      <c r="AG128" s="439"/>
      <c r="AH128" s="439"/>
      <c r="AI128" s="439"/>
      <c r="AJ128" s="439"/>
      <c r="AK128" s="439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39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439"/>
      <c r="BN128" s="439"/>
      <c r="BO128" s="439"/>
      <c r="BP128" s="439"/>
      <c r="BQ128" s="439"/>
      <c r="BR128" s="439"/>
      <c r="BS128" s="439"/>
      <c r="BT128" s="439"/>
      <c r="BU128" s="439"/>
      <c r="BV128" s="439"/>
    </row>
    <row r="129" spans="2:74" x14ac:dyDescent="0.2">
      <c r="B129" s="441"/>
      <c r="C129" s="389"/>
      <c r="D129" s="389"/>
      <c r="E129" s="438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  <c r="AA129" s="439"/>
      <c r="AB129" s="439"/>
      <c r="AC129" s="439"/>
      <c r="AD129" s="439"/>
      <c r="AE129" s="439"/>
      <c r="AF129" s="439"/>
      <c r="AG129" s="439"/>
      <c r="AH129" s="439"/>
      <c r="AI129" s="439"/>
      <c r="AJ129" s="439"/>
      <c r="AK129" s="439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39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439"/>
      <c r="BN129" s="439"/>
      <c r="BO129" s="439"/>
      <c r="BP129" s="439"/>
      <c r="BQ129" s="439"/>
      <c r="BR129" s="439"/>
      <c r="BS129" s="439"/>
      <c r="BT129" s="439"/>
      <c r="BU129" s="439"/>
      <c r="BV129" s="439"/>
    </row>
    <row r="130" spans="2:74" x14ac:dyDescent="0.2">
      <c r="B130" s="91"/>
      <c r="C130" s="389"/>
      <c r="D130" s="389"/>
      <c r="E130" s="438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  <c r="AA130" s="439"/>
      <c r="AB130" s="439"/>
      <c r="AC130" s="439"/>
      <c r="AD130" s="439"/>
      <c r="AE130" s="439"/>
      <c r="AF130" s="439"/>
      <c r="AG130" s="439"/>
      <c r="AH130" s="439"/>
      <c r="AI130" s="439"/>
      <c r="AJ130" s="439"/>
      <c r="AK130" s="439"/>
      <c r="AL130" s="439"/>
      <c r="AM130" s="439"/>
      <c r="AN130" s="439"/>
      <c r="AO130" s="439"/>
      <c r="AP130" s="439"/>
      <c r="AQ130" s="439"/>
      <c r="AR130" s="439"/>
      <c r="AS130" s="439"/>
      <c r="AT130" s="439"/>
      <c r="AU130" s="439"/>
      <c r="AV130" s="439"/>
      <c r="AW130" s="439"/>
      <c r="AX130" s="439"/>
      <c r="AY130" s="439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439"/>
      <c r="BN130" s="439"/>
      <c r="BO130" s="439"/>
      <c r="BP130" s="439"/>
      <c r="BQ130" s="439"/>
      <c r="BR130" s="439"/>
      <c r="BS130" s="439"/>
      <c r="BT130" s="439"/>
      <c r="BU130" s="439"/>
      <c r="BV130" s="439"/>
    </row>
    <row r="131" spans="2:74" x14ac:dyDescent="0.2">
      <c r="B131" s="91"/>
      <c r="C131" s="389"/>
      <c r="D131" s="389"/>
      <c r="E131" s="438"/>
      <c r="F131" s="439"/>
      <c r="G131" s="439"/>
      <c r="H131" s="439"/>
      <c r="I131" s="439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39"/>
      <c r="Y131" s="439"/>
      <c r="Z131" s="439"/>
      <c r="AA131" s="439"/>
      <c r="AB131" s="439"/>
      <c r="AC131" s="439"/>
      <c r="AD131" s="439"/>
      <c r="AE131" s="439"/>
      <c r="AF131" s="439"/>
      <c r="AG131" s="439"/>
      <c r="AH131" s="439"/>
      <c r="AI131" s="439"/>
      <c r="AJ131" s="439"/>
      <c r="AK131" s="439"/>
      <c r="AL131" s="439"/>
      <c r="AM131" s="439"/>
      <c r="AN131" s="439"/>
      <c r="AO131" s="439"/>
      <c r="AP131" s="439"/>
      <c r="AQ131" s="439"/>
      <c r="AR131" s="439"/>
      <c r="AS131" s="439"/>
      <c r="AT131" s="439"/>
      <c r="AU131" s="439"/>
      <c r="AV131" s="439"/>
      <c r="AW131" s="439"/>
      <c r="AX131" s="439"/>
      <c r="AY131" s="439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439"/>
      <c r="BN131" s="439"/>
      <c r="BO131" s="439"/>
      <c r="BP131" s="439"/>
      <c r="BQ131" s="439"/>
      <c r="BR131" s="439"/>
      <c r="BS131" s="439"/>
      <c r="BT131" s="439"/>
      <c r="BU131" s="439"/>
      <c r="BV131" s="439"/>
    </row>
    <row r="132" spans="2:74" x14ac:dyDescent="0.2">
      <c r="B132" s="91"/>
      <c r="C132" s="389"/>
      <c r="D132" s="389"/>
      <c r="E132" s="438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39"/>
      <c r="AB132" s="439"/>
      <c r="AC132" s="439"/>
      <c r="AD132" s="439"/>
      <c r="AE132" s="439"/>
      <c r="AF132" s="439"/>
      <c r="AG132" s="439"/>
      <c r="AH132" s="439"/>
      <c r="AI132" s="439"/>
      <c r="AJ132" s="439"/>
      <c r="AK132" s="439"/>
      <c r="AL132" s="439"/>
      <c r="AM132" s="439"/>
      <c r="AN132" s="439"/>
      <c r="AO132" s="439"/>
      <c r="AP132" s="439"/>
      <c r="AQ132" s="439"/>
      <c r="AR132" s="439"/>
      <c r="AS132" s="439"/>
      <c r="AT132" s="439"/>
      <c r="AU132" s="439"/>
      <c r="AV132" s="439"/>
      <c r="AW132" s="439"/>
      <c r="AX132" s="439"/>
      <c r="AY132" s="439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439"/>
      <c r="BN132" s="439"/>
      <c r="BO132" s="439"/>
      <c r="BP132" s="439"/>
      <c r="BQ132" s="439"/>
      <c r="BR132" s="439"/>
      <c r="BS132" s="439"/>
      <c r="BT132" s="439"/>
      <c r="BU132" s="439"/>
      <c r="BV132" s="439"/>
    </row>
    <row r="133" spans="2:74" x14ac:dyDescent="0.2">
      <c r="B133" s="91"/>
      <c r="C133" s="389"/>
      <c r="D133" s="389"/>
      <c r="E133" s="438"/>
      <c r="F133" s="439"/>
      <c r="G133" s="439"/>
      <c r="H133" s="439"/>
      <c r="I133" s="439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39"/>
      <c r="Y133" s="439"/>
      <c r="Z133" s="439"/>
      <c r="AA133" s="439"/>
      <c r="AB133" s="439"/>
      <c r="AC133" s="439"/>
      <c r="AD133" s="439"/>
      <c r="AE133" s="439"/>
      <c r="AF133" s="439"/>
      <c r="AG133" s="439"/>
      <c r="AH133" s="439"/>
      <c r="AI133" s="439"/>
      <c r="AJ133" s="439"/>
      <c r="AK133" s="439"/>
      <c r="AL133" s="439"/>
      <c r="AM133" s="439"/>
      <c r="AN133" s="439"/>
      <c r="AO133" s="439"/>
      <c r="AP133" s="439"/>
      <c r="AQ133" s="439"/>
      <c r="AR133" s="439"/>
      <c r="AS133" s="439"/>
      <c r="AT133" s="439"/>
      <c r="AU133" s="439"/>
      <c r="AV133" s="439"/>
      <c r="AW133" s="439"/>
      <c r="AX133" s="439"/>
      <c r="AY133" s="439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439"/>
      <c r="BN133" s="439"/>
      <c r="BO133" s="439"/>
      <c r="BP133" s="439"/>
      <c r="BQ133" s="439"/>
      <c r="BR133" s="439"/>
      <c r="BS133" s="439"/>
      <c r="BT133" s="439"/>
      <c r="BU133" s="439"/>
      <c r="BV133" s="439"/>
    </row>
    <row r="134" spans="2:74" x14ac:dyDescent="0.2">
      <c r="B134" s="91"/>
      <c r="C134" s="389"/>
      <c r="D134" s="389"/>
      <c r="E134" s="438"/>
      <c r="F134" s="439"/>
      <c r="G134" s="439"/>
      <c r="H134" s="439"/>
      <c r="I134" s="439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9"/>
      <c r="U134" s="439"/>
      <c r="V134" s="439"/>
      <c r="W134" s="439"/>
      <c r="X134" s="439"/>
      <c r="Y134" s="439"/>
      <c r="Z134" s="439"/>
      <c r="AA134" s="439"/>
      <c r="AB134" s="439"/>
      <c r="AC134" s="439"/>
      <c r="AD134" s="439"/>
      <c r="AE134" s="439"/>
      <c r="AF134" s="439"/>
      <c r="AG134" s="439"/>
      <c r="AH134" s="439"/>
      <c r="AI134" s="439"/>
      <c r="AJ134" s="439"/>
      <c r="AK134" s="439"/>
      <c r="AL134" s="439"/>
      <c r="AM134" s="439"/>
      <c r="AN134" s="439"/>
      <c r="AO134" s="439"/>
      <c r="AP134" s="439"/>
      <c r="AQ134" s="439"/>
      <c r="AR134" s="439"/>
      <c r="AS134" s="439"/>
      <c r="AT134" s="439"/>
      <c r="AU134" s="439"/>
      <c r="AV134" s="439"/>
      <c r="AW134" s="439"/>
      <c r="AX134" s="439"/>
      <c r="AY134" s="439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439"/>
      <c r="BN134" s="439"/>
      <c r="BO134" s="439"/>
      <c r="BP134" s="439"/>
      <c r="BQ134" s="439"/>
      <c r="BR134" s="439"/>
      <c r="BS134" s="439"/>
      <c r="BT134" s="439"/>
      <c r="BU134" s="439"/>
      <c r="BV134" s="439"/>
    </row>
    <row r="135" spans="2:74" x14ac:dyDescent="0.2">
      <c r="B135" s="91"/>
      <c r="C135" s="389"/>
      <c r="D135" s="389"/>
      <c r="E135" s="438"/>
      <c r="F135" s="439"/>
      <c r="G135" s="439"/>
      <c r="H135" s="439"/>
      <c r="I135" s="439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39"/>
      <c r="Y135" s="439"/>
      <c r="Z135" s="439"/>
      <c r="AA135" s="439"/>
      <c r="AB135" s="439"/>
      <c r="AC135" s="439"/>
      <c r="AD135" s="439"/>
      <c r="AE135" s="439"/>
      <c r="AF135" s="439"/>
      <c r="AG135" s="439"/>
      <c r="AH135" s="439"/>
      <c r="AI135" s="439"/>
      <c r="AJ135" s="439"/>
      <c r="AK135" s="439"/>
      <c r="AL135" s="439"/>
      <c r="AM135" s="439"/>
      <c r="AN135" s="439"/>
      <c r="AO135" s="439"/>
      <c r="AP135" s="439"/>
      <c r="AQ135" s="439"/>
      <c r="AR135" s="439"/>
      <c r="AS135" s="439"/>
      <c r="AT135" s="439"/>
      <c r="AU135" s="439"/>
      <c r="AV135" s="439"/>
      <c r="AW135" s="439"/>
      <c r="AX135" s="439"/>
      <c r="AY135" s="439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439"/>
      <c r="BN135" s="439"/>
      <c r="BO135" s="439"/>
      <c r="BP135" s="439"/>
      <c r="BQ135" s="439"/>
      <c r="BR135" s="439"/>
      <c r="BS135" s="439"/>
      <c r="BT135" s="439"/>
      <c r="BU135" s="439"/>
      <c r="BV135" s="439"/>
    </row>
    <row r="136" spans="2:74" x14ac:dyDescent="0.2">
      <c r="B136" s="91"/>
      <c r="C136" s="389"/>
      <c r="D136" s="389"/>
      <c r="E136" s="438"/>
      <c r="F136" s="439"/>
      <c r="G136" s="439"/>
      <c r="H136" s="439"/>
      <c r="I136" s="439"/>
      <c r="J136" s="439"/>
      <c r="K136" s="439"/>
      <c r="L136" s="439"/>
      <c r="M136" s="439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  <c r="AA136" s="439"/>
      <c r="AB136" s="439"/>
      <c r="AC136" s="439"/>
      <c r="AD136" s="439"/>
      <c r="AE136" s="439"/>
      <c r="AF136" s="439"/>
      <c r="AG136" s="439"/>
      <c r="AH136" s="439"/>
      <c r="AI136" s="439"/>
      <c r="AJ136" s="439"/>
      <c r="AK136" s="439"/>
      <c r="AL136" s="439"/>
      <c r="AM136" s="439"/>
      <c r="AN136" s="439"/>
      <c r="AO136" s="439"/>
      <c r="AP136" s="439"/>
      <c r="AQ136" s="439"/>
      <c r="AR136" s="439"/>
      <c r="AS136" s="439"/>
      <c r="AT136" s="439"/>
      <c r="AU136" s="439"/>
      <c r="AV136" s="439"/>
      <c r="AW136" s="439"/>
      <c r="AX136" s="439"/>
      <c r="AY136" s="439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439"/>
      <c r="BN136" s="439"/>
      <c r="BO136" s="439"/>
      <c r="BP136" s="439"/>
      <c r="BQ136" s="439"/>
      <c r="BR136" s="439"/>
      <c r="BS136" s="439"/>
      <c r="BT136" s="439"/>
      <c r="BU136" s="439"/>
      <c r="BV136" s="439"/>
    </row>
    <row r="137" spans="2:74" x14ac:dyDescent="0.2">
      <c r="B137" s="91"/>
      <c r="C137" s="389"/>
      <c r="D137" s="389"/>
      <c r="E137" s="438"/>
      <c r="F137" s="439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  <c r="AA137" s="439"/>
      <c r="AB137" s="439"/>
      <c r="AC137" s="439"/>
      <c r="AD137" s="439"/>
      <c r="AE137" s="439"/>
      <c r="AF137" s="439"/>
      <c r="AG137" s="439"/>
      <c r="AH137" s="439"/>
      <c r="AI137" s="439"/>
      <c r="AJ137" s="439"/>
      <c r="AK137" s="439"/>
      <c r="AL137" s="439"/>
      <c r="AM137" s="439"/>
      <c r="AN137" s="439"/>
      <c r="AO137" s="439"/>
      <c r="AP137" s="439"/>
      <c r="AQ137" s="439"/>
      <c r="AR137" s="439"/>
      <c r="AS137" s="439"/>
      <c r="AT137" s="439"/>
      <c r="AU137" s="439"/>
      <c r="AV137" s="439"/>
      <c r="AW137" s="439"/>
      <c r="AX137" s="439"/>
      <c r="AY137" s="439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439"/>
      <c r="BN137" s="439"/>
      <c r="BO137" s="439"/>
      <c r="BP137" s="439"/>
      <c r="BQ137" s="439"/>
      <c r="BR137" s="439"/>
      <c r="BS137" s="439"/>
      <c r="BT137" s="439"/>
      <c r="BU137" s="439"/>
      <c r="BV137" s="439"/>
    </row>
    <row r="138" spans="2:74" x14ac:dyDescent="0.2">
      <c r="B138" s="91"/>
      <c r="C138" s="389"/>
      <c r="D138" s="389"/>
      <c r="E138" s="438"/>
      <c r="F138" s="439"/>
      <c r="G138" s="439"/>
      <c r="H138" s="439"/>
      <c r="I138" s="439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  <c r="AA138" s="439"/>
      <c r="AB138" s="439"/>
      <c r="AC138" s="439"/>
      <c r="AD138" s="439"/>
      <c r="AE138" s="439"/>
      <c r="AF138" s="439"/>
      <c r="AG138" s="439"/>
      <c r="AH138" s="439"/>
      <c r="AI138" s="439"/>
      <c r="AJ138" s="439"/>
      <c r="AK138" s="439"/>
      <c r="AL138" s="439"/>
      <c r="AM138" s="439"/>
      <c r="AN138" s="439"/>
      <c r="AO138" s="439"/>
      <c r="AP138" s="439"/>
      <c r="AQ138" s="439"/>
      <c r="AR138" s="439"/>
      <c r="AS138" s="439"/>
      <c r="AT138" s="439"/>
      <c r="AU138" s="439"/>
      <c r="AV138" s="439"/>
      <c r="AW138" s="439"/>
      <c r="AX138" s="439"/>
      <c r="AY138" s="439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439"/>
      <c r="BN138" s="439"/>
      <c r="BO138" s="439"/>
      <c r="BP138" s="439"/>
      <c r="BQ138" s="439"/>
      <c r="BR138" s="439"/>
      <c r="BS138" s="439"/>
      <c r="BT138" s="439"/>
      <c r="BU138" s="439"/>
      <c r="BV138" s="439"/>
    </row>
    <row r="139" spans="2:74" x14ac:dyDescent="0.2">
      <c r="B139" s="91"/>
      <c r="C139" s="91"/>
      <c r="D139" s="91"/>
      <c r="E139" s="438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439"/>
      <c r="AV139" s="439"/>
      <c r="AW139" s="439"/>
      <c r="AX139" s="439"/>
      <c r="AY139" s="439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439"/>
      <c r="BN139" s="439"/>
      <c r="BO139" s="439"/>
      <c r="BP139" s="439"/>
      <c r="BQ139" s="439"/>
      <c r="BR139" s="439"/>
      <c r="BS139" s="439"/>
      <c r="BT139" s="439"/>
      <c r="BU139" s="439"/>
      <c r="BV139" s="439"/>
    </row>
    <row r="140" spans="2:74" x14ac:dyDescent="0.2">
      <c r="B140" s="91"/>
      <c r="C140" s="389"/>
      <c r="D140" s="389"/>
      <c r="E140" s="438"/>
      <c r="F140" s="439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  <c r="AA140" s="439"/>
      <c r="AB140" s="439"/>
      <c r="AC140" s="439"/>
      <c r="AD140" s="439"/>
      <c r="AE140" s="439"/>
      <c r="AF140" s="439"/>
      <c r="AG140" s="439"/>
      <c r="AH140" s="439"/>
      <c r="AI140" s="439"/>
      <c r="AJ140" s="439"/>
      <c r="AK140" s="439"/>
      <c r="AL140" s="439"/>
      <c r="AM140" s="439"/>
      <c r="AN140" s="439"/>
      <c r="AO140" s="439"/>
      <c r="AP140" s="439"/>
      <c r="AQ140" s="439"/>
      <c r="AR140" s="439"/>
      <c r="AS140" s="439"/>
      <c r="AT140" s="439"/>
      <c r="AU140" s="439"/>
      <c r="AV140" s="439"/>
      <c r="AW140" s="439"/>
      <c r="AX140" s="439"/>
      <c r="AY140" s="439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439"/>
      <c r="BN140" s="439"/>
      <c r="BO140" s="439"/>
      <c r="BP140" s="439"/>
      <c r="BQ140" s="439"/>
      <c r="BR140" s="439"/>
      <c r="BS140" s="439"/>
      <c r="BT140" s="439"/>
      <c r="BU140" s="439"/>
      <c r="BV140" s="439"/>
    </row>
    <row r="141" spans="2:74" x14ac:dyDescent="0.2">
      <c r="B141" s="91"/>
      <c r="C141" s="389"/>
      <c r="D141" s="389"/>
      <c r="E141" s="438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  <c r="AA141" s="439"/>
      <c r="AB141" s="439"/>
      <c r="AC141" s="439"/>
      <c r="AD141" s="439"/>
      <c r="AE141" s="439"/>
      <c r="AF141" s="439"/>
      <c r="AG141" s="439"/>
      <c r="AH141" s="439"/>
      <c r="AI141" s="439"/>
      <c r="AJ141" s="439"/>
      <c r="AK141" s="439"/>
      <c r="AL141" s="439"/>
      <c r="AM141" s="439"/>
      <c r="AN141" s="439"/>
      <c r="AO141" s="439"/>
      <c r="AP141" s="439"/>
      <c r="AQ141" s="439"/>
      <c r="AR141" s="439"/>
      <c r="AS141" s="439"/>
      <c r="AT141" s="439"/>
      <c r="AU141" s="439"/>
      <c r="AV141" s="439"/>
      <c r="AW141" s="439"/>
      <c r="AX141" s="439"/>
      <c r="AY141" s="439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439"/>
      <c r="BN141" s="439"/>
      <c r="BO141" s="439"/>
      <c r="BP141" s="439"/>
      <c r="BQ141" s="439"/>
      <c r="BR141" s="439"/>
      <c r="BS141" s="439"/>
      <c r="BT141" s="439"/>
      <c r="BU141" s="439"/>
      <c r="BV141" s="439"/>
    </row>
    <row r="142" spans="2:74" x14ac:dyDescent="0.2">
      <c r="B142" s="91"/>
      <c r="C142" s="389"/>
      <c r="D142" s="389"/>
      <c r="E142" s="438"/>
      <c r="F142" s="439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  <c r="AJ142" s="439"/>
      <c r="AK142" s="439"/>
      <c r="AL142" s="439"/>
      <c r="AM142" s="439"/>
      <c r="AN142" s="439"/>
      <c r="AO142" s="439"/>
      <c r="AP142" s="439"/>
      <c r="AQ142" s="439"/>
      <c r="AR142" s="439"/>
      <c r="AS142" s="439"/>
      <c r="AT142" s="439"/>
      <c r="AU142" s="439"/>
      <c r="AV142" s="439"/>
      <c r="AW142" s="439"/>
      <c r="AX142" s="439"/>
      <c r="AY142" s="439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439"/>
      <c r="BN142" s="439"/>
      <c r="BO142" s="439"/>
      <c r="BP142" s="439"/>
      <c r="BQ142" s="439"/>
      <c r="BR142" s="439"/>
      <c r="BS142" s="439"/>
      <c r="BT142" s="439"/>
      <c r="BU142" s="439"/>
      <c r="BV142" s="439"/>
    </row>
    <row r="143" spans="2:74" x14ac:dyDescent="0.2">
      <c r="B143" s="91"/>
      <c r="C143" s="389"/>
      <c r="D143" s="389"/>
      <c r="E143" s="438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  <c r="AA143" s="439"/>
      <c r="AB143" s="439"/>
      <c r="AC143" s="439"/>
      <c r="AD143" s="439"/>
      <c r="AE143" s="439"/>
      <c r="AF143" s="439"/>
      <c r="AG143" s="439"/>
      <c r="AH143" s="439"/>
      <c r="AI143" s="439"/>
      <c r="AJ143" s="439"/>
      <c r="AK143" s="439"/>
      <c r="AL143" s="439"/>
      <c r="AM143" s="439"/>
      <c r="AN143" s="439"/>
      <c r="AO143" s="439"/>
      <c r="AP143" s="439"/>
      <c r="AQ143" s="439"/>
      <c r="AR143" s="439"/>
      <c r="AS143" s="439"/>
      <c r="AT143" s="439"/>
      <c r="AU143" s="439"/>
      <c r="AV143" s="439"/>
      <c r="AW143" s="439"/>
      <c r="AX143" s="439"/>
      <c r="AY143" s="439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</row>
    <row r="144" spans="2:74" x14ac:dyDescent="0.2">
      <c r="B144" s="91"/>
      <c r="C144" s="389"/>
      <c r="D144" s="389"/>
      <c r="E144" s="438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  <c r="AA144" s="439"/>
      <c r="AB144" s="439"/>
      <c r="AC144" s="439"/>
      <c r="AD144" s="439"/>
      <c r="AE144" s="439"/>
      <c r="AF144" s="439"/>
      <c r="AG144" s="439"/>
      <c r="AH144" s="439"/>
      <c r="AI144" s="439"/>
      <c r="AJ144" s="439"/>
      <c r="AK144" s="439"/>
      <c r="AL144" s="439"/>
      <c r="AM144" s="439"/>
      <c r="AN144" s="439"/>
      <c r="AO144" s="439"/>
      <c r="AP144" s="439"/>
      <c r="AQ144" s="439"/>
      <c r="AR144" s="439"/>
      <c r="AS144" s="439"/>
      <c r="AT144" s="439"/>
      <c r="AU144" s="439"/>
      <c r="AV144" s="439"/>
      <c r="AW144" s="439"/>
      <c r="AX144" s="439"/>
      <c r="AY144" s="439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</row>
    <row r="145" spans="2:74" x14ac:dyDescent="0.2">
      <c r="B145" s="91"/>
      <c r="C145" s="389"/>
      <c r="D145" s="389"/>
      <c r="E145" s="438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  <c r="AA145" s="439"/>
      <c r="AB145" s="439"/>
      <c r="AC145" s="439"/>
      <c r="AD145" s="439"/>
      <c r="AE145" s="439"/>
      <c r="AF145" s="439"/>
      <c r="AG145" s="439"/>
      <c r="AH145" s="439"/>
      <c r="AI145" s="439"/>
      <c r="AJ145" s="439"/>
      <c r="AK145" s="439"/>
      <c r="AL145" s="439"/>
      <c r="AM145" s="439"/>
      <c r="AN145" s="439"/>
      <c r="AO145" s="439"/>
      <c r="AP145" s="439"/>
      <c r="AQ145" s="439"/>
      <c r="AR145" s="439"/>
      <c r="AS145" s="439"/>
      <c r="AT145" s="439"/>
      <c r="AU145" s="439"/>
      <c r="AV145" s="439"/>
      <c r="AW145" s="439"/>
      <c r="AX145" s="439"/>
      <c r="AY145" s="439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</row>
    <row r="146" spans="2:74" x14ac:dyDescent="0.2">
      <c r="B146" s="91"/>
      <c r="C146" s="389"/>
      <c r="D146" s="389"/>
      <c r="E146" s="438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  <c r="AA146" s="439"/>
      <c r="AB146" s="439"/>
      <c r="AC146" s="439"/>
      <c r="AD146" s="439"/>
      <c r="AE146" s="439"/>
      <c r="AF146" s="439"/>
      <c r="AG146" s="439"/>
      <c r="AH146" s="439"/>
      <c r="AI146" s="439"/>
      <c r="AJ146" s="439"/>
      <c r="AK146" s="439"/>
      <c r="AL146" s="439"/>
      <c r="AM146" s="439"/>
      <c r="AN146" s="439"/>
      <c r="AO146" s="439"/>
      <c r="AP146" s="439"/>
      <c r="AQ146" s="439"/>
      <c r="AR146" s="439"/>
      <c r="AS146" s="439"/>
      <c r="AT146" s="439"/>
      <c r="AU146" s="439"/>
      <c r="AV146" s="439"/>
      <c r="AW146" s="439"/>
      <c r="AX146" s="439"/>
      <c r="AY146" s="439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</row>
    <row r="147" spans="2:74" x14ac:dyDescent="0.2">
      <c r="B147" s="91"/>
      <c r="C147" s="389"/>
      <c r="D147" s="389"/>
      <c r="E147" s="438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  <c r="AA147" s="439"/>
      <c r="AB147" s="439"/>
      <c r="AC147" s="439"/>
      <c r="AD147" s="439"/>
      <c r="AE147" s="439"/>
      <c r="AF147" s="439"/>
      <c r="AG147" s="439"/>
      <c r="AH147" s="439"/>
      <c r="AI147" s="439"/>
      <c r="AJ147" s="439"/>
      <c r="AK147" s="439"/>
      <c r="AL147" s="439"/>
      <c r="AM147" s="439"/>
      <c r="AN147" s="439"/>
      <c r="AO147" s="439"/>
      <c r="AP147" s="439"/>
      <c r="AQ147" s="439"/>
      <c r="AR147" s="439"/>
      <c r="AS147" s="439"/>
      <c r="AT147" s="439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</row>
    <row r="148" spans="2:74" x14ac:dyDescent="0.2">
      <c r="B148" s="91"/>
      <c r="C148" s="389"/>
      <c r="D148" s="389"/>
      <c r="E148" s="438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  <c r="AA148" s="439"/>
      <c r="AB148" s="439"/>
      <c r="AC148" s="439"/>
      <c r="AD148" s="439"/>
      <c r="AE148" s="439"/>
      <c r="AF148" s="439"/>
      <c r="AG148" s="439"/>
      <c r="AH148" s="439"/>
      <c r="AI148" s="439"/>
      <c r="AJ148" s="439"/>
      <c r="AK148" s="439"/>
      <c r="AL148" s="439"/>
      <c r="AM148" s="439"/>
      <c r="AN148" s="439"/>
      <c r="AO148" s="439"/>
      <c r="AP148" s="439"/>
      <c r="AQ148" s="439"/>
      <c r="AR148" s="439"/>
      <c r="AS148" s="439"/>
      <c r="AT148" s="439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</row>
    <row r="149" spans="2:74" x14ac:dyDescent="0.2">
      <c r="B149" s="91"/>
      <c r="C149" s="389"/>
      <c r="D149" s="389"/>
      <c r="E149" s="438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  <c r="AA149" s="439"/>
      <c r="AB149" s="439"/>
      <c r="AC149" s="439"/>
      <c r="AD149" s="439"/>
      <c r="AE149" s="439"/>
      <c r="AF149" s="439"/>
      <c r="AG149" s="439"/>
      <c r="AH149" s="439"/>
      <c r="AI149" s="439"/>
      <c r="AJ149" s="439"/>
      <c r="AK149" s="439"/>
      <c r="AL149" s="439"/>
      <c r="AM149" s="439"/>
      <c r="AN149" s="439"/>
      <c r="AO149" s="439"/>
      <c r="AP149" s="439"/>
      <c r="AQ149" s="439"/>
      <c r="AR149" s="439"/>
      <c r="AS149" s="439"/>
      <c r="AT149" s="439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</row>
    <row r="150" spans="2:74" x14ac:dyDescent="0.2">
      <c r="B150" s="91"/>
      <c r="C150" s="389"/>
      <c r="D150" s="389"/>
      <c r="E150" s="438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  <c r="AA150" s="439"/>
      <c r="AB150" s="439"/>
      <c r="AC150" s="439"/>
      <c r="AD150" s="439"/>
      <c r="AE150" s="439"/>
      <c r="AF150" s="439"/>
      <c r="AG150" s="439"/>
      <c r="AH150" s="439"/>
      <c r="AI150" s="439"/>
      <c r="AJ150" s="439"/>
      <c r="AK150" s="439"/>
      <c r="AL150" s="439"/>
      <c r="AM150" s="439"/>
      <c r="AN150" s="439"/>
      <c r="AO150" s="439"/>
      <c r="AP150" s="439"/>
      <c r="AQ150" s="439"/>
      <c r="AR150" s="439"/>
      <c r="AS150" s="439"/>
      <c r="AT150" s="439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</row>
    <row r="151" spans="2:74" x14ac:dyDescent="0.2">
      <c r="B151" s="91"/>
      <c r="C151" s="389"/>
      <c r="D151" s="389"/>
      <c r="E151" s="438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  <c r="AA151" s="439"/>
      <c r="AB151" s="439"/>
      <c r="AC151" s="439"/>
      <c r="AD151" s="439"/>
      <c r="AE151" s="439"/>
      <c r="AF151" s="439"/>
      <c r="AG151" s="439"/>
      <c r="AH151" s="439"/>
      <c r="AI151" s="439"/>
      <c r="AJ151" s="439"/>
      <c r="AK151" s="439"/>
      <c r="AL151" s="439"/>
      <c r="AM151" s="439"/>
      <c r="AN151" s="439"/>
      <c r="AO151" s="439"/>
      <c r="AP151" s="439"/>
      <c r="AQ151" s="439"/>
      <c r="AR151" s="439"/>
      <c r="AS151" s="439"/>
      <c r="AT151" s="439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</row>
    <row r="152" spans="2:74" x14ac:dyDescent="0.2">
      <c r="B152" s="91"/>
      <c r="C152" s="91"/>
      <c r="D152" s="91"/>
      <c r="E152" s="438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</row>
    <row r="153" spans="2:74" x14ac:dyDescent="0.2">
      <c r="B153" s="91"/>
      <c r="C153" s="389"/>
      <c r="D153" s="389"/>
      <c r="E153" s="438"/>
      <c r="F153" s="439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  <c r="AA153" s="439"/>
      <c r="AB153" s="439"/>
      <c r="AC153" s="439"/>
      <c r="AD153" s="439"/>
      <c r="AE153" s="439"/>
      <c r="AF153" s="439"/>
      <c r="AG153" s="439"/>
      <c r="AH153" s="439"/>
      <c r="AI153" s="439"/>
      <c r="AJ153" s="439"/>
      <c r="AK153" s="439"/>
      <c r="AL153" s="439"/>
      <c r="AM153" s="439"/>
      <c r="AN153" s="439"/>
      <c r="AO153" s="439"/>
      <c r="AP153" s="439"/>
      <c r="AQ153" s="439"/>
      <c r="AR153" s="439"/>
      <c r="AS153" s="439"/>
      <c r="AT153" s="439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</row>
    <row r="154" spans="2:74" x14ac:dyDescent="0.2">
      <c r="B154" s="91"/>
      <c r="C154" s="389"/>
      <c r="D154" s="389"/>
      <c r="E154" s="438"/>
      <c r="F154" s="439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  <c r="AA154" s="439"/>
      <c r="AB154" s="439"/>
      <c r="AC154" s="439"/>
      <c r="AD154" s="439"/>
      <c r="AE154" s="439"/>
      <c r="AF154" s="439"/>
      <c r="AG154" s="439"/>
      <c r="AH154" s="439"/>
      <c r="AI154" s="439"/>
      <c r="AJ154" s="439"/>
      <c r="AK154" s="439"/>
      <c r="AL154" s="439"/>
      <c r="AM154" s="439"/>
      <c r="AN154" s="439"/>
      <c r="AO154" s="439"/>
      <c r="AP154" s="439"/>
      <c r="AQ154" s="439"/>
      <c r="AR154" s="439"/>
      <c r="AS154" s="439"/>
      <c r="AT154" s="439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</row>
    <row r="155" spans="2:74" x14ac:dyDescent="0.2">
      <c r="B155" s="358"/>
      <c r="D155" s="358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</row>
    <row r="156" spans="2:74" x14ac:dyDescent="0.2">
      <c r="B156" s="91"/>
      <c r="C156" s="389"/>
      <c r="D156" s="389"/>
      <c r="E156" s="438"/>
      <c r="F156" s="439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  <c r="AA156" s="439"/>
      <c r="AB156" s="439"/>
      <c r="AC156" s="439"/>
      <c r="AD156" s="439"/>
      <c r="AE156" s="439"/>
      <c r="AF156" s="439"/>
      <c r="AG156" s="439"/>
      <c r="AH156" s="439"/>
      <c r="AI156" s="439"/>
      <c r="AJ156" s="439"/>
      <c r="AK156" s="439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</row>
    <row r="157" spans="2:74" x14ac:dyDescent="0.2">
      <c r="B157" s="91"/>
      <c r="C157" s="389"/>
      <c r="D157" s="389"/>
      <c r="E157" s="438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  <c r="AA157" s="439"/>
      <c r="AB157" s="439"/>
      <c r="AC157" s="439"/>
      <c r="AD157" s="439"/>
      <c r="AE157" s="439"/>
      <c r="AF157" s="439"/>
      <c r="AG157" s="439"/>
      <c r="AH157" s="439"/>
      <c r="AI157" s="439"/>
      <c r="AJ157" s="439"/>
      <c r="AK157" s="439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</row>
    <row r="158" spans="2:74" x14ac:dyDescent="0.2">
      <c r="B158" s="91"/>
      <c r="C158" s="389"/>
      <c r="D158" s="389"/>
      <c r="E158" s="438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  <c r="AA158" s="439"/>
      <c r="AB158" s="439"/>
      <c r="AC158" s="439"/>
      <c r="AD158" s="439"/>
      <c r="AE158" s="439"/>
      <c r="AF158" s="439"/>
      <c r="AG158" s="439"/>
      <c r="AH158" s="439"/>
      <c r="AI158" s="439"/>
      <c r="AJ158" s="439"/>
      <c r="AK158" s="4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</row>
    <row r="159" spans="2:74" x14ac:dyDescent="0.2">
      <c r="B159" s="91"/>
      <c r="C159" s="389"/>
      <c r="D159" s="389"/>
      <c r="E159" s="438"/>
      <c r="F159" s="439"/>
      <c r="G159" s="439"/>
      <c r="H159" s="439"/>
      <c r="I159" s="439"/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  <c r="AA159" s="439"/>
      <c r="AB159" s="439"/>
      <c r="AC159" s="439"/>
      <c r="AD159" s="439"/>
      <c r="AE159" s="439"/>
      <c r="AF159" s="439"/>
      <c r="AG159" s="439"/>
      <c r="AH159" s="439"/>
      <c r="AI159" s="439"/>
      <c r="AJ159" s="439"/>
      <c r="AK159" s="439"/>
      <c r="AL159" s="439"/>
      <c r="AM159" s="439"/>
      <c r="AN159" s="439"/>
      <c r="AO159" s="439"/>
      <c r="AP159" s="439"/>
      <c r="AQ159" s="439"/>
      <c r="AR159" s="439"/>
      <c r="AS159" s="439"/>
      <c r="AT159" s="439"/>
      <c r="AU159" s="439"/>
      <c r="AV159" s="439"/>
      <c r="AW159" s="439"/>
      <c r="AX159" s="439"/>
      <c r="AY159" s="439"/>
      <c r="AZ159" s="439"/>
      <c r="BA159" s="439"/>
      <c r="BB159" s="439"/>
      <c r="BC159" s="439"/>
      <c r="BD159" s="439"/>
      <c r="BE159" s="439"/>
      <c r="BF159" s="439"/>
      <c r="BG159" s="439"/>
      <c r="BH159" s="439"/>
      <c r="BI159" s="439"/>
      <c r="BJ159" s="439"/>
      <c r="BK159" s="439"/>
      <c r="BL159" s="439"/>
      <c r="BM159" s="439"/>
      <c r="BN159" s="439"/>
      <c r="BO159" s="439"/>
      <c r="BP159" s="439"/>
      <c r="BQ159" s="439"/>
      <c r="BR159" s="439"/>
      <c r="BS159" s="439"/>
      <c r="BT159" s="439"/>
      <c r="BU159" s="439"/>
      <c r="BV159" s="439"/>
    </row>
    <row r="160" spans="2:74" x14ac:dyDescent="0.2">
      <c r="B160" s="91"/>
      <c r="C160" s="389"/>
      <c r="D160" s="389"/>
      <c r="E160" s="438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  <c r="AA160" s="439"/>
      <c r="AB160" s="439"/>
      <c r="AC160" s="439"/>
      <c r="AD160" s="439"/>
      <c r="AE160" s="439"/>
      <c r="AF160" s="439"/>
      <c r="AG160" s="439"/>
      <c r="AH160" s="439"/>
      <c r="AI160" s="439"/>
      <c r="AJ160" s="439"/>
      <c r="AK160" s="439"/>
      <c r="AL160" s="439"/>
      <c r="AM160" s="439"/>
      <c r="AN160" s="439"/>
      <c r="AO160" s="439"/>
      <c r="AP160" s="439"/>
      <c r="AQ160" s="439"/>
      <c r="AR160" s="439"/>
      <c r="AS160" s="439"/>
      <c r="AT160" s="439"/>
      <c r="AU160" s="439"/>
      <c r="AV160" s="439"/>
      <c r="AW160" s="439"/>
      <c r="AX160" s="439"/>
      <c r="AY160" s="439"/>
      <c r="AZ160" s="439"/>
      <c r="BA160" s="439"/>
      <c r="BB160" s="439"/>
      <c r="BC160" s="439"/>
      <c r="BD160" s="439"/>
      <c r="BE160" s="439"/>
      <c r="BF160" s="439"/>
      <c r="BG160" s="439"/>
      <c r="BH160" s="439"/>
      <c r="BI160" s="439"/>
      <c r="BJ160" s="439"/>
      <c r="BK160" s="439"/>
      <c r="BL160" s="439"/>
      <c r="BM160" s="439"/>
      <c r="BN160" s="439"/>
      <c r="BO160" s="439"/>
      <c r="BP160" s="439"/>
      <c r="BQ160" s="439"/>
      <c r="BR160" s="439"/>
      <c r="BS160" s="439"/>
      <c r="BT160" s="439"/>
      <c r="BU160" s="439"/>
      <c r="BV160" s="439"/>
    </row>
    <row r="161" spans="2:74" x14ac:dyDescent="0.2">
      <c r="B161" s="91"/>
      <c r="C161" s="389"/>
      <c r="D161" s="389"/>
      <c r="E161" s="438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  <c r="AA161" s="439"/>
      <c r="AB161" s="439"/>
      <c r="AC161" s="439"/>
      <c r="AD161" s="439"/>
      <c r="AE161" s="439"/>
      <c r="AF161" s="439"/>
      <c r="AG161" s="439"/>
      <c r="AH161" s="439"/>
      <c r="AI161" s="439"/>
      <c r="AJ161" s="439"/>
      <c r="AK161" s="439"/>
      <c r="AL161" s="439"/>
      <c r="AM161" s="439"/>
      <c r="AN161" s="439"/>
      <c r="AO161" s="439"/>
      <c r="AP161" s="439"/>
      <c r="AQ161" s="439"/>
      <c r="AR161" s="439"/>
      <c r="AS161" s="439"/>
      <c r="AT161" s="439"/>
      <c r="AU161" s="439"/>
      <c r="AV161" s="439"/>
      <c r="AW161" s="439"/>
      <c r="AX161" s="439"/>
      <c r="AY161" s="439"/>
      <c r="AZ161" s="439"/>
      <c r="BA161" s="439"/>
      <c r="BB161" s="439"/>
      <c r="BC161" s="439"/>
      <c r="BD161" s="439"/>
      <c r="BE161" s="439"/>
      <c r="BF161" s="439"/>
      <c r="BG161" s="439"/>
      <c r="BH161" s="439"/>
      <c r="BI161" s="439"/>
      <c r="BJ161" s="439"/>
      <c r="BK161" s="439"/>
      <c r="BL161" s="439"/>
      <c r="BM161" s="439"/>
      <c r="BN161" s="439"/>
      <c r="BO161" s="439"/>
      <c r="BP161" s="439"/>
      <c r="BQ161" s="439"/>
      <c r="BR161" s="439"/>
      <c r="BS161" s="439"/>
      <c r="BT161" s="439"/>
      <c r="BU161" s="439"/>
      <c r="BV161" s="439"/>
    </row>
    <row r="162" spans="2:74" x14ac:dyDescent="0.2">
      <c r="B162" s="91"/>
      <c r="C162" s="389"/>
      <c r="D162" s="389"/>
      <c r="E162" s="438"/>
      <c r="F162" s="439"/>
      <c r="G162" s="439"/>
      <c r="H162" s="439"/>
      <c r="I162" s="439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  <c r="AA162" s="439"/>
      <c r="AB162" s="439"/>
      <c r="AC162" s="439"/>
      <c r="AD162" s="439"/>
      <c r="AE162" s="439"/>
      <c r="AF162" s="439"/>
      <c r="AG162" s="439"/>
      <c r="AH162" s="439"/>
      <c r="AI162" s="439"/>
      <c r="AJ162" s="439"/>
      <c r="AK162" s="439"/>
      <c r="AL162" s="439"/>
      <c r="AM162" s="439"/>
      <c r="AN162" s="439"/>
      <c r="AO162" s="439"/>
      <c r="AP162" s="439"/>
      <c r="AQ162" s="439"/>
      <c r="AR162" s="439"/>
      <c r="AS162" s="439"/>
      <c r="AT162" s="439"/>
      <c r="AU162" s="439"/>
      <c r="AV162" s="439"/>
      <c r="AW162" s="439"/>
      <c r="AX162" s="439"/>
      <c r="AY162" s="439"/>
      <c r="AZ162" s="439"/>
      <c r="BA162" s="439"/>
      <c r="BB162" s="439"/>
      <c r="BC162" s="439"/>
      <c r="BD162" s="439"/>
      <c r="BE162" s="439"/>
      <c r="BF162" s="439"/>
      <c r="BG162" s="439"/>
      <c r="BH162" s="439"/>
      <c r="BI162" s="439"/>
      <c r="BJ162" s="439"/>
      <c r="BK162" s="439"/>
      <c r="BL162" s="439"/>
      <c r="BM162" s="439"/>
      <c r="BN162" s="439"/>
      <c r="BO162" s="439"/>
      <c r="BP162" s="439"/>
      <c r="BQ162" s="439"/>
      <c r="BR162" s="439"/>
      <c r="BS162" s="439"/>
      <c r="BT162" s="439"/>
      <c r="BU162" s="439"/>
      <c r="BV162" s="439"/>
    </row>
    <row r="163" spans="2:74" x14ac:dyDescent="0.2">
      <c r="B163" s="91"/>
      <c r="C163" s="389"/>
      <c r="D163" s="389"/>
      <c r="E163" s="438"/>
      <c r="F163" s="439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  <c r="AA163" s="439"/>
      <c r="AB163" s="439"/>
      <c r="AC163" s="439"/>
      <c r="AD163" s="439"/>
      <c r="AE163" s="439"/>
      <c r="AF163" s="439"/>
      <c r="AG163" s="439"/>
      <c r="AH163" s="439"/>
      <c r="AI163" s="439"/>
      <c r="AJ163" s="439"/>
      <c r="AK163" s="439"/>
      <c r="AL163" s="439"/>
      <c r="AM163" s="439"/>
      <c r="AN163" s="439"/>
      <c r="AO163" s="439"/>
      <c r="AP163" s="439"/>
      <c r="AQ163" s="439"/>
      <c r="AR163" s="439"/>
      <c r="AS163" s="439"/>
      <c r="AT163" s="439"/>
      <c r="AU163" s="439"/>
      <c r="AV163" s="439"/>
      <c r="AW163" s="439"/>
      <c r="AX163" s="439"/>
      <c r="AY163" s="439"/>
      <c r="AZ163" s="439"/>
      <c r="BA163" s="439"/>
      <c r="BB163" s="439"/>
      <c r="BC163" s="439"/>
      <c r="BD163" s="439"/>
      <c r="BE163" s="439"/>
      <c r="BF163" s="439"/>
      <c r="BG163" s="439"/>
      <c r="BH163" s="439"/>
      <c r="BI163" s="439"/>
      <c r="BJ163" s="439"/>
      <c r="BK163" s="439"/>
      <c r="BL163" s="439"/>
      <c r="BM163" s="439"/>
      <c r="BN163" s="439"/>
      <c r="BO163" s="439"/>
      <c r="BP163" s="439"/>
      <c r="BQ163" s="439"/>
      <c r="BR163" s="439"/>
      <c r="BS163" s="439"/>
      <c r="BT163" s="439"/>
      <c r="BU163" s="439"/>
      <c r="BV163" s="439"/>
    </row>
    <row r="164" spans="2:74" x14ac:dyDescent="0.2">
      <c r="B164" s="91"/>
      <c r="C164" s="389"/>
      <c r="D164" s="389"/>
      <c r="E164" s="438"/>
      <c r="F164" s="439"/>
      <c r="G164" s="439"/>
      <c r="H164" s="439"/>
      <c r="I164" s="439"/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  <c r="AA164" s="439"/>
      <c r="AB164" s="439"/>
      <c r="AC164" s="439"/>
      <c r="AD164" s="439"/>
      <c r="AE164" s="439"/>
      <c r="AF164" s="439"/>
      <c r="AG164" s="439"/>
      <c r="AH164" s="439"/>
      <c r="AI164" s="439"/>
      <c r="AJ164" s="439"/>
      <c r="AK164" s="439"/>
      <c r="AL164" s="439"/>
      <c r="AM164" s="439"/>
      <c r="AN164" s="439"/>
      <c r="AO164" s="439"/>
      <c r="AP164" s="439"/>
      <c r="AQ164" s="439"/>
      <c r="AR164" s="439"/>
      <c r="AS164" s="439"/>
      <c r="AT164" s="439"/>
      <c r="AU164" s="439"/>
      <c r="AV164" s="439"/>
      <c r="AW164" s="439"/>
      <c r="AX164" s="439"/>
      <c r="AY164" s="439"/>
      <c r="AZ164" s="439"/>
      <c r="BA164" s="439"/>
      <c r="BB164" s="439"/>
      <c r="BC164" s="439"/>
      <c r="BD164" s="439"/>
      <c r="BE164" s="439"/>
      <c r="BF164" s="439"/>
      <c r="BG164" s="439"/>
      <c r="BH164" s="439"/>
      <c r="BI164" s="439"/>
      <c r="BJ164" s="439"/>
      <c r="BK164" s="439"/>
      <c r="BL164" s="439"/>
      <c r="BM164" s="439"/>
      <c r="BN164" s="439"/>
      <c r="BO164" s="439"/>
      <c r="BP164" s="439"/>
      <c r="BQ164" s="439"/>
      <c r="BR164" s="439"/>
      <c r="BS164" s="439"/>
      <c r="BT164" s="439"/>
      <c r="BU164" s="439"/>
      <c r="BV164" s="439"/>
    </row>
    <row r="165" spans="2:74" x14ac:dyDescent="0.2">
      <c r="B165" s="91"/>
      <c r="C165" s="389"/>
      <c r="D165" s="389"/>
      <c r="E165" s="438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  <c r="AV165" s="439"/>
      <c r="AW165" s="439"/>
      <c r="AX165" s="439"/>
      <c r="AY165" s="439"/>
      <c r="AZ165" s="439"/>
      <c r="BA165" s="439"/>
      <c r="BB165" s="439"/>
      <c r="BC165" s="439"/>
      <c r="BD165" s="439"/>
      <c r="BE165" s="439"/>
      <c r="BF165" s="439"/>
      <c r="BG165" s="439"/>
      <c r="BH165" s="439"/>
      <c r="BI165" s="439"/>
      <c r="BJ165" s="439"/>
      <c r="BK165" s="439"/>
      <c r="BL165" s="439"/>
      <c r="BM165" s="439"/>
      <c r="BN165" s="439"/>
      <c r="BO165" s="439"/>
      <c r="BP165" s="439"/>
      <c r="BQ165" s="439"/>
      <c r="BR165" s="439"/>
      <c r="BS165" s="439"/>
      <c r="BT165" s="439"/>
      <c r="BU165" s="439"/>
      <c r="BV165" s="439"/>
    </row>
    <row r="166" spans="2:74" x14ac:dyDescent="0.2">
      <c r="B166" s="91"/>
      <c r="C166" s="389"/>
      <c r="D166" s="389"/>
      <c r="E166" s="438"/>
      <c r="F166" s="439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  <c r="AA166" s="439"/>
      <c r="AB166" s="439"/>
      <c r="AC166" s="439"/>
      <c r="AD166" s="439"/>
      <c r="AE166" s="439"/>
      <c r="AF166" s="439"/>
      <c r="AG166" s="439"/>
      <c r="AH166" s="439"/>
      <c r="AI166" s="439"/>
      <c r="AJ166" s="439"/>
      <c r="AK166" s="439"/>
      <c r="AL166" s="439"/>
      <c r="AM166" s="439"/>
      <c r="AN166" s="439"/>
      <c r="AO166" s="439"/>
      <c r="AP166" s="439"/>
      <c r="AQ166" s="439"/>
      <c r="AR166" s="439"/>
      <c r="AS166" s="439"/>
      <c r="AT166" s="439"/>
      <c r="AU166" s="439"/>
      <c r="AV166" s="439"/>
      <c r="AW166" s="439"/>
      <c r="AX166" s="439"/>
      <c r="AY166" s="439"/>
      <c r="AZ166" s="439"/>
      <c r="BA166" s="439"/>
      <c r="BB166" s="439"/>
      <c r="BC166" s="439"/>
      <c r="BD166" s="439"/>
      <c r="BE166" s="439"/>
      <c r="BF166" s="439"/>
      <c r="BG166" s="439"/>
      <c r="BH166" s="439"/>
      <c r="BI166" s="439"/>
      <c r="BJ166" s="439"/>
      <c r="BK166" s="439"/>
      <c r="BL166" s="439"/>
      <c r="BM166" s="439"/>
      <c r="BN166" s="439"/>
      <c r="BO166" s="439"/>
      <c r="BP166" s="439"/>
      <c r="BQ166" s="439"/>
      <c r="BR166" s="439"/>
      <c r="BS166" s="439"/>
      <c r="BT166" s="439"/>
      <c r="BU166" s="439"/>
      <c r="BV166" s="439"/>
    </row>
    <row r="167" spans="2:74" x14ac:dyDescent="0.2">
      <c r="B167" s="91"/>
      <c r="C167" s="389"/>
      <c r="D167" s="389"/>
      <c r="E167" s="438"/>
      <c r="F167" s="439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  <c r="AA167" s="439"/>
      <c r="AB167" s="439"/>
      <c r="AC167" s="439"/>
      <c r="AD167" s="439"/>
      <c r="AE167" s="439"/>
      <c r="AF167" s="439"/>
      <c r="AG167" s="439"/>
      <c r="AH167" s="439"/>
      <c r="AI167" s="439"/>
      <c r="AJ167" s="439"/>
      <c r="AK167" s="439"/>
      <c r="AL167" s="439"/>
      <c r="AM167" s="439"/>
      <c r="AN167" s="439"/>
      <c r="AO167" s="439"/>
      <c r="AP167" s="439"/>
      <c r="AQ167" s="439"/>
      <c r="AR167" s="439"/>
      <c r="AS167" s="439"/>
      <c r="AT167" s="439"/>
      <c r="AU167" s="439"/>
      <c r="AV167" s="439"/>
      <c r="AW167" s="439"/>
      <c r="AX167" s="439"/>
      <c r="AY167" s="439"/>
      <c r="AZ167" s="439"/>
      <c r="BA167" s="439"/>
      <c r="BB167" s="439"/>
      <c r="BC167" s="439"/>
      <c r="BD167" s="439"/>
      <c r="BE167" s="439"/>
      <c r="BF167" s="439"/>
      <c r="BG167" s="439"/>
      <c r="BH167" s="439"/>
      <c r="BI167" s="439"/>
      <c r="BJ167" s="439"/>
      <c r="BK167" s="439"/>
      <c r="BL167" s="439"/>
      <c r="BM167" s="439"/>
      <c r="BN167" s="439"/>
      <c r="BO167" s="439"/>
      <c r="BP167" s="439"/>
      <c r="BQ167" s="439"/>
      <c r="BR167" s="439"/>
      <c r="BS167" s="439"/>
      <c r="BT167" s="439"/>
      <c r="BU167" s="439"/>
      <c r="BV167" s="439"/>
    </row>
    <row r="168" spans="2:74" x14ac:dyDescent="0.2">
      <c r="B168" s="91"/>
      <c r="C168" s="389"/>
      <c r="D168" s="389"/>
      <c r="E168" s="438"/>
      <c r="F168" s="439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  <c r="AA168" s="439"/>
      <c r="AB168" s="439"/>
      <c r="AC168" s="439"/>
      <c r="AD168" s="439"/>
      <c r="AE168" s="439"/>
      <c r="AF168" s="439"/>
      <c r="AG168" s="439"/>
      <c r="AH168" s="439"/>
      <c r="AI168" s="439"/>
      <c r="AJ168" s="439"/>
      <c r="AK168" s="439"/>
      <c r="AL168" s="439"/>
      <c r="AM168" s="439"/>
      <c r="AN168" s="439"/>
      <c r="AO168" s="439"/>
      <c r="AP168" s="439"/>
      <c r="AQ168" s="439"/>
      <c r="AR168" s="439"/>
      <c r="AS168" s="439"/>
      <c r="AT168" s="439"/>
      <c r="AU168" s="439"/>
      <c r="AV168" s="439"/>
      <c r="AW168" s="439"/>
      <c r="AX168" s="439"/>
      <c r="AY168" s="439"/>
      <c r="AZ168" s="439"/>
      <c r="BA168" s="439"/>
      <c r="BB168" s="439"/>
      <c r="BC168" s="439"/>
      <c r="BD168" s="439"/>
      <c r="BE168" s="439"/>
      <c r="BF168" s="439"/>
      <c r="BG168" s="439"/>
      <c r="BH168" s="439"/>
      <c r="BI168" s="439"/>
      <c r="BJ168" s="439"/>
      <c r="BK168" s="439"/>
      <c r="BL168" s="439"/>
      <c r="BM168" s="439"/>
      <c r="BN168" s="439"/>
      <c r="BO168" s="439"/>
      <c r="BP168" s="439"/>
      <c r="BQ168" s="439"/>
      <c r="BR168" s="439"/>
      <c r="BS168" s="439"/>
      <c r="BT168" s="439"/>
      <c r="BU168" s="439"/>
      <c r="BV168" s="439"/>
    </row>
    <row r="169" spans="2:74" x14ac:dyDescent="0.2">
      <c r="B169" s="91"/>
      <c r="C169" s="389"/>
      <c r="D169" s="389"/>
      <c r="E169" s="438"/>
      <c r="F169" s="439"/>
      <c r="G169" s="439"/>
      <c r="H169" s="439"/>
      <c r="I169" s="439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  <c r="AA169" s="439"/>
      <c r="AB169" s="439"/>
      <c r="AC169" s="439"/>
      <c r="AD169" s="439"/>
      <c r="AE169" s="439"/>
      <c r="AF169" s="439"/>
      <c r="AG169" s="439"/>
      <c r="AH169" s="439"/>
      <c r="AI169" s="439"/>
      <c r="AJ169" s="439"/>
      <c r="AK169" s="439"/>
      <c r="AL169" s="439"/>
      <c r="AM169" s="439"/>
      <c r="AN169" s="439"/>
      <c r="AO169" s="439"/>
      <c r="AP169" s="439"/>
      <c r="AQ169" s="439"/>
      <c r="AR169" s="439"/>
      <c r="AS169" s="439"/>
      <c r="AT169" s="439"/>
      <c r="AU169" s="439"/>
      <c r="AV169" s="439"/>
      <c r="AW169" s="439"/>
      <c r="AX169" s="439"/>
      <c r="AY169" s="439"/>
      <c r="AZ169" s="439"/>
      <c r="BA169" s="439"/>
      <c r="BB169" s="439"/>
      <c r="BC169" s="439"/>
      <c r="BD169" s="439"/>
      <c r="BE169" s="439"/>
      <c r="BF169" s="439"/>
      <c r="BG169" s="439"/>
      <c r="BH169" s="439"/>
      <c r="BI169" s="439"/>
      <c r="BJ169" s="439"/>
      <c r="BK169" s="439"/>
      <c r="BL169" s="439"/>
      <c r="BM169" s="439"/>
      <c r="BN169" s="439"/>
      <c r="BO169" s="439"/>
      <c r="BP169" s="439"/>
      <c r="BQ169" s="439"/>
      <c r="BR169" s="439"/>
      <c r="BS169" s="439"/>
      <c r="BT169" s="439"/>
      <c r="BU169" s="439"/>
      <c r="BV169" s="439"/>
    </row>
    <row r="170" spans="2:74" x14ac:dyDescent="0.2">
      <c r="B170" s="91"/>
      <c r="C170" s="389"/>
      <c r="D170" s="389"/>
      <c r="E170" s="438"/>
      <c r="F170" s="439"/>
      <c r="G170" s="439"/>
      <c r="H170" s="439"/>
      <c r="I170" s="439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  <c r="AA170" s="439"/>
      <c r="AB170" s="439"/>
      <c r="AC170" s="439"/>
      <c r="AD170" s="439"/>
      <c r="AE170" s="439"/>
      <c r="AF170" s="439"/>
      <c r="AG170" s="439"/>
      <c r="AH170" s="439"/>
      <c r="AI170" s="439"/>
      <c r="AJ170" s="439"/>
      <c r="AK170" s="439"/>
      <c r="AL170" s="439"/>
      <c r="AM170" s="439"/>
      <c r="AN170" s="439"/>
      <c r="AO170" s="439"/>
      <c r="AP170" s="439"/>
      <c r="AQ170" s="439"/>
      <c r="AR170" s="439"/>
      <c r="AS170" s="439"/>
      <c r="AT170" s="439"/>
      <c r="AU170" s="439"/>
      <c r="AV170" s="439"/>
      <c r="AW170" s="439"/>
      <c r="AX170" s="439"/>
      <c r="AY170" s="439"/>
      <c r="AZ170" s="439"/>
      <c r="BA170" s="439"/>
      <c r="BB170" s="439"/>
      <c r="BC170" s="439"/>
      <c r="BD170" s="439"/>
      <c r="BE170" s="439"/>
      <c r="BF170" s="439"/>
      <c r="BG170" s="439"/>
      <c r="BH170" s="439"/>
      <c r="BI170" s="439"/>
      <c r="BJ170" s="439"/>
      <c r="BK170" s="439"/>
      <c r="BL170" s="439"/>
      <c r="BM170" s="439"/>
      <c r="BN170" s="439"/>
      <c r="BO170" s="439"/>
      <c r="BP170" s="439"/>
      <c r="BQ170" s="439"/>
      <c r="BR170" s="439"/>
      <c r="BS170" s="439"/>
      <c r="BT170" s="439"/>
      <c r="BU170" s="439"/>
      <c r="BV170" s="439"/>
    </row>
    <row r="171" spans="2:74" x14ac:dyDescent="0.2">
      <c r="B171" s="91"/>
      <c r="C171" s="389"/>
      <c r="D171" s="389"/>
      <c r="E171" s="438"/>
      <c r="F171" s="439"/>
      <c r="G171" s="439"/>
      <c r="H171" s="439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  <c r="AA171" s="439"/>
      <c r="AB171" s="439"/>
      <c r="AC171" s="439"/>
      <c r="AD171" s="439"/>
      <c r="AE171" s="439"/>
      <c r="AF171" s="439"/>
      <c r="AG171" s="439"/>
      <c r="AH171" s="439"/>
      <c r="AI171" s="439"/>
      <c r="AJ171" s="439"/>
      <c r="AK171" s="439"/>
      <c r="AL171" s="439"/>
      <c r="AM171" s="439"/>
      <c r="AN171" s="439"/>
      <c r="AO171" s="439"/>
      <c r="AP171" s="439"/>
      <c r="AQ171" s="439"/>
      <c r="AR171" s="439"/>
      <c r="AS171" s="439"/>
      <c r="AT171" s="439"/>
      <c r="AU171" s="439"/>
      <c r="AV171" s="439"/>
      <c r="AW171" s="439"/>
      <c r="AX171" s="439"/>
      <c r="AY171" s="439"/>
      <c r="AZ171" s="439"/>
      <c r="BA171" s="439"/>
      <c r="BB171" s="439"/>
      <c r="BC171" s="439"/>
      <c r="BD171" s="439"/>
      <c r="BE171" s="439"/>
      <c r="BF171" s="439"/>
      <c r="BG171" s="439"/>
      <c r="BH171" s="439"/>
      <c r="BI171" s="439"/>
      <c r="BJ171" s="439"/>
      <c r="BK171" s="439"/>
      <c r="BL171" s="439"/>
      <c r="BM171" s="439"/>
      <c r="BN171" s="439"/>
      <c r="BO171" s="439"/>
      <c r="BP171" s="439"/>
      <c r="BQ171" s="439"/>
      <c r="BR171" s="439"/>
      <c r="BS171" s="439"/>
      <c r="BT171" s="439"/>
      <c r="BU171" s="439"/>
      <c r="BV171" s="439"/>
    </row>
    <row r="172" spans="2:74" x14ac:dyDescent="0.2">
      <c r="B172" s="91"/>
      <c r="C172" s="389"/>
      <c r="D172" s="389"/>
      <c r="E172" s="438"/>
      <c r="F172" s="439"/>
      <c r="G172" s="439"/>
      <c r="H172" s="439"/>
      <c r="I172" s="439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  <c r="AJ172" s="439"/>
      <c r="AK172" s="439"/>
      <c r="AL172" s="439"/>
      <c r="AM172" s="439"/>
      <c r="AN172" s="439"/>
      <c r="AO172" s="439"/>
      <c r="AP172" s="439"/>
      <c r="AQ172" s="439"/>
      <c r="AR172" s="439"/>
      <c r="AS172" s="439"/>
      <c r="AT172" s="439"/>
      <c r="AU172" s="439"/>
      <c r="AV172" s="439"/>
      <c r="AW172" s="439"/>
      <c r="AX172" s="439"/>
      <c r="AY172" s="439"/>
      <c r="AZ172" s="439"/>
      <c r="BA172" s="439"/>
      <c r="BB172" s="439"/>
      <c r="BC172" s="439"/>
      <c r="BD172" s="439"/>
      <c r="BE172" s="439"/>
      <c r="BF172" s="439"/>
      <c r="BG172" s="439"/>
      <c r="BH172" s="439"/>
      <c r="BI172" s="439"/>
      <c r="BJ172" s="439"/>
      <c r="BK172" s="439"/>
      <c r="BL172" s="439"/>
      <c r="BM172" s="439"/>
      <c r="BN172" s="439"/>
      <c r="BO172" s="439"/>
      <c r="BP172" s="439"/>
      <c r="BQ172" s="439"/>
      <c r="BR172" s="439"/>
      <c r="BS172" s="439"/>
      <c r="BT172" s="439"/>
      <c r="BU172" s="439"/>
      <c r="BV172" s="439"/>
    </row>
    <row r="173" spans="2:74" x14ac:dyDescent="0.2">
      <c r="B173" s="91"/>
      <c r="C173" s="389"/>
      <c r="D173" s="389"/>
      <c r="E173" s="438"/>
      <c r="F173" s="439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  <c r="AJ173" s="439"/>
      <c r="AK173" s="439"/>
      <c r="AL173" s="439"/>
      <c r="AM173" s="439"/>
      <c r="AN173" s="439"/>
      <c r="AO173" s="439"/>
      <c r="AP173" s="439"/>
      <c r="AQ173" s="439"/>
      <c r="AR173" s="439"/>
      <c r="AS173" s="439"/>
      <c r="AT173" s="439"/>
      <c r="AU173" s="439"/>
      <c r="AV173" s="439"/>
      <c r="AW173" s="439"/>
      <c r="AX173" s="439"/>
      <c r="AY173" s="439"/>
      <c r="AZ173" s="439"/>
      <c r="BA173" s="439"/>
      <c r="BB173" s="439"/>
      <c r="BC173" s="439"/>
      <c r="BD173" s="439"/>
      <c r="BE173" s="439"/>
      <c r="BF173" s="439"/>
      <c r="BG173" s="439"/>
      <c r="BH173" s="439"/>
      <c r="BI173" s="439"/>
      <c r="BJ173" s="439"/>
      <c r="BK173" s="439"/>
      <c r="BL173" s="439"/>
      <c r="BM173" s="439"/>
      <c r="BN173" s="439"/>
      <c r="BO173" s="439"/>
      <c r="BP173" s="439"/>
      <c r="BQ173" s="439"/>
      <c r="BR173" s="439"/>
      <c r="BS173" s="439"/>
      <c r="BT173" s="439"/>
      <c r="BU173" s="439"/>
      <c r="BV173" s="439"/>
    </row>
    <row r="174" spans="2:74" x14ac:dyDescent="0.2">
      <c r="B174" s="91"/>
      <c r="C174" s="389"/>
      <c r="D174" s="389"/>
      <c r="E174" s="438"/>
      <c r="F174" s="439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  <c r="AA174" s="439"/>
      <c r="AB174" s="439"/>
      <c r="AC174" s="439"/>
      <c r="AD174" s="439"/>
      <c r="AE174" s="439"/>
      <c r="AF174" s="439"/>
      <c r="AG174" s="439"/>
      <c r="AH174" s="439"/>
      <c r="AI174" s="439"/>
      <c r="AJ174" s="439"/>
      <c r="AK174" s="439"/>
      <c r="AL174" s="439"/>
      <c r="AM174" s="439"/>
      <c r="AN174" s="439"/>
      <c r="AO174" s="439"/>
      <c r="AP174" s="439"/>
      <c r="AQ174" s="439"/>
      <c r="AR174" s="439"/>
      <c r="AS174" s="439"/>
      <c r="AT174" s="439"/>
      <c r="AU174" s="439"/>
      <c r="AV174" s="439"/>
      <c r="AW174" s="439"/>
      <c r="AX174" s="439"/>
      <c r="AY174" s="439"/>
      <c r="AZ174" s="439"/>
      <c r="BA174" s="439"/>
      <c r="BB174" s="439"/>
      <c r="BC174" s="439"/>
      <c r="BD174" s="439"/>
      <c r="BE174" s="439"/>
      <c r="BF174" s="439"/>
      <c r="BG174" s="439"/>
      <c r="BH174" s="439"/>
      <c r="BI174" s="439"/>
      <c r="BJ174" s="439"/>
      <c r="BK174" s="439"/>
      <c r="BL174" s="439"/>
      <c r="BM174" s="439"/>
      <c r="BN174" s="439"/>
      <c r="BO174" s="439"/>
      <c r="BP174" s="439"/>
      <c r="BQ174" s="439"/>
      <c r="BR174" s="439"/>
      <c r="BS174" s="439"/>
      <c r="BT174" s="439"/>
      <c r="BU174" s="439"/>
      <c r="BV174" s="439"/>
    </row>
    <row r="175" spans="2:74" x14ac:dyDescent="0.2">
      <c r="B175" s="91"/>
      <c r="C175" s="91"/>
      <c r="D175" s="91"/>
      <c r="E175" s="438"/>
      <c r="F175" s="439"/>
      <c r="G175" s="439"/>
      <c r="H175" s="439"/>
      <c r="I175" s="439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  <c r="AA175" s="439"/>
      <c r="AB175" s="439"/>
      <c r="AC175" s="439"/>
      <c r="AD175" s="439"/>
      <c r="AE175" s="439"/>
      <c r="AF175" s="439"/>
      <c r="AG175" s="439"/>
      <c r="AH175" s="439"/>
      <c r="AI175" s="439"/>
      <c r="AJ175" s="439"/>
      <c r="AK175" s="439"/>
      <c r="AL175" s="439"/>
      <c r="AM175" s="439"/>
      <c r="AN175" s="439"/>
      <c r="AO175" s="439"/>
      <c r="AP175" s="439"/>
      <c r="AQ175" s="439"/>
      <c r="AR175" s="439"/>
      <c r="AS175" s="439"/>
      <c r="AT175" s="439"/>
      <c r="AU175" s="439"/>
      <c r="AV175" s="439"/>
      <c r="AW175" s="439"/>
      <c r="AX175" s="439"/>
      <c r="AY175" s="439"/>
      <c r="AZ175" s="439"/>
      <c r="BA175" s="439"/>
      <c r="BB175" s="439"/>
      <c r="BC175" s="439"/>
      <c r="BD175" s="439"/>
      <c r="BE175" s="439"/>
      <c r="BF175" s="439"/>
      <c r="BG175" s="439"/>
      <c r="BH175" s="439"/>
      <c r="BI175" s="439"/>
      <c r="BJ175" s="439"/>
      <c r="BK175" s="439"/>
      <c r="BL175" s="439"/>
      <c r="BM175" s="439"/>
      <c r="BN175" s="439"/>
      <c r="BO175" s="439"/>
      <c r="BP175" s="439"/>
      <c r="BQ175" s="439"/>
      <c r="BR175" s="439"/>
      <c r="BS175" s="439"/>
      <c r="BT175" s="439"/>
      <c r="BU175" s="439"/>
      <c r="BV175" s="439"/>
    </row>
    <row r="176" spans="2:74" x14ac:dyDescent="0.2">
      <c r="B176" s="91"/>
      <c r="C176" s="389"/>
      <c r="D176" s="389"/>
      <c r="E176" s="438"/>
      <c r="F176" s="439"/>
      <c r="G176" s="439"/>
      <c r="H176" s="439"/>
      <c r="I176" s="439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  <c r="AA176" s="439"/>
      <c r="AB176" s="439"/>
      <c r="AC176" s="439"/>
      <c r="AD176" s="439"/>
      <c r="AE176" s="439"/>
      <c r="AF176" s="439"/>
      <c r="AG176" s="439"/>
      <c r="AH176" s="439"/>
      <c r="AI176" s="439"/>
      <c r="AJ176" s="439"/>
      <c r="AK176" s="439"/>
      <c r="AL176" s="439"/>
      <c r="AM176" s="439"/>
      <c r="AN176" s="439"/>
      <c r="AO176" s="439"/>
      <c r="AP176" s="439"/>
      <c r="AQ176" s="439"/>
      <c r="AR176" s="439"/>
      <c r="AS176" s="439"/>
      <c r="AT176" s="439"/>
      <c r="AU176" s="439"/>
      <c r="AV176" s="439"/>
      <c r="AW176" s="439"/>
      <c r="AX176" s="439"/>
      <c r="AY176" s="439"/>
      <c r="AZ176" s="439"/>
      <c r="BA176" s="439"/>
      <c r="BB176" s="439"/>
      <c r="BC176" s="439"/>
      <c r="BD176" s="439"/>
      <c r="BE176" s="439"/>
      <c r="BF176" s="439"/>
      <c r="BG176" s="439"/>
      <c r="BH176" s="439"/>
      <c r="BI176" s="439"/>
      <c r="BJ176" s="439"/>
      <c r="BK176" s="439"/>
      <c r="BL176" s="439"/>
      <c r="BM176" s="439"/>
      <c r="BN176" s="439"/>
      <c r="BO176" s="439"/>
      <c r="BP176" s="439"/>
      <c r="BQ176" s="439"/>
      <c r="BR176" s="439"/>
      <c r="BS176" s="439"/>
      <c r="BT176" s="439"/>
      <c r="BU176" s="439"/>
      <c r="BV176" s="439"/>
    </row>
    <row r="177" spans="2:74" x14ac:dyDescent="0.2">
      <c r="B177" s="441"/>
      <c r="C177" s="389"/>
      <c r="D177" s="389"/>
      <c r="E177" s="438"/>
      <c r="F177" s="439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  <c r="AA177" s="439"/>
      <c r="AB177" s="439"/>
      <c r="AC177" s="439"/>
      <c r="AD177" s="439"/>
      <c r="AE177" s="439"/>
      <c r="AF177" s="439"/>
      <c r="AG177" s="439"/>
      <c r="AH177" s="439"/>
      <c r="AI177" s="439"/>
      <c r="AJ177" s="439"/>
      <c r="AK177" s="439"/>
      <c r="AL177" s="439"/>
      <c r="AM177" s="439"/>
      <c r="AN177" s="439"/>
      <c r="AO177" s="439"/>
      <c r="AP177" s="439"/>
      <c r="AQ177" s="439"/>
      <c r="AR177" s="439"/>
      <c r="AS177" s="439"/>
      <c r="AT177" s="439"/>
      <c r="AU177" s="439"/>
      <c r="AV177" s="439"/>
      <c r="AW177" s="439"/>
      <c r="AX177" s="439"/>
      <c r="AY177" s="439"/>
      <c r="AZ177" s="439"/>
      <c r="BA177" s="439"/>
      <c r="BB177" s="439"/>
      <c r="BC177" s="439"/>
      <c r="BD177" s="439"/>
      <c r="BE177" s="439"/>
      <c r="BF177" s="439"/>
      <c r="BG177" s="439"/>
      <c r="BH177" s="439"/>
      <c r="BI177" s="439"/>
      <c r="BJ177" s="439"/>
      <c r="BK177" s="439"/>
      <c r="BL177" s="439"/>
      <c r="BM177" s="439"/>
      <c r="BN177" s="439"/>
      <c r="BO177" s="439"/>
      <c r="BP177" s="439"/>
      <c r="BQ177" s="439"/>
      <c r="BR177" s="439"/>
      <c r="BS177" s="439"/>
      <c r="BT177" s="439"/>
      <c r="BU177" s="439"/>
      <c r="BV177" s="439"/>
    </row>
    <row r="178" spans="2:74" x14ac:dyDescent="0.2">
      <c r="B178" s="91"/>
      <c r="C178" s="389"/>
      <c r="D178" s="389"/>
      <c r="E178" s="438"/>
      <c r="F178" s="439"/>
      <c r="G178" s="439"/>
      <c r="H178" s="439"/>
      <c r="I178" s="439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39"/>
      <c r="AC178" s="439"/>
      <c r="AD178" s="439"/>
      <c r="AE178" s="439"/>
      <c r="AF178" s="439"/>
      <c r="AG178" s="439"/>
      <c r="AH178" s="439"/>
      <c r="AI178" s="439"/>
      <c r="AJ178" s="439"/>
      <c r="AK178" s="439"/>
      <c r="AL178" s="439"/>
      <c r="AM178" s="439"/>
      <c r="AN178" s="439"/>
      <c r="AO178" s="439"/>
      <c r="AP178" s="439"/>
      <c r="AQ178" s="439"/>
      <c r="AR178" s="439"/>
      <c r="AS178" s="439"/>
      <c r="AT178" s="439"/>
      <c r="AU178" s="439"/>
      <c r="AV178" s="439"/>
      <c r="AW178" s="439"/>
      <c r="AX178" s="439"/>
      <c r="AY178" s="439"/>
      <c r="AZ178" s="439"/>
      <c r="BA178" s="439"/>
      <c r="BB178" s="439"/>
      <c r="BC178" s="439"/>
      <c r="BD178" s="439"/>
      <c r="BE178" s="439"/>
      <c r="BF178" s="439"/>
      <c r="BG178" s="439"/>
      <c r="BH178" s="439"/>
      <c r="BI178" s="439"/>
      <c r="BJ178" s="439"/>
      <c r="BK178" s="439"/>
      <c r="BL178" s="439"/>
      <c r="BM178" s="439"/>
      <c r="BN178" s="439"/>
      <c r="BO178" s="439"/>
      <c r="BP178" s="439"/>
      <c r="BQ178" s="439"/>
      <c r="BR178" s="439"/>
      <c r="BS178" s="439"/>
      <c r="BT178" s="439"/>
      <c r="BU178" s="439"/>
      <c r="BV178" s="439"/>
    </row>
    <row r="179" spans="2:74" x14ac:dyDescent="0.2">
      <c r="B179" s="91"/>
      <c r="C179" s="389"/>
      <c r="D179" s="389"/>
      <c r="E179" s="438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</row>
    <row r="180" spans="2:74" x14ac:dyDescent="0.2">
      <c r="B180" s="91"/>
      <c r="C180" s="389"/>
      <c r="D180" s="389"/>
      <c r="E180" s="438"/>
      <c r="F180" s="439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  <c r="AA180" s="439"/>
      <c r="AB180" s="439"/>
      <c r="AC180" s="439"/>
      <c r="AD180" s="439"/>
      <c r="AE180" s="439"/>
      <c r="AF180" s="439"/>
      <c r="AG180" s="439"/>
      <c r="AH180" s="439"/>
      <c r="AI180" s="439"/>
      <c r="AJ180" s="439"/>
      <c r="AK180" s="439"/>
      <c r="AL180" s="439"/>
      <c r="AM180" s="439"/>
      <c r="AN180" s="439"/>
      <c r="AO180" s="439"/>
      <c r="AP180" s="439"/>
      <c r="AQ180" s="439"/>
      <c r="AR180" s="439"/>
      <c r="AS180" s="439"/>
      <c r="AT180" s="439"/>
      <c r="AU180" s="439"/>
      <c r="AV180" s="439"/>
      <c r="AW180" s="439"/>
      <c r="AX180" s="439"/>
      <c r="AY180" s="439"/>
      <c r="AZ180" s="439"/>
      <c r="BA180" s="439"/>
      <c r="BB180" s="439"/>
      <c r="BC180" s="439"/>
      <c r="BD180" s="439"/>
      <c r="BE180" s="439"/>
      <c r="BF180" s="439"/>
      <c r="BG180" s="439"/>
      <c r="BH180" s="439"/>
      <c r="BI180" s="439"/>
      <c r="BJ180" s="439"/>
      <c r="BK180" s="439"/>
      <c r="BL180" s="439"/>
      <c r="BM180" s="439"/>
      <c r="BN180" s="439"/>
      <c r="BO180" s="439"/>
      <c r="BP180" s="439"/>
      <c r="BQ180" s="439"/>
      <c r="BR180" s="439"/>
      <c r="BS180" s="439"/>
      <c r="BT180" s="439"/>
      <c r="BU180" s="439"/>
      <c r="BV180" s="439"/>
    </row>
    <row r="181" spans="2:74" x14ac:dyDescent="0.2">
      <c r="B181" s="91"/>
      <c r="C181" s="389"/>
      <c r="D181" s="389"/>
      <c r="E181" s="438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  <c r="AA181" s="439"/>
      <c r="AB181" s="439"/>
      <c r="AC181" s="439"/>
      <c r="AD181" s="439"/>
      <c r="AE181" s="439"/>
      <c r="AF181" s="439"/>
      <c r="AG181" s="439"/>
      <c r="AH181" s="439"/>
      <c r="AI181" s="439"/>
      <c r="AJ181" s="439"/>
      <c r="AK181" s="439"/>
      <c r="AL181" s="439"/>
      <c r="AM181" s="439"/>
      <c r="AN181" s="439"/>
      <c r="AO181" s="439"/>
      <c r="AP181" s="439"/>
      <c r="AQ181" s="439"/>
      <c r="AR181" s="439"/>
      <c r="AS181" s="439"/>
      <c r="AT181" s="439"/>
      <c r="AU181" s="439"/>
      <c r="AV181" s="439"/>
      <c r="AW181" s="439"/>
      <c r="AX181" s="439"/>
      <c r="AY181" s="439"/>
      <c r="AZ181" s="439"/>
      <c r="BA181" s="439"/>
      <c r="BB181" s="439"/>
      <c r="BC181" s="439"/>
      <c r="BD181" s="439"/>
      <c r="BE181" s="439"/>
      <c r="BF181" s="439"/>
      <c r="BG181" s="439"/>
      <c r="BH181" s="439"/>
      <c r="BI181" s="439"/>
      <c r="BJ181" s="439"/>
      <c r="BK181" s="439"/>
      <c r="BL181" s="439"/>
      <c r="BM181" s="439"/>
      <c r="BN181" s="439"/>
      <c r="BO181" s="439"/>
      <c r="BP181" s="439"/>
      <c r="BQ181" s="439"/>
      <c r="BR181" s="439"/>
      <c r="BS181" s="439"/>
      <c r="BT181" s="439"/>
      <c r="BU181" s="439"/>
      <c r="BV181" s="439"/>
    </row>
    <row r="182" spans="2:74" x14ac:dyDescent="0.2">
      <c r="B182" s="91"/>
      <c r="C182" s="389"/>
      <c r="D182" s="389"/>
      <c r="E182" s="438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  <c r="AA182" s="439"/>
      <c r="AB182" s="439"/>
      <c r="AC182" s="439"/>
      <c r="AD182" s="439"/>
      <c r="AE182" s="439"/>
      <c r="AF182" s="439"/>
      <c r="AG182" s="439"/>
      <c r="AH182" s="439"/>
      <c r="AI182" s="439"/>
      <c r="AJ182" s="439"/>
      <c r="AK182" s="439"/>
      <c r="AL182" s="439"/>
      <c r="AM182" s="439"/>
      <c r="AN182" s="439"/>
      <c r="AO182" s="439"/>
      <c r="AP182" s="439"/>
      <c r="AQ182" s="439"/>
      <c r="AR182" s="439"/>
      <c r="AS182" s="439"/>
      <c r="AT182" s="439"/>
      <c r="AU182" s="439"/>
      <c r="AV182" s="439"/>
      <c r="AW182" s="439"/>
      <c r="AX182" s="439"/>
      <c r="AY182" s="439"/>
      <c r="AZ182" s="439"/>
      <c r="BA182" s="439"/>
      <c r="BB182" s="439"/>
      <c r="BC182" s="439"/>
      <c r="BD182" s="439"/>
      <c r="BE182" s="439"/>
      <c r="BF182" s="439"/>
      <c r="BG182" s="439"/>
      <c r="BH182" s="439"/>
      <c r="BI182" s="439"/>
      <c r="BJ182" s="439"/>
      <c r="BK182" s="439"/>
      <c r="BL182" s="439"/>
      <c r="BM182" s="439"/>
      <c r="BN182" s="439"/>
      <c r="BO182" s="439"/>
      <c r="BP182" s="439"/>
      <c r="BQ182" s="439"/>
      <c r="BR182" s="439"/>
      <c r="BS182" s="439"/>
      <c r="BT182" s="439"/>
      <c r="BU182" s="439"/>
      <c r="BV182" s="439"/>
    </row>
    <row r="183" spans="2:74" x14ac:dyDescent="0.2">
      <c r="B183" s="91"/>
      <c r="C183" s="389"/>
      <c r="D183" s="389"/>
      <c r="E183" s="438"/>
      <c r="F183" s="439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  <c r="AA183" s="439"/>
      <c r="AB183" s="439"/>
      <c r="AC183" s="439"/>
      <c r="AD183" s="439"/>
      <c r="AE183" s="439"/>
      <c r="AF183" s="439"/>
      <c r="AG183" s="439"/>
      <c r="AH183" s="439"/>
      <c r="AI183" s="439"/>
      <c r="AJ183" s="439"/>
      <c r="AK183" s="439"/>
      <c r="AL183" s="439"/>
      <c r="AM183" s="439"/>
      <c r="AN183" s="439"/>
      <c r="AO183" s="439"/>
      <c r="AP183" s="439"/>
      <c r="AQ183" s="439"/>
      <c r="AR183" s="439"/>
      <c r="AS183" s="439"/>
      <c r="AT183" s="439"/>
      <c r="AU183" s="439"/>
      <c r="AV183" s="439"/>
      <c r="AW183" s="439"/>
      <c r="AX183" s="439"/>
      <c r="AY183" s="439"/>
      <c r="AZ183" s="439"/>
      <c r="BA183" s="439"/>
      <c r="BB183" s="439"/>
      <c r="BC183" s="439"/>
      <c r="BD183" s="439"/>
      <c r="BE183" s="439"/>
      <c r="BF183" s="439"/>
      <c r="BG183" s="439"/>
      <c r="BH183" s="439"/>
      <c r="BI183" s="439"/>
      <c r="BJ183" s="439"/>
      <c r="BK183" s="439"/>
      <c r="BL183" s="439"/>
      <c r="BM183" s="439"/>
      <c r="BN183" s="439"/>
      <c r="BO183" s="439"/>
      <c r="BP183" s="439"/>
      <c r="BQ183" s="439"/>
      <c r="BR183" s="439"/>
      <c r="BS183" s="439"/>
      <c r="BT183" s="439"/>
      <c r="BU183" s="439"/>
      <c r="BV183" s="439"/>
    </row>
    <row r="184" spans="2:74" x14ac:dyDescent="0.2">
      <c r="B184" s="91"/>
      <c r="C184" s="389"/>
      <c r="D184" s="389"/>
      <c r="E184" s="438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  <c r="AA184" s="439"/>
      <c r="AB184" s="439"/>
      <c r="AC184" s="439"/>
      <c r="AD184" s="439"/>
      <c r="AE184" s="439"/>
      <c r="AF184" s="439"/>
      <c r="AG184" s="439"/>
      <c r="AH184" s="439"/>
      <c r="AI184" s="439"/>
      <c r="AJ184" s="439"/>
      <c r="AK184" s="439"/>
      <c r="AL184" s="439"/>
      <c r="AM184" s="439"/>
      <c r="AN184" s="439"/>
      <c r="AO184" s="439"/>
      <c r="AP184" s="439"/>
      <c r="AQ184" s="439"/>
      <c r="AR184" s="439"/>
      <c r="AS184" s="439"/>
      <c r="AT184" s="439"/>
      <c r="AU184" s="439"/>
      <c r="AV184" s="439"/>
      <c r="AW184" s="439"/>
      <c r="AX184" s="439"/>
      <c r="AY184" s="439"/>
      <c r="AZ184" s="439"/>
      <c r="BA184" s="439"/>
      <c r="BB184" s="439"/>
      <c r="BC184" s="439"/>
      <c r="BD184" s="439"/>
      <c r="BE184" s="439"/>
      <c r="BF184" s="439"/>
      <c r="BG184" s="439"/>
      <c r="BH184" s="439"/>
      <c r="BI184" s="439"/>
      <c r="BJ184" s="439"/>
      <c r="BK184" s="439"/>
      <c r="BL184" s="439"/>
      <c r="BM184" s="439"/>
      <c r="BN184" s="439"/>
      <c r="BO184" s="439"/>
      <c r="BP184" s="439"/>
      <c r="BQ184" s="439"/>
      <c r="BR184" s="439"/>
      <c r="BS184" s="439"/>
      <c r="BT184" s="439"/>
      <c r="BU184" s="439"/>
      <c r="BV184" s="439"/>
    </row>
    <row r="185" spans="2:74" x14ac:dyDescent="0.2">
      <c r="B185" s="91"/>
      <c r="C185" s="389"/>
      <c r="D185" s="389"/>
      <c r="E185" s="438"/>
      <c r="F185" s="439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  <c r="AA185" s="439"/>
      <c r="AB185" s="439"/>
      <c r="AC185" s="439"/>
      <c r="AD185" s="439"/>
      <c r="AE185" s="439"/>
      <c r="AF185" s="439"/>
      <c r="AG185" s="439"/>
      <c r="AH185" s="439"/>
      <c r="AI185" s="439"/>
      <c r="AJ185" s="439"/>
      <c r="AK185" s="439"/>
      <c r="AL185" s="439"/>
      <c r="AM185" s="439"/>
      <c r="AN185" s="439"/>
      <c r="AO185" s="439"/>
      <c r="AP185" s="439"/>
      <c r="AQ185" s="439"/>
      <c r="AR185" s="439"/>
      <c r="AS185" s="439"/>
      <c r="AT185" s="439"/>
      <c r="AU185" s="439"/>
      <c r="AV185" s="439"/>
      <c r="AW185" s="439"/>
      <c r="AX185" s="439"/>
      <c r="AY185" s="439"/>
      <c r="AZ185" s="439"/>
      <c r="BA185" s="439"/>
      <c r="BB185" s="439"/>
      <c r="BC185" s="439"/>
      <c r="BD185" s="439"/>
      <c r="BE185" s="439"/>
      <c r="BF185" s="439"/>
      <c r="BG185" s="439"/>
      <c r="BH185" s="439"/>
      <c r="BI185" s="439"/>
      <c r="BJ185" s="439"/>
      <c r="BK185" s="439"/>
      <c r="BL185" s="439"/>
      <c r="BM185" s="439"/>
      <c r="BN185" s="439"/>
      <c r="BO185" s="439"/>
      <c r="BP185" s="439"/>
      <c r="BQ185" s="439"/>
      <c r="BR185" s="439"/>
      <c r="BS185" s="439"/>
      <c r="BT185" s="439"/>
      <c r="BU185" s="439"/>
      <c r="BV185" s="439"/>
    </row>
    <row r="186" spans="2:74" x14ac:dyDescent="0.2">
      <c r="B186" s="91"/>
      <c r="C186" s="389"/>
      <c r="D186" s="389"/>
      <c r="E186" s="438"/>
      <c r="F186" s="439"/>
      <c r="G186" s="439"/>
      <c r="H186" s="439"/>
      <c r="I186" s="439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  <c r="AA186" s="439"/>
      <c r="AB186" s="439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39"/>
      <c r="AN186" s="439"/>
      <c r="AO186" s="439"/>
      <c r="AP186" s="439"/>
      <c r="AQ186" s="439"/>
      <c r="AR186" s="439"/>
      <c r="AS186" s="439"/>
      <c r="AT186" s="439"/>
      <c r="AU186" s="439"/>
      <c r="AV186" s="439"/>
      <c r="AW186" s="439"/>
      <c r="AX186" s="439"/>
      <c r="AY186" s="439"/>
      <c r="AZ186" s="439"/>
      <c r="BA186" s="439"/>
      <c r="BB186" s="439"/>
      <c r="BC186" s="439"/>
      <c r="BD186" s="439"/>
      <c r="BE186" s="439"/>
      <c r="BF186" s="439"/>
      <c r="BG186" s="439"/>
      <c r="BH186" s="439"/>
      <c r="BI186" s="439"/>
      <c r="BJ186" s="439"/>
      <c r="BK186" s="439"/>
      <c r="BL186" s="439"/>
      <c r="BM186" s="439"/>
      <c r="BN186" s="439"/>
      <c r="BO186" s="439"/>
      <c r="BP186" s="439"/>
      <c r="BQ186" s="439"/>
      <c r="BR186" s="439"/>
      <c r="BS186" s="439"/>
      <c r="BT186" s="439"/>
      <c r="BU186" s="439"/>
      <c r="BV186" s="439"/>
    </row>
    <row r="187" spans="2:74" x14ac:dyDescent="0.2">
      <c r="B187" s="91"/>
      <c r="C187" s="91"/>
      <c r="D187" s="91"/>
      <c r="E187" s="438"/>
      <c r="F187" s="439"/>
      <c r="G187" s="439"/>
      <c r="H187" s="439"/>
      <c r="I187" s="439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  <c r="AA187" s="439"/>
      <c r="AB187" s="439"/>
      <c r="AC187" s="439"/>
      <c r="AD187" s="439"/>
      <c r="AE187" s="439"/>
      <c r="AF187" s="439"/>
      <c r="AG187" s="439"/>
      <c r="AH187" s="439"/>
      <c r="AI187" s="439"/>
      <c r="AJ187" s="439"/>
      <c r="AK187" s="439"/>
      <c r="AL187" s="439"/>
      <c r="AM187" s="439"/>
      <c r="AN187" s="439"/>
      <c r="AO187" s="439"/>
      <c r="AP187" s="439"/>
      <c r="AQ187" s="439"/>
      <c r="AR187" s="439"/>
      <c r="AS187" s="439"/>
      <c r="AT187" s="439"/>
      <c r="AU187" s="439"/>
      <c r="AV187" s="439"/>
      <c r="AW187" s="439"/>
      <c r="AX187" s="439"/>
      <c r="AY187" s="439"/>
      <c r="AZ187" s="439"/>
      <c r="BA187" s="439"/>
      <c r="BB187" s="439"/>
      <c r="BC187" s="439"/>
      <c r="BD187" s="439"/>
      <c r="BE187" s="439"/>
      <c r="BF187" s="439"/>
      <c r="BG187" s="439"/>
      <c r="BH187" s="439"/>
      <c r="BI187" s="439"/>
      <c r="BJ187" s="439"/>
      <c r="BK187" s="439"/>
      <c r="BL187" s="439"/>
      <c r="BM187" s="439"/>
      <c r="BN187" s="439"/>
      <c r="BO187" s="439"/>
      <c r="BP187" s="439"/>
      <c r="BQ187" s="439"/>
      <c r="BR187" s="439"/>
      <c r="BS187" s="439"/>
      <c r="BT187" s="439"/>
      <c r="BU187" s="439"/>
      <c r="BV187" s="439"/>
    </row>
    <row r="188" spans="2:74" x14ac:dyDescent="0.2">
      <c r="B188" s="91"/>
      <c r="C188" s="389"/>
      <c r="D188" s="389"/>
      <c r="E188" s="438"/>
      <c r="F188" s="439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  <c r="AA188" s="439"/>
      <c r="AB188" s="439"/>
      <c r="AC188" s="439"/>
      <c r="AD188" s="439"/>
      <c r="AE188" s="439"/>
      <c r="AF188" s="439"/>
      <c r="AG188" s="439"/>
      <c r="AH188" s="439"/>
      <c r="AI188" s="439"/>
      <c r="AJ188" s="439"/>
      <c r="AK188" s="439"/>
      <c r="AL188" s="439"/>
      <c r="AM188" s="439"/>
      <c r="AN188" s="439"/>
      <c r="AO188" s="439"/>
      <c r="AP188" s="439"/>
      <c r="AQ188" s="439"/>
      <c r="AR188" s="439"/>
      <c r="AS188" s="439"/>
      <c r="AT188" s="439"/>
      <c r="AU188" s="439"/>
      <c r="AV188" s="439"/>
      <c r="AW188" s="439"/>
      <c r="AX188" s="439"/>
      <c r="AY188" s="439"/>
      <c r="AZ188" s="439"/>
      <c r="BA188" s="439"/>
      <c r="BB188" s="439"/>
      <c r="BC188" s="439"/>
      <c r="BD188" s="439"/>
      <c r="BE188" s="439"/>
      <c r="BF188" s="439"/>
      <c r="BG188" s="439"/>
      <c r="BH188" s="439"/>
      <c r="BI188" s="439"/>
      <c r="BJ188" s="439"/>
      <c r="BK188" s="439"/>
      <c r="BL188" s="439"/>
      <c r="BM188" s="439"/>
      <c r="BN188" s="439"/>
      <c r="BO188" s="439"/>
      <c r="BP188" s="439"/>
      <c r="BQ188" s="439"/>
      <c r="BR188" s="439"/>
      <c r="BS188" s="439"/>
      <c r="BT188" s="439"/>
      <c r="BU188" s="439"/>
      <c r="BV188" s="439"/>
    </row>
    <row r="189" spans="2:74" x14ac:dyDescent="0.2">
      <c r="B189" s="91"/>
      <c r="C189" s="389"/>
      <c r="D189" s="389"/>
      <c r="E189" s="438"/>
      <c r="F189" s="439"/>
      <c r="G189" s="439"/>
      <c r="H189" s="439"/>
      <c r="I189" s="439"/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  <c r="AA189" s="439"/>
      <c r="AB189" s="439"/>
      <c r="AC189" s="439"/>
      <c r="AD189" s="439"/>
      <c r="AE189" s="439"/>
      <c r="AF189" s="439"/>
      <c r="AG189" s="439"/>
      <c r="AH189" s="439"/>
      <c r="AI189" s="439"/>
      <c r="AJ189" s="439"/>
      <c r="AK189" s="439"/>
      <c r="AL189" s="439"/>
      <c r="AM189" s="439"/>
      <c r="AN189" s="439"/>
      <c r="AO189" s="439"/>
      <c r="AP189" s="439"/>
      <c r="AQ189" s="439"/>
      <c r="AR189" s="439"/>
      <c r="AS189" s="439"/>
      <c r="AT189" s="439"/>
      <c r="AU189" s="439"/>
      <c r="AV189" s="439"/>
      <c r="AW189" s="439"/>
      <c r="AX189" s="439"/>
      <c r="AY189" s="439"/>
      <c r="AZ189" s="439"/>
      <c r="BA189" s="439"/>
      <c r="BB189" s="439"/>
      <c r="BC189" s="439"/>
      <c r="BD189" s="439"/>
      <c r="BE189" s="439"/>
      <c r="BF189" s="439"/>
      <c r="BG189" s="439"/>
      <c r="BH189" s="439"/>
      <c r="BI189" s="439"/>
      <c r="BJ189" s="439"/>
      <c r="BK189" s="439"/>
      <c r="BL189" s="439"/>
      <c r="BM189" s="439"/>
      <c r="BN189" s="439"/>
      <c r="BO189" s="439"/>
      <c r="BP189" s="439"/>
      <c r="BQ189" s="439"/>
      <c r="BR189" s="439"/>
      <c r="BS189" s="439"/>
      <c r="BT189" s="439"/>
      <c r="BU189" s="439"/>
      <c r="BV189" s="439"/>
    </row>
    <row r="190" spans="2:74" x14ac:dyDescent="0.2">
      <c r="B190" s="91"/>
      <c r="C190" s="389"/>
      <c r="D190" s="389"/>
      <c r="E190" s="438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  <c r="AA190" s="439"/>
      <c r="AB190" s="439"/>
      <c r="AC190" s="439"/>
      <c r="AD190" s="439"/>
      <c r="AE190" s="439"/>
      <c r="AF190" s="439"/>
      <c r="AG190" s="439"/>
      <c r="AH190" s="439"/>
      <c r="AI190" s="439"/>
      <c r="AJ190" s="439"/>
      <c r="AK190" s="439"/>
      <c r="AL190" s="439"/>
      <c r="AM190" s="439"/>
      <c r="AN190" s="439"/>
      <c r="AO190" s="439"/>
      <c r="AP190" s="439"/>
      <c r="AQ190" s="439"/>
      <c r="AR190" s="439"/>
      <c r="AS190" s="439"/>
      <c r="AT190" s="439"/>
      <c r="AU190" s="439"/>
      <c r="AV190" s="439"/>
      <c r="AW190" s="439"/>
      <c r="AX190" s="439"/>
      <c r="AY190" s="439"/>
      <c r="AZ190" s="439"/>
      <c r="BA190" s="439"/>
      <c r="BB190" s="439"/>
      <c r="BC190" s="439"/>
      <c r="BD190" s="439"/>
      <c r="BE190" s="439"/>
      <c r="BF190" s="439"/>
      <c r="BG190" s="439"/>
      <c r="BH190" s="439"/>
      <c r="BI190" s="439"/>
      <c r="BJ190" s="439"/>
      <c r="BK190" s="439"/>
      <c r="BL190" s="439"/>
      <c r="BM190" s="439"/>
      <c r="BN190" s="439"/>
      <c r="BO190" s="439"/>
      <c r="BP190" s="439"/>
      <c r="BQ190" s="439"/>
      <c r="BR190" s="439"/>
      <c r="BS190" s="439"/>
      <c r="BT190" s="439"/>
      <c r="BU190" s="439"/>
      <c r="BV190" s="439"/>
    </row>
    <row r="191" spans="2:74" x14ac:dyDescent="0.2">
      <c r="B191" s="91"/>
      <c r="C191" s="389"/>
      <c r="D191" s="389"/>
      <c r="E191" s="438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  <c r="AA191" s="439"/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39"/>
      <c r="AY191" s="439"/>
      <c r="AZ191" s="439"/>
      <c r="BA191" s="439"/>
      <c r="BB191" s="439"/>
      <c r="BC191" s="439"/>
      <c r="BD191" s="439"/>
      <c r="BE191" s="439"/>
      <c r="BF191" s="439"/>
      <c r="BG191" s="439"/>
      <c r="BH191" s="439"/>
      <c r="BI191" s="439"/>
      <c r="BJ191" s="439"/>
      <c r="BK191" s="439"/>
      <c r="BL191" s="439"/>
      <c r="BM191" s="439"/>
      <c r="BN191" s="439"/>
      <c r="BO191" s="439"/>
      <c r="BP191" s="439"/>
      <c r="BQ191" s="439"/>
      <c r="BR191" s="439"/>
      <c r="BS191" s="439"/>
      <c r="BT191" s="439"/>
      <c r="BU191" s="439"/>
      <c r="BV191" s="439"/>
    </row>
    <row r="192" spans="2:74" x14ac:dyDescent="0.2">
      <c r="B192" s="91"/>
      <c r="C192" s="389"/>
      <c r="D192" s="389"/>
      <c r="E192" s="438"/>
      <c r="F192" s="439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  <c r="AA192" s="439"/>
      <c r="AB192" s="439"/>
      <c r="AC192" s="439"/>
      <c r="AD192" s="439"/>
      <c r="AE192" s="439"/>
      <c r="AF192" s="439"/>
      <c r="AG192" s="439"/>
      <c r="AH192" s="439"/>
      <c r="AI192" s="439"/>
      <c r="AJ192" s="439"/>
      <c r="AK192" s="439"/>
      <c r="AL192" s="439"/>
      <c r="AM192" s="439"/>
      <c r="AN192" s="439"/>
      <c r="AO192" s="439"/>
      <c r="AP192" s="439"/>
      <c r="AQ192" s="439"/>
      <c r="AR192" s="439"/>
      <c r="AS192" s="439"/>
      <c r="AT192" s="439"/>
      <c r="AU192" s="439"/>
      <c r="AV192" s="439"/>
      <c r="AW192" s="439"/>
      <c r="AX192" s="439"/>
      <c r="AY192" s="439"/>
      <c r="AZ192" s="439"/>
      <c r="BA192" s="439"/>
      <c r="BB192" s="439"/>
      <c r="BC192" s="439"/>
      <c r="BD192" s="439"/>
      <c r="BE192" s="439"/>
      <c r="BF192" s="439"/>
      <c r="BG192" s="439"/>
      <c r="BH192" s="439"/>
      <c r="BI192" s="439"/>
      <c r="BJ192" s="439"/>
      <c r="BK192" s="439"/>
      <c r="BL192" s="439"/>
      <c r="BM192" s="439"/>
      <c r="BN192" s="439"/>
      <c r="BO192" s="439"/>
      <c r="BP192" s="439"/>
      <c r="BQ192" s="439"/>
      <c r="BR192" s="439"/>
      <c r="BS192" s="439"/>
      <c r="BT192" s="439"/>
      <c r="BU192" s="439"/>
      <c r="BV192" s="439"/>
    </row>
    <row r="193" spans="2:74" x14ac:dyDescent="0.2">
      <c r="B193" s="91"/>
      <c r="C193" s="389"/>
      <c r="D193" s="389"/>
      <c r="E193" s="438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  <c r="AA193" s="439"/>
      <c r="AB193" s="439"/>
      <c r="AC193" s="439"/>
      <c r="AD193" s="439"/>
      <c r="AE193" s="439"/>
      <c r="AF193" s="439"/>
      <c r="AG193" s="439"/>
      <c r="AH193" s="439"/>
      <c r="AI193" s="439"/>
      <c r="AJ193" s="439"/>
      <c r="AK193" s="439"/>
      <c r="AL193" s="439"/>
      <c r="AM193" s="439"/>
      <c r="AN193" s="439"/>
      <c r="AO193" s="439"/>
      <c r="AP193" s="439"/>
      <c r="AQ193" s="439"/>
      <c r="AR193" s="439"/>
      <c r="AS193" s="439"/>
      <c r="AT193" s="439"/>
      <c r="AU193" s="439"/>
      <c r="AV193" s="439"/>
      <c r="AW193" s="439"/>
      <c r="AX193" s="439"/>
      <c r="AY193" s="439"/>
      <c r="AZ193" s="439"/>
      <c r="BA193" s="439"/>
      <c r="BB193" s="439"/>
      <c r="BC193" s="439"/>
      <c r="BD193" s="439"/>
      <c r="BE193" s="439"/>
      <c r="BF193" s="439"/>
      <c r="BG193" s="439"/>
      <c r="BH193" s="439"/>
      <c r="BI193" s="439"/>
      <c r="BJ193" s="439"/>
      <c r="BK193" s="439"/>
      <c r="BL193" s="439"/>
      <c r="BM193" s="439"/>
      <c r="BN193" s="439"/>
      <c r="BO193" s="439"/>
      <c r="BP193" s="439"/>
      <c r="BQ193" s="439"/>
      <c r="BR193" s="439"/>
      <c r="BS193" s="439"/>
      <c r="BT193" s="439"/>
      <c r="BU193" s="439"/>
      <c r="BV193" s="439"/>
    </row>
    <row r="194" spans="2:74" x14ac:dyDescent="0.2">
      <c r="B194" s="91"/>
      <c r="C194" s="389"/>
      <c r="D194" s="389"/>
      <c r="E194" s="438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  <c r="AA194" s="439"/>
      <c r="AB194" s="439"/>
      <c r="AC194" s="439"/>
      <c r="AD194" s="439"/>
      <c r="AE194" s="439"/>
      <c r="AF194" s="439"/>
      <c r="AG194" s="439"/>
      <c r="AH194" s="439"/>
      <c r="AI194" s="439"/>
      <c r="AJ194" s="439"/>
      <c r="AK194" s="439"/>
      <c r="AL194" s="439"/>
      <c r="AM194" s="439"/>
      <c r="AN194" s="439"/>
      <c r="AO194" s="439"/>
      <c r="AP194" s="439"/>
      <c r="AQ194" s="439"/>
      <c r="AR194" s="439"/>
      <c r="AS194" s="439"/>
      <c r="AT194" s="439"/>
      <c r="AU194" s="439"/>
      <c r="AV194" s="439"/>
      <c r="AW194" s="439"/>
      <c r="AX194" s="439"/>
      <c r="AY194" s="439"/>
      <c r="AZ194" s="439"/>
      <c r="BA194" s="439"/>
      <c r="BB194" s="439"/>
      <c r="BC194" s="439"/>
      <c r="BD194" s="439"/>
      <c r="BE194" s="439"/>
      <c r="BF194" s="439"/>
      <c r="BG194" s="439"/>
      <c r="BH194" s="439"/>
      <c r="BI194" s="439"/>
      <c r="BJ194" s="439"/>
      <c r="BK194" s="439"/>
      <c r="BL194" s="439"/>
      <c r="BM194" s="439"/>
      <c r="BN194" s="439"/>
      <c r="BO194" s="439"/>
      <c r="BP194" s="439"/>
      <c r="BQ194" s="439"/>
      <c r="BR194" s="439"/>
      <c r="BS194" s="439"/>
      <c r="BT194" s="439"/>
      <c r="BU194" s="439"/>
      <c r="BV194" s="439"/>
    </row>
    <row r="195" spans="2:74" x14ac:dyDescent="0.2">
      <c r="B195" s="91"/>
      <c r="C195" s="389"/>
      <c r="D195" s="389"/>
      <c r="E195" s="438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  <c r="AA195" s="439"/>
      <c r="AB195" s="439"/>
      <c r="AC195" s="439"/>
      <c r="AD195" s="439"/>
      <c r="AE195" s="439"/>
      <c r="AF195" s="439"/>
      <c r="AG195" s="439"/>
      <c r="AH195" s="439"/>
      <c r="AI195" s="439"/>
      <c r="AJ195" s="439"/>
      <c r="AK195" s="439"/>
      <c r="AL195" s="439"/>
      <c r="AM195" s="439"/>
      <c r="AN195" s="439"/>
      <c r="AO195" s="439"/>
      <c r="AP195" s="439"/>
      <c r="AQ195" s="439"/>
      <c r="AR195" s="439"/>
      <c r="AS195" s="439"/>
      <c r="AT195" s="439"/>
      <c r="AU195" s="439"/>
      <c r="AV195" s="439"/>
      <c r="AW195" s="439"/>
      <c r="AX195" s="439"/>
      <c r="AY195" s="439"/>
      <c r="AZ195" s="439"/>
      <c r="BA195" s="439"/>
      <c r="BB195" s="439"/>
      <c r="BC195" s="439"/>
      <c r="BD195" s="439"/>
      <c r="BE195" s="439"/>
      <c r="BF195" s="439"/>
      <c r="BG195" s="439"/>
      <c r="BH195" s="439"/>
      <c r="BI195" s="439"/>
      <c r="BJ195" s="439"/>
      <c r="BK195" s="439"/>
      <c r="BL195" s="439"/>
      <c r="BM195" s="439"/>
      <c r="BN195" s="439"/>
      <c r="BO195" s="439"/>
      <c r="BP195" s="439"/>
      <c r="BQ195" s="439"/>
      <c r="BR195" s="439"/>
      <c r="BS195" s="439"/>
      <c r="BT195" s="439"/>
      <c r="BU195" s="439"/>
      <c r="BV195" s="439"/>
    </row>
    <row r="196" spans="2:74" x14ac:dyDescent="0.2">
      <c r="B196" s="91"/>
      <c r="C196" s="389"/>
      <c r="D196" s="389"/>
      <c r="E196" s="438"/>
      <c r="F196" s="439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  <c r="AA196" s="439"/>
      <c r="AB196" s="439"/>
      <c r="AC196" s="439"/>
      <c r="AD196" s="439"/>
      <c r="AE196" s="439"/>
      <c r="AF196" s="439"/>
      <c r="AG196" s="439"/>
      <c r="AH196" s="439"/>
      <c r="AI196" s="439"/>
      <c r="AJ196" s="439"/>
      <c r="AK196" s="439"/>
      <c r="AL196" s="439"/>
      <c r="AM196" s="439"/>
      <c r="AN196" s="439"/>
      <c r="AO196" s="439"/>
      <c r="AP196" s="439"/>
      <c r="AQ196" s="439"/>
      <c r="AR196" s="439"/>
      <c r="AS196" s="439"/>
      <c r="AT196" s="439"/>
      <c r="AU196" s="439"/>
      <c r="AV196" s="439"/>
      <c r="AW196" s="439"/>
      <c r="AX196" s="439"/>
      <c r="AY196" s="439"/>
      <c r="AZ196" s="439"/>
      <c r="BA196" s="439"/>
      <c r="BB196" s="439"/>
      <c r="BC196" s="439"/>
      <c r="BD196" s="439"/>
      <c r="BE196" s="439"/>
      <c r="BF196" s="439"/>
      <c r="BG196" s="439"/>
      <c r="BH196" s="439"/>
      <c r="BI196" s="439"/>
      <c r="BJ196" s="439"/>
      <c r="BK196" s="439"/>
      <c r="BL196" s="439"/>
      <c r="BM196" s="439"/>
      <c r="BN196" s="439"/>
      <c r="BO196" s="439"/>
      <c r="BP196" s="439"/>
      <c r="BQ196" s="439"/>
      <c r="BR196" s="439"/>
      <c r="BS196" s="439"/>
      <c r="BT196" s="439"/>
      <c r="BU196" s="439"/>
      <c r="BV196" s="439"/>
    </row>
    <row r="197" spans="2:74" x14ac:dyDescent="0.2">
      <c r="B197" s="91"/>
      <c r="C197" s="389"/>
      <c r="D197" s="389"/>
      <c r="E197" s="438"/>
      <c r="F197" s="439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  <c r="AA197" s="439"/>
      <c r="AB197" s="439"/>
      <c r="AC197" s="439"/>
      <c r="AD197" s="439"/>
      <c r="AE197" s="439"/>
      <c r="AF197" s="439"/>
      <c r="AG197" s="439"/>
      <c r="AH197" s="439"/>
      <c r="AI197" s="439"/>
      <c r="AJ197" s="439"/>
      <c r="AK197" s="439"/>
      <c r="AL197" s="439"/>
      <c r="AM197" s="439"/>
      <c r="AN197" s="439"/>
      <c r="AO197" s="439"/>
      <c r="AP197" s="439"/>
      <c r="AQ197" s="439"/>
      <c r="AR197" s="439"/>
      <c r="AS197" s="439"/>
      <c r="AT197" s="439"/>
      <c r="AU197" s="439"/>
      <c r="AV197" s="439"/>
      <c r="AW197" s="439"/>
      <c r="AX197" s="439"/>
      <c r="AY197" s="439"/>
      <c r="AZ197" s="439"/>
      <c r="BA197" s="439"/>
      <c r="BB197" s="439"/>
      <c r="BC197" s="439"/>
      <c r="BD197" s="439"/>
      <c r="BE197" s="439"/>
      <c r="BF197" s="439"/>
      <c r="BG197" s="439"/>
      <c r="BH197" s="439"/>
      <c r="BI197" s="439"/>
      <c r="BJ197" s="439"/>
      <c r="BK197" s="439"/>
      <c r="BL197" s="439"/>
      <c r="BM197" s="439"/>
      <c r="BN197" s="439"/>
      <c r="BO197" s="439"/>
      <c r="BP197" s="439"/>
      <c r="BQ197" s="439"/>
      <c r="BR197" s="439"/>
      <c r="BS197" s="439"/>
      <c r="BT197" s="439"/>
      <c r="BU197" s="439"/>
      <c r="BV197" s="439"/>
    </row>
    <row r="198" spans="2:74" x14ac:dyDescent="0.2">
      <c r="B198" s="91"/>
      <c r="C198" s="389"/>
      <c r="D198" s="389"/>
      <c r="E198" s="438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  <c r="AA198" s="439"/>
      <c r="AB198" s="439"/>
      <c r="AC198" s="439"/>
      <c r="AD198" s="439"/>
      <c r="AE198" s="439"/>
      <c r="AF198" s="439"/>
      <c r="AG198" s="439"/>
      <c r="AH198" s="439"/>
      <c r="AI198" s="439"/>
      <c r="AJ198" s="439"/>
      <c r="AK198" s="439"/>
      <c r="AL198" s="439"/>
      <c r="AM198" s="439"/>
      <c r="AN198" s="439"/>
      <c r="AO198" s="439"/>
      <c r="AP198" s="439"/>
      <c r="AQ198" s="439"/>
      <c r="AR198" s="439"/>
      <c r="AS198" s="439"/>
      <c r="AT198" s="439"/>
      <c r="AU198" s="439"/>
      <c r="AV198" s="439"/>
      <c r="AW198" s="439"/>
      <c r="AX198" s="439"/>
      <c r="AY198" s="439"/>
      <c r="AZ198" s="439"/>
      <c r="BA198" s="439"/>
      <c r="BB198" s="439"/>
      <c r="BC198" s="439"/>
      <c r="BD198" s="439"/>
      <c r="BE198" s="439"/>
      <c r="BF198" s="439"/>
      <c r="BG198" s="439"/>
      <c r="BH198" s="439"/>
      <c r="BI198" s="439"/>
      <c r="BJ198" s="439"/>
      <c r="BK198" s="439"/>
      <c r="BL198" s="439"/>
      <c r="BM198" s="439"/>
      <c r="BN198" s="439"/>
      <c r="BO198" s="439"/>
      <c r="BP198" s="439"/>
      <c r="BQ198" s="439"/>
      <c r="BR198" s="439"/>
      <c r="BS198" s="439"/>
      <c r="BT198" s="439"/>
      <c r="BU198" s="439"/>
      <c r="BV198" s="439"/>
    </row>
    <row r="199" spans="2:74" x14ac:dyDescent="0.2">
      <c r="B199" s="91"/>
      <c r="C199" s="389"/>
      <c r="D199" s="389"/>
      <c r="E199" s="438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D199" s="439"/>
      <c r="AE199" s="439"/>
      <c r="AF199" s="439"/>
      <c r="AG199" s="439"/>
      <c r="AH199" s="439"/>
      <c r="AI199" s="439"/>
      <c r="AJ199" s="439"/>
      <c r="AK199" s="439"/>
      <c r="AL199" s="439"/>
      <c r="AM199" s="439"/>
      <c r="AN199" s="439"/>
      <c r="AO199" s="439"/>
      <c r="AP199" s="439"/>
      <c r="AQ199" s="439"/>
      <c r="AR199" s="439"/>
      <c r="AS199" s="439"/>
      <c r="AT199" s="439"/>
      <c r="AU199" s="439"/>
      <c r="AV199" s="439"/>
      <c r="AW199" s="439"/>
      <c r="AX199" s="439"/>
      <c r="AY199" s="439"/>
      <c r="AZ199" s="439"/>
      <c r="BA199" s="439"/>
      <c r="BB199" s="439"/>
      <c r="BC199" s="439"/>
      <c r="BD199" s="439"/>
      <c r="BE199" s="439"/>
      <c r="BF199" s="439"/>
      <c r="BG199" s="439"/>
      <c r="BH199" s="439"/>
      <c r="BI199" s="439"/>
      <c r="BJ199" s="439"/>
      <c r="BK199" s="439"/>
      <c r="BL199" s="439"/>
      <c r="BM199" s="439"/>
      <c r="BN199" s="439"/>
      <c r="BO199" s="439"/>
      <c r="BP199" s="439"/>
      <c r="BQ199" s="439"/>
      <c r="BR199" s="439"/>
      <c r="BS199" s="439"/>
      <c r="BT199" s="439"/>
      <c r="BU199" s="439"/>
      <c r="BV199" s="439"/>
    </row>
    <row r="200" spans="2:74" x14ac:dyDescent="0.2">
      <c r="B200" s="91"/>
      <c r="C200" s="91"/>
      <c r="D200" s="91"/>
      <c r="E200" s="438"/>
      <c r="F200" s="439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  <c r="AA200" s="439"/>
      <c r="AB200" s="439"/>
      <c r="AC200" s="439"/>
      <c r="AD200" s="439"/>
      <c r="AE200" s="439"/>
      <c r="AF200" s="439"/>
      <c r="AG200" s="439"/>
      <c r="AH200" s="439"/>
      <c r="AI200" s="439"/>
      <c r="AJ200" s="439"/>
      <c r="AK200" s="439"/>
      <c r="AL200" s="439"/>
      <c r="AM200" s="439"/>
      <c r="AN200" s="439"/>
      <c r="AO200" s="439"/>
      <c r="AP200" s="439"/>
      <c r="AQ200" s="439"/>
      <c r="AR200" s="439"/>
      <c r="AS200" s="439"/>
      <c r="AT200" s="439"/>
      <c r="AU200" s="439"/>
      <c r="AV200" s="439"/>
      <c r="AW200" s="439"/>
      <c r="AX200" s="439"/>
      <c r="AY200" s="439"/>
      <c r="AZ200" s="439"/>
      <c r="BA200" s="439"/>
      <c r="BB200" s="439"/>
      <c r="BC200" s="439"/>
      <c r="BD200" s="439"/>
      <c r="BE200" s="439"/>
      <c r="BF200" s="439"/>
      <c r="BG200" s="439"/>
      <c r="BH200" s="439"/>
      <c r="BI200" s="439"/>
      <c r="BJ200" s="439"/>
      <c r="BK200" s="439"/>
      <c r="BL200" s="439"/>
      <c r="BM200" s="439"/>
      <c r="BN200" s="439"/>
      <c r="BO200" s="439"/>
      <c r="BP200" s="439"/>
      <c r="BQ200" s="439"/>
      <c r="BR200" s="439"/>
      <c r="BS200" s="439"/>
      <c r="BT200" s="439"/>
      <c r="BU200" s="439"/>
      <c r="BV200" s="439"/>
    </row>
    <row r="201" spans="2:74" x14ac:dyDescent="0.2">
      <c r="B201" s="91"/>
      <c r="C201" s="91"/>
      <c r="D201" s="91"/>
      <c r="E201" s="438"/>
      <c r="F201" s="439"/>
      <c r="G201" s="439"/>
      <c r="H201" s="439"/>
      <c r="I201" s="439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39"/>
      <c r="Y201" s="439"/>
      <c r="Z201" s="439"/>
      <c r="AA201" s="439"/>
      <c r="AB201" s="439"/>
      <c r="AC201" s="439"/>
      <c r="AD201" s="439"/>
      <c r="AE201" s="439"/>
      <c r="AF201" s="439"/>
      <c r="AG201" s="439"/>
      <c r="AH201" s="439"/>
      <c r="AI201" s="439"/>
      <c r="AJ201" s="439"/>
      <c r="AK201" s="439"/>
      <c r="AL201" s="439"/>
      <c r="AM201" s="439"/>
      <c r="AN201" s="439"/>
      <c r="AO201" s="439"/>
      <c r="AP201" s="439"/>
      <c r="AQ201" s="439"/>
      <c r="AR201" s="439"/>
      <c r="AS201" s="439"/>
      <c r="AT201" s="439"/>
      <c r="AU201" s="439"/>
      <c r="AV201" s="439"/>
      <c r="AW201" s="439"/>
      <c r="AX201" s="439"/>
      <c r="AY201" s="439"/>
      <c r="AZ201" s="439"/>
      <c r="BA201" s="439"/>
      <c r="BB201" s="439"/>
      <c r="BC201" s="439"/>
      <c r="BD201" s="439"/>
      <c r="BE201" s="439"/>
      <c r="BF201" s="439"/>
      <c r="BG201" s="439"/>
      <c r="BH201" s="439"/>
      <c r="BI201" s="439"/>
      <c r="BJ201" s="439"/>
      <c r="BK201" s="439"/>
      <c r="BL201" s="439"/>
      <c r="BM201" s="439"/>
      <c r="BN201" s="439"/>
      <c r="BO201" s="439"/>
      <c r="BP201" s="439"/>
      <c r="BQ201" s="439"/>
      <c r="BR201" s="439"/>
      <c r="BS201" s="439"/>
      <c r="BT201" s="439"/>
      <c r="BU201" s="439"/>
      <c r="BV201" s="439"/>
    </row>
    <row r="202" spans="2:74" x14ac:dyDescent="0.2">
      <c r="B202" s="91"/>
      <c r="C202" s="389"/>
      <c r="D202" s="389"/>
      <c r="E202" s="438"/>
      <c r="F202" s="439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  <c r="AA202" s="439"/>
      <c r="AB202" s="439"/>
      <c r="AC202" s="439"/>
      <c r="AD202" s="439"/>
      <c r="AE202" s="439"/>
      <c r="AF202" s="439"/>
      <c r="AG202" s="439"/>
      <c r="AH202" s="439"/>
      <c r="AI202" s="439"/>
      <c r="AJ202" s="439"/>
      <c r="AK202" s="439"/>
      <c r="AL202" s="439"/>
      <c r="AM202" s="439"/>
      <c r="AN202" s="439"/>
      <c r="AO202" s="439"/>
      <c r="AP202" s="439"/>
      <c r="AQ202" s="439"/>
      <c r="AR202" s="439"/>
      <c r="AS202" s="439"/>
      <c r="AT202" s="439"/>
      <c r="AU202" s="439"/>
      <c r="AV202" s="439"/>
      <c r="AW202" s="439"/>
      <c r="AX202" s="439"/>
      <c r="AY202" s="439"/>
      <c r="AZ202" s="439"/>
      <c r="BA202" s="439"/>
      <c r="BB202" s="439"/>
      <c r="BC202" s="439"/>
      <c r="BD202" s="439"/>
      <c r="BE202" s="439"/>
      <c r="BF202" s="439"/>
      <c r="BG202" s="439"/>
      <c r="BH202" s="439"/>
      <c r="BI202" s="439"/>
      <c r="BJ202" s="439"/>
      <c r="BK202" s="439"/>
      <c r="BL202" s="439"/>
      <c r="BM202" s="439"/>
      <c r="BN202" s="439"/>
      <c r="BO202" s="439"/>
      <c r="BP202" s="439"/>
      <c r="BQ202" s="439"/>
      <c r="BR202" s="439"/>
      <c r="BS202" s="439"/>
      <c r="BT202" s="439"/>
      <c r="BU202" s="439"/>
      <c r="BV202" s="439"/>
    </row>
    <row r="203" spans="2:74" x14ac:dyDescent="0.2">
      <c r="B203" s="91"/>
      <c r="C203" s="389"/>
      <c r="D203" s="389"/>
      <c r="E203" s="438"/>
      <c r="F203" s="439"/>
      <c r="G203" s="439"/>
      <c r="H203" s="439"/>
      <c r="I203" s="439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39"/>
      <c r="Y203" s="439"/>
      <c r="Z203" s="439"/>
      <c r="AA203" s="439"/>
      <c r="AB203" s="439"/>
      <c r="AC203" s="439"/>
      <c r="AD203" s="439"/>
      <c r="AE203" s="439"/>
      <c r="AF203" s="439"/>
      <c r="AG203" s="439"/>
      <c r="AH203" s="439"/>
      <c r="AI203" s="439"/>
      <c r="AJ203" s="439"/>
      <c r="AK203" s="439"/>
      <c r="AL203" s="439"/>
      <c r="AM203" s="439"/>
      <c r="AN203" s="439"/>
      <c r="AO203" s="439"/>
      <c r="AP203" s="439"/>
      <c r="AQ203" s="439"/>
      <c r="AR203" s="439"/>
      <c r="AS203" s="439"/>
      <c r="AT203" s="439"/>
      <c r="AU203" s="439"/>
      <c r="AV203" s="439"/>
      <c r="AW203" s="439"/>
      <c r="AX203" s="439"/>
      <c r="AY203" s="439"/>
      <c r="AZ203" s="439"/>
      <c r="BA203" s="439"/>
      <c r="BB203" s="439"/>
      <c r="BC203" s="439"/>
      <c r="BD203" s="439"/>
      <c r="BE203" s="439"/>
      <c r="BF203" s="439"/>
      <c r="BG203" s="439"/>
      <c r="BH203" s="439"/>
      <c r="BI203" s="439"/>
      <c r="BJ203" s="439"/>
      <c r="BK203" s="439"/>
      <c r="BL203" s="439"/>
      <c r="BM203" s="439"/>
      <c r="BN203" s="439"/>
      <c r="BO203" s="439"/>
      <c r="BP203" s="439"/>
      <c r="BQ203" s="439"/>
      <c r="BR203" s="439"/>
      <c r="BS203" s="439"/>
      <c r="BT203" s="439"/>
      <c r="BU203" s="439"/>
      <c r="BV203" s="439"/>
    </row>
    <row r="204" spans="2:74" x14ac:dyDescent="0.2">
      <c r="B204" s="91"/>
      <c r="C204" s="389"/>
      <c r="D204" s="389"/>
      <c r="E204" s="438"/>
      <c r="F204" s="439"/>
      <c r="G204" s="439"/>
      <c r="H204" s="439"/>
      <c r="I204" s="439"/>
      <c r="J204" s="439"/>
      <c r="K204" s="439"/>
      <c r="L204" s="439"/>
      <c r="M204" s="439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39"/>
      <c r="Y204" s="439"/>
      <c r="Z204" s="439"/>
      <c r="AA204" s="439"/>
      <c r="AB204" s="439"/>
      <c r="AC204" s="439"/>
      <c r="AD204" s="439"/>
      <c r="AE204" s="439"/>
      <c r="AF204" s="439"/>
      <c r="AG204" s="439"/>
      <c r="AH204" s="439"/>
      <c r="AI204" s="439"/>
      <c r="AJ204" s="439"/>
      <c r="AK204" s="439"/>
      <c r="AL204" s="439"/>
      <c r="AM204" s="439"/>
      <c r="AN204" s="439"/>
      <c r="AO204" s="439"/>
      <c r="AP204" s="439"/>
      <c r="AQ204" s="439"/>
      <c r="AR204" s="439"/>
      <c r="AS204" s="439"/>
      <c r="AT204" s="439"/>
      <c r="AU204" s="439"/>
      <c r="AV204" s="439"/>
      <c r="AW204" s="439"/>
      <c r="AX204" s="439"/>
      <c r="AY204" s="439"/>
      <c r="AZ204" s="439"/>
      <c r="BA204" s="439"/>
      <c r="BB204" s="439"/>
      <c r="BC204" s="439"/>
      <c r="BD204" s="439"/>
      <c r="BE204" s="439"/>
      <c r="BF204" s="439"/>
      <c r="BG204" s="439"/>
      <c r="BH204" s="439"/>
      <c r="BI204" s="439"/>
      <c r="BJ204" s="439"/>
      <c r="BK204" s="439"/>
      <c r="BL204" s="439"/>
      <c r="BM204" s="439"/>
      <c r="BN204" s="439"/>
      <c r="BO204" s="439"/>
      <c r="BP204" s="439"/>
      <c r="BQ204" s="439"/>
      <c r="BR204" s="439"/>
      <c r="BS204" s="439"/>
      <c r="BT204" s="439"/>
      <c r="BU204" s="439"/>
      <c r="BV204" s="439"/>
    </row>
    <row r="205" spans="2:74" x14ac:dyDescent="0.2">
      <c r="B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  <c r="AN205" s="358"/>
      <c r="AO205" s="358"/>
      <c r="AP205" s="358"/>
      <c r="AQ205" s="358"/>
      <c r="AR205" s="358"/>
      <c r="AS205" s="358"/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</row>
    <row r="206" spans="2:74" x14ac:dyDescent="0.2">
      <c r="B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  <c r="AI206" s="358"/>
      <c r="AJ206" s="358"/>
      <c r="AK206" s="358"/>
      <c r="AL206" s="358"/>
      <c r="AM206" s="358"/>
      <c r="AN206" s="358"/>
      <c r="AO206" s="358"/>
      <c r="AP206" s="358"/>
      <c r="AQ206" s="358"/>
      <c r="AR206" s="358"/>
      <c r="AS206" s="358"/>
      <c r="AT206" s="358"/>
      <c r="AU206" s="358"/>
      <c r="AV206" s="358"/>
      <c r="AW206" s="358"/>
      <c r="AX206" s="358"/>
      <c r="AY206" s="358"/>
      <c r="AZ206" s="358"/>
      <c r="BA206" s="358"/>
      <c r="BB206" s="358"/>
      <c r="BC206" s="358"/>
      <c r="BD206" s="358"/>
      <c r="BE206" s="358"/>
      <c r="BF206" s="358"/>
      <c r="BG206" s="358"/>
      <c r="BH206" s="358"/>
      <c r="BI206" s="358"/>
      <c r="BJ206" s="358"/>
      <c r="BK206" s="358"/>
      <c r="BL206" s="358"/>
      <c r="BM206" s="358"/>
      <c r="BN206" s="358"/>
      <c r="BO206" s="358"/>
      <c r="BP206" s="358"/>
      <c r="BQ206" s="358"/>
      <c r="BR206" s="358"/>
      <c r="BS206" s="358"/>
      <c r="BT206" s="358"/>
      <c r="BU206" s="358"/>
      <c r="BV206" s="358"/>
    </row>
    <row r="207" spans="2:74" x14ac:dyDescent="0.2">
      <c r="B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  <c r="AA207" s="358"/>
      <c r="AB207" s="358"/>
      <c r="AC207" s="358"/>
      <c r="AD207" s="358"/>
      <c r="AE207" s="358"/>
      <c r="AF207" s="358"/>
      <c r="AG207" s="358"/>
      <c r="AH207" s="358"/>
      <c r="AI207" s="358"/>
      <c r="AJ207" s="358"/>
      <c r="AK207" s="358"/>
      <c r="AL207" s="358"/>
      <c r="AM207" s="358"/>
      <c r="AN207" s="358"/>
      <c r="AO207" s="358"/>
      <c r="AP207" s="358"/>
      <c r="AQ207" s="358"/>
      <c r="AR207" s="358"/>
      <c r="AS207" s="358"/>
      <c r="AT207" s="358"/>
      <c r="AU207" s="358"/>
      <c r="AV207" s="358"/>
      <c r="AW207" s="358"/>
      <c r="AX207" s="358"/>
      <c r="AY207" s="358"/>
      <c r="AZ207" s="358"/>
      <c r="BA207" s="358"/>
      <c r="BB207" s="358"/>
      <c r="BC207" s="358"/>
      <c r="BD207" s="358"/>
      <c r="BE207" s="358"/>
      <c r="BF207" s="358"/>
      <c r="BG207" s="358"/>
      <c r="BH207" s="358"/>
      <c r="BI207" s="358"/>
      <c r="BJ207" s="358"/>
      <c r="BK207" s="358"/>
      <c r="BL207" s="358"/>
      <c r="BM207" s="358"/>
      <c r="BN207" s="358"/>
      <c r="BO207" s="358"/>
      <c r="BP207" s="358"/>
      <c r="BQ207" s="358"/>
      <c r="BR207" s="358"/>
      <c r="BS207" s="358"/>
      <c r="BT207" s="358"/>
      <c r="BU207" s="358"/>
      <c r="BV207" s="358"/>
    </row>
    <row r="208" spans="2:74" x14ac:dyDescent="0.2">
      <c r="B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  <c r="AI208" s="358"/>
      <c r="AJ208" s="358"/>
      <c r="AK208" s="358"/>
      <c r="AL208" s="358"/>
      <c r="AM208" s="358"/>
      <c r="AN208" s="358"/>
      <c r="AO208" s="358"/>
      <c r="AP208" s="358"/>
      <c r="AQ208" s="358"/>
      <c r="AR208" s="358"/>
      <c r="AS208" s="358"/>
      <c r="AT208" s="358"/>
      <c r="AU208" s="358"/>
      <c r="AV208" s="358"/>
      <c r="AW208" s="358"/>
      <c r="AX208" s="358"/>
      <c r="AY208" s="358"/>
      <c r="AZ208" s="358"/>
      <c r="BA208" s="358"/>
      <c r="BB208" s="358"/>
      <c r="BC208" s="358"/>
      <c r="BD208" s="358"/>
      <c r="BE208" s="358"/>
      <c r="BF208" s="358"/>
      <c r="BG208" s="358"/>
      <c r="BH208" s="358"/>
      <c r="BI208" s="358"/>
      <c r="BJ208" s="358"/>
      <c r="BK208" s="358"/>
      <c r="BL208" s="358"/>
      <c r="BM208" s="358"/>
      <c r="BN208" s="358"/>
      <c r="BO208" s="358"/>
      <c r="BP208" s="358"/>
      <c r="BQ208" s="358"/>
      <c r="BR208" s="358"/>
      <c r="BS208" s="358"/>
      <c r="BT208" s="358"/>
      <c r="BU208" s="358"/>
      <c r="BV208" s="358"/>
    </row>
    <row r="209" spans="2:74" x14ac:dyDescent="0.2">
      <c r="B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L209" s="358"/>
      <c r="AM209" s="358"/>
      <c r="AN209" s="358"/>
      <c r="AO209" s="358"/>
      <c r="AP209" s="358"/>
      <c r="AQ209" s="358"/>
      <c r="AR209" s="358"/>
      <c r="AS209" s="358"/>
      <c r="AT209" s="358"/>
      <c r="AU209" s="358"/>
      <c r="AV209" s="358"/>
      <c r="AW209" s="358"/>
      <c r="AX209" s="358"/>
      <c r="AY209" s="358"/>
      <c r="AZ209" s="358"/>
      <c r="BA209" s="358"/>
      <c r="BB209" s="358"/>
      <c r="BC209" s="358"/>
      <c r="BD209" s="358"/>
      <c r="BE209" s="358"/>
      <c r="BF209" s="358"/>
      <c r="BG209" s="358"/>
      <c r="BH209" s="358"/>
      <c r="BI209" s="358"/>
      <c r="BJ209" s="358"/>
      <c r="BK209" s="358"/>
      <c r="BL209" s="358"/>
      <c r="BM209" s="358"/>
      <c r="BN209" s="358"/>
      <c r="BO209" s="358"/>
      <c r="BP209" s="358"/>
      <c r="BQ209" s="358"/>
      <c r="BR209" s="358"/>
      <c r="BS209" s="358"/>
      <c r="BT209" s="358"/>
      <c r="BU209" s="358"/>
      <c r="BV209" s="358"/>
    </row>
    <row r="210" spans="2:74" x14ac:dyDescent="0.2">
      <c r="B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  <c r="AN210" s="358"/>
      <c r="AO210" s="358"/>
      <c r="AP210" s="358"/>
      <c r="AQ210" s="358"/>
      <c r="AR210" s="358"/>
      <c r="AS210" s="358"/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</row>
    <row r="211" spans="2:74" x14ac:dyDescent="0.2">
      <c r="B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  <c r="AA211" s="358"/>
      <c r="AB211" s="358"/>
      <c r="AC211" s="358"/>
      <c r="AD211" s="358"/>
      <c r="AE211" s="358"/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  <c r="AS211" s="358"/>
      <c r="AT211" s="358"/>
      <c r="AU211" s="358"/>
      <c r="AV211" s="358"/>
      <c r="AW211" s="358"/>
      <c r="AX211" s="358"/>
      <c r="AY211" s="358"/>
      <c r="AZ211" s="358"/>
      <c r="BA211" s="358"/>
      <c r="BB211" s="358"/>
      <c r="BC211" s="358"/>
      <c r="BD211" s="358"/>
      <c r="BE211" s="358"/>
      <c r="BF211" s="358"/>
      <c r="BG211" s="358"/>
      <c r="BH211" s="358"/>
      <c r="BI211" s="358"/>
      <c r="BJ211" s="358"/>
      <c r="BK211" s="358"/>
      <c r="BL211" s="358"/>
      <c r="BM211" s="358"/>
      <c r="BN211" s="358"/>
      <c r="BO211" s="358"/>
      <c r="BP211" s="358"/>
      <c r="BQ211" s="358"/>
      <c r="BR211" s="358"/>
      <c r="BS211" s="358"/>
      <c r="BT211" s="358"/>
      <c r="BU211" s="358"/>
      <c r="BV211" s="358"/>
    </row>
    <row r="212" spans="2:74" x14ac:dyDescent="0.2">
      <c r="B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  <c r="AI212" s="358"/>
      <c r="AJ212" s="358"/>
      <c r="AK212" s="358"/>
      <c r="AL212" s="358"/>
      <c r="AM212" s="358"/>
      <c r="AN212" s="358"/>
      <c r="AO212" s="358"/>
      <c r="AP212" s="358"/>
      <c r="AQ212" s="358"/>
      <c r="AR212" s="358"/>
      <c r="AS212" s="358"/>
      <c r="AT212" s="358"/>
      <c r="AU212" s="358"/>
      <c r="AV212" s="358"/>
      <c r="AW212" s="358"/>
      <c r="AX212" s="358"/>
      <c r="AY212" s="358"/>
      <c r="AZ212" s="358"/>
      <c r="BA212" s="358"/>
      <c r="BB212" s="358"/>
      <c r="BC212" s="358"/>
      <c r="BD212" s="358"/>
      <c r="BE212" s="358"/>
      <c r="BF212" s="358"/>
      <c r="BG212" s="358"/>
      <c r="BH212" s="358"/>
      <c r="BI212" s="358"/>
      <c r="BJ212" s="358"/>
      <c r="BK212" s="358"/>
      <c r="BL212" s="358"/>
      <c r="BM212" s="358"/>
      <c r="BN212" s="358"/>
      <c r="BO212" s="358"/>
      <c r="BP212" s="358"/>
      <c r="BQ212" s="358"/>
      <c r="BR212" s="358"/>
      <c r="BS212" s="358"/>
      <c r="BT212" s="358"/>
      <c r="BU212" s="358"/>
      <c r="BV212" s="358"/>
    </row>
    <row r="213" spans="2:74" x14ac:dyDescent="0.2">
      <c r="B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L213" s="358"/>
      <c r="AM213" s="358"/>
      <c r="AN213" s="358"/>
      <c r="AO213" s="358"/>
      <c r="AP213" s="358"/>
      <c r="AQ213" s="358"/>
      <c r="AR213" s="358"/>
      <c r="AS213" s="358"/>
      <c r="AT213" s="358"/>
      <c r="AU213" s="358"/>
      <c r="AV213" s="358"/>
      <c r="AW213" s="358"/>
      <c r="AX213" s="358"/>
      <c r="AY213" s="358"/>
      <c r="AZ213" s="358"/>
      <c r="BA213" s="358"/>
      <c r="BB213" s="358"/>
      <c r="BC213" s="358"/>
      <c r="BD213" s="358"/>
      <c r="BE213" s="358"/>
      <c r="BF213" s="358"/>
      <c r="BG213" s="358"/>
      <c r="BH213" s="358"/>
      <c r="BI213" s="358"/>
      <c r="BJ213" s="358"/>
      <c r="BK213" s="358"/>
      <c r="BL213" s="358"/>
      <c r="BM213" s="358"/>
      <c r="BN213" s="358"/>
      <c r="BO213" s="358"/>
      <c r="BP213" s="358"/>
      <c r="BQ213" s="358"/>
      <c r="BR213" s="358"/>
      <c r="BS213" s="358"/>
      <c r="BT213" s="358"/>
      <c r="BU213" s="358"/>
      <c r="BV213" s="358"/>
    </row>
    <row r="214" spans="2:74" x14ac:dyDescent="0.2">
      <c r="B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L214" s="358"/>
      <c r="AM214" s="358"/>
      <c r="AN214" s="358"/>
      <c r="AO214" s="358"/>
      <c r="AP214" s="358"/>
      <c r="AQ214" s="358"/>
      <c r="AR214" s="358"/>
      <c r="AS214" s="358"/>
      <c r="AT214" s="358"/>
      <c r="AU214" s="358"/>
      <c r="AV214" s="358"/>
      <c r="AW214" s="358"/>
      <c r="AX214" s="358"/>
      <c r="AY214" s="358"/>
      <c r="AZ214" s="358"/>
      <c r="BA214" s="358"/>
      <c r="BB214" s="358"/>
      <c r="BC214" s="358"/>
      <c r="BD214" s="358"/>
      <c r="BE214" s="358"/>
      <c r="BF214" s="358"/>
      <c r="BG214" s="358"/>
      <c r="BH214" s="358"/>
      <c r="BI214" s="358"/>
      <c r="BJ214" s="358"/>
      <c r="BK214" s="358"/>
      <c r="BL214" s="358"/>
      <c r="BM214" s="358"/>
      <c r="BN214" s="358"/>
      <c r="BO214" s="358"/>
      <c r="BP214" s="358"/>
      <c r="BQ214" s="358"/>
      <c r="BR214" s="358"/>
      <c r="BS214" s="358"/>
      <c r="BT214" s="358"/>
      <c r="BU214" s="358"/>
      <c r="BV214" s="358"/>
    </row>
    <row r="215" spans="2:74" x14ac:dyDescent="0.2">
      <c r="B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  <c r="AA215" s="358"/>
      <c r="AB215" s="358"/>
      <c r="AC215" s="358"/>
      <c r="AD215" s="358"/>
      <c r="AE215" s="358"/>
      <c r="AF215" s="358"/>
      <c r="AG215" s="358"/>
      <c r="AH215" s="358"/>
      <c r="AI215" s="358"/>
      <c r="AJ215" s="358"/>
      <c r="AK215" s="358"/>
      <c r="AL215" s="358"/>
      <c r="AM215" s="358"/>
      <c r="AN215" s="358"/>
      <c r="AO215" s="358"/>
      <c r="AP215" s="358"/>
      <c r="AQ215" s="358"/>
      <c r="AR215" s="358"/>
      <c r="AS215" s="358"/>
      <c r="AT215" s="358"/>
      <c r="AU215" s="358"/>
      <c r="AV215" s="358"/>
      <c r="AW215" s="358"/>
      <c r="AX215" s="358"/>
      <c r="AY215" s="358"/>
      <c r="AZ215" s="358"/>
      <c r="BA215" s="358"/>
      <c r="BB215" s="358"/>
      <c r="BC215" s="358"/>
      <c r="BD215" s="358"/>
      <c r="BE215" s="358"/>
      <c r="BF215" s="358"/>
      <c r="BG215" s="358"/>
      <c r="BH215" s="358"/>
      <c r="BI215" s="358"/>
      <c r="BJ215" s="358"/>
      <c r="BK215" s="358"/>
      <c r="BL215" s="358"/>
      <c r="BM215" s="358"/>
      <c r="BN215" s="358"/>
      <c r="BO215" s="358"/>
      <c r="BP215" s="358"/>
      <c r="BQ215" s="358"/>
      <c r="BR215" s="358"/>
      <c r="BS215" s="358"/>
      <c r="BT215" s="358"/>
      <c r="BU215" s="358"/>
      <c r="BV215" s="358"/>
    </row>
    <row r="216" spans="2:74" x14ac:dyDescent="0.2">
      <c r="B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  <c r="AA216" s="358"/>
      <c r="AB216" s="358"/>
      <c r="AC216" s="358"/>
      <c r="AD216" s="358"/>
      <c r="AE216" s="358"/>
      <c r="AF216" s="358"/>
      <c r="AG216" s="358"/>
      <c r="AH216" s="358"/>
      <c r="AI216" s="358"/>
      <c r="AJ216" s="358"/>
      <c r="AK216" s="358"/>
      <c r="AL216" s="358"/>
      <c r="AM216" s="358"/>
      <c r="AN216" s="358"/>
      <c r="AO216" s="358"/>
      <c r="AP216" s="358"/>
      <c r="AQ216" s="358"/>
      <c r="AR216" s="358"/>
      <c r="AS216" s="358"/>
      <c r="AT216" s="358"/>
      <c r="AU216" s="358"/>
      <c r="AV216" s="358"/>
      <c r="AW216" s="358"/>
      <c r="AX216" s="358"/>
      <c r="AY216" s="358"/>
      <c r="AZ216" s="358"/>
      <c r="BA216" s="358"/>
      <c r="BB216" s="358"/>
      <c r="BC216" s="358"/>
      <c r="BD216" s="358"/>
      <c r="BE216" s="358"/>
      <c r="BF216" s="358"/>
      <c r="BG216" s="358"/>
      <c r="BH216" s="358"/>
      <c r="BI216" s="358"/>
      <c r="BJ216" s="358"/>
      <c r="BK216" s="358"/>
      <c r="BL216" s="358"/>
      <c r="BM216" s="358"/>
      <c r="BN216" s="358"/>
      <c r="BO216" s="358"/>
      <c r="BP216" s="358"/>
      <c r="BQ216" s="358"/>
      <c r="BR216" s="358"/>
      <c r="BS216" s="358"/>
      <c r="BT216" s="358"/>
      <c r="BU216" s="358"/>
      <c r="BV216" s="358"/>
    </row>
    <row r="217" spans="2:74" x14ac:dyDescent="0.2">
      <c r="B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  <c r="AN217" s="358"/>
      <c r="AO217" s="358"/>
      <c r="AP217" s="358"/>
      <c r="AQ217" s="358"/>
      <c r="AR217" s="358"/>
      <c r="AS217" s="358"/>
      <c r="AT217" s="358"/>
      <c r="AU217" s="358"/>
      <c r="AV217" s="358"/>
      <c r="AW217" s="358"/>
      <c r="AX217" s="358"/>
      <c r="AY217" s="358"/>
      <c r="AZ217" s="358"/>
      <c r="BA217" s="358"/>
      <c r="BB217" s="358"/>
      <c r="BC217" s="358"/>
      <c r="BD217" s="358"/>
      <c r="BE217" s="358"/>
      <c r="BF217" s="358"/>
      <c r="BG217" s="358"/>
      <c r="BH217" s="358"/>
      <c r="BI217" s="358"/>
      <c r="BJ217" s="358"/>
      <c r="BK217" s="358"/>
      <c r="BL217" s="358"/>
      <c r="BM217" s="358"/>
      <c r="BN217" s="358"/>
      <c r="BO217" s="358"/>
      <c r="BP217" s="358"/>
      <c r="BQ217" s="358"/>
      <c r="BR217" s="358"/>
      <c r="BS217" s="358"/>
      <c r="BT217" s="358"/>
      <c r="BU217" s="358"/>
      <c r="BV217" s="358"/>
    </row>
    <row r="218" spans="2:74" x14ac:dyDescent="0.2">
      <c r="B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L218" s="358"/>
      <c r="AM218" s="358"/>
      <c r="AN218" s="358"/>
      <c r="AO218" s="358"/>
      <c r="AP218" s="358"/>
      <c r="AQ218" s="358"/>
      <c r="AR218" s="358"/>
      <c r="AS218" s="358"/>
      <c r="AT218" s="358"/>
      <c r="AU218" s="358"/>
      <c r="AV218" s="358"/>
      <c r="AW218" s="358"/>
      <c r="AX218" s="358"/>
      <c r="AY218" s="358"/>
      <c r="AZ218" s="358"/>
      <c r="BA218" s="358"/>
      <c r="BB218" s="358"/>
      <c r="BC218" s="358"/>
      <c r="BD218" s="358"/>
      <c r="BE218" s="358"/>
      <c r="BF218" s="358"/>
      <c r="BG218" s="358"/>
      <c r="BH218" s="358"/>
      <c r="BI218" s="358"/>
      <c r="BJ218" s="358"/>
      <c r="BK218" s="358"/>
      <c r="BL218" s="358"/>
      <c r="BM218" s="358"/>
      <c r="BN218" s="358"/>
      <c r="BO218" s="358"/>
      <c r="BP218" s="358"/>
      <c r="BQ218" s="358"/>
      <c r="BR218" s="358"/>
      <c r="BS218" s="358"/>
      <c r="BT218" s="358"/>
      <c r="BU218" s="358"/>
      <c r="BV218" s="358"/>
    </row>
    <row r="219" spans="2:74" x14ac:dyDescent="0.2">
      <c r="B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L219" s="358"/>
      <c r="AM219" s="358"/>
      <c r="AN219" s="358"/>
      <c r="AO219" s="358"/>
      <c r="AP219" s="358"/>
      <c r="AQ219" s="358"/>
      <c r="AR219" s="358"/>
      <c r="AS219" s="358"/>
      <c r="AT219" s="358"/>
      <c r="AU219" s="358"/>
      <c r="AV219" s="358"/>
      <c r="AW219" s="358"/>
      <c r="AX219" s="358"/>
      <c r="AY219" s="358"/>
      <c r="AZ219" s="358"/>
      <c r="BA219" s="358"/>
      <c r="BB219" s="358"/>
      <c r="BC219" s="358"/>
      <c r="BD219" s="358"/>
      <c r="BE219" s="358"/>
      <c r="BF219" s="358"/>
      <c r="BG219" s="358"/>
      <c r="BH219" s="358"/>
      <c r="BI219" s="358"/>
      <c r="BJ219" s="358"/>
      <c r="BK219" s="358"/>
      <c r="BL219" s="358"/>
      <c r="BM219" s="358"/>
      <c r="BN219" s="358"/>
      <c r="BO219" s="358"/>
      <c r="BP219" s="358"/>
      <c r="BQ219" s="358"/>
      <c r="BR219" s="358"/>
      <c r="BS219" s="358"/>
      <c r="BT219" s="358"/>
      <c r="BU219" s="358"/>
      <c r="BV219" s="358"/>
    </row>
    <row r="220" spans="2:74" x14ac:dyDescent="0.2">
      <c r="B220" s="358"/>
      <c r="D220" s="35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</row>
    <row r="221" spans="2:74" x14ac:dyDescent="0.2">
      <c r="B221" s="91"/>
      <c r="C221" s="389"/>
      <c r="D221" s="389"/>
      <c r="E221" s="438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  <c r="AA221" s="439"/>
      <c r="AB221" s="439"/>
      <c r="AC221" s="439"/>
      <c r="AD221" s="439"/>
      <c r="AE221" s="439"/>
      <c r="AF221" s="439"/>
      <c r="AG221" s="439"/>
      <c r="AH221" s="439"/>
      <c r="AI221" s="439"/>
      <c r="AJ221" s="439"/>
      <c r="AK221" s="439"/>
      <c r="AL221" s="439"/>
      <c r="AM221" s="439"/>
      <c r="AN221" s="439"/>
      <c r="AO221" s="439"/>
      <c r="AP221" s="439"/>
      <c r="AQ221" s="439"/>
      <c r="AR221" s="439"/>
      <c r="AS221" s="439"/>
      <c r="AT221" s="439"/>
      <c r="AU221" s="439"/>
      <c r="AV221" s="439"/>
      <c r="AW221" s="439"/>
      <c r="AX221" s="439"/>
      <c r="AY221" s="439"/>
      <c r="AZ221" s="439"/>
      <c r="BA221" s="439"/>
      <c r="BB221" s="439"/>
      <c r="BC221" s="439"/>
      <c r="BD221" s="439"/>
      <c r="BE221" s="439"/>
      <c r="BF221" s="439"/>
      <c r="BG221" s="439"/>
      <c r="BH221" s="439"/>
      <c r="BI221" s="439"/>
      <c r="BJ221" s="439"/>
      <c r="BK221" s="439"/>
      <c r="BL221" s="439"/>
      <c r="BM221" s="439"/>
      <c r="BN221" s="439"/>
      <c r="BO221" s="439"/>
      <c r="BP221" s="439"/>
      <c r="BQ221" s="439"/>
      <c r="BR221" s="439"/>
      <c r="BS221" s="439"/>
      <c r="BT221" s="439"/>
      <c r="BU221" s="439"/>
      <c r="BV221" s="439"/>
    </row>
    <row r="222" spans="2:74" x14ac:dyDescent="0.2">
      <c r="B222" s="91"/>
      <c r="C222" s="389"/>
      <c r="D222" s="389"/>
      <c r="E222" s="438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  <c r="AA222" s="439"/>
      <c r="AB222" s="439"/>
      <c r="AC222" s="439"/>
      <c r="AD222" s="439"/>
      <c r="AE222" s="439"/>
      <c r="AF222" s="439"/>
      <c r="AG222" s="439"/>
      <c r="AH222" s="439"/>
      <c r="AI222" s="439"/>
      <c r="AJ222" s="439"/>
      <c r="AK222" s="439"/>
      <c r="AL222" s="439"/>
      <c r="AM222" s="439"/>
      <c r="AN222" s="439"/>
      <c r="AO222" s="439"/>
      <c r="AP222" s="439"/>
      <c r="AQ222" s="439"/>
      <c r="AR222" s="439"/>
      <c r="AS222" s="439"/>
      <c r="AT222" s="439"/>
      <c r="AU222" s="439"/>
      <c r="AV222" s="439"/>
      <c r="AW222" s="439"/>
      <c r="AX222" s="439"/>
      <c r="AY222" s="439"/>
      <c r="AZ222" s="439"/>
      <c r="BA222" s="439"/>
      <c r="BB222" s="439"/>
      <c r="BC222" s="439"/>
      <c r="BD222" s="439"/>
      <c r="BE222" s="439"/>
      <c r="BF222" s="439"/>
      <c r="BG222" s="439"/>
      <c r="BH222" s="439"/>
      <c r="BI222" s="439"/>
      <c r="BJ222" s="439"/>
      <c r="BK222" s="439"/>
      <c r="BL222" s="439"/>
      <c r="BM222" s="439"/>
      <c r="BN222" s="439"/>
      <c r="BO222" s="439"/>
      <c r="BP222" s="439"/>
      <c r="BQ222" s="439"/>
      <c r="BR222" s="439"/>
      <c r="BS222" s="439"/>
      <c r="BT222" s="439"/>
      <c r="BU222" s="439"/>
      <c r="BV222" s="439"/>
    </row>
    <row r="223" spans="2:74" x14ac:dyDescent="0.2">
      <c r="B223" s="91"/>
      <c r="C223" s="389"/>
      <c r="D223" s="389"/>
      <c r="E223" s="438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  <c r="AA223" s="439"/>
      <c r="AB223" s="439"/>
      <c r="AC223" s="439"/>
      <c r="AD223" s="439"/>
      <c r="AE223" s="439"/>
      <c r="AF223" s="439"/>
      <c r="AG223" s="439"/>
      <c r="AH223" s="439"/>
      <c r="AI223" s="439"/>
      <c r="AJ223" s="439"/>
      <c r="AK223" s="439"/>
      <c r="AL223" s="439"/>
      <c r="AM223" s="439"/>
      <c r="AN223" s="439"/>
      <c r="AO223" s="439"/>
      <c r="AP223" s="439"/>
      <c r="AQ223" s="439"/>
      <c r="AR223" s="439"/>
      <c r="AS223" s="439"/>
      <c r="AT223" s="439"/>
      <c r="AU223" s="439"/>
      <c r="AV223" s="439"/>
      <c r="AW223" s="439"/>
      <c r="AX223" s="439"/>
      <c r="AY223" s="439"/>
      <c r="AZ223" s="439"/>
      <c r="BA223" s="439"/>
      <c r="BB223" s="439"/>
      <c r="BC223" s="439"/>
      <c r="BD223" s="439"/>
      <c r="BE223" s="439"/>
      <c r="BF223" s="439"/>
      <c r="BG223" s="439"/>
      <c r="BH223" s="439"/>
      <c r="BI223" s="439"/>
      <c r="BJ223" s="439"/>
      <c r="BK223" s="439"/>
      <c r="BL223" s="439"/>
      <c r="BM223" s="439"/>
      <c r="BN223" s="439"/>
      <c r="BO223" s="439"/>
      <c r="BP223" s="439"/>
      <c r="BQ223" s="439"/>
      <c r="BR223" s="439"/>
      <c r="BS223" s="439"/>
      <c r="BT223" s="439"/>
      <c r="BU223" s="439"/>
      <c r="BV223" s="439"/>
    </row>
    <row r="224" spans="2:74" x14ac:dyDescent="0.2">
      <c r="B224" s="91"/>
      <c r="C224" s="389"/>
      <c r="D224" s="389"/>
      <c r="E224" s="438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  <c r="AA224" s="439"/>
      <c r="AB224" s="439"/>
      <c r="AC224" s="439"/>
      <c r="AD224" s="439"/>
      <c r="AE224" s="439"/>
      <c r="AF224" s="439"/>
      <c r="AG224" s="439"/>
      <c r="AH224" s="439"/>
      <c r="AI224" s="439"/>
      <c r="AJ224" s="439"/>
      <c r="AK224" s="439"/>
      <c r="AL224" s="439"/>
      <c r="AM224" s="439"/>
      <c r="AN224" s="439"/>
      <c r="AO224" s="439"/>
      <c r="AP224" s="439"/>
      <c r="AQ224" s="439"/>
      <c r="AR224" s="439"/>
      <c r="AS224" s="439"/>
      <c r="AT224" s="439"/>
      <c r="AU224" s="439"/>
      <c r="AV224" s="439"/>
      <c r="AW224" s="439"/>
      <c r="AX224" s="439"/>
      <c r="AY224" s="439"/>
      <c r="AZ224" s="439"/>
      <c r="BA224" s="439"/>
      <c r="BB224" s="439"/>
      <c r="BC224" s="439"/>
      <c r="BD224" s="439"/>
      <c r="BE224" s="439"/>
      <c r="BF224" s="439"/>
      <c r="BG224" s="439"/>
      <c r="BH224" s="439"/>
      <c r="BI224" s="439"/>
      <c r="BJ224" s="439"/>
      <c r="BK224" s="439"/>
      <c r="BL224" s="439"/>
      <c r="BM224" s="439"/>
      <c r="BN224" s="439"/>
      <c r="BO224" s="439"/>
      <c r="BP224" s="439"/>
      <c r="BQ224" s="439"/>
      <c r="BR224" s="439"/>
      <c r="BS224" s="439"/>
      <c r="BT224" s="439"/>
      <c r="BU224" s="439"/>
      <c r="BV224" s="439"/>
    </row>
    <row r="225" spans="2:74" x14ac:dyDescent="0.2">
      <c r="B225" s="91"/>
      <c r="C225" s="389"/>
      <c r="D225" s="389"/>
      <c r="E225" s="438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  <c r="AA225" s="439"/>
      <c r="AB225" s="439"/>
      <c r="AC225" s="439"/>
      <c r="AD225" s="439"/>
      <c r="AE225" s="439"/>
      <c r="AF225" s="439"/>
      <c r="AG225" s="439"/>
      <c r="AH225" s="439"/>
      <c r="AI225" s="439"/>
      <c r="AJ225" s="439"/>
      <c r="AK225" s="439"/>
      <c r="AL225" s="439"/>
      <c r="AM225" s="439"/>
      <c r="AN225" s="439"/>
      <c r="AO225" s="439"/>
      <c r="AP225" s="439"/>
      <c r="AQ225" s="439"/>
      <c r="AR225" s="439"/>
      <c r="AS225" s="439"/>
      <c r="AT225" s="439"/>
      <c r="AU225" s="439"/>
      <c r="AV225" s="439"/>
      <c r="AW225" s="439"/>
      <c r="AX225" s="439"/>
      <c r="AY225" s="439"/>
      <c r="AZ225" s="439"/>
      <c r="BA225" s="439"/>
      <c r="BB225" s="439"/>
      <c r="BC225" s="439"/>
      <c r="BD225" s="439"/>
      <c r="BE225" s="439"/>
      <c r="BF225" s="439"/>
      <c r="BG225" s="439"/>
      <c r="BH225" s="439"/>
      <c r="BI225" s="439"/>
      <c r="BJ225" s="439"/>
      <c r="BK225" s="439"/>
      <c r="BL225" s="439"/>
      <c r="BM225" s="439"/>
      <c r="BN225" s="439"/>
      <c r="BO225" s="439"/>
      <c r="BP225" s="439"/>
      <c r="BQ225" s="439"/>
      <c r="BR225" s="439"/>
      <c r="BS225" s="439"/>
      <c r="BT225" s="439"/>
      <c r="BU225" s="439"/>
      <c r="BV225" s="439"/>
    </row>
    <row r="226" spans="2:74" x14ac:dyDescent="0.2">
      <c r="B226" s="91"/>
      <c r="C226" s="389"/>
      <c r="D226" s="389"/>
      <c r="E226" s="438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  <c r="AA226" s="439"/>
      <c r="AB226" s="439"/>
      <c r="AC226" s="439"/>
      <c r="AD226" s="439"/>
      <c r="AE226" s="439"/>
      <c r="AF226" s="439"/>
      <c r="AG226" s="439"/>
      <c r="AH226" s="439"/>
      <c r="AI226" s="439"/>
      <c r="AJ226" s="439"/>
      <c r="AK226" s="439"/>
      <c r="AL226" s="439"/>
      <c r="AM226" s="439"/>
      <c r="AN226" s="439"/>
      <c r="AO226" s="439"/>
      <c r="AP226" s="439"/>
      <c r="AQ226" s="439"/>
      <c r="AR226" s="439"/>
      <c r="AS226" s="439"/>
      <c r="AT226" s="439"/>
      <c r="AU226" s="439"/>
      <c r="AV226" s="439"/>
      <c r="AW226" s="439"/>
      <c r="AX226" s="439"/>
      <c r="AY226" s="439"/>
      <c r="AZ226" s="439"/>
      <c r="BA226" s="439"/>
      <c r="BB226" s="439"/>
      <c r="BC226" s="439"/>
      <c r="BD226" s="439"/>
      <c r="BE226" s="439"/>
      <c r="BF226" s="439"/>
      <c r="BG226" s="439"/>
      <c r="BH226" s="439"/>
      <c r="BI226" s="439"/>
      <c r="BJ226" s="439"/>
      <c r="BK226" s="439"/>
      <c r="BL226" s="439"/>
      <c r="BM226" s="439"/>
      <c r="BN226" s="439"/>
      <c r="BO226" s="439"/>
      <c r="BP226" s="439"/>
      <c r="BQ226" s="439"/>
      <c r="BR226" s="439"/>
      <c r="BS226" s="439"/>
      <c r="BT226" s="439"/>
      <c r="BU226" s="439"/>
      <c r="BV226" s="439"/>
    </row>
    <row r="227" spans="2:74" x14ac:dyDescent="0.2">
      <c r="B227" s="91"/>
      <c r="C227" s="389"/>
      <c r="D227" s="389"/>
      <c r="E227" s="438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  <c r="AA227" s="439"/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39"/>
      <c r="AY227" s="439"/>
      <c r="AZ227" s="439"/>
      <c r="BA227" s="439"/>
      <c r="BB227" s="439"/>
      <c r="BC227" s="439"/>
      <c r="BD227" s="439"/>
      <c r="BE227" s="439"/>
      <c r="BF227" s="439"/>
      <c r="BG227" s="439"/>
      <c r="BH227" s="439"/>
      <c r="BI227" s="439"/>
      <c r="BJ227" s="439"/>
      <c r="BK227" s="439"/>
      <c r="BL227" s="439"/>
      <c r="BM227" s="439"/>
      <c r="BN227" s="439"/>
      <c r="BO227" s="439"/>
      <c r="BP227" s="439"/>
      <c r="BQ227" s="439"/>
      <c r="BR227" s="439"/>
      <c r="BS227" s="439"/>
      <c r="BT227" s="439"/>
      <c r="BU227" s="439"/>
      <c r="BV227" s="439"/>
    </row>
    <row r="228" spans="2:74" x14ac:dyDescent="0.2">
      <c r="B228" s="91"/>
      <c r="C228" s="389"/>
      <c r="D228" s="389"/>
      <c r="E228" s="438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  <c r="AA228" s="439"/>
      <c r="AB228" s="439"/>
      <c r="AC228" s="439"/>
      <c r="AD228" s="439"/>
      <c r="AE228" s="439"/>
      <c r="AF228" s="439"/>
      <c r="AG228" s="439"/>
      <c r="AH228" s="439"/>
      <c r="AI228" s="439"/>
      <c r="AJ228" s="439"/>
      <c r="AK228" s="439"/>
      <c r="AL228" s="439"/>
      <c r="AM228" s="439"/>
      <c r="AN228" s="439"/>
      <c r="AO228" s="439"/>
      <c r="AP228" s="439"/>
      <c r="AQ228" s="439"/>
      <c r="AR228" s="439"/>
      <c r="AS228" s="439"/>
      <c r="AT228" s="439"/>
      <c r="AU228" s="439"/>
      <c r="AV228" s="439"/>
      <c r="AW228" s="439"/>
      <c r="AX228" s="439"/>
      <c r="AY228" s="439"/>
      <c r="AZ228" s="439"/>
      <c r="BA228" s="439"/>
      <c r="BB228" s="439"/>
      <c r="BC228" s="439"/>
      <c r="BD228" s="439"/>
      <c r="BE228" s="439"/>
      <c r="BF228" s="439"/>
      <c r="BG228" s="439"/>
      <c r="BH228" s="439"/>
      <c r="BI228" s="439"/>
      <c r="BJ228" s="439"/>
      <c r="BK228" s="439"/>
      <c r="BL228" s="439"/>
      <c r="BM228" s="439"/>
      <c r="BN228" s="439"/>
      <c r="BO228" s="439"/>
      <c r="BP228" s="439"/>
      <c r="BQ228" s="439"/>
      <c r="BR228" s="439"/>
      <c r="BS228" s="439"/>
      <c r="BT228" s="439"/>
      <c r="BU228" s="439"/>
      <c r="BV228" s="439"/>
    </row>
    <row r="229" spans="2:74" x14ac:dyDescent="0.2">
      <c r="B229" s="91"/>
      <c r="C229" s="389"/>
      <c r="D229" s="389"/>
      <c r="E229" s="438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  <c r="AA229" s="439"/>
      <c r="AB229" s="439"/>
      <c r="AC229" s="439"/>
      <c r="AD229" s="439"/>
      <c r="AE229" s="439"/>
      <c r="AF229" s="439"/>
      <c r="AG229" s="439"/>
      <c r="AH229" s="439"/>
      <c r="AI229" s="439"/>
      <c r="AJ229" s="439"/>
      <c r="AK229" s="439"/>
      <c r="AL229" s="439"/>
      <c r="AM229" s="439"/>
      <c r="AN229" s="439"/>
      <c r="AO229" s="439"/>
      <c r="AP229" s="439"/>
      <c r="AQ229" s="439"/>
      <c r="AR229" s="439"/>
      <c r="AS229" s="439"/>
      <c r="AT229" s="439"/>
      <c r="AU229" s="439"/>
      <c r="AV229" s="439"/>
      <c r="AW229" s="439"/>
      <c r="AX229" s="439"/>
      <c r="AY229" s="439"/>
      <c r="AZ229" s="439"/>
      <c r="BA229" s="439"/>
      <c r="BB229" s="439"/>
      <c r="BC229" s="439"/>
      <c r="BD229" s="439"/>
      <c r="BE229" s="439"/>
      <c r="BF229" s="439"/>
      <c r="BG229" s="439"/>
      <c r="BH229" s="439"/>
      <c r="BI229" s="439"/>
      <c r="BJ229" s="439"/>
      <c r="BK229" s="439"/>
      <c r="BL229" s="439"/>
      <c r="BM229" s="439"/>
      <c r="BN229" s="439"/>
      <c r="BO229" s="439"/>
      <c r="BP229" s="439"/>
      <c r="BQ229" s="439"/>
      <c r="BR229" s="439"/>
      <c r="BS229" s="439"/>
      <c r="BT229" s="439"/>
      <c r="BU229" s="439"/>
      <c r="BV229" s="439"/>
    </row>
    <row r="230" spans="2:74" x14ac:dyDescent="0.2">
      <c r="B230" s="91"/>
      <c r="C230" s="389"/>
      <c r="D230" s="389"/>
      <c r="E230" s="438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  <c r="AA230" s="439"/>
      <c r="AB230" s="439"/>
      <c r="AC230" s="439"/>
      <c r="AD230" s="439"/>
      <c r="AE230" s="439"/>
      <c r="AF230" s="439"/>
      <c r="AG230" s="439"/>
      <c r="AH230" s="439"/>
      <c r="AI230" s="439"/>
      <c r="AJ230" s="439"/>
      <c r="AK230" s="439"/>
      <c r="AL230" s="439"/>
      <c r="AM230" s="439"/>
      <c r="AN230" s="439"/>
      <c r="AO230" s="439"/>
      <c r="AP230" s="439"/>
      <c r="AQ230" s="439"/>
      <c r="AR230" s="439"/>
      <c r="AS230" s="439"/>
      <c r="AT230" s="439"/>
      <c r="AU230" s="439"/>
      <c r="AV230" s="439"/>
      <c r="AW230" s="439"/>
      <c r="AX230" s="439"/>
      <c r="AY230" s="439"/>
      <c r="AZ230" s="439"/>
      <c r="BA230" s="439"/>
      <c r="BB230" s="439"/>
      <c r="BC230" s="439"/>
      <c r="BD230" s="439"/>
      <c r="BE230" s="439"/>
      <c r="BF230" s="439"/>
      <c r="BG230" s="439"/>
      <c r="BH230" s="439"/>
      <c r="BI230" s="439"/>
      <c r="BJ230" s="439"/>
      <c r="BK230" s="439"/>
      <c r="BL230" s="439"/>
      <c r="BM230" s="439"/>
      <c r="BN230" s="439"/>
      <c r="BO230" s="439"/>
      <c r="BP230" s="439"/>
      <c r="BQ230" s="439"/>
      <c r="BR230" s="439"/>
      <c r="BS230" s="439"/>
      <c r="BT230" s="439"/>
      <c r="BU230" s="439"/>
      <c r="BV230" s="439"/>
    </row>
    <row r="231" spans="2:74" x14ac:dyDescent="0.2">
      <c r="B231" s="91"/>
      <c r="C231" s="389"/>
      <c r="D231" s="389"/>
      <c r="E231" s="438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  <c r="AA231" s="439"/>
      <c r="AB231" s="439"/>
      <c r="AC231" s="439"/>
      <c r="AD231" s="439"/>
      <c r="AE231" s="439"/>
      <c r="AF231" s="439"/>
      <c r="AG231" s="439"/>
      <c r="AH231" s="439"/>
      <c r="AI231" s="439"/>
      <c r="AJ231" s="439"/>
      <c r="AK231" s="439"/>
      <c r="AL231" s="439"/>
      <c r="AM231" s="439"/>
      <c r="AN231" s="439"/>
      <c r="AO231" s="439"/>
      <c r="AP231" s="439"/>
      <c r="AQ231" s="439"/>
      <c r="AR231" s="439"/>
      <c r="AS231" s="439"/>
      <c r="AT231" s="439"/>
      <c r="AU231" s="439"/>
      <c r="AV231" s="439"/>
      <c r="AW231" s="439"/>
      <c r="AX231" s="439"/>
      <c r="AY231" s="439"/>
      <c r="AZ231" s="439"/>
      <c r="BA231" s="439"/>
      <c r="BB231" s="439"/>
      <c r="BC231" s="439"/>
      <c r="BD231" s="439"/>
      <c r="BE231" s="439"/>
      <c r="BF231" s="439"/>
      <c r="BG231" s="439"/>
      <c r="BH231" s="439"/>
      <c r="BI231" s="439"/>
      <c r="BJ231" s="439"/>
      <c r="BK231" s="439"/>
      <c r="BL231" s="439"/>
      <c r="BM231" s="439"/>
      <c r="BN231" s="439"/>
      <c r="BO231" s="439"/>
      <c r="BP231" s="439"/>
      <c r="BQ231" s="439"/>
      <c r="BR231" s="439"/>
      <c r="BS231" s="439"/>
      <c r="BT231" s="439"/>
      <c r="BU231" s="439"/>
      <c r="BV231" s="439"/>
    </row>
    <row r="232" spans="2:74" x14ac:dyDescent="0.2">
      <c r="B232" s="91"/>
      <c r="C232" s="389"/>
      <c r="D232" s="389"/>
      <c r="E232" s="438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  <c r="AA232" s="439"/>
      <c r="AB232" s="439"/>
      <c r="AC232" s="439"/>
      <c r="AD232" s="439"/>
      <c r="AE232" s="439"/>
      <c r="AF232" s="439"/>
      <c r="AG232" s="439"/>
      <c r="AH232" s="439"/>
      <c r="AI232" s="439"/>
      <c r="AJ232" s="439"/>
      <c r="AK232" s="439"/>
      <c r="AL232" s="439"/>
      <c r="AM232" s="439"/>
      <c r="AN232" s="439"/>
      <c r="AO232" s="439"/>
      <c r="AP232" s="439"/>
      <c r="AQ232" s="439"/>
      <c r="AR232" s="439"/>
      <c r="AS232" s="439"/>
      <c r="AT232" s="439"/>
      <c r="AU232" s="439"/>
      <c r="AV232" s="439"/>
      <c r="AW232" s="439"/>
      <c r="AX232" s="439"/>
      <c r="AY232" s="439"/>
      <c r="AZ232" s="439"/>
      <c r="BA232" s="439"/>
      <c r="BB232" s="439"/>
      <c r="BC232" s="439"/>
      <c r="BD232" s="439"/>
      <c r="BE232" s="439"/>
      <c r="BF232" s="439"/>
      <c r="BG232" s="439"/>
      <c r="BH232" s="439"/>
      <c r="BI232" s="439"/>
      <c r="BJ232" s="439"/>
      <c r="BK232" s="439"/>
      <c r="BL232" s="439"/>
      <c r="BM232" s="439"/>
      <c r="BN232" s="439"/>
      <c r="BO232" s="439"/>
      <c r="BP232" s="439"/>
      <c r="BQ232" s="439"/>
      <c r="BR232" s="439"/>
      <c r="BS232" s="439"/>
      <c r="BT232" s="439"/>
      <c r="BU232" s="439"/>
      <c r="BV232" s="439"/>
    </row>
    <row r="233" spans="2:74" x14ac:dyDescent="0.2">
      <c r="B233" s="91"/>
      <c r="C233" s="389"/>
      <c r="D233" s="389"/>
      <c r="E233" s="438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  <c r="AA233" s="439"/>
      <c r="AB233" s="439"/>
      <c r="AC233" s="439"/>
      <c r="AD233" s="439"/>
      <c r="AE233" s="439"/>
      <c r="AF233" s="439"/>
      <c r="AG233" s="439"/>
      <c r="AH233" s="439"/>
      <c r="AI233" s="439"/>
      <c r="AJ233" s="439"/>
      <c r="AK233" s="439"/>
      <c r="AL233" s="439"/>
      <c r="AM233" s="439"/>
      <c r="AN233" s="439"/>
      <c r="AO233" s="439"/>
      <c r="AP233" s="439"/>
      <c r="AQ233" s="439"/>
      <c r="AR233" s="439"/>
      <c r="AS233" s="439"/>
      <c r="AT233" s="439"/>
      <c r="AU233" s="439"/>
      <c r="AV233" s="439"/>
      <c r="AW233" s="439"/>
      <c r="AX233" s="439"/>
      <c r="AY233" s="439"/>
      <c r="AZ233" s="439"/>
      <c r="BA233" s="439"/>
      <c r="BB233" s="439"/>
      <c r="BC233" s="439"/>
      <c r="BD233" s="439"/>
      <c r="BE233" s="439"/>
      <c r="BF233" s="439"/>
      <c r="BG233" s="439"/>
      <c r="BH233" s="439"/>
      <c r="BI233" s="439"/>
      <c r="BJ233" s="439"/>
      <c r="BK233" s="439"/>
      <c r="BL233" s="439"/>
      <c r="BM233" s="439"/>
      <c r="BN233" s="439"/>
      <c r="BO233" s="439"/>
      <c r="BP233" s="439"/>
      <c r="BQ233" s="439"/>
      <c r="BR233" s="439"/>
      <c r="BS233" s="439"/>
      <c r="BT233" s="439"/>
      <c r="BU233" s="439"/>
      <c r="BV233" s="439"/>
    </row>
    <row r="234" spans="2:74" x14ac:dyDescent="0.2">
      <c r="B234" s="91"/>
      <c r="C234" s="389"/>
      <c r="D234" s="389"/>
      <c r="E234" s="438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  <c r="AA234" s="439"/>
      <c r="AB234" s="439"/>
      <c r="AC234" s="439"/>
      <c r="AD234" s="439"/>
      <c r="AE234" s="439"/>
      <c r="AF234" s="439"/>
      <c r="AG234" s="439"/>
      <c r="AH234" s="439"/>
      <c r="AI234" s="439"/>
      <c r="AJ234" s="439"/>
      <c r="AK234" s="439"/>
      <c r="AL234" s="439"/>
      <c r="AM234" s="439"/>
      <c r="AN234" s="439"/>
      <c r="AO234" s="439"/>
      <c r="AP234" s="439"/>
      <c r="AQ234" s="439"/>
      <c r="AR234" s="439"/>
      <c r="AS234" s="439"/>
      <c r="AT234" s="439"/>
      <c r="AU234" s="439"/>
      <c r="AV234" s="439"/>
      <c r="AW234" s="439"/>
      <c r="AX234" s="439"/>
      <c r="AY234" s="439"/>
      <c r="AZ234" s="439"/>
      <c r="BA234" s="439"/>
      <c r="BB234" s="439"/>
      <c r="BC234" s="439"/>
      <c r="BD234" s="439"/>
      <c r="BE234" s="439"/>
      <c r="BF234" s="439"/>
      <c r="BG234" s="439"/>
      <c r="BH234" s="439"/>
      <c r="BI234" s="439"/>
      <c r="BJ234" s="439"/>
      <c r="BK234" s="439"/>
      <c r="BL234" s="439"/>
      <c r="BM234" s="439"/>
      <c r="BN234" s="439"/>
      <c r="BO234" s="439"/>
      <c r="BP234" s="439"/>
      <c r="BQ234" s="439"/>
      <c r="BR234" s="439"/>
      <c r="BS234" s="439"/>
      <c r="BT234" s="439"/>
      <c r="BU234" s="439"/>
      <c r="BV234" s="439"/>
    </row>
    <row r="235" spans="2:74" x14ac:dyDescent="0.2">
      <c r="B235" s="91"/>
      <c r="C235" s="389"/>
      <c r="D235" s="389"/>
      <c r="E235" s="438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  <c r="AA235" s="439"/>
      <c r="AB235" s="439"/>
      <c r="AC235" s="439"/>
      <c r="AD235" s="439"/>
      <c r="AE235" s="439"/>
      <c r="AF235" s="439"/>
      <c r="AG235" s="439"/>
      <c r="AH235" s="439"/>
      <c r="AI235" s="439"/>
      <c r="AJ235" s="439"/>
      <c r="AK235" s="439"/>
      <c r="AL235" s="439"/>
      <c r="AM235" s="439"/>
      <c r="AN235" s="439"/>
      <c r="AO235" s="439"/>
      <c r="AP235" s="439"/>
      <c r="AQ235" s="439"/>
      <c r="AR235" s="439"/>
      <c r="AS235" s="439"/>
      <c r="AT235" s="439"/>
      <c r="AU235" s="439"/>
      <c r="AV235" s="439"/>
      <c r="AW235" s="439"/>
      <c r="AX235" s="439"/>
      <c r="AY235" s="439"/>
      <c r="AZ235" s="439"/>
      <c r="BA235" s="439"/>
      <c r="BB235" s="439"/>
      <c r="BC235" s="439"/>
      <c r="BD235" s="439"/>
      <c r="BE235" s="439"/>
      <c r="BF235" s="439"/>
      <c r="BG235" s="439"/>
      <c r="BH235" s="439"/>
      <c r="BI235" s="439"/>
      <c r="BJ235" s="439"/>
      <c r="BK235" s="439"/>
      <c r="BL235" s="439"/>
      <c r="BM235" s="439"/>
      <c r="BN235" s="439"/>
      <c r="BO235" s="439"/>
      <c r="BP235" s="439"/>
      <c r="BQ235" s="439"/>
      <c r="BR235" s="439"/>
      <c r="BS235" s="439"/>
      <c r="BT235" s="439"/>
      <c r="BU235" s="439"/>
      <c r="BV235" s="439"/>
    </row>
    <row r="236" spans="2:74" x14ac:dyDescent="0.2">
      <c r="B236" s="91"/>
      <c r="C236" s="389"/>
      <c r="D236" s="389"/>
      <c r="E236" s="438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  <c r="AA236" s="439"/>
      <c r="AB236" s="439"/>
      <c r="AC236" s="439"/>
      <c r="AD236" s="439"/>
      <c r="AE236" s="439"/>
      <c r="AF236" s="439"/>
      <c r="AG236" s="439"/>
      <c r="AH236" s="439"/>
      <c r="AI236" s="439"/>
      <c r="AJ236" s="439"/>
      <c r="AK236" s="439"/>
      <c r="AL236" s="439"/>
      <c r="AM236" s="439"/>
      <c r="AN236" s="439"/>
      <c r="AO236" s="439"/>
      <c r="AP236" s="439"/>
      <c r="AQ236" s="439"/>
      <c r="AR236" s="439"/>
      <c r="AS236" s="439"/>
      <c r="AT236" s="439"/>
      <c r="AU236" s="439"/>
      <c r="AV236" s="439"/>
      <c r="AW236" s="439"/>
      <c r="AX236" s="439"/>
      <c r="AY236" s="439"/>
      <c r="AZ236" s="439"/>
      <c r="BA236" s="439"/>
      <c r="BB236" s="439"/>
      <c r="BC236" s="439"/>
      <c r="BD236" s="439"/>
      <c r="BE236" s="439"/>
      <c r="BF236" s="439"/>
      <c r="BG236" s="439"/>
      <c r="BH236" s="439"/>
      <c r="BI236" s="439"/>
      <c r="BJ236" s="439"/>
      <c r="BK236" s="439"/>
      <c r="BL236" s="439"/>
      <c r="BM236" s="439"/>
      <c r="BN236" s="439"/>
      <c r="BO236" s="439"/>
      <c r="BP236" s="439"/>
      <c r="BQ236" s="439"/>
      <c r="BR236" s="439"/>
      <c r="BS236" s="439"/>
      <c r="BT236" s="439"/>
      <c r="BU236" s="439"/>
      <c r="BV236" s="439"/>
    </row>
    <row r="237" spans="2:74" x14ac:dyDescent="0.2">
      <c r="B237" s="91"/>
      <c r="C237" s="389"/>
      <c r="D237" s="389"/>
      <c r="E237" s="438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  <c r="AA237" s="439"/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39"/>
      <c r="AY237" s="439"/>
      <c r="AZ237" s="439"/>
      <c r="BA237" s="439"/>
      <c r="BB237" s="439"/>
      <c r="BC237" s="439"/>
      <c r="BD237" s="439"/>
      <c r="BE237" s="439"/>
      <c r="BF237" s="439"/>
      <c r="BG237" s="439"/>
      <c r="BH237" s="439"/>
      <c r="BI237" s="439"/>
      <c r="BJ237" s="439"/>
      <c r="BK237" s="439"/>
      <c r="BL237" s="439"/>
      <c r="BM237" s="439"/>
      <c r="BN237" s="439"/>
      <c r="BO237" s="439"/>
      <c r="BP237" s="439"/>
      <c r="BQ237" s="439"/>
      <c r="BR237" s="439"/>
      <c r="BS237" s="439"/>
      <c r="BT237" s="439"/>
      <c r="BU237" s="439"/>
      <c r="BV237" s="439"/>
    </row>
    <row r="238" spans="2:74" x14ac:dyDescent="0.2">
      <c r="B238" s="91"/>
      <c r="C238" s="389"/>
      <c r="D238" s="389"/>
      <c r="E238" s="438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  <c r="AA238" s="439"/>
      <c r="AB238" s="439"/>
      <c r="AC238" s="439"/>
      <c r="AD238" s="439"/>
      <c r="AE238" s="439"/>
      <c r="AF238" s="439"/>
      <c r="AG238" s="439"/>
      <c r="AH238" s="439"/>
      <c r="AI238" s="439"/>
      <c r="AJ238" s="439"/>
      <c r="AK238" s="439"/>
      <c r="AL238" s="439"/>
      <c r="AM238" s="439"/>
      <c r="AN238" s="439"/>
      <c r="AO238" s="439"/>
      <c r="AP238" s="439"/>
      <c r="AQ238" s="439"/>
      <c r="AR238" s="439"/>
      <c r="AS238" s="439"/>
      <c r="AT238" s="439"/>
      <c r="AU238" s="439"/>
      <c r="AV238" s="439"/>
      <c r="AW238" s="439"/>
      <c r="AX238" s="439"/>
      <c r="AY238" s="439"/>
      <c r="AZ238" s="439"/>
      <c r="BA238" s="439"/>
      <c r="BB238" s="439"/>
      <c r="BC238" s="439"/>
      <c r="BD238" s="439"/>
      <c r="BE238" s="439"/>
      <c r="BF238" s="439"/>
      <c r="BG238" s="439"/>
      <c r="BH238" s="439"/>
      <c r="BI238" s="439"/>
      <c r="BJ238" s="439"/>
      <c r="BK238" s="439"/>
      <c r="BL238" s="439"/>
      <c r="BM238" s="439"/>
      <c r="BN238" s="439"/>
      <c r="BO238" s="439"/>
      <c r="BP238" s="439"/>
      <c r="BQ238" s="439"/>
      <c r="BR238" s="439"/>
      <c r="BS238" s="439"/>
      <c r="BT238" s="439"/>
      <c r="BU238" s="439"/>
      <c r="BV238" s="439"/>
    </row>
    <row r="239" spans="2:74" x14ac:dyDescent="0.2">
      <c r="B239" s="91"/>
      <c r="C239" s="389"/>
      <c r="D239" s="389"/>
      <c r="E239" s="438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  <c r="AA239" s="439"/>
      <c r="AB239" s="439"/>
      <c r="AC239" s="439"/>
      <c r="AD239" s="439"/>
      <c r="AE239" s="439"/>
      <c r="AF239" s="439"/>
      <c r="AG239" s="439"/>
      <c r="AH239" s="439"/>
      <c r="AI239" s="439"/>
      <c r="AJ239" s="439"/>
      <c r="AK239" s="439"/>
      <c r="AL239" s="439"/>
      <c r="AM239" s="439"/>
      <c r="AN239" s="439"/>
      <c r="AO239" s="439"/>
      <c r="AP239" s="439"/>
      <c r="AQ239" s="439"/>
      <c r="AR239" s="439"/>
      <c r="AS239" s="439"/>
      <c r="AT239" s="439"/>
      <c r="AU239" s="439"/>
      <c r="AV239" s="439"/>
      <c r="AW239" s="439"/>
      <c r="AX239" s="439"/>
      <c r="AY239" s="439"/>
      <c r="AZ239" s="439"/>
      <c r="BA239" s="439"/>
      <c r="BB239" s="439"/>
      <c r="BC239" s="439"/>
      <c r="BD239" s="439"/>
      <c r="BE239" s="439"/>
      <c r="BF239" s="439"/>
      <c r="BG239" s="439"/>
      <c r="BH239" s="439"/>
      <c r="BI239" s="439"/>
      <c r="BJ239" s="439"/>
      <c r="BK239" s="439"/>
      <c r="BL239" s="439"/>
      <c r="BM239" s="439"/>
      <c r="BN239" s="439"/>
      <c r="BO239" s="439"/>
      <c r="BP239" s="439"/>
      <c r="BQ239" s="439"/>
      <c r="BR239" s="439"/>
      <c r="BS239" s="439"/>
      <c r="BT239" s="439"/>
      <c r="BU239" s="439"/>
      <c r="BV239" s="439"/>
    </row>
    <row r="240" spans="2:74" x14ac:dyDescent="0.2">
      <c r="B240" s="91"/>
      <c r="C240" s="389"/>
      <c r="D240" s="389"/>
      <c r="E240" s="438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D240" s="439"/>
      <c r="AE240" s="439"/>
      <c r="AF240" s="439"/>
      <c r="AG240" s="439"/>
      <c r="AH240" s="439"/>
      <c r="AI240" s="439"/>
      <c r="AJ240" s="439"/>
      <c r="AK240" s="439"/>
      <c r="AL240" s="439"/>
      <c r="AM240" s="439"/>
      <c r="AN240" s="439"/>
      <c r="AO240" s="439"/>
      <c r="AP240" s="439"/>
      <c r="AQ240" s="439"/>
      <c r="AR240" s="439"/>
      <c r="AS240" s="439"/>
      <c r="AT240" s="439"/>
      <c r="AU240" s="439"/>
      <c r="AV240" s="439"/>
      <c r="AW240" s="439"/>
      <c r="AX240" s="439"/>
      <c r="AY240" s="439"/>
      <c r="AZ240" s="439"/>
      <c r="BA240" s="439"/>
      <c r="BB240" s="439"/>
      <c r="BC240" s="439"/>
      <c r="BD240" s="439"/>
      <c r="BE240" s="439"/>
      <c r="BF240" s="439"/>
      <c r="BG240" s="439"/>
      <c r="BH240" s="439"/>
      <c r="BI240" s="439"/>
      <c r="BJ240" s="439"/>
      <c r="BK240" s="439"/>
      <c r="BL240" s="439"/>
      <c r="BM240" s="439"/>
      <c r="BN240" s="439"/>
      <c r="BO240" s="439"/>
      <c r="BP240" s="439"/>
      <c r="BQ240" s="439"/>
      <c r="BR240" s="439"/>
      <c r="BS240" s="439"/>
      <c r="BT240" s="439"/>
      <c r="BU240" s="439"/>
      <c r="BV240" s="439"/>
    </row>
    <row r="241" spans="2:74" x14ac:dyDescent="0.2">
      <c r="B241" s="91"/>
      <c r="C241" s="389"/>
      <c r="D241" s="389"/>
      <c r="E241" s="438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  <c r="AA241" s="439"/>
      <c r="AB241" s="439"/>
      <c r="AC241" s="439"/>
      <c r="AD241" s="439"/>
      <c r="AE241" s="439"/>
      <c r="AF241" s="439"/>
      <c r="AG241" s="439"/>
      <c r="AH241" s="439"/>
      <c r="AI241" s="439"/>
      <c r="AJ241" s="439"/>
      <c r="AK241" s="439"/>
      <c r="AL241" s="439"/>
      <c r="AM241" s="439"/>
      <c r="AN241" s="439"/>
      <c r="AO241" s="439"/>
      <c r="AP241" s="439"/>
      <c r="AQ241" s="439"/>
      <c r="AR241" s="439"/>
      <c r="AS241" s="439"/>
      <c r="AT241" s="439"/>
      <c r="AU241" s="439"/>
      <c r="AV241" s="439"/>
      <c r="AW241" s="439"/>
      <c r="AX241" s="439"/>
      <c r="AY241" s="439"/>
      <c r="AZ241" s="439"/>
      <c r="BA241" s="439"/>
      <c r="BB241" s="439"/>
      <c r="BC241" s="439"/>
      <c r="BD241" s="439"/>
      <c r="BE241" s="439"/>
      <c r="BF241" s="439"/>
      <c r="BG241" s="439"/>
      <c r="BH241" s="439"/>
      <c r="BI241" s="439"/>
      <c r="BJ241" s="439"/>
      <c r="BK241" s="439"/>
      <c r="BL241" s="439"/>
      <c r="BM241" s="439"/>
      <c r="BN241" s="439"/>
      <c r="BO241" s="439"/>
      <c r="BP241" s="439"/>
      <c r="BQ241" s="439"/>
      <c r="BR241" s="439"/>
      <c r="BS241" s="439"/>
      <c r="BT241" s="439"/>
      <c r="BU241" s="439"/>
      <c r="BV241" s="439"/>
    </row>
    <row r="242" spans="2:74" x14ac:dyDescent="0.2">
      <c r="B242" s="91"/>
      <c r="C242" s="389"/>
      <c r="D242" s="389"/>
      <c r="E242" s="438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  <c r="AA242" s="439"/>
      <c r="AB242" s="439"/>
      <c r="AC242" s="439"/>
      <c r="AD242" s="439"/>
      <c r="AE242" s="439"/>
      <c r="AF242" s="439"/>
      <c r="AG242" s="439"/>
      <c r="AH242" s="439"/>
      <c r="AI242" s="439"/>
      <c r="AJ242" s="439"/>
      <c r="AK242" s="439"/>
      <c r="AL242" s="439"/>
      <c r="AM242" s="439"/>
      <c r="AN242" s="439"/>
      <c r="AO242" s="439"/>
      <c r="AP242" s="439"/>
      <c r="AQ242" s="439"/>
      <c r="AR242" s="439"/>
      <c r="AS242" s="439"/>
      <c r="AT242" s="439"/>
      <c r="AU242" s="439"/>
      <c r="AV242" s="439"/>
      <c r="AW242" s="439"/>
      <c r="AX242" s="439"/>
      <c r="AY242" s="439"/>
      <c r="AZ242" s="439"/>
      <c r="BA242" s="439"/>
      <c r="BB242" s="439"/>
      <c r="BC242" s="439"/>
      <c r="BD242" s="439"/>
      <c r="BE242" s="439"/>
      <c r="BF242" s="439"/>
      <c r="BG242" s="439"/>
      <c r="BH242" s="439"/>
      <c r="BI242" s="439"/>
      <c r="BJ242" s="439"/>
      <c r="BK242" s="439"/>
      <c r="BL242" s="439"/>
      <c r="BM242" s="439"/>
      <c r="BN242" s="439"/>
      <c r="BO242" s="439"/>
      <c r="BP242" s="439"/>
      <c r="BQ242" s="439"/>
      <c r="BR242" s="439"/>
      <c r="BS242" s="439"/>
      <c r="BT242" s="439"/>
      <c r="BU242" s="439"/>
      <c r="BV242" s="439"/>
    </row>
    <row r="243" spans="2:74" x14ac:dyDescent="0.2">
      <c r="B243" s="91"/>
      <c r="C243" s="389"/>
      <c r="D243" s="389"/>
      <c r="E243" s="438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  <c r="AA243" s="439"/>
      <c r="AB243" s="439"/>
      <c r="AC243" s="439"/>
      <c r="AD243" s="439"/>
      <c r="AE243" s="439"/>
      <c r="AF243" s="439"/>
      <c r="AG243" s="439"/>
      <c r="AH243" s="439"/>
      <c r="AI243" s="439"/>
      <c r="AJ243" s="439"/>
      <c r="AK243" s="439"/>
      <c r="AL243" s="439"/>
      <c r="AM243" s="439"/>
      <c r="AN243" s="439"/>
      <c r="AO243" s="439"/>
      <c r="AP243" s="439"/>
      <c r="AQ243" s="439"/>
      <c r="AR243" s="439"/>
      <c r="AS243" s="439"/>
      <c r="AT243" s="439"/>
      <c r="AU243" s="439"/>
      <c r="AV243" s="439"/>
      <c r="AW243" s="439"/>
      <c r="AX243" s="439"/>
      <c r="AY243" s="439"/>
      <c r="AZ243" s="439"/>
      <c r="BA243" s="439"/>
      <c r="BB243" s="439"/>
      <c r="BC243" s="439"/>
      <c r="BD243" s="439"/>
      <c r="BE243" s="439"/>
      <c r="BF243" s="439"/>
      <c r="BG243" s="439"/>
      <c r="BH243" s="439"/>
      <c r="BI243" s="439"/>
      <c r="BJ243" s="439"/>
      <c r="BK243" s="439"/>
      <c r="BL243" s="439"/>
      <c r="BM243" s="439"/>
      <c r="BN243" s="439"/>
      <c r="BO243" s="439"/>
      <c r="BP243" s="439"/>
      <c r="BQ243" s="439"/>
      <c r="BR243" s="439"/>
      <c r="BS243" s="439"/>
      <c r="BT243" s="439"/>
      <c r="BU243" s="439"/>
      <c r="BV243" s="439"/>
    </row>
    <row r="244" spans="2:74" x14ac:dyDescent="0.2">
      <c r="B244" s="91"/>
      <c r="C244" s="389"/>
      <c r="D244" s="389"/>
      <c r="E244" s="438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  <c r="AA244" s="439"/>
      <c r="AB244" s="439"/>
      <c r="AC244" s="439"/>
      <c r="AD244" s="439"/>
      <c r="AE244" s="439"/>
      <c r="AF244" s="439"/>
      <c r="AG244" s="439"/>
      <c r="AH244" s="439"/>
      <c r="AI244" s="439"/>
      <c r="AJ244" s="439"/>
      <c r="AK244" s="439"/>
      <c r="AL244" s="439"/>
      <c r="AM244" s="439"/>
      <c r="AN244" s="439"/>
      <c r="AO244" s="439"/>
      <c r="AP244" s="439"/>
      <c r="AQ244" s="439"/>
      <c r="AR244" s="439"/>
      <c r="AS244" s="439"/>
      <c r="AT244" s="439"/>
      <c r="AU244" s="439"/>
      <c r="AV244" s="439"/>
      <c r="AW244" s="439"/>
      <c r="AX244" s="439"/>
      <c r="AY244" s="439"/>
      <c r="AZ244" s="439"/>
      <c r="BA244" s="439"/>
      <c r="BB244" s="439"/>
      <c r="BC244" s="439"/>
      <c r="BD244" s="439"/>
      <c r="BE244" s="439"/>
      <c r="BF244" s="439"/>
      <c r="BG244" s="439"/>
      <c r="BH244" s="439"/>
      <c r="BI244" s="439"/>
      <c r="BJ244" s="439"/>
      <c r="BK244" s="439"/>
      <c r="BL244" s="439"/>
      <c r="BM244" s="439"/>
      <c r="BN244" s="439"/>
      <c r="BO244" s="439"/>
      <c r="BP244" s="439"/>
      <c r="BQ244" s="439"/>
      <c r="BR244" s="439"/>
      <c r="BS244" s="439"/>
      <c r="BT244" s="439"/>
      <c r="BU244" s="439"/>
      <c r="BV244" s="439"/>
    </row>
    <row r="245" spans="2:74" x14ac:dyDescent="0.2">
      <c r="B245" s="91"/>
      <c r="C245" s="389"/>
      <c r="D245" s="389"/>
      <c r="E245" s="438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  <c r="AA245" s="439"/>
      <c r="AB245" s="439"/>
      <c r="AC245" s="439"/>
      <c r="AD245" s="439"/>
      <c r="AE245" s="439"/>
      <c r="AF245" s="439"/>
      <c r="AG245" s="439"/>
      <c r="AH245" s="439"/>
      <c r="AI245" s="439"/>
      <c r="AJ245" s="439"/>
      <c r="AK245" s="439"/>
      <c r="AL245" s="439"/>
      <c r="AM245" s="439"/>
      <c r="AN245" s="439"/>
      <c r="AO245" s="439"/>
      <c r="AP245" s="439"/>
      <c r="AQ245" s="439"/>
      <c r="AR245" s="439"/>
      <c r="AS245" s="439"/>
      <c r="AT245" s="439"/>
      <c r="AU245" s="439"/>
      <c r="AV245" s="439"/>
      <c r="AW245" s="439"/>
      <c r="AX245" s="439"/>
      <c r="AY245" s="439"/>
      <c r="AZ245" s="439"/>
      <c r="BA245" s="439"/>
      <c r="BB245" s="439"/>
      <c r="BC245" s="439"/>
      <c r="BD245" s="439"/>
      <c r="BE245" s="439"/>
      <c r="BF245" s="439"/>
      <c r="BG245" s="439"/>
      <c r="BH245" s="439"/>
      <c r="BI245" s="439"/>
      <c r="BJ245" s="439"/>
      <c r="BK245" s="439"/>
      <c r="BL245" s="439"/>
      <c r="BM245" s="439"/>
      <c r="BN245" s="439"/>
      <c r="BO245" s="439"/>
      <c r="BP245" s="439"/>
      <c r="BQ245" s="439"/>
      <c r="BR245" s="439"/>
      <c r="BS245" s="439"/>
      <c r="BT245" s="439"/>
      <c r="BU245" s="439"/>
      <c r="BV245" s="439"/>
    </row>
    <row r="246" spans="2:74" x14ac:dyDescent="0.2">
      <c r="B246" s="91"/>
      <c r="C246" s="389"/>
      <c r="D246" s="389"/>
      <c r="E246" s="438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  <c r="AA246" s="439"/>
      <c r="AB246" s="439"/>
      <c r="AC246" s="439"/>
      <c r="AD246" s="439"/>
      <c r="AE246" s="439"/>
      <c r="AF246" s="439"/>
      <c r="AG246" s="439"/>
      <c r="AH246" s="439"/>
      <c r="AI246" s="439"/>
      <c r="AJ246" s="439"/>
      <c r="AK246" s="439"/>
      <c r="AL246" s="439"/>
      <c r="AM246" s="439"/>
      <c r="AN246" s="439"/>
      <c r="AO246" s="439"/>
      <c r="AP246" s="439"/>
      <c r="AQ246" s="439"/>
      <c r="AR246" s="439"/>
      <c r="AS246" s="439"/>
      <c r="AT246" s="439"/>
      <c r="AU246" s="439"/>
      <c r="AV246" s="439"/>
      <c r="AW246" s="439"/>
      <c r="AX246" s="439"/>
      <c r="AY246" s="439"/>
      <c r="AZ246" s="439"/>
      <c r="BA246" s="439"/>
      <c r="BB246" s="439"/>
      <c r="BC246" s="439"/>
      <c r="BD246" s="439"/>
      <c r="BE246" s="439"/>
      <c r="BF246" s="439"/>
      <c r="BG246" s="439"/>
      <c r="BH246" s="439"/>
      <c r="BI246" s="439"/>
      <c r="BJ246" s="439"/>
      <c r="BK246" s="439"/>
      <c r="BL246" s="439"/>
      <c r="BM246" s="439"/>
      <c r="BN246" s="439"/>
      <c r="BO246" s="439"/>
      <c r="BP246" s="439"/>
      <c r="BQ246" s="439"/>
      <c r="BR246" s="439"/>
      <c r="BS246" s="439"/>
      <c r="BT246" s="439"/>
      <c r="BU246" s="439"/>
      <c r="BV246" s="439"/>
    </row>
    <row r="247" spans="2:74" x14ac:dyDescent="0.2">
      <c r="B247" s="91"/>
      <c r="C247" s="389"/>
      <c r="D247" s="389"/>
      <c r="E247" s="438"/>
      <c r="F247" s="439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  <c r="AA247" s="439"/>
      <c r="AB247" s="439"/>
      <c r="AC247" s="439"/>
      <c r="AD247" s="439"/>
      <c r="AE247" s="439"/>
      <c r="AF247" s="439"/>
      <c r="AG247" s="439"/>
      <c r="AH247" s="439"/>
      <c r="AI247" s="439"/>
      <c r="AJ247" s="439"/>
      <c r="AK247" s="439"/>
      <c r="AL247" s="439"/>
      <c r="AM247" s="439"/>
      <c r="AN247" s="439"/>
      <c r="AO247" s="439"/>
      <c r="AP247" s="439"/>
      <c r="AQ247" s="439"/>
      <c r="AR247" s="439"/>
      <c r="AS247" s="439"/>
      <c r="AT247" s="439"/>
      <c r="AU247" s="439"/>
      <c r="AV247" s="439"/>
      <c r="AW247" s="439"/>
      <c r="AX247" s="439"/>
      <c r="AY247" s="439"/>
      <c r="AZ247" s="439"/>
      <c r="BA247" s="439"/>
      <c r="BB247" s="439"/>
      <c r="BC247" s="439"/>
      <c r="BD247" s="439"/>
      <c r="BE247" s="439"/>
      <c r="BF247" s="439"/>
      <c r="BG247" s="439"/>
      <c r="BH247" s="439"/>
      <c r="BI247" s="439"/>
      <c r="BJ247" s="439"/>
      <c r="BK247" s="439"/>
      <c r="BL247" s="439"/>
      <c r="BM247" s="439"/>
      <c r="BN247" s="439"/>
      <c r="BO247" s="439"/>
      <c r="BP247" s="439"/>
      <c r="BQ247" s="439"/>
      <c r="BR247" s="439"/>
      <c r="BS247" s="439"/>
      <c r="BT247" s="439"/>
      <c r="BU247" s="439"/>
      <c r="BV247" s="439"/>
    </row>
    <row r="248" spans="2:74" x14ac:dyDescent="0.2">
      <c r="B248" s="91"/>
      <c r="C248" s="389"/>
      <c r="D248" s="389"/>
      <c r="E248" s="438"/>
      <c r="F248" s="439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  <c r="AA248" s="439"/>
      <c r="AB248" s="439"/>
      <c r="AC248" s="439"/>
      <c r="AD248" s="439"/>
      <c r="AE248" s="439"/>
      <c r="AF248" s="439"/>
      <c r="AG248" s="439"/>
      <c r="AH248" s="439"/>
      <c r="AI248" s="439"/>
      <c r="AJ248" s="439"/>
      <c r="AK248" s="439"/>
      <c r="AL248" s="439"/>
      <c r="AM248" s="439"/>
      <c r="AN248" s="439"/>
      <c r="AO248" s="439"/>
      <c r="AP248" s="439"/>
      <c r="AQ248" s="439"/>
      <c r="AR248" s="439"/>
      <c r="AS248" s="439"/>
      <c r="AT248" s="439"/>
      <c r="AU248" s="439"/>
      <c r="AV248" s="439"/>
      <c r="AW248" s="439"/>
      <c r="AX248" s="439"/>
      <c r="AY248" s="439"/>
      <c r="AZ248" s="439"/>
      <c r="BA248" s="439"/>
      <c r="BB248" s="439"/>
      <c r="BC248" s="439"/>
      <c r="BD248" s="439"/>
      <c r="BE248" s="439"/>
      <c r="BF248" s="439"/>
      <c r="BG248" s="439"/>
      <c r="BH248" s="439"/>
      <c r="BI248" s="439"/>
      <c r="BJ248" s="439"/>
      <c r="BK248" s="439"/>
      <c r="BL248" s="439"/>
      <c r="BM248" s="439"/>
      <c r="BN248" s="439"/>
      <c r="BO248" s="439"/>
      <c r="BP248" s="439"/>
      <c r="BQ248" s="439"/>
      <c r="BR248" s="439"/>
      <c r="BS248" s="439"/>
      <c r="BT248" s="439"/>
      <c r="BU248" s="439"/>
      <c r="BV248" s="439"/>
    </row>
    <row r="249" spans="2:74" x14ac:dyDescent="0.2">
      <c r="B249" s="91"/>
      <c r="C249" s="389"/>
      <c r="D249" s="389"/>
      <c r="E249" s="438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  <c r="AA249" s="439"/>
      <c r="AB249" s="439"/>
      <c r="AC249" s="439"/>
      <c r="AD249" s="439"/>
      <c r="AE249" s="439"/>
      <c r="AF249" s="439"/>
      <c r="AG249" s="439"/>
      <c r="AH249" s="439"/>
      <c r="AI249" s="439"/>
      <c r="AJ249" s="439"/>
      <c r="AK249" s="439"/>
      <c r="AL249" s="439"/>
      <c r="AM249" s="439"/>
      <c r="AN249" s="439"/>
      <c r="AO249" s="439"/>
      <c r="AP249" s="439"/>
      <c r="AQ249" s="439"/>
      <c r="AR249" s="439"/>
      <c r="AS249" s="439"/>
      <c r="AT249" s="439"/>
      <c r="AU249" s="439"/>
      <c r="AV249" s="439"/>
      <c r="AW249" s="439"/>
      <c r="AX249" s="439"/>
      <c r="AY249" s="439"/>
      <c r="AZ249" s="439"/>
      <c r="BA249" s="439"/>
      <c r="BB249" s="439"/>
      <c r="BC249" s="439"/>
      <c r="BD249" s="439"/>
      <c r="BE249" s="439"/>
      <c r="BF249" s="439"/>
      <c r="BG249" s="439"/>
      <c r="BH249" s="439"/>
      <c r="BI249" s="439"/>
      <c r="BJ249" s="439"/>
      <c r="BK249" s="439"/>
      <c r="BL249" s="439"/>
      <c r="BM249" s="439"/>
      <c r="BN249" s="439"/>
      <c r="BO249" s="439"/>
      <c r="BP249" s="439"/>
      <c r="BQ249" s="439"/>
      <c r="BR249" s="439"/>
      <c r="BS249" s="439"/>
      <c r="BT249" s="439"/>
      <c r="BU249" s="439"/>
      <c r="BV249" s="439"/>
    </row>
    <row r="250" spans="2:74" x14ac:dyDescent="0.2">
      <c r="B250" s="91"/>
      <c r="C250" s="389"/>
      <c r="D250" s="389"/>
      <c r="E250" s="438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  <c r="AA250" s="439"/>
      <c r="AB250" s="439"/>
      <c r="AC250" s="439"/>
      <c r="AD250" s="439"/>
      <c r="AE250" s="439"/>
      <c r="AF250" s="439"/>
      <c r="AG250" s="439"/>
      <c r="AH250" s="439"/>
      <c r="AI250" s="439"/>
      <c r="AJ250" s="439"/>
      <c r="AK250" s="439"/>
      <c r="AL250" s="439"/>
      <c r="AM250" s="439"/>
      <c r="AN250" s="439"/>
      <c r="AO250" s="439"/>
      <c r="AP250" s="439"/>
      <c r="AQ250" s="439"/>
      <c r="AR250" s="439"/>
      <c r="AS250" s="439"/>
      <c r="AT250" s="439"/>
      <c r="AU250" s="439"/>
      <c r="AV250" s="439"/>
      <c r="AW250" s="439"/>
      <c r="AX250" s="439"/>
      <c r="AY250" s="439"/>
      <c r="AZ250" s="439"/>
      <c r="BA250" s="439"/>
      <c r="BB250" s="439"/>
      <c r="BC250" s="439"/>
      <c r="BD250" s="439"/>
      <c r="BE250" s="439"/>
      <c r="BF250" s="439"/>
      <c r="BG250" s="439"/>
      <c r="BH250" s="439"/>
      <c r="BI250" s="439"/>
      <c r="BJ250" s="439"/>
      <c r="BK250" s="439"/>
      <c r="BL250" s="439"/>
      <c r="BM250" s="439"/>
      <c r="BN250" s="439"/>
      <c r="BO250" s="439"/>
      <c r="BP250" s="439"/>
      <c r="BQ250" s="439"/>
      <c r="BR250" s="439"/>
      <c r="BS250" s="439"/>
      <c r="BT250" s="439"/>
      <c r="BU250" s="439"/>
      <c r="BV250" s="439"/>
    </row>
    <row r="251" spans="2:74" x14ac:dyDescent="0.2">
      <c r="B251" s="91"/>
      <c r="C251" s="389"/>
      <c r="D251" s="389"/>
      <c r="E251" s="438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  <c r="AA251" s="439"/>
      <c r="AB251" s="439"/>
      <c r="AC251" s="439"/>
      <c r="AD251" s="439"/>
      <c r="AE251" s="439"/>
      <c r="AF251" s="439"/>
      <c r="AG251" s="439"/>
      <c r="AH251" s="439"/>
      <c r="AI251" s="439"/>
      <c r="AJ251" s="439"/>
      <c r="AK251" s="439"/>
      <c r="AL251" s="439"/>
      <c r="AM251" s="439"/>
      <c r="AN251" s="439"/>
      <c r="AO251" s="439"/>
      <c r="AP251" s="439"/>
      <c r="AQ251" s="439"/>
      <c r="AR251" s="439"/>
      <c r="AS251" s="439"/>
      <c r="AT251" s="439"/>
      <c r="AU251" s="439"/>
      <c r="AV251" s="439"/>
      <c r="AW251" s="439"/>
      <c r="AX251" s="439"/>
      <c r="AY251" s="439"/>
      <c r="AZ251" s="439"/>
      <c r="BA251" s="439"/>
      <c r="BB251" s="439"/>
      <c r="BC251" s="439"/>
      <c r="BD251" s="439"/>
      <c r="BE251" s="439"/>
      <c r="BF251" s="439"/>
      <c r="BG251" s="439"/>
      <c r="BH251" s="439"/>
      <c r="BI251" s="439"/>
      <c r="BJ251" s="439"/>
      <c r="BK251" s="439"/>
      <c r="BL251" s="439"/>
      <c r="BM251" s="439"/>
      <c r="BN251" s="439"/>
      <c r="BO251" s="439"/>
      <c r="BP251" s="439"/>
      <c r="BQ251" s="439"/>
      <c r="BR251" s="439"/>
      <c r="BS251" s="439"/>
      <c r="BT251" s="439"/>
      <c r="BU251" s="439"/>
      <c r="BV251" s="439"/>
    </row>
    <row r="252" spans="2:74" x14ac:dyDescent="0.2">
      <c r="B252" s="91"/>
      <c r="C252" s="389"/>
      <c r="D252" s="389"/>
      <c r="E252" s="438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  <c r="AA252" s="439"/>
      <c r="AB252" s="439"/>
      <c r="AC252" s="439"/>
      <c r="AD252" s="439"/>
      <c r="AE252" s="439"/>
      <c r="AF252" s="439"/>
      <c r="AG252" s="439"/>
      <c r="AH252" s="439"/>
      <c r="AI252" s="439"/>
      <c r="AJ252" s="439"/>
      <c r="AK252" s="439"/>
      <c r="AL252" s="439"/>
      <c r="AM252" s="439"/>
      <c r="AN252" s="439"/>
      <c r="AO252" s="439"/>
      <c r="AP252" s="439"/>
      <c r="AQ252" s="439"/>
      <c r="AR252" s="439"/>
      <c r="AS252" s="439"/>
      <c r="AT252" s="439"/>
      <c r="AU252" s="439"/>
      <c r="AV252" s="439"/>
      <c r="AW252" s="439"/>
      <c r="AX252" s="439"/>
      <c r="AY252" s="439"/>
      <c r="AZ252" s="439"/>
      <c r="BA252" s="439"/>
      <c r="BB252" s="439"/>
      <c r="BC252" s="439"/>
      <c r="BD252" s="439"/>
      <c r="BE252" s="439"/>
      <c r="BF252" s="439"/>
      <c r="BG252" s="439"/>
      <c r="BH252" s="439"/>
      <c r="BI252" s="439"/>
      <c r="BJ252" s="439"/>
      <c r="BK252" s="439"/>
      <c r="BL252" s="439"/>
      <c r="BM252" s="439"/>
      <c r="BN252" s="439"/>
      <c r="BO252" s="439"/>
      <c r="BP252" s="439"/>
      <c r="BQ252" s="439"/>
      <c r="BR252" s="439"/>
      <c r="BS252" s="439"/>
      <c r="BT252" s="439"/>
      <c r="BU252" s="439"/>
      <c r="BV252" s="439"/>
    </row>
    <row r="253" spans="2:74" x14ac:dyDescent="0.2">
      <c r="B253" s="91"/>
      <c r="C253" s="389"/>
      <c r="D253" s="389"/>
      <c r="E253" s="438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  <c r="AA253" s="439"/>
      <c r="AB253" s="439"/>
      <c r="AC253" s="439"/>
      <c r="AD253" s="439"/>
      <c r="AE253" s="439"/>
      <c r="AF253" s="439"/>
      <c r="AG253" s="439"/>
      <c r="AH253" s="439"/>
      <c r="AI253" s="439"/>
      <c r="AJ253" s="439"/>
      <c r="AK253" s="439"/>
      <c r="AL253" s="439"/>
      <c r="AM253" s="439"/>
      <c r="AN253" s="439"/>
      <c r="AO253" s="439"/>
      <c r="AP253" s="439"/>
      <c r="AQ253" s="439"/>
      <c r="AR253" s="439"/>
      <c r="AS253" s="439"/>
      <c r="AT253" s="439"/>
      <c r="AU253" s="439"/>
      <c r="AV253" s="439"/>
      <c r="AW253" s="439"/>
      <c r="AX253" s="439"/>
      <c r="AY253" s="439"/>
      <c r="AZ253" s="439"/>
      <c r="BA253" s="439"/>
      <c r="BB253" s="439"/>
      <c r="BC253" s="439"/>
      <c r="BD253" s="439"/>
      <c r="BE253" s="439"/>
      <c r="BF253" s="439"/>
      <c r="BG253" s="439"/>
      <c r="BH253" s="439"/>
      <c r="BI253" s="439"/>
      <c r="BJ253" s="439"/>
      <c r="BK253" s="439"/>
      <c r="BL253" s="439"/>
      <c r="BM253" s="439"/>
      <c r="BN253" s="439"/>
      <c r="BO253" s="439"/>
      <c r="BP253" s="439"/>
      <c r="BQ253" s="439"/>
      <c r="BR253" s="439"/>
      <c r="BS253" s="439"/>
      <c r="BT253" s="439"/>
      <c r="BU253" s="439"/>
      <c r="BV253" s="439"/>
    </row>
    <row r="254" spans="2:74" x14ac:dyDescent="0.2">
      <c r="B254" s="91"/>
      <c r="C254" s="389"/>
      <c r="D254" s="389"/>
      <c r="E254" s="438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  <c r="AA254" s="439"/>
      <c r="AB254" s="439"/>
      <c r="AC254" s="439"/>
      <c r="AD254" s="439"/>
      <c r="AE254" s="439"/>
      <c r="AF254" s="439"/>
      <c r="AG254" s="439"/>
      <c r="AH254" s="439"/>
      <c r="AI254" s="439"/>
      <c r="AJ254" s="439"/>
      <c r="AK254" s="439"/>
      <c r="AL254" s="439"/>
      <c r="AM254" s="439"/>
      <c r="AN254" s="439"/>
      <c r="AO254" s="439"/>
      <c r="AP254" s="439"/>
      <c r="AQ254" s="439"/>
      <c r="AR254" s="439"/>
      <c r="AS254" s="439"/>
      <c r="AT254" s="439"/>
      <c r="AU254" s="439"/>
      <c r="AV254" s="439"/>
      <c r="AW254" s="439"/>
      <c r="AX254" s="439"/>
      <c r="AY254" s="439"/>
      <c r="AZ254" s="439"/>
      <c r="BA254" s="439"/>
      <c r="BB254" s="439"/>
      <c r="BC254" s="439"/>
      <c r="BD254" s="439"/>
      <c r="BE254" s="439"/>
      <c r="BF254" s="439"/>
      <c r="BG254" s="439"/>
      <c r="BH254" s="439"/>
      <c r="BI254" s="439"/>
      <c r="BJ254" s="439"/>
      <c r="BK254" s="439"/>
      <c r="BL254" s="439"/>
      <c r="BM254" s="439"/>
      <c r="BN254" s="439"/>
      <c r="BO254" s="439"/>
      <c r="BP254" s="439"/>
      <c r="BQ254" s="439"/>
      <c r="BR254" s="439"/>
      <c r="BS254" s="439"/>
      <c r="BT254" s="439"/>
      <c r="BU254" s="439"/>
      <c r="BV254" s="439"/>
    </row>
    <row r="255" spans="2:74" x14ac:dyDescent="0.2">
      <c r="B255" s="91"/>
      <c r="C255" s="389"/>
      <c r="D255" s="389"/>
      <c r="E255" s="438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  <c r="AJ255" s="439"/>
      <c r="AK255" s="439"/>
      <c r="AL255" s="439"/>
      <c r="AM255" s="439"/>
      <c r="AN255" s="439"/>
      <c r="AO255" s="439"/>
      <c r="AP255" s="439"/>
      <c r="AQ255" s="439"/>
      <c r="AR255" s="439"/>
      <c r="AS255" s="439"/>
      <c r="AT255" s="439"/>
      <c r="AU255" s="439"/>
      <c r="AV255" s="439"/>
      <c r="AW255" s="439"/>
      <c r="AX255" s="439"/>
      <c r="AY255" s="439"/>
      <c r="AZ255" s="439"/>
      <c r="BA255" s="439"/>
      <c r="BB255" s="439"/>
      <c r="BC255" s="439"/>
      <c r="BD255" s="439"/>
      <c r="BE255" s="439"/>
      <c r="BF255" s="439"/>
      <c r="BG255" s="439"/>
      <c r="BH255" s="439"/>
      <c r="BI255" s="439"/>
      <c r="BJ255" s="439"/>
      <c r="BK255" s="439"/>
      <c r="BL255" s="439"/>
      <c r="BM255" s="439"/>
      <c r="BN255" s="439"/>
      <c r="BO255" s="439"/>
      <c r="BP255" s="439"/>
      <c r="BQ255" s="439"/>
      <c r="BR255" s="439"/>
      <c r="BS255" s="439"/>
      <c r="BT255" s="439"/>
      <c r="BU255" s="439"/>
      <c r="BV255" s="439"/>
    </row>
    <row r="256" spans="2:74" x14ac:dyDescent="0.2">
      <c r="B256" s="91"/>
      <c r="C256" s="389"/>
      <c r="D256" s="389"/>
      <c r="E256" s="438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  <c r="AA256" s="439"/>
      <c r="AB256" s="439"/>
      <c r="AC256" s="439"/>
      <c r="AD256" s="439"/>
      <c r="AE256" s="439"/>
      <c r="AF256" s="439"/>
      <c r="AG256" s="439"/>
      <c r="AH256" s="439"/>
      <c r="AI256" s="439"/>
      <c r="AJ256" s="439"/>
      <c r="AK256" s="439"/>
      <c r="AL256" s="439"/>
      <c r="AM256" s="439"/>
      <c r="AN256" s="439"/>
      <c r="AO256" s="439"/>
      <c r="AP256" s="439"/>
      <c r="AQ256" s="439"/>
      <c r="AR256" s="439"/>
      <c r="AS256" s="439"/>
      <c r="AT256" s="439"/>
      <c r="AU256" s="439"/>
      <c r="AV256" s="439"/>
      <c r="AW256" s="439"/>
      <c r="AX256" s="439"/>
      <c r="AY256" s="439"/>
      <c r="AZ256" s="439"/>
      <c r="BA256" s="439"/>
      <c r="BB256" s="439"/>
      <c r="BC256" s="439"/>
      <c r="BD256" s="439"/>
      <c r="BE256" s="439"/>
      <c r="BF256" s="439"/>
      <c r="BG256" s="439"/>
      <c r="BH256" s="439"/>
      <c r="BI256" s="439"/>
      <c r="BJ256" s="439"/>
      <c r="BK256" s="439"/>
      <c r="BL256" s="439"/>
      <c r="BM256" s="439"/>
      <c r="BN256" s="439"/>
      <c r="BO256" s="439"/>
      <c r="BP256" s="439"/>
      <c r="BQ256" s="439"/>
      <c r="BR256" s="439"/>
      <c r="BS256" s="439"/>
      <c r="BT256" s="439"/>
      <c r="BU256" s="439"/>
      <c r="BV256" s="439"/>
    </row>
    <row r="257" spans="2:74" x14ac:dyDescent="0.2">
      <c r="B257" s="91"/>
      <c r="C257" s="389"/>
      <c r="D257" s="389"/>
      <c r="E257" s="438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  <c r="AA257" s="439"/>
      <c r="AB257" s="439"/>
      <c r="AC257" s="439"/>
      <c r="AD257" s="439"/>
      <c r="AE257" s="439"/>
      <c r="AF257" s="439"/>
      <c r="AG257" s="439"/>
      <c r="AH257" s="439"/>
      <c r="AI257" s="439"/>
      <c r="AJ257" s="439"/>
      <c r="AK257" s="439"/>
      <c r="AL257" s="439"/>
      <c r="AM257" s="439"/>
      <c r="AN257" s="439"/>
      <c r="AO257" s="439"/>
      <c r="AP257" s="439"/>
      <c r="AQ257" s="439"/>
      <c r="AR257" s="439"/>
      <c r="AS257" s="439"/>
      <c r="AT257" s="439"/>
      <c r="AU257" s="439"/>
      <c r="AV257" s="439"/>
      <c r="AW257" s="439"/>
      <c r="AX257" s="439"/>
      <c r="AY257" s="439"/>
      <c r="AZ257" s="439"/>
      <c r="BA257" s="439"/>
      <c r="BB257" s="439"/>
      <c r="BC257" s="439"/>
      <c r="BD257" s="439"/>
      <c r="BE257" s="439"/>
      <c r="BF257" s="439"/>
      <c r="BG257" s="439"/>
      <c r="BH257" s="439"/>
      <c r="BI257" s="439"/>
      <c r="BJ257" s="439"/>
      <c r="BK257" s="439"/>
      <c r="BL257" s="439"/>
      <c r="BM257" s="439"/>
      <c r="BN257" s="439"/>
      <c r="BO257" s="439"/>
      <c r="BP257" s="439"/>
      <c r="BQ257" s="439"/>
      <c r="BR257" s="439"/>
      <c r="BS257" s="439"/>
      <c r="BT257" s="439"/>
      <c r="BU257" s="439"/>
      <c r="BV257" s="439"/>
    </row>
    <row r="258" spans="2:74" x14ac:dyDescent="0.2">
      <c r="B258" s="91"/>
      <c r="C258" s="389"/>
      <c r="D258" s="389"/>
      <c r="E258" s="438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  <c r="AA258" s="439"/>
      <c r="AB258" s="439"/>
      <c r="AC258" s="439"/>
      <c r="AD258" s="439"/>
      <c r="AE258" s="439"/>
      <c r="AF258" s="439"/>
      <c r="AG258" s="439"/>
      <c r="AH258" s="439"/>
      <c r="AI258" s="439"/>
      <c r="AJ258" s="439"/>
      <c r="AK258" s="439"/>
      <c r="AL258" s="439"/>
      <c r="AM258" s="439"/>
      <c r="AN258" s="439"/>
      <c r="AO258" s="439"/>
      <c r="AP258" s="439"/>
      <c r="AQ258" s="439"/>
      <c r="AR258" s="439"/>
      <c r="AS258" s="439"/>
      <c r="AT258" s="439"/>
      <c r="AU258" s="439"/>
      <c r="AV258" s="439"/>
      <c r="AW258" s="439"/>
      <c r="AX258" s="439"/>
      <c r="AY258" s="439"/>
      <c r="AZ258" s="439"/>
      <c r="BA258" s="439"/>
      <c r="BB258" s="439"/>
      <c r="BC258" s="439"/>
      <c r="BD258" s="439"/>
      <c r="BE258" s="439"/>
      <c r="BF258" s="439"/>
      <c r="BG258" s="439"/>
      <c r="BH258" s="439"/>
      <c r="BI258" s="439"/>
      <c r="BJ258" s="439"/>
      <c r="BK258" s="439"/>
      <c r="BL258" s="439"/>
      <c r="BM258" s="439"/>
      <c r="BN258" s="439"/>
      <c r="BO258" s="439"/>
      <c r="BP258" s="439"/>
      <c r="BQ258" s="439"/>
      <c r="BR258" s="439"/>
      <c r="BS258" s="439"/>
      <c r="BT258" s="439"/>
      <c r="BU258" s="439"/>
      <c r="BV258" s="439"/>
    </row>
    <row r="259" spans="2:74" x14ac:dyDescent="0.2">
      <c r="B259" s="91"/>
      <c r="C259" s="91"/>
      <c r="D259" s="91"/>
      <c r="E259" s="438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  <c r="AA259" s="439"/>
      <c r="AB259" s="439"/>
      <c r="AC259" s="439"/>
      <c r="AD259" s="439"/>
      <c r="AE259" s="439"/>
      <c r="AF259" s="439"/>
      <c r="AG259" s="439"/>
      <c r="AH259" s="439"/>
      <c r="AI259" s="439"/>
      <c r="AJ259" s="439"/>
      <c r="AK259" s="439"/>
      <c r="AL259" s="439"/>
      <c r="AM259" s="439"/>
      <c r="AN259" s="439"/>
      <c r="AO259" s="439"/>
      <c r="AP259" s="439"/>
      <c r="AQ259" s="439"/>
      <c r="AR259" s="439"/>
      <c r="AS259" s="439"/>
      <c r="AT259" s="439"/>
      <c r="AU259" s="439"/>
      <c r="AV259" s="439"/>
      <c r="AW259" s="439"/>
      <c r="AX259" s="439"/>
      <c r="AY259" s="439"/>
      <c r="AZ259" s="439"/>
      <c r="BA259" s="439"/>
      <c r="BB259" s="439"/>
      <c r="BC259" s="439"/>
      <c r="BD259" s="439"/>
      <c r="BE259" s="439"/>
      <c r="BF259" s="439"/>
      <c r="BG259" s="439"/>
      <c r="BH259" s="439"/>
      <c r="BI259" s="439"/>
      <c r="BJ259" s="439"/>
      <c r="BK259" s="439"/>
      <c r="BL259" s="439"/>
      <c r="BM259" s="439"/>
      <c r="BN259" s="439"/>
      <c r="BO259" s="439"/>
      <c r="BP259" s="439"/>
      <c r="BQ259" s="439"/>
      <c r="BR259" s="439"/>
      <c r="BS259" s="439"/>
      <c r="BT259" s="439"/>
      <c r="BU259" s="439"/>
      <c r="BV259" s="439"/>
    </row>
    <row r="260" spans="2:74" x14ac:dyDescent="0.2">
      <c r="B260" s="91"/>
      <c r="C260" s="389"/>
      <c r="D260" s="389"/>
      <c r="E260" s="438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  <c r="AA260" s="439"/>
      <c r="AB260" s="439"/>
      <c r="AC260" s="439"/>
      <c r="AD260" s="439"/>
      <c r="AE260" s="439"/>
      <c r="AF260" s="439"/>
      <c r="AG260" s="439"/>
      <c r="AH260" s="439"/>
      <c r="AI260" s="439"/>
      <c r="AJ260" s="439"/>
      <c r="AK260" s="439"/>
      <c r="AL260" s="439"/>
      <c r="AM260" s="439"/>
      <c r="AN260" s="439"/>
      <c r="AO260" s="439"/>
      <c r="AP260" s="439"/>
      <c r="AQ260" s="439"/>
      <c r="AR260" s="439"/>
      <c r="AS260" s="439"/>
      <c r="AT260" s="439"/>
      <c r="AU260" s="439"/>
      <c r="AV260" s="439"/>
      <c r="AW260" s="439"/>
      <c r="AX260" s="439"/>
      <c r="AY260" s="439"/>
      <c r="AZ260" s="439"/>
      <c r="BA260" s="439"/>
      <c r="BB260" s="439"/>
      <c r="BC260" s="439"/>
      <c r="BD260" s="439"/>
      <c r="BE260" s="439"/>
      <c r="BF260" s="439"/>
      <c r="BG260" s="439"/>
      <c r="BH260" s="439"/>
      <c r="BI260" s="439"/>
      <c r="BJ260" s="439"/>
      <c r="BK260" s="439"/>
      <c r="BL260" s="439"/>
      <c r="BM260" s="439"/>
      <c r="BN260" s="439"/>
      <c r="BO260" s="439"/>
      <c r="BP260" s="439"/>
      <c r="BQ260" s="439"/>
      <c r="BR260" s="439"/>
      <c r="BS260" s="439"/>
      <c r="BT260" s="439"/>
      <c r="BU260" s="439"/>
      <c r="BV260" s="439"/>
    </row>
    <row r="261" spans="2:74" x14ac:dyDescent="0.2">
      <c r="B261" s="441"/>
      <c r="C261" s="389"/>
      <c r="D261" s="389"/>
      <c r="E261" s="438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  <c r="AA261" s="439"/>
      <c r="AB261" s="439"/>
      <c r="AC261" s="439"/>
      <c r="AD261" s="439"/>
      <c r="AE261" s="439"/>
      <c r="AF261" s="439"/>
      <c r="AG261" s="439"/>
      <c r="AH261" s="439"/>
      <c r="AI261" s="439"/>
      <c r="AJ261" s="439"/>
      <c r="AK261" s="439"/>
      <c r="AL261" s="439"/>
      <c r="AM261" s="439"/>
      <c r="AN261" s="439"/>
      <c r="AO261" s="439"/>
      <c r="AP261" s="439"/>
      <c r="AQ261" s="439"/>
      <c r="AR261" s="439"/>
      <c r="AS261" s="439"/>
      <c r="AT261" s="439"/>
      <c r="AU261" s="439"/>
      <c r="AV261" s="439"/>
      <c r="AW261" s="439"/>
      <c r="AX261" s="439"/>
      <c r="AY261" s="439"/>
      <c r="AZ261" s="439"/>
      <c r="BA261" s="439"/>
      <c r="BB261" s="439"/>
      <c r="BC261" s="439"/>
      <c r="BD261" s="439"/>
      <c r="BE261" s="439"/>
      <c r="BF261" s="439"/>
      <c r="BG261" s="439"/>
      <c r="BH261" s="439"/>
      <c r="BI261" s="439"/>
      <c r="BJ261" s="439"/>
      <c r="BK261" s="439"/>
      <c r="BL261" s="439"/>
      <c r="BM261" s="439"/>
      <c r="BN261" s="439"/>
      <c r="BO261" s="439"/>
      <c r="BP261" s="439"/>
      <c r="BQ261" s="439"/>
      <c r="BR261" s="439"/>
      <c r="BS261" s="439"/>
      <c r="BT261" s="439"/>
      <c r="BU261" s="439"/>
      <c r="BV261" s="439"/>
    </row>
    <row r="262" spans="2:74" x14ac:dyDescent="0.2">
      <c r="B262" s="91"/>
      <c r="C262" s="389"/>
      <c r="D262" s="389"/>
      <c r="E262" s="438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  <c r="AA262" s="439"/>
      <c r="AB262" s="439"/>
      <c r="AC262" s="439"/>
      <c r="AD262" s="439"/>
      <c r="AE262" s="439"/>
      <c r="AF262" s="439"/>
      <c r="AG262" s="439"/>
      <c r="AH262" s="439"/>
      <c r="AI262" s="439"/>
      <c r="AJ262" s="439"/>
      <c r="AK262" s="439"/>
      <c r="AL262" s="439"/>
      <c r="AM262" s="439"/>
      <c r="AN262" s="439"/>
      <c r="AO262" s="439"/>
      <c r="AP262" s="439"/>
      <c r="AQ262" s="439"/>
      <c r="AR262" s="439"/>
      <c r="AS262" s="439"/>
      <c r="AT262" s="439"/>
      <c r="AU262" s="439"/>
      <c r="AV262" s="439"/>
      <c r="AW262" s="439"/>
      <c r="AX262" s="439"/>
      <c r="AY262" s="439"/>
      <c r="AZ262" s="439"/>
      <c r="BA262" s="439"/>
      <c r="BB262" s="439"/>
      <c r="BC262" s="439"/>
      <c r="BD262" s="439"/>
      <c r="BE262" s="439"/>
      <c r="BF262" s="439"/>
      <c r="BG262" s="439"/>
      <c r="BH262" s="439"/>
      <c r="BI262" s="439"/>
      <c r="BJ262" s="439"/>
      <c r="BK262" s="439"/>
      <c r="BL262" s="439"/>
      <c r="BM262" s="439"/>
      <c r="BN262" s="439"/>
      <c r="BO262" s="439"/>
      <c r="BP262" s="439"/>
      <c r="BQ262" s="439"/>
      <c r="BR262" s="439"/>
      <c r="BS262" s="439"/>
      <c r="BT262" s="439"/>
      <c r="BU262" s="439"/>
      <c r="BV262" s="439"/>
    </row>
    <row r="263" spans="2:74" x14ac:dyDescent="0.2">
      <c r="B263" s="91"/>
      <c r="C263" s="389"/>
      <c r="D263" s="389"/>
      <c r="E263" s="438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  <c r="AA263" s="439"/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39"/>
      <c r="AY263" s="439"/>
      <c r="AZ263" s="439"/>
      <c r="BA263" s="439"/>
      <c r="BB263" s="439"/>
      <c r="BC263" s="439"/>
      <c r="BD263" s="439"/>
      <c r="BE263" s="439"/>
      <c r="BF263" s="439"/>
      <c r="BG263" s="439"/>
      <c r="BH263" s="439"/>
      <c r="BI263" s="439"/>
      <c r="BJ263" s="439"/>
      <c r="BK263" s="439"/>
      <c r="BL263" s="439"/>
      <c r="BM263" s="439"/>
      <c r="BN263" s="439"/>
      <c r="BO263" s="439"/>
      <c r="BP263" s="439"/>
      <c r="BQ263" s="439"/>
      <c r="BR263" s="439"/>
      <c r="BS263" s="439"/>
      <c r="BT263" s="439"/>
      <c r="BU263" s="439"/>
      <c r="BV263" s="439"/>
    </row>
    <row r="264" spans="2:74" x14ac:dyDescent="0.2">
      <c r="B264" s="91"/>
      <c r="C264" s="389"/>
      <c r="D264" s="389"/>
      <c r="E264" s="438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  <c r="AA264" s="439"/>
      <c r="AB264" s="439"/>
      <c r="AC264" s="439"/>
      <c r="AD264" s="439"/>
      <c r="AE264" s="439"/>
      <c r="AF264" s="439"/>
      <c r="AG264" s="439"/>
      <c r="AH264" s="439"/>
      <c r="AI264" s="439"/>
      <c r="AJ264" s="439"/>
      <c r="AK264" s="439"/>
      <c r="AL264" s="439"/>
      <c r="AM264" s="439"/>
      <c r="AN264" s="439"/>
      <c r="AO264" s="439"/>
      <c r="AP264" s="439"/>
      <c r="AQ264" s="439"/>
      <c r="AR264" s="439"/>
      <c r="AS264" s="439"/>
      <c r="AT264" s="439"/>
      <c r="AU264" s="439"/>
      <c r="AV264" s="439"/>
      <c r="AW264" s="439"/>
      <c r="AX264" s="439"/>
      <c r="AY264" s="439"/>
      <c r="AZ264" s="439"/>
      <c r="BA264" s="439"/>
      <c r="BB264" s="439"/>
      <c r="BC264" s="439"/>
      <c r="BD264" s="439"/>
      <c r="BE264" s="439"/>
      <c r="BF264" s="439"/>
      <c r="BG264" s="439"/>
      <c r="BH264" s="439"/>
      <c r="BI264" s="439"/>
      <c r="BJ264" s="439"/>
      <c r="BK264" s="439"/>
      <c r="BL264" s="439"/>
      <c r="BM264" s="439"/>
      <c r="BN264" s="439"/>
      <c r="BO264" s="439"/>
      <c r="BP264" s="439"/>
      <c r="BQ264" s="439"/>
      <c r="BR264" s="439"/>
      <c r="BS264" s="439"/>
      <c r="BT264" s="439"/>
      <c r="BU264" s="439"/>
      <c r="BV264" s="439"/>
    </row>
    <row r="265" spans="2:74" x14ac:dyDescent="0.2">
      <c r="B265" s="91"/>
      <c r="C265" s="389"/>
      <c r="D265" s="389"/>
      <c r="E265" s="438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  <c r="AA265" s="439"/>
      <c r="AB265" s="439"/>
      <c r="AC265" s="439"/>
      <c r="AD265" s="439"/>
      <c r="AE265" s="439"/>
      <c r="AF265" s="439"/>
      <c r="AG265" s="439"/>
      <c r="AH265" s="439"/>
      <c r="AI265" s="439"/>
      <c r="AJ265" s="439"/>
      <c r="AK265" s="439"/>
      <c r="AL265" s="439"/>
      <c r="AM265" s="439"/>
      <c r="AN265" s="439"/>
      <c r="AO265" s="439"/>
      <c r="AP265" s="439"/>
      <c r="AQ265" s="439"/>
      <c r="AR265" s="439"/>
      <c r="AS265" s="439"/>
      <c r="AT265" s="439"/>
      <c r="AU265" s="439"/>
      <c r="AV265" s="439"/>
      <c r="AW265" s="439"/>
      <c r="AX265" s="439"/>
      <c r="AY265" s="439"/>
      <c r="AZ265" s="439"/>
      <c r="BA265" s="439"/>
      <c r="BB265" s="439"/>
      <c r="BC265" s="439"/>
      <c r="BD265" s="439"/>
      <c r="BE265" s="439"/>
      <c r="BF265" s="439"/>
      <c r="BG265" s="439"/>
      <c r="BH265" s="439"/>
      <c r="BI265" s="439"/>
      <c r="BJ265" s="439"/>
      <c r="BK265" s="439"/>
      <c r="BL265" s="439"/>
      <c r="BM265" s="439"/>
      <c r="BN265" s="439"/>
      <c r="BO265" s="439"/>
      <c r="BP265" s="439"/>
      <c r="BQ265" s="439"/>
      <c r="BR265" s="439"/>
      <c r="BS265" s="439"/>
      <c r="BT265" s="439"/>
      <c r="BU265" s="439"/>
      <c r="BV265" s="439"/>
    </row>
    <row r="266" spans="2:74" x14ac:dyDescent="0.2">
      <c r="B266" s="91"/>
      <c r="C266" s="389"/>
      <c r="D266" s="389"/>
      <c r="E266" s="438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  <c r="AJ266" s="439"/>
      <c r="AK266" s="439"/>
      <c r="AL266" s="439"/>
      <c r="AM266" s="439"/>
      <c r="AN266" s="439"/>
      <c r="AO266" s="439"/>
      <c r="AP266" s="439"/>
      <c r="AQ266" s="439"/>
      <c r="AR266" s="439"/>
      <c r="AS266" s="439"/>
      <c r="AT266" s="439"/>
      <c r="AU266" s="439"/>
      <c r="AV266" s="439"/>
      <c r="AW266" s="439"/>
      <c r="AX266" s="439"/>
      <c r="AY266" s="439"/>
      <c r="AZ266" s="439"/>
      <c r="BA266" s="439"/>
      <c r="BB266" s="439"/>
      <c r="BC266" s="439"/>
      <c r="BD266" s="439"/>
      <c r="BE266" s="439"/>
      <c r="BF266" s="439"/>
      <c r="BG266" s="439"/>
      <c r="BH266" s="439"/>
      <c r="BI266" s="439"/>
      <c r="BJ266" s="439"/>
      <c r="BK266" s="439"/>
      <c r="BL266" s="439"/>
      <c r="BM266" s="439"/>
      <c r="BN266" s="439"/>
      <c r="BO266" s="439"/>
      <c r="BP266" s="439"/>
      <c r="BQ266" s="439"/>
      <c r="BR266" s="439"/>
      <c r="BS266" s="439"/>
      <c r="BT266" s="439"/>
      <c r="BU266" s="439"/>
      <c r="BV266" s="439"/>
    </row>
    <row r="267" spans="2:74" x14ac:dyDescent="0.2">
      <c r="B267" s="91"/>
      <c r="C267" s="389"/>
      <c r="D267" s="389"/>
      <c r="E267" s="438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  <c r="AA267" s="439"/>
      <c r="AB267" s="439"/>
      <c r="AC267" s="439"/>
      <c r="AD267" s="439"/>
      <c r="AE267" s="439"/>
      <c r="AF267" s="439"/>
      <c r="AG267" s="439"/>
      <c r="AH267" s="439"/>
      <c r="AI267" s="439"/>
      <c r="AJ267" s="439"/>
      <c r="AK267" s="439"/>
      <c r="AL267" s="439"/>
      <c r="AM267" s="439"/>
      <c r="AN267" s="439"/>
      <c r="AO267" s="439"/>
      <c r="AP267" s="439"/>
      <c r="AQ267" s="439"/>
      <c r="AR267" s="439"/>
      <c r="AS267" s="439"/>
      <c r="AT267" s="439"/>
      <c r="AU267" s="439"/>
      <c r="AV267" s="439"/>
      <c r="AW267" s="439"/>
      <c r="AX267" s="439"/>
      <c r="AY267" s="439"/>
      <c r="AZ267" s="439"/>
      <c r="BA267" s="439"/>
      <c r="BB267" s="439"/>
      <c r="BC267" s="439"/>
      <c r="BD267" s="439"/>
      <c r="BE267" s="439"/>
      <c r="BF267" s="439"/>
      <c r="BG267" s="439"/>
      <c r="BH267" s="439"/>
      <c r="BI267" s="439"/>
      <c r="BJ267" s="439"/>
      <c r="BK267" s="439"/>
      <c r="BL267" s="439"/>
      <c r="BM267" s="439"/>
      <c r="BN267" s="439"/>
      <c r="BO267" s="439"/>
      <c r="BP267" s="439"/>
      <c r="BQ267" s="439"/>
      <c r="BR267" s="439"/>
      <c r="BS267" s="439"/>
      <c r="BT267" s="439"/>
      <c r="BU267" s="439"/>
      <c r="BV267" s="439"/>
    </row>
    <row r="268" spans="2:74" x14ac:dyDescent="0.2">
      <c r="B268" s="91"/>
      <c r="C268" s="389"/>
      <c r="D268" s="389"/>
      <c r="E268" s="438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  <c r="AA268" s="439"/>
      <c r="AB268" s="439"/>
      <c r="AC268" s="439"/>
      <c r="AD268" s="439"/>
      <c r="AE268" s="439"/>
      <c r="AF268" s="439"/>
      <c r="AG268" s="439"/>
      <c r="AH268" s="439"/>
      <c r="AI268" s="439"/>
      <c r="AJ268" s="439"/>
      <c r="AK268" s="439"/>
      <c r="AL268" s="439"/>
      <c r="AM268" s="439"/>
      <c r="AN268" s="439"/>
      <c r="AO268" s="439"/>
      <c r="AP268" s="439"/>
      <c r="AQ268" s="439"/>
      <c r="AR268" s="439"/>
      <c r="AS268" s="439"/>
      <c r="AT268" s="439"/>
      <c r="AU268" s="439"/>
      <c r="AV268" s="439"/>
      <c r="AW268" s="439"/>
      <c r="AX268" s="439"/>
      <c r="AY268" s="439"/>
      <c r="AZ268" s="439"/>
      <c r="BA268" s="439"/>
      <c r="BB268" s="439"/>
      <c r="BC268" s="439"/>
      <c r="BD268" s="439"/>
      <c r="BE268" s="439"/>
      <c r="BF268" s="439"/>
      <c r="BG268" s="439"/>
      <c r="BH268" s="439"/>
      <c r="BI268" s="439"/>
      <c r="BJ268" s="439"/>
      <c r="BK268" s="439"/>
      <c r="BL268" s="439"/>
      <c r="BM268" s="439"/>
      <c r="BN268" s="439"/>
      <c r="BO268" s="439"/>
      <c r="BP268" s="439"/>
      <c r="BQ268" s="439"/>
      <c r="BR268" s="439"/>
      <c r="BS268" s="439"/>
      <c r="BT268" s="439"/>
      <c r="BU268" s="439"/>
      <c r="BV268" s="439"/>
    </row>
    <row r="269" spans="2:74" x14ac:dyDescent="0.2">
      <c r="B269" s="91"/>
      <c r="C269" s="389"/>
      <c r="D269" s="389"/>
      <c r="E269" s="438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  <c r="AJ269" s="439"/>
      <c r="AK269" s="439"/>
      <c r="AL269" s="439"/>
      <c r="AM269" s="439"/>
      <c r="AN269" s="439"/>
      <c r="AO269" s="439"/>
      <c r="AP269" s="439"/>
      <c r="AQ269" s="439"/>
      <c r="AR269" s="439"/>
      <c r="AS269" s="439"/>
      <c r="AT269" s="439"/>
      <c r="AU269" s="439"/>
      <c r="AV269" s="439"/>
      <c r="AW269" s="439"/>
      <c r="AX269" s="439"/>
      <c r="AY269" s="439"/>
      <c r="AZ269" s="439"/>
      <c r="BA269" s="439"/>
      <c r="BB269" s="439"/>
      <c r="BC269" s="439"/>
      <c r="BD269" s="439"/>
      <c r="BE269" s="439"/>
      <c r="BF269" s="439"/>
      <c r="BG269" s="439"/>
      <c r="BH269" s="439"/>
      <c r="BI269" s="439"/>
      <c r="BJ269" s="439"/>
      <c r="BK269" s="439"/>
      <c r="BL269" s="439"/>
      <c r="BM269" s="439"/>
      <c r="BN269" s="439"/>
      <c r="BO269" s="439"/>
      <c r="BP269" s="439"/>
      <c r="BQ269" s="439"/>
      <c r="BR269" s="439"/>
      <c r="BS269" s="439"/>
      <c r="BT269" s="439"/>
      <c r="BU269" s="439"/>
      <c r="BV269" s="439"/>
    </row>
    <row r="270" spans="2:74" x14ac:dyDescent="0.2">
      <c r="B270" s="91"/>
      <c r="C270" s="389"/>
      <c r="D270" s="389"/>
      <c r="E270" s="438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  <c r="AJ270" s="439"/>
      <c r="AK270" s="439"/>
      <c r="AL270" s="439"/>
      <c r="AM270" s="439"/>
      <c r="AN270" s="439"/>
      <c r="AO270" s="439"/>
      <c r="AP270" s="439"/>
      <c r="AQ270" s="439"/>
      <c r="AR270" s="439"/>
      <c r="AS270" s="439"/>
      <c r="AT270" s="439"/>
      <c r="AU270" s="439"/>
      <c r="AV270" s="439"/>
      <c r="AW270" s="439"/>
      <c r="AX270" s="439"/>
      <c r="AY270" s="439"/>
      <c r="AZ270" s="439"/>
      <c r="BA270" s="439"/>
      <c r="BB270" s="439"/>
      <c r="BC270" s="439"/>
      <c r="BD270" s="439"/>
      <c r="BE270" s="439"/>
      <c r="BF270" s="439"/>
      <c r="BG270" s="439"/>
      <c r="BH270" s="439"/>
      <c r="BI270" s="439"/>
      <c r="BJ270" s="439"/>
      <c r="BK270" s="439"/>
      <c r="BL270" s="439"/>
      <c r="BM270" s="439"/>
      <c r="BN270" s="439"/>
      <c r="BO270" s="439"/>
      <c r="BP270" s="439"/>
      <c r="BQ270" s="439"/>
      <c r="BR270" s="439"/>
      <c r="BS270" s="439"/>
      <c r="BT270" s="439"/>
      <c r="BU270" s="439"/>
      <c r="BV270" s="439"/>
    </row>
    <row r="271" spans="2:74" x14ac:dyDescent="0.2">
      <c r="B271" s="91"/>
      <c r="C271" s="91"/>
      <c r="D271" s="91"/>
      <c r="E271" s="438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  <c r="AA271" s="439"/>
      <c r="AB271" s="439"/>
      <c r="AC271" s="439"/>
      <c r="AD271" s="439"/>
      <c r="AE271" s="439"/>
      <c r="AF271" s="439"/>
      <c r="AG271" s="439"/>
      <c r="AH271" s="439"/>
      <c r="AI271" s="439"/>
      <c r="AJ271" s="439"/>
      <c r="AK271" s="439"/>
      <c r="AL271" s="439"/>
      <c r="AM271" s="439"/>
      <c r="AN271" s="439"/>
      <c r="AO271" s="439"/>
      <c r="AP271" s="439"/>
      <c r="AQ271" s="439"/>
      <c r="AR271" s="439"/>
      <c r="AS271" s="439"/>
      <c r="AT271" s="439"/>
      <c r="AU271" s="439"/>
      <c r="AV271" s="439"/>
      <c r="AW271" s="439"/>
      <c r="AX271" s="439"/>
      <c r="AY271" s="439"/>
      <c r="AZ271" s="439"/>
      <c r="BA271" s="439"/>
      <c r="BB271" s="439"/>
      <c r="BC271" s="439"/>
      <c r="BD271" s="439"/>
      <c r="BE271" s="439"/>
      <c r="BF271" s="439"/>
      <c r="BG271" s="439"/>
      <c r="BH271" s="439"/>
      <c r="BI271" s="439"/>
      <c r="BJ271" s="439"/>
      <c r="BK271" s="439"/>
      <c r="BL271" s="439"/>
      <c r="BM271" s="439"/>
      <c r="BN271" s="439"/>
      <c r="BO271" s="439"/>
      <c r="BP271" s="439"/>
      <c r="BQ271" s="439"/>
      <c r="BR271" s="439"/>
      <c r="BS271" s="439"/>
      <c r="BT271" s="439"/>
      <c r="BU271" s="439"/>
      <c r="BV271" s="439"/>
    </row>
    <row r="272" spans="2:74" x14ac:dyDescent="0.2">
      <c r="B272" s="91"/>
      <c r="C272" s="389"/>
      <c r="D272" s="389"/>
      <c r="E272" s="438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  <c r="AA272" s="439"/>
      <c r="AB272" s="439"/>
      <c r="AC272" s="439"/>
      <c r="AD272" s="439"/>
      <c r="AE272" s="439"/>
      <c r="AF272" s="439"/>
      <c r="AG272" s="439"/>
      <c r="AH272" s="439"/>
      <c r="AI272" s="439"/>
      <c r="AJ272" s="439"/>
      <c r="AK272" s="439"/>
      <c r="AL272" s="439"/>
      <c r="AM272" s="439"/>
      <c r="AN272" s="439"/>
      <c r="AO272" s="439"/>
      <c r="AP272" s="439"/>
      <c r="AQ272" s="439"/>
      <c r="AR272" s="439"/>
      <c r="AS272" s="439"/>
      <c r="AT272" s="439"/>
      <c r="AU272" s="439"/>
      <c r="AV272" s="439"/>
      <c r="AW272" s="439"/>
      <c r="AX272" s="439"/>
      <c r="AY272" s="439"/>
      <c r="AZ272" s="439"/>
      <c r="BA272" s="439"/>
      <c r="BB272" s="439"/>
      <c r="BC272" s="439"/>
      <c r="BD272" s="439"/>
      <c r="BE272" s="439"/>
      <c r="BF272" s="439"/>
      <c r="BG272" s="439"/>
      <c r="BH272" s="439"/>
      <c r="BI272" s="439"/>
      <c r="BJ272" s="439"/>
      <c r="BK272" s="439"/>
      <c r="BL272" s="439"/>
      <c r="BM272" s="439"/>
      <c r="BN272" s="439"/>
      <c r="BO272" s="439"/>
      <c r="BP272" s="439"/>
      <c r="BQ272" s="439"/>
      <c r="BR272" s="439"/>
      <c r="BS272" s="439"/>
      <c r="BT272" s="439"/>
      <c r="BU272" s="439"/>
      <c r="BV272" s="439"/>
    </row>
    <row r="273" spans="2:74" x14ac:dyDescent="0.2">
      <c r="B273" s="91"/>
      <c r="C273" s="389"/>
      <c r="D273" s="389"/>
      <c r="E273" s="438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  <c r="AA273" s="439"/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39"/>
      <c r="AY273" s="439"/>
      <c r="AZ273" s="439"/>
      <c r="BA273" s="439"/>
      <c r="BB273" s="439"/>
      <c r="BC273" s="439"/>
      <c r="BD273" s="439"/>
      <c r="BE273" s="439"/>
      <c r="BF273" s="439"/>
      <c r="BG273" s="439"/>
      <c r="BH273" s="439"/>
      <c r="BI273" s="439"/>
      <c r="BJ273" s="439"/>
      <c r="BK273" s="439"/>
      <c r="BL273" s="439"/>
      <c r="BM273" s="439"/>
      <c r="BN273" s="439"/>
      <c r="BO273" s="439"/>
      <c r="BP273" s="439"/>
      <c r="BQ273" s="439"/>
      <c r="BR273" s="439"/>
      <c r="BS273" s="439"/>
      <c r="BT273" s="439"/>
      <c r="BU273" s="439"/>
      <c r="BV273" s="439"/>
    </row>
    <row r="274" spans="2:74" x14ac:dyDescent="0.2">
      <c r="B274" s="91"/>
      <c r="C274" s="389"/>
      <c r="D274" s="389"/>
      <c r="E274" s="438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  <c r="AA274" s="439"/>
      <c r="AB274" s="439"/>
      <c r="AC274" s="439"/>
      <c r="AD274" s="439"/>
      <c r="AE274" s="439"/>
      <c r="AF274" s="439"/>
      <c r="AG274" s="439"/>
      <c r="AH274" s="439"/>
      <c r="AI274" s="439"/>
      <c r="AJ274" s="439"/>
      <c r="AK274" s="439"/>
      <c r="AL274" s="439"/>
      <c r="AM274" s="439"/>
      <c r="AN274" s="439"/>
      <c r="AO274" s="439"/>
      <c r="AP274" s="439"/>
      <c r="AQ274" s="439"/>
      <c r="AR274" s="439"/>
      <c r="AS274" s="439"/>
      <c r="AT274" s="439"/>
      <c r="AU274" s="439"/>
      <c r="AV274" s="439"/>
      <c r="AW274" s="439"/>
      <c r="AX274" s="439"/>
      <c r="AY274" s="439"/>
      <c r="AZ274" s="439"/>
      <c r="BA274" s="439"/>
      <c r="BB274" s="439"/>
      <c r="BC274" s="439"/>
      <c r="BD274" s="439"/>
      <c r="BE274" s="439"/>
      <c r="BF274" s="439"/>
      <c r="BG274" s="439"/>
      <c r="BH274" s="439"/>
      <c r="BI274" s="439"/>
      <c r="BJ274" s="439"/>
      <c r="BK274" s="439"/>
      <c r="BL274" s="439"/>
      <c r="BM274" s="439"/>
      <c r="BN274" s="439"/>
      <c r="BO274" s="439"/>
      <c r="BP274" s="439"/>
      <c r="BQ274" s="439"/>
      <c r="BR274" s="439"/>
      <c r="BS274" s="439"/>
      <c r="BT274" s="439"/>
      <c r="BU274" s="439"/>
      <c r="BV274" s="439"/>
    </row>
    <row r="275" spans="2:74" x14ac:dyDescent="0.2">
      <c r="B275" s="91"/>
      <c r="C275" s="389"/>
      <c r="D275" s="389"/>
      <c r="E275" s="438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  <c r="AA275" s="439"/>
      <c r="AB275" s="439"/>
      <c r="AC275" s="439"/>
      <c r="AD275" s="439"/>
      <c r="AE275" s="439"/>
      <c r="AF275" s="439"/>
      <c r="AG275" s="439"/>
      <c r="AH275" s="439"/>
      <c r="AI275" s="439"/>
      <c r="AJ275" s="439"/>
      <c r="AK275" s="439"/>
      <c r="AL275" s="439"/>
      <c r="AM275" s="439"/>
      <c r="AN275" s="439"/>
      <c r="AO275" s="439"/>
      <c r="AP275" s="439"/>
      <c r="AQ275" s="439"/>
      <c r="AR275" s="439"/>
      <c r="AS275" s="439"/>
      <c r="AT275" s="439"/>
      <c r="AU275" s="439"/>
      <c r="AV275" s="439"/>
      <c r="AW275" s="439"/>
      <c r="AX275" s="439"/>
      <c r="AY275" s="439"/>
      <c r="AZ275" s="439"/>
      <c r="BA275" s="439"/>
      <c r="BB275" s="439"/>
      <c r="BC275" s="439"/>
      <c r="BD275" s="439"/>
      <c r="BE275" s="439"/>
      <c r="BF275" s="439"/>
      <c r="BG275" s="439"/>
      <c r="BH275" s="439"/>
      <c r="BI275" s="439"/>
      <c r="BJ275" s="439"/>
      <c r="BK275" s="439"/>
      <c r="BL275" s="439"/>
      <c r="BM275" s="439"/>
      <c r="BN275" s="439"/>
      <c r="BO275" s="439"/>
      <c r="BP275" s="439"/>
      <c r="BQ275" s="439"/>
      <c r="BR275" s="439"/>
      <c r="BS275" s="439"/>
      <c r="BT275" s="439"/>
      <c r="BU275" s="439"/>
      <c r="BV275" s="439"/>
    </row>
    <row r="276" spans="2:74" x14ac:dyDescent="0.2">
      <c r="B276" s="91"/>
      <c r="C276" s="389"/>
      <c r="D276" s="389"/>
      <c r="E276" s="438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  <c r="AA276" s="439"/>
      <c r="AB276" s="439"/>
      <c r="AC276" s="439"/>
      <c r="AD276" s="439"/>
      <c r="AE276" s="439"/>
      <c r="AF276" s="439"/>
      <c r="AG276" s="439"/>
      <c r="AH276" s="439"/>
      <c r="AI276" s="439"/>
      <c r="AJ276" s="439"/>
      <c r="AK276" s="439"/>
      <c r="AL276" s="439"/>
      <c r="AM276" s="439"/>
      <c r="AN276" s="439"/>
      <c r="AO276" s="439"/>
      <c r="AP276" s="439"/>
      <c r="AQ276" s="439"/>
      <c r="AR276" s="439"/>
      <c r="AS276" s="439"/>
      <c r="AT276" s="439"/>
      <c r="AU276" s="439"/>
      <c r="AV276" s="439"/>
      <c r="AW276" s="439"/>
      <c r="AX276" s="439"/>
      <c r="AY276" s="439"/>
      <c r="AZ276" s="439"/>
      <c r="BA276" s="439"/>
      <c r="BB276" s="439"/>
      <c r="BC276" s="439"/>
      <c r="BD276" s="439"/>
      <c r="BE276" s="439"/>
      <c r="BF276" s="439"/>
      <c r="BG276" s="439"/>
      <c r="BH276" s="439"/>
      <c r="BI276" s="439"/>
      <c r="BJ276" s="439"/>
      <c r="BK276" s="439"/>
      <c r="BL276" s="439"/>
      <c r="BM276" s="439"/>
      <c r="BN276" s="439"/>
      <c r="BO276" s="439"/>
      <c r="BP276" s="439"/>
      <c r="BQ276" s="439"/>
      <c r="BR276" s="439"/>
      <c r="BS276" s="439"/>
      <c r="BT276" s="439"/>
      <c r="BU276" s="439"/>
      <c r="BV276" s="439"/>
    </row>
    <row r="277" spans="2:74" x14ac:dyDescent="0.2">
      <c r="B277" s="91"/>
      <c r="C277" s="389"/>
      <c r="D277" s="389"/>
      <c r="E277" s="438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  <c r="AA277" s="439"/>
      <c r="AB277" s="439"/>
      <c r="AC277" s="439"/>
      <c r="AD277" s="439"/>
      <c r="AE277" s="439"/>
      <c r="AF277" s="439"/>
      <c r="AG277" s="439"/>
      <c r="AH277" s="439"/>
      <c r="AI277" s="439"/>
      <c r="AJ277" s="439"/>
      <c r="AK277" s="439"/>
      <c r="AL277" s="439"/>
      <c r="AM277" s="439"/>
      <c r="AN277" s="439"/>
      <c r="AO277" s="439"/>
      <c r="AP277" s="439"/>
      <c r="AQ277" s="439"/>
      <c r="AR277" s="439"/>
      <c r="AS277" s="439"/>
      <c r="AT277" s="439"/>
      <c r="AU277" s="439"/>
      <c r="AV277" s="439"/>
      <c r="AW277" s="439"/>
      <c r="AX277" s="439"/>
      <c r="AY277" s="439"/>
      <c r="AZ277" s="439"/>
      <c r="BA277" s="439"/>
      <c r="BB277" s="439"/>
      <c r="BC277" s="439"/>
      <c r="BD277" s="439"/>
      <c r="BE277" s="439"/>
      <c r="BF277" s="439"/>
      <c r="BG277" s="439"/>
      <c r="BH277" s="439"/>
      <c r="BI277" s="439"/>
      <c r="BJ277" s="439"/>
      <c r="BK277" s="439"/>
      <c r="BL277" s="439"/>
      <c r="BM277" s="439"/>
      <c r="BN277" s="439"/>
      <c r="BO277" s="439"/>
      <c r="BP277" s="439"/>
      <c r="BQ277" s="439"/>
      <c r="BR277" s="439"/>
      <c r="BS277" s="439"/>
      <c r="BT277" s="439"/>
      <c r="BU277" s="439"/>
      <c r="BV277" s="439"/>
    </row>
    <row r="278" spans="2:74" x14ac:dyDescent="0.2">
      <c r="B278" s="91"/>
      <c r="C278" s="389"/>
      <c r="D278" s="389"/>
      <c r="E278" s="438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  <c r="AA278" s="439"/>
      <c r="AB278" s="439"/>
      <c r="AC278" s="439"/>
      <c r="AD278" s="439"/>
      <c r="AE278" s="439"/>
      <c r="AF278" s="439"/>
      <c r="AG278" s="439"/>
      <c r="AH278" s="439"/>
      <c r="AI278" s="439"/>
      <c r="AJ278" s="439"/>
      <c r="AK278" s="439"/>
      <c r="AL278" s="439"/>
      <c r="AM278" s="439"/>
      <c r="AN278" s="439"/>
      <c r="AO278" s="439"/>
      <c r="AP278" s="439"/>
      <c r="AQ278" s="439"/>
      <c r="AR278" s="439"/>
      <c r="AS278" s="439"/>
      <c r="AT278" s="439"/>
      <c r="AU278" s="439"/>
      <c r="AV278" s="439"/>
      <c r="AW278" s="439"/>
      <c r="AX278" s="439"/>
      <c r="AY278" s="439"/>
      <c r="AZ278" s="439"/>
      <c r="BA278" s="439"/>
      <c r="BB278" s="439"/>
      <c r="BC278" s="439"/>
      <c r="BD278" s="439"/>
      <c r="BE278" s="439"/>
      <c r="BF278" s="439"/>
      <c r="BG278" s="439"/>
      <c r="BH278" s="439"/>
      <c r="BI278" s="439"/>
      <c r="BJ278" s="439"/>
      <c r="BK278" s="439"/>
      <c r="BL278" s="439"/>
      <c r="BM278" s="439"/>
      <c r="BN278" s="439"/>
      <c r="BO278" s="439"/>
      <c r="BP278" s="439"/>
      <c r="BQ278" s="439"/>
      <c r="BR278" s="439"/>
      <c r="BS278" s="439"/>
      <c r="BT278" s="439"/>
      <c r="BU278" s="439"/>
      <c r="BV278" s="439"/>
    </row>
    <row r="279" spans="2:74" x14ac:dyDescent="0.2">
      <c r="B279" s="91"/>
      <c r="C279" s="389"/>
      <c r="D279" s="389"/>
      <c r="E279" s="438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D279" s="439"/>
      <c r="AE279" s="439"/>
      <c r="AF279" s="439"/>
      <c r="AG279" s="439"/>
      <c r="AH279" s="439"/>
      <c r="AI279" s="439"/>
      <c r="AJ279" s="439"/>
      <c r="AK279" s="439"/>
      <c r="AL279" s="439"/>
      <c r="AM279" s="439"/>
      <c r="AN279" s="439"/>
      <c r="AO279" s="439"/>
      <c r="AP279" s="439"/>
      <c r="AQ279" s="439"/>
      <c r="AR279" s="439"/>
      <c r="AS279" s="439"/>
      <c r="AT279" s="439"/>
      <c r="AU279" s="439"/>
      <c r="AV279" s="439"/>
      <c r="AW279" s="439"/>
      <c r="AX279" s="439"/>
      <c r="AY279" s="439"/>
      <c r="AZ279" s="439"/>
      <c r="BA279" s="439"/>
      <c r="BB279" s="439"/>
      <c r="BC279" s="439"/>
      <c r="BD279" s="439"/>
      <c r="BE279" s="439"/>
      <c r="BF279" s="439"/>
      <c r="BG279" s="439"/>
      <c r="BH279" s="439"/>
      <c r="BI279" s="439"/>
      <c r="BJ279" s="439"/>
      <c r="BK279" s="439"/>
      <c r="BL279" s="439"/>
      <c r="BM279" s="439"/>
      <c r="BN279" s="439"/>
      <c r="BO279" s="439"/>
      <c r="BP279" s="439"/>
      <c r="BQ279" s="439"/>
      <c r="BR279" s="439"/>
      <c r="BS279" s="439"/>
      <c r="BT279" s="439"/>
      <c r="BU279" s="439"/>
      <c r="BV279" s="439"/>
    </row>
    <row r="280" spans="2:74" x14ac:dyDescent="0.2">
      <c r="B280" s="91"/>
      <c r="C280" s="389"/>
      <c r="D280" s="389"/>
      <c r="E280" s="438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D280" s="439"/>
      <c r="AE280" s="439"/>
      <c r="AF280" s="439"/>
      <c r="AG280" s="439"/>
      <c r="AH280" s="439"/>
      <c r="AI280" s="439"/>
      <c r="AJ280" s="439"/>
      <c r="AK280" s="439"/>
      <c r="AL280" s="439"/>
      <c r="AM280" s="439"/>
      <c r="AN280" s="439"/>
      <c r="AO280" s="439"/>
      <c r="AP280" s="439"/>
      <c r="AQ280" s="439"/>
      <c r="AR280" s="439"/>
      <c r="AS280" s="439"/>
      <c r="AT280" s="439"/>
      <c r="AU280" s="439"/>
      <c r="AV280" s="439"/>
      <c r="AW280" s="439"/>
      <c r="AX280" s="439"/>
      <c r="AY280" s="439"/>
      <c r="AZ280" s="439"/>
      <c r="BA280" s="439"/>
      <c r="BB280" s="439"/>
      <c r="BC280" s="439"/>
      <c r="BD280" s="439"/>
      <c r="BE280" s="439"/>
      <c r="BF280" s="439"/>
      <c r="BG280" s="439"/>
      <c r="BH280" s="439"/>
      <c r="BI280" s="439"/>
      <c r="BJ280" s="439"/>
      <c r="BK280" s="439"/>
      <c r="BL280" s="439"/>
      <c r="BM280" s="439"/>
      <c r="BN280" s="439"/>
      <c r="BO280" s="439"/>
      <c r="BP280" s="439"/>
      <c r="BQ280" s="439"/>
      <c r="BR280" s="439"/>
      <c r="BS280" s="439"/>
      <c r="BT280" s="439"/>
      <c r="BU280" s="439"/>
      <c r="BV280" s="439"/>
    </row>
    <row r="281" spans="2:74" x14ac:dyDescent="0.2">
      <c r="B281" s="91"/>
      <c r="C281" s="389"/>
      <c r="D281" s="389"/>
      <c r="E281" s="438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  <c r="AA281" s="439"/>
      <c r="AB281" s="439"/>
      <c r="AC281" s="439"/>
      <c r="AD281" s="439"/>
      <c r="AE281" s="439"/>
      <c r="AF281" s="439"/>
      <c r="AG281" s="439"/>
      <c r="AH281" s="439"/>
      <c r="AI281" s="439"/>
      <c r="AJ281" s="439"/>
      <c r="AK281" s="439"/>
      <c r="AL281" s="439"/>
      <c r="AM281" s="439"/>
      <c r="AN281" s="439"/>
      <c r="AO281" s="439"/>
      <c r="AP281" s="439"/>
      <c r="AQ281" s="439"/>
      <c r="AR281" s="439"/>
      <c r="AS281" s="439"/>
      <c r="AT281" s="439"/>
      <c r="AU281" s="439"/>
      <c r="AV281" s="439"/>
      <c r="AW281" s="439"/>
      <c r="AX281" s="439"/>
      <c r="AY281" s="439"/>
      <c r="AZ281" s="439"/>
      <c r="BA281" s="439"/>
      <c r="BB281" s="439"/>
      <c r="BC281" s="439"/>
      <c r="BD281" s="439"/>
      <c r="BE281" s="439"/>
      <c r="BF281" s="439"/>
      <c r="BG281" s="439"/>
      <c r="BH281" s="439"/>
      <c r="BI281" s="439"/>
      <c r="BJ281" s="439"/>
      <c r="BK281" s="439"/>
      <c r="BL281" s="439"/>
      <c r="BM281" s="439"/>
      <c r="BN281" s="439"/>
      <c r="BO281" s="439"/>
      <c r="BP281" s="439"/>
      <c r="BQ281" s="439"/>
      <c r="BR281" s="439"/>
      <c r="BS281" s="439"/>
      <c r="BT281" s="439"/>
      <c r="BU281" s="439"/>
      <c r="BV281" s="439"/>
    </row>
    <row r="282" spans="2:74" x14ac:dyDescent="0.2">
      <c r="B282" s="91"/>
      <c r="C282" s="389"/>
      <c r="D282" s="389"/>
      <c r="E282" s="438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  <c r="AA282" s="439"/>
      <c r="AB282" s="439"/>
      <c r="AC282" s="439"/>
      <c r="AD282" s="439"/>
      <c r="AE282" s="439"/>
      <c r="AF282" s="439"/>
      <c r="AG282" s="439"/>
      <c r="AH282" s="439"/>
      <c r="AI282" s="439"/>
      <c r="AJ282" s="439"/>
      <c r="AK282" s="439"/>
      <c r="AL282" s="439"/>
      <c r="AM282" s="439"/>
      <c r="AN282" s="439"/>
      <c r="AO282" s="439"/>
      <c r="AP282" s="439"/>
      <c r="AQ282" s="439"/>
      <c r="AR282" s="439"/>
      <c r="AS282" s="439"/>
      <c r="AT282" s="439"/>
      <c r="AU282" s="439"/>
      <c r="AV282" s="439"/>
      <c r="AW282" s="439"/>
      <c r="AX282" s="439"/>
      <c r="AY282" s="439"/>
      <c r="AZ282" s="439"/>
      <c r="BA282" s="439"/>
      <c r="BB282" s="439"/>
      <c r="BC282" s="439"/>
      <c r="BD282" s="439"/>
      <c r="BE282" s="439"/>
      <c r="BF282" s="439"/>
      <c r="BG282" s="439"/>
      <c r="BH282" s="439"/>
      <c r="BI282" s="439"/>
      <c r="BJ282" s="439"/>
      <c r="BK282" s="439"/>
      <c r="BL282" s="439"/>
      <c r="BM282" s="439"/>
      <c r="BN282" s="439"/>
      <c r="BO282" s="439"/>
      <c r="BP282" s="439"/>
      <c r="BQ282" s="439"/>
      <c r="BR282" s="439"/>
      <c r="BS282" s="439"/>
      <c r="BT282" s="439"/>
      <c r="BU282" s="439"/>
      <c r="BV282" s="439"/>
    </row>
    <row r="283" spans="2:74" x14ac:dyDescent="0.2">
      <c r="B283" s="91"/>
      <c r="C283" s="389"/>
      <c r="D283" s="389"/>
      <c r="E283" s="438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  <c r="AA283" s="439"/>
      <c r="AB283" s="439"/>
      <c r="AC283" s="439"/>
      <c r="AD283" s="439"/>
      <c r="AE283" s="439"/>
      <c r="AF283" s="439"/>
      <c r="AG283" s="439"/>
      <c r="AH283" s="439"/>
      <c r="AI283" s="439"/>
      <c r="AJ283" s="439"/>
      <c r="AK283" s="439"/>
      <c r="AL283" s="439"/>
      <c r="AM283" s="439"/>
      <c r="AN283" s="439"/>
      <c r="AO283" s="439"/>
      <c r="AP283" s="439"/>
      <c r="AQ283" s="439"/>
      <c r="AR283" s="439"/>
      <c r="AS283" s="439"/>
      <c r="AT283" s="439"/>
      <c r="AU283" s="439"/>
      <c r="AV283" s="439"/>
      <c r="AW283" s="439"/>
      <c r="AX283" s="439"/>
      <c r="AY283" s="439"/>
      <c r="AZ283" s="439"/>
      <c r="BA283" s="439"/>
      <c r="BB283" s="439"/>
      <c r="BC283" s="439"/>
      <c r="BD283" s="439"/>
      <c r="BE283" s="439"/>
      <c r="BF283" s="439"/>
      <c r="BG283" s="439"/>
      <c r="BH283" s="439"/>
      <c r="BI283" s="439"/>
      <c r="BJ283" s="439"/>
      <c r="BK283" s="439"/>
      <c r="BL283" s="439"/>
      <c r="BM283" s="439"/>
      <c r="BN283" s="439"/>
      <c r="BO283" s="439"/>
      <c r="BP283" s="439"/>
      <c r="BQ283" s="439"/>
      <c r="BR283" s="439"/>
      <c r="BS283" s="439"/>
      <c r="BT283" s="439"/>
      <c r="BU283" s="439"/>
      <c r="BV283" s="439"/>
    </row>
    <row r="284" spans="2:74" x14ac:dyDescent="0.2">
      <c r="B284" s="91"/>
      <c r="C284" s="91"/>
      <c r="D284" s="91"/>
      <c r="E284" s="438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D284" s="439"/>
      <c r="AE284" s="439"/>
      <c r="AF284" s="439"/>
      <c r="AG284" s="439"/>
      <c r="AH284" s="439"/>
      <c r="AI284" s="439"/>
      <c r="AJ284" s="439"/>
      <c r="AK284" s="439"/>
      <c r="AL284" s="439"/>
      <c r="AM284" s="439"/>
      <c r="AN284" s="439"/>
      <c r="AO284" s="439"/>
      <c r="AP284" s="439"/>
      <c r="AQ284" s="439"/>
      <c r="AR284" s="439"/>
      <c r="AS284" s="439"/>
      <c r="AT284" s="439"/>
      <c r="AU284" s="439"/>
      <c r="AV284" s="439"/>
      <c r="AW284" s="439"/>
      <c r="AX284" s="439"/>
      <c r="AY284" s="439"/>
      <c r="AZ284" s="439"/>
      <c r="BA284" s="439"/>
      <c r="BB284" s="439"/>
      <c r="BC284" s="439"/>
      <c r="BD284" s="439"/>
      <c r="BE284" s="439"/>
      <c r="BF284" s="439"/>
      <c r="BG284" s="439"/>
      <c r="BH284" s="439"/>
      <c r="BI284" s="439"/>
      <c r="BJ284" s="439"/>
      <c r="BK284" s="439"/>
      <c r="BL284" s="439"/>
      <c r="BM284" s="439"/>
      <c r="BN284" s="439"/>
      <c r="BO284" s="439"/>
      <c r="BP284" s="439"/>
      <c r="BQ284" s="439"/>
      <c r="BR284" s="439"/>
      <c r="BS284" s="439"/>
      <c r="BT284" s="439"/>
      <c r="BU284" s="439"/>
      <c r="BV284" s="439"/>
    </row>
    <row r="285" spans="2:74" x14ac:dyDescent="0.2">
      <c r="B285" s="91"/>
      <c r="C285" s="91"/>
      <c r="D285" s="91"/>
      <c r="E285" s="438"/>
      <c r="F285" s="439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  <c r="AA285" s="439"/>
      <c r="AB285" s="439"/>
      <c r="AC285" s="439"/>
      <c r="AD285" s="439"/>
      <c r="AE285" s="439"/>
      <c r="AF285" s="439"/>
      <c r="AG285" s="439"/>
      <c r="AH285" s="439"/>
      <c r="AI285" s="439"/>
      <c r="AJ285" s="439"/>
      <c r="AK285" s="439"/>
      <c r="AL285" s="439"/>
      <c r="AM285" s="439"/>
      <c r="AN285" s="439"/>
      <c r="AO285" s="439"/>
      <c r="AP285" s="439"/>
      <c r="AQ285" s="439"/>
      <c r="AR285" s="439"/>
      <c r="AS285" s="439"/>
      <c r="AT285" s="439"/>
      <c r="AU285" s="439"/>
      <c r="AV285" s="439"/>
      <c r="AW285" s="439"/>
      <c r="AX285" s="439"/>
      <c r="AY285" s="439"/>
      <c r="AZ285" s="439"/>
      <c r="BA285" s="439"/>
      <c r="BB285" s="439"/>
      <c r="BC285" s="439"/>
      <c r="BD285" s="439"/>
      <c r="BE285" s="439"/>
      <c r="BF285" s="439"/>
      <c r="BG285" s="439"/>
      <c r="BH285" s="439"/>
      <c r="BI285" s="439"/>
      <c r="BJ285" s="439"/>
      <c r="BK285" s="439"/>
      <c r="BL285" s="439"/>
      <c r="BM285" s="439"/>
      <c r="BN285" s="439"/>
      <c r="BO285" s="439"/>
      <c r="BP285" s="439"/>
      <c r="BQ285" s="439"/>
      <c r="BR285" s="439"/>
      <c r="BS285" s="439"/>
      <c r="BT285" s="439"/>
      <c r="BU285" s="439"/>
      <c r="BV285" s="439"/>
    </row>
    <row r="286" spans="2:74" x14ac:dyDescent="0.2">
      <c r="B286" s="91"/>
      <c r="C286" s="389"/>
      <c r="D286" s="389"/>
      <c r="E286" s="438"/>
      <c r="F286" s="439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39"/>
      <c r="Y286" s="439"/>
      <c r="Z286" s="439"/>
      <c r="AA286" s="439"/>
      <c r="AB286" s="439"/>
      <c r="AC286" s="439"/>
      <c r="AD286" s="439"/>
      <c r="AE286" s="439"/>
      <c r="AF286" s="439"/>
      <c r="AG286" s="439"/>
      <c r="AH286" s="439"/>
      <c r="AI286" s="439"/>
      <c r="AJ286" s="439"/>
      <c r="AK286" s="439"/>
      <c r="AL286" s="439"/>
      <c r="AM286" s="439"/>
      <c r="AN286" s="439"/>
      <c r="AO286" s="439"/>
      <c r="AP286" s="439"/>
      <c r="AQ286" s="439"/>
      <c r="AR286" s="439"/>
      <c r="AS286" s="439"/>
      <c r="AT286" s="439"/>
      <c r="AU286" s="439"/>
      <c r="AV286" s="439"/>
      <c r="AW286" s="439"/>
      <c r="AX286" s="439"/>
      <c r="AY286" s="439"/>
      <c r="AZ286" s="439"/>
      <c r="BA286" s="439"/>
      <c r="BB286" s="439"/>
      <c r="BC286" s="439"/>
      <c r="BD286" s="439"/>
      <c r="BE286" s="439"/>
      <c r="BF286" s="439"/>
      <c r="BG286" s="439"/>
      <c r="BH286" s="439"/>
      <c r="BI286" s="439"/>
      <c r="BJ286" s="439"/>
      <c r="BK286" s="439"/>
      <c r="BL286" s="439"/>
      <c r="BM286" s="439"/>
      <c r="BN286" s="439"/>
      <c r="BO286" s="439"/>
      <c r="BP286" s="439"/>
      <c r="BQ286" s="439"/>
      <c r="BR286" s="439"/>
      <c r="BS286" s="439"/>
      <c r="BT286" s="439"/>
      <c r="BU286" s="439"/>
      <c r="BV286" s="439"/>
    </row>
    <row r="287" spans="2:74" x14ac:dyDescent="0.2">
      <c r="B287" s="91"/>
      <c r="C287" s="389"/>
      <c r="D287" s="389"/>
      <c r="E287" s="438"/>
      <c r="F287" s="439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39"/>
      <c r="Y287" s="439"/>
      <c r="Z287" s="439"/>
      <c r="AA287" s="439"/>
      <c r="AB287" s="439"/>
      <c r="AC287" s="439"/>
      <c r="AD287" s="439"/>
      <c r="AE287" s="439"/>
      <c r="AF287" s="439"/>
      <c r="AG287" s="439"/>
      <c r="AH287" s="439"/>
      <c r="AI287" s="439"/>
      <c r="AJ287" s="439"/>
      <c r="AK287" s="439"/>
      <c r="AL287" s="439"/>
      <c r="AM287" s="439"/>
      <c r="AN287" s="439"/>
      <c r="AO287" s="439"/>
      <c r="AP287" s="439"/>
      <c r="AQ287" s="439"/>
      <c r="AR287" s="439"/>
      <c r="AS287" s="439"/>
      <c r="AT287" s="439"/>
      <c r="AU287" s="439"/>
      <c r="AV287" s="439"/>
      <c r="AW287" s="439"/>
      <c r="AX287" s="439"/>
      <c r="AY287" s="439"/>
      <c r="AZ287" s="439"/>
      <c r="BA287" s="439"/>
      <c r="BB287" s="439"/>
      <c r="BC287" s="439"/>
      <c r="BD287" s="439"/>
      <c r="BE287" s="439"/>
      <c r="BF287" s="439"/>
      <c r="BG287" s="439"/>
      <c r="BH287" s="439"/>
      <c r="BI287" s="439"/>
      <c r="BJ287" s="439"/>
      <c r="BK287" s="439"/>
      <c r="BL287" s="439"/>
      <c r="BM287" s="439"/>
      <c r="BN287" s="439"/>
      <c r="BO287" s="439"/>
      <c r="BP287" s="439"/>
      <c r="BQ287" s="439"/>
      <c r="BR287" s="439"/>
      <c r="BS287" s="439"/>
      <c r="BT287" s="439"/>
      <c r="BU287" s="439"/>
      <c r="BV287" s="439"/>
    </row>
    <row r="288" spans="2:74" x14ac:dyDescent="0.2">
      <c r="B288" s="91"/>
      <c r="C288" s="389"/>
      <c r="D288" s="389"/>
      <c r="E288" s="438"/>
      <c r="F288" s="439"/>
      <c r="G288" s="439"/>
      <c r="H288" s="439"/>
      <c r="I288" s="439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9"/>
      <c r="U288" s="439"/>
      <c r="V288" s="439"/>
      <c r="W288" s="439"/>
      <c r="X288" s="439"/>
      <c r="Y288" s="439"/>
      <c r="Z288" s="439"/>
      <c r="AA288" s="439"/>
      <c r="AB288" s="439"/>
      <c r="AC288" s="439"/>
      <c r="AD288" s="439"/>
      <c r="AE288" s="439"/>
      <c r="AF288" s="439"/>
      <c r="AG288" s="439"/>
      <c r="AH288" s="439"/>
      <c r="AI288" s="439"/>
      <c r="AJ288" s="439"/>
      <c r="AK288" s="439"/>
      <c r="AL288" s="439"/>
      <c r="AM288" s="439"/>
      <c r="AN288" s="439"/>
      <c r="AO288" s="439"/>
      <c r="AP288" s="439"/>
      <c r="AQ288" s="439"/>
      <c r="AR288" s="439"/>
      <c r="AS288" s="439"/>
      <c r="AT288" s="439"/>
      <c r="AU288" s="439"/>
      <c r="AV288" s="439"/>
      <c r="AW288" s="439"/>
      <c r="AX288" s="439"/>
      <c r="AY288" s="439"/>
      <c r="AZ288" s="439"/>
      <c r="BA288" s="439"/>
      <c r="BB288" s="439"/>
      <c r="BC288" s="439"/>
      <c r="BD288" s="439"/>
      <c r="BE288" s="439"/>
      <c r="BF288" s="439"/>
      <c r="BG288" s="439"/>
      <c r="BH288" s="439"/>
      <c r="BI288" s="439"/>
      <c r="BJ288" s="439"/>
      <c r="BK288" s="439"/>
      <c r="BL288" s="439"/>
      <c r="BM288" s="439"/>
      <c r="BN288" s="439"/>
      <c r="BO288" s="439"/>
      <c r="BP288" s="439"/>
      <c r="BQ288" s="439"/>
      <c r="BR288" s="439"/>
      <c r="BS288" s="439"/>
      <c r="BT288" s="439"/>
      <c r="BU288" s="439"/>
      <c r="BV288" s="439"/>
    </row>
    <row r="289" spans="2:74" x14ac:dyDescent="0.2">
      <c r="B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  <c r="AA289" s="358"/>
      <c r="AB289" s="358"/>
      <c r="AC289" s="358"/>
      <c r="AD289" s="358"/>
      <c r="AE289" s="358"/>
      <c r="AF289" s="358"/>
      <c r="AG289" s="358"/>
      <c r="AH289" s="358"/>
      <c r="AI289" s="358"/>
      <c r="AJ289" s="358"/>
      <c r="AK289" s="358"/>
      <c r="AL289" s="358"/>
      <c r="AM289" s="358"/>
      <c r="AN289" s="358"/>
      <c r="AO289" s="358"/>
      <c r="AP289" s="358"/>
      <c r="AQ289" s="358"/>
      <c r="AR289" s="358"/>
      <c r="AS289" s="358"/>
      <c r="AT289" s="358"/>
      <c r="AU289" s="358"/>
      <c r="AV289" s="358"/>
      <c r="AW289" s="358"/>
      <c r="AX289" s="358"/>
      <c r="AY289" s="358"/>
      <c r="AZ289" s="358"/>
      <c r="BA289" s="358"/>
      <c r="BB289" s="358"/>
      <c r="BC289" s="358"/>
      <c r="BD289" s="358"/>
      <c r="BE289" s="358"/>
      <c r="BF289" s="358"/>
      <c r="BG289" s="358"/>
      <c r="BH289" s="358"/>
      <c r="BI289" s="358"/>
      <c r="BJ289" s="358"/>
      <c r="BK289" s="358"/>
      <c r="BL289" s="358"/>
      <c r="BM289" s="358"/>
      <c r="BN289" s="358"/>
      <c r="BO289" s="358"/>
      <c r="BP289" s="358"/>
      <c r="BQ289" s="358"/>
      <c r="BR289" s="358"/>
      <c r="BS289" s="358"/>
      <c r="BT289" s="358"/>
      <c r="BU289" s="358"/>
      <c r="BV289" s="358"/>
    </row>
    <row r="290" spans="2:74" x14ac:dyDescent="0.2">
      <c r="B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  <c r="AI290" s="358"/>
      <c r="AJ290" s="358"/>
      <c r="AK290" s="358"/>
      <c r="AL290" s="358"/>
      <c r="AM290" s="358"/>
      <c r="AN290" s="358"/>
      <c r="AO290" s="358"/>
      <c r="AP290" s="358"/>
      <c r="AQ290" s="358"/>
      <c r="AR290" s="358"/>
      <c r="AS290" s="358"/>
      <c r="AT290" s="358"/>
      <c r="AU290" s="358"/>
      <c r="AV290" s="358"/>
      <c r="AW290" s="358"/>
      <c r="AX290" s="358"/>
      <c r="AY290" s="358"/>
      <c r="AZ290" s="358"/>
      <c r="BA290" s="358"/>
      <c r="BB290" s="358"/>
      <c r="BC290" s="358"/>
      <c r="BD290" s="358"/>
      <c r="BE290" s="358"/>
      <c r="BF290" s="358"/>
      <c r="BG290" s="358"/>
      <c r="BH290" s="358"/>
      <c r="BI290" s="358"/>
      <c r="BJ290" s="358"/>
      <c r="BK290" s="358"/>
      <c r="BL290" s="358"/>
      <c r="BM290" s="358"/>
      <c r="BN290" s="358"/>
      <c r="BO290" s="358"/>
      <c r="BP290" s="358"/>
      <c r="BQ290" s="358"/>
      <c r="BR290" s="358"/>
      <c r="BS290" s="358"/>
      <c r="BT290" s="358"/>
      <c r="BU290" s="358"/>
      <c r="BV290" s="358"/>
    </row>
    <row r="291" spans="2:74" x14ac:dyDescent="0.2">
      <c r="B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  <c r="AA291" s="358"/>
      <c r="AB291" s="358"/>
      <c r="AC291" s="358"/>
      <c r="AD291" s="358"/>
      <c r="AE291" s="358"/>
      <c r="AF291" s="358"/>
      <c r="AG291" s="358"/>
      <c r="AH291" s="358"/>
      <c r="AI291" s="358"/>
      <c r="AJ291" s="358"/>
      <c r="AK291" s="358"/>
      <c r="AL291" s="358"/>
      <c r="AM291" s="358"/>
      <c r="AN291" s="358"/>
      <c r="AO291" s="358"/>
      <c r="AP291" s="358"/>
      <c r="AQ291" s="358"/>
      <c r="AR291" s="358"/>
      <c r="AS291" s="358"/>
      <c r="AT291" s="358"/>
      <c r="AU291" s="358"/>
      <c r="AV291" s="358"/>
      <c r="AW291" s="358"/>
      <c r="AX291" s="358"/>
      <c r="AY291" s="358"/>
      <c r="AZ291" s="358"/>
      <c r="BA291" s="358"/>
      <c r="BB291" s="358"/>
      <c r="BC291" s="358"/>
      <c r="BD291" s="358"/>
      <c r="BE291" s="358"/>
      <c r="BF291" s="358"/>
      <c r="BG291" s="358"/>
      <c r="BH291" s="358"/>
      <c r="BI291" s="358"/>
      <c r="BJ291" s="358"/>
      <c r="BK291" s="358"/>
      <c r="BL291" s="358"/>
      <c r="BM291" s="358"/>
      <c r="BN291" s="358"/>
      <c r="BO291" s="358"/>
      <c r="BP291" s="358"/>
      <c r="BQ291" s="358"/>
      <c r="BR291" s="358"/>
      <c r="BS291" s="358"/>
      <c r="BT291" s="358"/>
      <c r="BU291" s="358"/>
      <c r="BV291" s="358"/>
    </row>
    <row r="292" spans="2:74" x14ac:dyDescent="0.2">
      <c r="B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  <c r="AI292" s="358"/>
      <c r="AJ292" s="358"/>
      <c r="AK292" s="358"/>
      <c r="AL292" s="358"/>
      <c r="AM292" s="358"/>
      <c r="AN292" s="358"/>
      <c r="AO292" s="358"/>
      <c r="AP292" s="358"/>
      <c r="AQ292" s="358"/>
      <c r="AR292" s="358"/>
      <c r="AS292" s="358"/>
      <c r="AT292" s="358"/>
      <c r="AU292" s="358"/>
      <c r="AV292" s="358"/>
      <c r="AW292" s="358"/>
      <c r="AX292" s="358"/>
      <c r="AY292" s="358"/>
      <c r="AZ292" s="358"/>
      <c r="BA292" s="358"/>
      <c r="BB292" s="358"/>
      <c r="BC292" s="358"/>
      <c r="BD292" s="358"/>
      <c r="BE292" s="358"/>
      <c r="BF292" s="358"/>
      <c r="BG292" s="358"/>
      <c r="BH292" s="358"/>
      <c r="BI292" s="358"/>
      <c r="BJ292" s="358"/>
      <c r="BK292" s="358"/>
      <c r="BL292" s="358"/>
      <c r="BM292" s="358"/>
      <c r="BN292" s="358"/>
      <c r="BO292" s="358"/>
      <c r="BP292" s="358"/>
      <c r="BQ292" s="358"/>
      <c r="BR292" s="358"/>
      <c r="BS292" s="358"/>
      <c r="BT292" s="358"/>
      <c r="BU292" s="358"/>
      <c r="BV292" s="358"/>
    </row>
    <row r="293" spans="2:74" x14ac:dyDescent="0.2">
      <c r="B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  <c r="AA293" s="358"/>
      <c r="AB293" s="358"/>
      <c r="AC293" s="358"/>
      <c r="AD293" s="358"/>
      <c r="AE293" s="358"/>
      <c r="AF293" s="358"/>
      <c r="AG293" s="358"/>
      <c r="AH293" s="358"/>
      <c r="AI293" s="358"/>
      <c r="AJ293" s="358"/>
      <c r="AK293" s="358"/>
      <c r="AL293" s="358"/>
      <c r="AM293" s="358"/>
      <c r="AN293" s="358"/>
      <c r="AO293" s="358"/>
      <c r="AP293" s="358"/>
      <c r="AQ293" s="358"/>
      <c r="AR293" s="358"/>
      <c r="AS293" s="358"/>
      <c r="AT293" s="358"/>
      <c r="AU293" s="358"/>
      <c r="AV293" s="358"/>
      <c r="AW293" s="358"/>
      <c r="AX293" s="358"/>
      <c r="AY293" s="358"/>
      <c r="AZ293" s="358"/>
      <c r="BA293" s="358"/>
      <c r="BB293" s="358"/>
      <c r="BC293" s="358"/>
      <c r="BD293" s="358"/>
      <c r="BE293" s="358"/>
      <c r="BF293" s="358"/>
      <c r="BG293" s="358"/>
      <c r="BH293" s="358"/>
      <c r="BI293" s="358"/>
      <c r="BJ293" s="358"/>
      <c r="BK293" s="358"/>
      <c r="BL293" s="358"/>
      <c r="BM293" s="358"/>
      <c r="BN293" s="358"/>
      <c r="BO293" s="358"/>
      <c r="BP293" s="358"/>
      <c r="BQ293" s="358"/>
      <c r="BR293" s="358"/>
      <c r="BS293" s="358"/>
      <c r="BT293" s="358"/>
      <c r="BU293" s="358"/>
      <c r="BV293" s="358"/>
    </row>
    <row r="294" spans="2:74" x14ac:dyDescent="0.2">
      <c r="B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  <c r="AI294" s="358"/>
      <c r="AJ294" s="358"/>
      <c r="AK294" s="358"/>
      <c r="AL294" s="358"/>
      <c r="AM294" s="358"/>
      <c r="AN294" s="358"/>
      <c r="AO294" s="358"/>
      <c r="AP294" s="358"/>
      <c r="AQ294" s="358"/>
      <c r="AR294" s="358"/>
      <c r="AS294" s="358"/>
      <c r="AT294" s="358"/>
      <c r="AU294" s="358"/>
      <c r="AV294" s="358"/>
      <c r="AW294" s="358"/>
      <c r="AX294" s="358"/>
      <c r="AY294" s="358"/>
      <c r="AZ294" s="358"/>
      <c r="BA294" s="358"/>
      <c r="BB294" s="358"/>
      <c r="BC294" s="358"/>
      <c r="BD294" s="358"/>
      <c r="BE294" s="358"/>
      <c r="BF294" s="358"/>
      <c r="BG294" s="358"/>
      <c r="BH294" s="358"/>
      <c r="BI294" s="358"/>
      <c r="BJ294" s="358"/>
      <c r="BK294" s="358"/>
      <c r="BL294" s="358"/>
      <c r="BM294" s="358"/>
      <c r="BN294" s="358"/>
      <c r="BO294" s="358"/>
      <c r="BP294" s="358"/>
      <c r="BQ294" s="358"/>
      <c r="BR294" s="358"/>
      <c r="BS294" s="358"/>
      <c r="BT294" s="358"/>
      <c r="BU294" s="358"/>
      <c r="BV294" s="358"/>
    </row>
    <row r="295" spans="2:74" x14ac:dyDescent="0.2">
      <c r="B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  <c r="AA295" s="358"/>
      <c r="AB295" s="358"/>
      <c r="AC295" s="358"/>
      <c r="AD295" s="358"/>
      <c r="AE295" s="358"/>
      <c r="AF295" s="358"/>
      <c r="AG295" s="358"/>
      <c r="AH295" s="358"/>
      <c r="AI295" s="358"/>
      <c r="AJ295" s="358"/>
      <c r="AK295" s="358"/>
      <c r="AL295" s="358"/>
      <c r="AM295" s="358"/>
      <c r="AN295" s="358"/>
      <c r="AO295" s="358"/>
      <c r="AP295" s="358"/>
      <c r="AQ295" s="358"/>
      <c r="AR295" s="358"/>
      <c r="AS295" s="358"/>
      <c r="AT295" s="358"/>
      <c r="AU295" s="358"/>
      <c r="AV295" s="358"/>
      <c r="AW295" s="358"/>
      <c r="AX295" s="358"/>
      <c r="AY295" s="358"/>
      <c r="AZ295" s="358"/>
      <c r="BA295" s="358"/>
      <c r="BB295" s="358"/>
      <c r="BC295" s="358"/>
      <c r="BD295" s="358"/>
      <c r="BE295" s="358"/>
      <c r="BF295" s="358"/>
      <c r="BG295" s="358"/>
      <c r="BH295" s="358"/>
      <c r="BI295" s="358"/>
      <c r="BJ295" s="358"/>
      <c r="BK295" s="358"/>
      <c r="BL295" s="358"/>
      <c r="BM295" s="358"/>
      <c r="BN295" s="358"/>
      <c r="BO295" s="358"/>
      <c r="BP295" s="358"/>
      <c r="BQ295" s="358"/>
      <c r="BR295" s="358"/>
      <c r="BS295" s="358"/>
      <c r="BT295" s="358"/>
      <c r="BU295" s="358"/>
      <c r="BV295" s="358"/>
    </row>
    <row r="296" spans="2:74" x14ac:dyDescent="0.2">
      <c r="B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  <c r="AI296" s="358"/>
      <c r="AJ296" s="358"/>
      <c r="AK296" s="358"/>
      <c r="AL296" s="358"/>
      <c r="AM296" s="358"/>
      <c r="AN296" s="358"/>
      <c r="AO296" s="358"/>
      <c r="AP296" s="358"/>
      <c r="AQ296" s="358"/>
      <c r="AR296" s="358"/>
      <c r="AS296" s="358"/>
      <c r="AT296" s="358"/>
      <c r="AU296" s="358"/>
      <c r="AV296" s="358"/>
      <c r="AW296" s="358"/>
      <c r="AX296" s="358"/>
      <c r="AY296" s="358"/>
      <c r="AZ296" s="358"/>
      <c r="BA296" s="358"/>
      <c r="BB296" s="358"/>
      <c r="BC296" s="358"/>
      <c r="BD296" s="358"/>
      <c r="BE296" s="358"/>
      <c r="BF296" s="358"/>
      <c r="BG296" s="358"/>
      <c r="BH296" s="358"/>
      <c r="BI296" s="358"/>
      <c r="BJ296" s="358"/>
      <c r="BK296" s="358"/>
      <c r="BL296" s="358"/>
      <c r="BM296" s="358"/>
      <c r="BN296" s="358"/>
      <c r="BO296" s="358"/>
      <c r="BP296" s="358"/>
      <c r="BQ296" s="358"/>
      <c r="BR296" s="358"/>
      <c r="BS296" s="358"/>
      <c r="BT296" s="358"/>
      <c r="BU296" s="358"/>
      <c r="BV296" s="358"/>
    </row>
    <row r="297" spans="2:74" x14ac:dyDescent="0.2">
      <c r="B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58"/>
      <c r="AX297" s="358"/>
      <c r="AY297" s="358"/>
      <c r="AZ297" s="358"/>
      <c r="BA297" s="358"/>
      <c r="BB297" s="358"/>
      <c r="BC297" s="358"/>
      <c r="BD297" s="358"/>
      <c r="BE297" s="358"/>
      <c r="BF297" s="358"/>
      <c r="BG297" s="358"/>
      <c r="BH297" s="358"/>
      <c r="BI297" s="358"/>
      <c r="BJ297" s="358"/>
      <c r="BK297" s="358"/>
      <c r="BL297" s="358"/>
      <c r="BM297" s="358"/>
      <c r="BN297" s="358"/>
      <c r="BO297" s="358"/>
      <c r="BP297" s="358"/>
      <c r="BQ297" s="358"/>
      <c r="BR297" s="358"/>
      <c r="BS297" s="358"/>
      <c r="BT297" s="358"/>
      <c r="BU297" s="358"/>
      <c r="BV297" s="358"/>
    </row>
    <row r="298" spans="2:74" x14ac:dyDescent="0.2">
      <c r="B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  <c r="AI298" s="358"/>
      <c r="AJ298" s="358"/>
      <c r="AK298" s="358"/>
      <c r="AL298" s="358"/>
      <c r="AM298" s="358"/>
      <c r="AN298" s="358"/>
      <c r="AO298" s="358"/>
      <c r="AP298" s="358"/>
      <c r="AQ298" s="358"/>
      <c r="AR298" s="358"/>
      <c r="AS298" s="358"/>
      <c r="AT298" s="358"/>
      <c r="AU298" s="358"/>
      <c r="AV298" s="358"/>
      <c r="AW298" s="358"/>
      <c r="AX298" s="358"/>
      <c r="AY298" s="358"/>
      <c r="AZ298" s="358"/>
      <c r="BA298" s="358"/>
      <c r="BB298" s="358"/>
      <c r="BC298" s="358"/>
      <c r="BD298" s="358"/>
      <c r="BE298" s="358"/>
      <c r="BF298" s="358"/>
      <c r="BG298" s="358"/>
      <c r="BH298" s="358"/>
      <c r="BI298" s="358"/>
      <c r="BJ298" s="358"/>
      <c r="BK298" s="358"/>
      <c r="BL298" s="358"/>
      <c r="BM298" s="358"/>
      <c r="BN298" s="358"/>
      <c r="BO298" s="358"/>
      <c r="BP298" s="358"/>
      <c r="BQ298" s="358"/>
      <c r="BR298" s="358"/>
      <c r="BS298" s="358"/>
      <c r="BT298" s="358"/>
      <c r="BU298" s="358"/>
      <c r="BV298" s="358"/>
    </row>
    <row r="299" spans="2:74" x14ac:dyDescent="0.2">
      <c r="B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  <c r="AK299" s="358"/>
      <c r="AL299" s="358"/>
      <c r="AM299" s="358"/>
      <c r="AN299" s="358"/>
      <c r="AO299" s="358"/>
      <c r="AP299" s="358"/>
      <c r="AQ299" s="358"/>
      <c r="AR299" s="358"/>
      <c r="AS299" s="358"/>
      <c r="AT299" s="358"/>
      <c r="AU299" s="358"/>
      <c r="AV299" s="358"/>
      <c r="AW299" s="358"/>
      <c r="AX299" s="358"/>
      <c r="AY299" s="358"/>
      <c r="AZ299" s="358"/>
      <c r="BA299" s="358"/>
      <c r="BB299" s="358"/>
      <c r="BC299" s="358"/>
      <c r="BD299" s="358"/>
      <c r="BE299" s="358"/>
      <c r="BF299" s="358"/>
      <c r="BG299" s="358"/>
      <c r="BH299" s="358"/>
      <c r="BI299" s="358"/>
      <c r="BJ299" s="358"/>
      <c r="BK299" s="358"/>
      <c r="BL299" s="358"/>
      <c r="BM299" s="358"/>
      <c r="BN299" s="358"/>
      <c r="BO299" s="358"/>
      <c r="BP299" s="358"/>
      <c r="BQ299" s="358"/>
      <c r="BR299" s="358"/>
      <c r="BS299" s="358"/>
      <c r="BT299" s="358"/>
      <c r="BU299" s="358"/>
      <c r="BV299" s="358"/>
    </row>
    <row r="300" spans="2:74" x14ac:dyDescent="0.2">
      <c r="B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  <c r="AI300" s="358"/>
      <c r="AJ300" s="358"/>
      <c r="AK300" s="358"/>
      <c r="AL300" s="358"/>
      <c r="AM300" s="358"/>
      <c r="AN300" s="358"/>
      <c r="AO300" s="358"/>
      <c r="AP300" s="358"/>
      <c r="AQ300" s="358"/>
      <c r="AR300" s="358"/>
      <c r="AS300" s="358"/>
      <c r="AT300" s="358"/>
      <c r="AU300" s="358"/>
      <c r="AV300" s="358"/>
      <c r="AW300" s="358"/>
      <c r="AX300" s="358"/>
      <c r="AY300" s="358"/>
      <c r="AZ300" s="358"/>
      <c r="BA300" s="358"/>
      <c r="BB300" s="358"/>
      <c r="BC300" s="358"/>
      <c r="BD300" s="358"/>
      <c r="BE300" s="358"/>
      <c r="BF300" s="358"/>
      <c r="BG300" s="358"/>
      <c r="BH300" s="358"/>
      <c r="BI300" s="358"/>
      <c r="BJ300" s="358"/>
      <c r="BK300" s="358"/>
      <c r="BL300" s="358"/>
      <c r="BM300" s="358"/>
      <c r="BN300" s="358"/>
      <c r="BO300" s="358"/>
      <c r="BP300" s="358"/>
      <c r="BQ300" s="358"/>
      <c r="BR300" s="358"/>
      <c r="BS300" s="358"/>
      <c r="BT300" s="358"/>
      <c r="BU300" s="358"/>
      <c r="BV300" s="358"/>
    </row>
    <row r="301" spans="2:74" x14ac:dyDescent="0.2">
      <c r="B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  <c r="AA301" s="358"/>
      <c r="AB301" s="358"/>
      <c r="AC301" s="358"/>
      <c r="AD301" s="358"/>
      <c r="AE301" s="358"/>
      <c r="AF301" s="358"/>
      <c r="AG301" s="358"/>
      <c r="AH301" s="358"/>
      <c r="AI301" s="358"/>
      <c r="AJ301" s="358"/>
      <c r="AK301" s="358"/>
      <c r="AL301" s="358"/>
      <c r="AM301" s="358"/>
      <c r="AN301" s="358"/>
      <c r="AO301" s="358"/>
      <c r="AP301" s="358"/>
      <c r="AQ301" s="358"/>
      <c r="AR301" s="358"/>
      <c r="AS301" s="358"/>
      <c r="AT301" s="358"/>
      <c r="AU301" s="358"/>
      <c r="AV301" s="358"/>
      <c r="AW301" s="358"/>
      <c r="AX301" s="358"/>
      <c r="AY301" s="358"/>
      <c r="AZ301" s="358"/>
      <c r="BA301" s="358"/>
      <c r="BB301" s="358"/>
      <c r="BC301" s="358"/>
      <c r="BD301" s="358"/>
      <c r="BE301" s="358"/>
      <c r="BF301" s="358"/>
      <c r="BG301" s="358"/>
      <c r="BH301" s="358"/>
      <c r="BI301" s="358"/>
      <c r="BJ301" s="358"/>
      <c r="BK301" s="358"/>
      <c r="BL301" s="358"/>
      <c r="BM301" s="358"/>
      <c r="BN301" s="358"/>
      <c r="BO301" s="358"/>
      <c r="BP301" s="358"/>
      <c r="BQ301" s="358"/>
      <c r="BR301" s="358"/>
      <c r="BS301" s="358"/>
      <c r="BT301" s="358"/>
      <c r="BU301" s="358"/>
      <c r="BV301" s="358"/>
    </row>
    <row r="302" spans="2:74" x14ac:dyDescent="0.2">
      <c r="B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  <c r="AS302" s="358"/>
      <c r="AT302" s="358"/>
      <c r="AU302" s="358"/>
      <c r="AV302" s="358"/>
      <c r="AW302" s="358"/>
      <c r="AX302" s="358"/>
      <c r="AY302" s="358"/>
      <c r="AZ302" s="358"/>
      <c r="BA302" s="358"/>
      <c r="BB302" s="358"/>
      <c r="BC302" s="358"/>
      <c r="BD302" s="358"/>
      <c r="BE302" s="358"/>
      <c r="BF302" s="358"/>
      <c r="BG302" s="358"/>
      <c r="BH302" s="358"/>
      <c r="BI302" s="358"/>
      <c r="BJ302" s="358"/>
      <c r="BK302" s="358"/>
      <c r="BL302" s="358"/>
      <c r="BM302" s="358"/>
      <c r="BN302" s="358"/>
      <c r="BO302" s="358"/>
      <c r="BP302" s="358"/>
      <c r="BQ302" s="358"/>
      <c r="BR302" s="358"/>
      <c r="BS302" s="358"/>
      <c r="BT302" s="358"/>
      <c r="BU302" s="358"/>
      <c r="BV302" s="358"/>
    </row>
    <row r="303" spans="2:74" x14ac:dyDescent="0.2">
      <c r="B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  <c r="AA303" s="358"/>
      <c r="AB303" s="358"/>
      <c r="AC303" s="358"/>
      <c r="AD303" s="358"/>
      <c r="AE303" s="358"/>
      <c r="AF303" s="358"/>
      <c r="AG303" s="358"/>
      <c r="AH303" s="358"/>
      <c r="AI303" s="358"/>
      <c r="AJ303" s="358"/>
      <c r="AK303" s="358"/>
      <c r="AL303" s="358"/>
      <c r="AM303" s="358"/>
      <c r="AN303" s="358"/>
      <c r="AO303" s="358"/>
      <c r="AP303" s="358"/>
      <c r="AQ303" s="358"/>
      <c r="AR303" s="358"/>
      <c r="AS303" s="358"/>
      <c r="AT303" s="358"/>
      <c r="AU303" s="358"/>
      <c r="AV303" s="358"/>
      <c r="AW303" s="358"/>
      <c r="AX303" s="358"/>
      <c r="AY303" s="358"/>
      <c r="AZ303" s="358"/>
      <c r="BA303" s="358"/>
      <c r="BB303" s="358"/>
      <c r="BC303" s="358"/>
      <c r="BD303" s="358"/>
      <c r="BE303" s="358"/>
      <c r="BF303" s="358"/>
      <c r="BG303" s="358"/>
      <c r="BH303" s="358"/>
      <c r="BI303" s="358"/>
      <c r="BJ303" s="358"/>
      <c r="BK303" s="358"/>
      <c r="BL303" s="358"/>
      <c r="BM303" s="358"/>
      <c r="BN303" s="358"/>
      <c r="BO303" s="358"/>
      <c r="BP303" s="358"/>
      <c r="BQ303" s="358"/>
      <c r="BR303" s="358"/>
      <c r="BS303" s="358"/>
      <c r="BT303" s="358"/>
      <c r="BU303" s="358"/>
      <c r="BV303" s="358"/>
    </row>
    <row r="304" spans="2:74" x14ac:dyDescent="0.2">
      <c r="B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  <c r="AI304" s="358"/>
      <c r="AJ304" s="358"/>
      <c r="AK304" s="358"/>
      <c r="AL304" s="358"/>
      <c r="AM304" s="358"/>
      <c r="AN304" s="358"/>
      <c r="AO304" s="358"/>
      <c r="AP304" s="358"/>
      <c r="AQ304" s="358"/>
      <c r="AR304" s="358"/>
      <c r="AS304" s="358"/>
      <c r="AT304" s="358"/>
      <c r="AU304" s="358"/>
      <c r="AV304" s="358"/>
      <c r="AW304" s="358"/>
      <c r="AX304" s="358"/>
      <c r="AY304" s="358"/>
      <c r="AZ304" s="358"/>
      <c r="BA304" s="358"/>
      <c r="BB304" s="358"/>
      <c r="BC304" s="358"/>
      <c r="BD304" s="358"/>
      <c r="BE304" s="358"/>
      <c r="BF304" s="358"/>
      <c r="BG304" s="358"/>
      <c r="BH304" s="358"/>
      <c r="BI304" s="358"/>
      <c r="BJ304" s="358"/>
      <c r="BK304" s="358"/>
      <c r="BL304" s="358"/>
      <c r="BM304" s="358"/>
      <c r="BN304" s="358"/>
      <c r="BO304" s="358"/>
      <c r="BP304" s="358"/>
      <c r="BQ304" s="358"/>
      <c r="BR304" s="358"/>
      <c r="BS304" s="358"/>
      <c r="BT304" s="358"/>
      <c r="BU304" s="358"/>
      <c r="BV304" s="358"/>
    </row>
    <row r="305" spans="2:74" x14ac:dyDescent="0.2">
      <c r="B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  <c r="AA305" s="358"/>
      <c r="AB305" s="358"/>
      <c r="AC305" s="358"/>
      <c r="AD305" s="358"/>
      <c r="AE305" s="358"/>
      <c r="AF305" s="358"/>
      <c r="AG305" s="358"/>
      <c r="AH305" s="358"/>
      <c r="AI305" s="358"/>
      <c r="AJ305" s="358"/>
      <c r="AK305" s="358"/>
      <c r="AL305" s="358"/>
      <c r="AM305" s="358"/>
      <c r="AN305" s="358"/>
      <c r="AO305" s="358"/>
      <c r="AP305" s="358"/>
      <c r="AQ305" s="358"/>
      <c r="AR305" s="358"/>
      <c r="AS305" s="358"/>
      <c r="AT305" s="358"/>
      <c r="AU305" s="358"/>
      <c r="AV305" s="358"/>
      <c r="AW305" s="358"/>
      <c r="AX305" s="358"/>
      <c r="AY305" s="358"/>
      <c r="AZ305" s="358"/>
      <c r="BA305" s="358"/>
      <c r="BB305" s="358"/>
      <c r="BC305" s="358"/>
      <c r="BD305" s="358"/>
      <c r="BE305" s="358"/>
      <c r="BF305" s="358"/>
      <c r="BG305" s="358"/>
      <c r="BH305" s="358"/>
      <c r="BI305" s="358"/>
      <c r="BJ305" s="358"/>
      <c r="BK305" s="358"/>
      <c r="BL305" s="358"/>
      <c r="BM305" s="358"/>
      <c r="BN305" s="358"/>
      <c r="BO305" s="358"/>
      <c r="BP305" s="358"/>
      <c r="BQ305" s="358"/>
      <c r="BR305" s="358"/>
      <c r="BS305" s="358"/>
      <c r="BT305" s="358"/>
      <c r="BU305" s="358"/>
      <c r="BV305" s="358"/>
    </row>
    <row r="306" spans="2:74" x14ac:dyDescent="0.2">
      <c r="B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  <c r="AK306" s="358"/>
      <c r="AL306" s="358"/>
      <c r="AM306" s="358"/>
      <c r="AN306" s="358"/>
      <c r="AO306" s="358"/>
      <c r="AP306" s="358"/>
      <c r="AQ306" s="358"/>
      <c r="AR306" s="358"/>
      <c r="AS306" s="358"/>
      <c r="AT306" s="358"/>
      <c r="AU306" s="358"/>
      <c r="AV306" s="358"/>
      <c r="AW306" s="358"/>
      <c r="AX306" s="358"/>
      <c r="AY306" s="358"/>
      <c r="AZ306" s="358"/>
      <c r="BA306" s="358"/>
      <c r="BB306" s="358"/>
      <c r="BC306" s="358"/>
      <c r="BD306" s="358"/>
      <c r="BE306" s="358"/>
      <c r="BF306" s="358"/>
      <c r="BG306" s="358"/>
      <c r="BH306" s="358"/>
      <c r="BI306" s="358"/>
      <c r="BJ306" s="358"/>
      <c r="BK306" s="358"/>
      <c r="BL306" s="358"/>
      <c r="BM306" s="358"/>
      <c r="BN306" s="358"/>
      <c r="BO306" s="358"/>
      <c r="BP306" s="358"/>
      <c r="BQ306" s="358"/>
      <c r="BR306" s="358"/>
      <c r="BS306" s="358"/>
      <c r="BT306" s="358"/>
      <c r="BU306" s="358"/>
      <c r="BV306" s="358"/>
    </row>
    <row r="307" spans="2:74" x14ac:dyDescent="0.2">
      <c r="B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  <c r="AA307" s="358"/>
      <c r="AB307" s="358"/>
      <c r="AC307" s="358"/>
      <c r="AD307" s="358"/>
      <c r="AE307" s="358"/>
      <c r="AF307" s="358"/>
      <c r="AG307" s="358"/>
      <c r="AH307" s="358"/>
      <c r="AI307" s="358"/>
      <c r="AJ307" s="358"/>
      <c r="AK307" s="358"/>
      <c r="AL307" s="358"/>
      <c r="AM307" s="358"/>
      <c r="AN307" s="358"/>
      <c r="AO307" s="358"/>
      <c r="AP307" s="358"/>
      <c r="AQ307" s="358"/>
      <c r="AR307" s="358"/>
      <c r="AS307" s="358"/>
      <c r="AT307" s="358"/>
      <c r="AU307" s="358"/>
      <c r="AV307" s="358"/>
      <c r="AW307" s="358"/>
      <c r="AX307" s="358"/>
      <c r="AY307" s="358"/>
      <c r="AZ307" s="358"/>
      <c r="BA307" s="358"/>
      <c r="BB307" s="358"/>
      <c r="BC307" s="358"/>
      <c r="BD307" s="358"/>
      <c r="BE307" s="358"/>
      <c r="BF307" s="358"/>
      <c r="BG307" s="358"/>
      <c r="BH307" s="358"/>
      <c r="BI307" s="358"/>
      <c r="BJ307" s="358"/>
      <c r="BK307" s="358"/>
      <c r="BL307" s="358"/>
      <c r="BM307" s="358"/>
      <c r="BN307" s="358"/>
      <c r="BO307" s="358"/>
      <c r="BP307" s="358"/>
      <c r="BQ307" s="358"/>
      <c r="BR307" s="358"/>
      <c r="BS307" s="358"/>
      <c r="BT307" s="358"/>
      <c r="BU307" s="358"/>
      <c r="BV307" s="358"/>
    </row>
    <row r="308" spans="2:74" x14ac:dyDescent="0.2">
      <c r="B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  <c r="AI308" s="358"/>
      <c r="AJ308" s="358"/>
      <c r="AK308" s="358"/>
      <c r="AL308" s="358"/>
      <c r="AM308" s="358"/>
      <c r="AN308" s="358"/>
      <c r="AO308" s="358"/>
      <c r="AP308" s="358"/>
      <c r="AQ308" s="358"/>
      <c r="AR308" s="358"/>
      <c r="AS308" s="358"/>
      <c r="AT308" s="358"/>
      <c r="AU308" s="358"/>
      <c r="AV308" s="358"/>
      <c r="AW308" s="358"/>
      <c r="AX308" s="358"/>
      <c r="AY308" s="358"/>
      <c r="AZ308" s="358"/>
      <c r="BA308" s="358"/>
      <c r="BB308" s="358"/>
      <c r="BC308" s="358"/>
      <c r="BD308" s="358"/>
      <c r="BE308" s="358"/>
      <c r="BF308" s="358"/>
      <c r="BG308" s="358"/>
      <c r="BH308" s="358"/>
      <c r="BI308" s="358"/>
      <c r="BJ308" s="358"/>
      <c r="BK308" s="358"/>
      <c r="BL308" s="358"/>
      <c r="BM308" s="358"/>
      <c r="BN308" s="358"/>
      <c r="BO308" s="358"/>
      <c r="BP308" s="358"/>
      <c r="BQ308" s="358"/>
      <c r="BR308" s="358"/>
      <c r="BS308" s="358"/>
      <c r="BT308" s="358"/>
      <c r="BU308" s="358"/>
      <c r="BV308" s="358"/>
    </row>
    <row r="309" spans="2:74" x14ac:dyDescent="0.2">
      <c r="B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  <c r="AA309" s="358"/>
      <c r="AB309" s="358"/>
      <c r="AC309" s="358"/>
      <c r="AD309" s="358"/>
      <c r="AE309" s="358"/>
      <c r="AF309" s="358"/>
      <c r="AG309" s="358"/>
      <c r="AH309" s="358"/>
      <c r="AI309" s="358"/>
      <c r="AJ309" s="358"/>
      <c r="AK309" s="358"/>
      <c r="AL309" s="358"/>
      <c r="AM309" s="358"/>
      <c r="AN309" s="358"/>
      <c r="AO309" s="358"/>
      <c r="AP309" s="358"/>
      <c r="AQ309" s="358"/>
      <c r="AR309" s="358"/>
      <c r="AS309" s="358"/>
      <c r="AT309" s="358"/>
      <c r="AU309" s="358"/>
      <c r="AV309" s="358"/>
      <c r="AW309" s="358"/>
      <c r="AX309" s="358"/>
      <c r="AY309" s="358"/>
      <c r="AZ309" s="358"/>
      <c r="BA309" s="358"/>
      <c r="BB309" s="358"/>
      <c r="BC309" s="358"/>
      <c r="BD309" s="358"/>
      <c r="BE309" s="358"/>
      <c r="BF309" s="358"/>
      <c r="BG309" s="358"/>
      <c r="BH309" s="358"/>
      <c r="BI309" s="358"/>
      <c r="BJ309" s="358"/>
      <c r="BK309" s="358"/>
      <c r="BL309" s="358"/>
      <c r="BM309" s="358"/>
      <c r="BN309" s="358"/>
      <c r="BO309" s="358"/>
      <c r="BP309" s="358"/>
      <c r="BQ309" s="358"/>
      <c r="BR309" s="358"/>
      <c r="BS309" s="358"/>
      <c r="BT309" s="358"/>
      <c r="BU309" s="358"/>
      <c r="BV309" s="358"/>
    </row>
    <row r="310" spans="2:74" x14ac:dyDescent="0.2">
      <c r="B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  <c r="AI310" s="358"/>
      <c r="AJ310" s="358"/>
      <c r="AK310" s="358"/>
      <c r="AL310" s="358"/>
      <c r="AM310" s="358"/>
      <c r="AN310" s="358"/>
      <c r="AO310" s="358"/>
      <c r="AP310" s="358"/>
      <c r="AQ310" s="358"/>
      <c r="AR310" s="358"/>
      <c r="AS310" s="358"/>
      <c r="AT310" s="358"/>
      <c r="AU310" s="358"/>
      <c r="AV310" s="358"/>
      <c r="AW310" s="358"/>
      <c r="AX310" s="358"/>
      <c r="AY310" s="358"/>
      <c r="AZ310" s="358"/>
      <c r="BA310" s="358"/>
      <c r="BB310" s="358"/>
      <c r="BC310" s="358"/>
      <c r="BD310" s="358"/>
      <c r="BE310" s="358"/>
      <c r="BF310" s="358"/>
      <c r="BG310" s="358"/>
      <c r="BH310" s="358"/>
      <c r="BI310" s="358"/>
      <c r="BJ310" s="358"/>
      <c r="BK310" s="358"/>
      <c r="BL310" s="358"/>
      <c r="BM310" s="358"/>
      <c r="BN310" s="358"/>
      <c r="BO310" s="358"/>
      <c r="BP310" s="358"/>
      <c r="BQ310" s="358"/>
      <c r="BR310" s="358"/>
      <c r="BS310" s="358"/>
      <c r="BT310" s="358"/>
      <c r="BU310" s="358"/>
      <c r="BV310" s="358"/>
    </row>
    <row r="311" spans="2:74" x14ac:dyDescent="0.2">
      <c r="B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  <c r="AA311" s="358"/>
      <c r="AB311" s="358"/>
      <c r="AC311" s="358"/>
      <c r="AD311" s="358"/>
      <c r="AE311" s="358"/>
      <c r="AF311" s="358"/>
      <c r="AG311" s="358"/>
      <c r="AH311" s="358"/>
      <c r="AI311" s="358"/>
      <c r="AJ311" s="358"/>
      <c r="AK311" s="358"/>
      <c r="AL311" s="358"/>
      <c r="AM311" s="358"/>
      <c r="AN311" s="358"/>
      <c r="AO311" s="358"/>
      <c r="AP311" s="358"/>
      <c r="AQ311" s="358"/>
      <c r="AR311" s="358"/>
      <c r="AS311" s="358"/>
      <c r="AT311" s="358"/>
      <c r="AU311" s="358"/>
      <c r="AV311" s="358"/>
      <c r="AW311" s="358"/>
      <c r="AX311" s="358"/>
      <c r="AY311" s="358"/>
      <c r="AZ311" s="358"/>
      <c r="BA311" s="358"/>
      <c r="BB311" s="358"/>
      <c r="BC311" s="358"/>
      <c r="BD311" s="358"/>
      <c r="BE311" s="358"/>
      <c r="BF311" s="358"/>
      <c r="BG311" s="358"/>
      <c r="BH311" s="358"/>
      <c r="BI311" s="358"/>
      <c r="BJ311" s="358"/>
      <c r="BK311" s="358"/>
      <c r="BL311" s="358"/>
      <c r="BM311" s="358"/>
      <c r="BN311" s="358"/>
      <c r="BO311" s="358"/>
      <c r="BP311" s="358"/>
      <c r="BQ311" s="358"/>
      <c r="BR311" s="358"/>
      <c r="BS311" s="358"/>
      <c r="BT311" s="358"/>
      <c r="BU311" s="358"/>
      <c r="BV311" s="358"/>
    </row>
    <row r="312" spans="2:74" x14ac:dyDescent="0.2">
      <c r="B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  <c r="AI312" s="358"/>
      <c r="AJ312" s="358"/>
      <c r="AK312" s="358"/>
      <c r="AL312" s="358"/>
      <c r="AM312" s="358"/>
      <c r="AN312" s="358"/>
      <c r="AO312" s="358"/>
      <c r="AP312" s="358"/>
      <c r="AQ312" s="358"/>
      <c r="AR312" s="358"/>
      <c r="AS312" s="358"/>
      <c r="AT312" s="358"/>
      <c r="AU312" s="358"/>
      <c r="AV312" s="358"/>
      <c r="AW312" s="358"/>
      <c r="AX312" s="358"/>
      <c r="AY312" s="358"/>
      <c r="AZ312" s="358"/>
      <c r="BA312" s="358"/>
      <c r="BB312" s="358"/>
      <c r="BC312" s="358"/>
      <c r="BD312" s="358"/>
      <c r="BE312" s="358"/>
      <c r="BF312" s="358"/>
      <c r="BG312" s="358"/>
      <c r="BH312" s="358"/>
      <c r="BI312" s="358"/>
      <c r="BJ312" s="358"/>
      <c r="BK312" s="358"/>
      <c r="BL312" s="358"/>
      <c r="BM312" s="358"/>
      <c r="BN312" s="358"/>
      <c r="BO312" s="358"/>
      <c r="BP312" s="358"/>
      <c r="BQ312" s="358"/>
      <c r="BR312" s="358"/>
      <c r="BS312" s="358"/>
      <c r="BT312" s="358"/>
      <c r="BU312" s="358"/>
      <c r="BV312" s="358"/>
    </row>
    <row r="313" spans="2:74" x14ac:dyDescent="0.2">
      <c r="B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L313" s="358"/>
      <c r="AM313" s="358"/>
      <c r="AN313" s="358"/>
      <c r="AO313" s="358"/>
      <c r="AP313" s="358"/>
      <c r="AQ313" s="358"/>
      <c r="AR313" s="358"/>
      <c r="AS313" s="358"/>
      <c r="AT313" s="358"/>
      <c r="AU313" s="358"/>
      <c r="AV313" s="358"/>
      <c r="AW313" s="358"/>
      <c r="AX313" s="358"/>
      <c r="AY313" s="358"/>
      <c r="AZ313" s="358"/>
      <c r="BA313" s="358"/>
      <c r="BB313" s="358"/>
      <c r="BC313" s="358"/>
      <c r="BD313" s="358"/>
      <c r="BE313" s="358"/>
      <c r="BF313" s="358"/>
      <c r="BG313" s="358"/>
      <c r="BH313" s="358"/>
      <c r="BI313" s="358"/>
      <c r="BJ313" s="358"/>
      <c r="BK313" s="358"/>
      <c r="BL313" s="358"/>
      <c r="BM313" s="358"/>
      <c r="BN313" s="358"/>
      <c r="BO313" s="358"/>
      <c r="BP313" s="358"/>
      <c r="BQ313" s="358"/>
      <c r="BR313" s="358"/>
      <c r="BS313" s="358"/>
      <c r="BT313" s="358"/>
      <c r="BU313" s="358"/>
      <c r="BV313" s="358"/>
    </row>
    <row r="314" spans="2:74" x14ac:dyDescent="0.2">
      <c r="B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  <c r="AI314" s="358"/>
      <c r="AJ314" s="358"/>
      <c r="AK314" s="358"/>
      <c r="AL314" s="358"/>
      <c r="AM314" s="358"/>
      <c r="AN314" s="358"/>
      <c r="AO314" s="358"/>
      <c r="AP314" s="358"/>
      <c r="AQ314" s="358"/>
      <c r="AR314" s="358"/>
      <c r="AS314" s="358"/>
      <c r="AT314" s="358"/>
      <c r="AU314" s="358"/>
      <c r="AV314" s="358"/>
      <c r="AW314" s="358"/>
      <c r="AX314" s="358"/>
      <c r="AY314" s="358"/>
      <c r="AZ314" s="358"/>
      <c r="BA314" s="358"/>
      <c r="BB314" s="358"/>
      <c r="BC314" s="358"/>
      <c r="BD314" s="358"/>
      <c r="BE314" s="358"/>
      <c r="BF314" s="358"/>
      <c r="BG314" s="358"/>
      <c r="BH314" s="358"/>
      <c r="BI314" s="358"/>
      <c r="BJ314" s="358"/>
      <c r="BK314" s="358"/>
      <c r="BL314" s="358"/>
      <c r="BM314" s="358"/>
      <c r="BN314" s="358"/>
      <c r="BO314" s="358"/>
      <c r="BP314" s="358"/>
      <c r="BQ314" s="358"/>
      <c r="BR314" s="358"/>
      <c r="BS314" s="358"/>
      <c r="BT314" s="358"/>
      <c r="BU314" s="358"/>
      <c r="BV314" s="358"/>
    </row>
    <row r="315" spans="2:74" x14ac:dyDescent="0.2">
      <c r="B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  <c r="AA315" s="358"/>
      <c r="AB315" s="358"/>
      <c r="AC315" s="358"/>
      <c r="AD315" s="358"/>
      <c r="AE315" s="358"/>
      <c r="AF315" s="358"/>
      <c r="AG315" s="358"/>
      <c r="AH315" s="358"/>
      <c r="AI315" s="358"/>
      <c r="AJ315" s="358"/>
      <c r="AK315" s="358"/>
      <c r="AL315" s="358"/>
      <c r="AM315" s="358"/>
      <c r="AN315" s="358"/>
      <c r="AO315" s="358"/>
      <c r="AP315" s="358"/>
      <c r="AQ315" s="358"/>
      <c r="AR315" s="358"/>
      <c r="AS315" s="358"/>
      <c r="AT315" s="358"/>
      <c r="AU315" s="358"/>
      <c r="AV315" s="358"/>
      <c r="AW315" s="358"/>
      <c r="AX315" s="358"/>
      <c r="AY315" s="358"/>
      <c r="AZ315" s="358"/>
      <c r="BA315" s="358"/>
      <c r="BB315" s="358"/>
      <c r="BC315" s="358"/>
      <c r="BD315" s="358"/>
      <c r="BE315" s="358"/>
      <c r="BF315" s="358"/>
      <c r="BG315" s="358"/>
      <c r="BH315" s="358"/>
      <c r="BI315" s="358"/>
      <c r="BJ315" s="358"/>
      <c r="BK315" s="358"/>
      <c r="BL315" s="358"/>
      <c r="BM315" s="358"/>
      <c r="BN315" s="358"/>
      <c r="BO315" s="358"/>
      <c r="BP315" s="358"/>
      <c r="BQ315" s="358"/>
      <c r="BR315" s="358"/>
      <c r="BS315" s="358"/>
      <c r="BT315" s="358"/>
      <c r="BU315" s="358"/>
      <c r="BV315" s="358"/>
    </row>
    <row r="316" spans="2:74" x14ac:dyDescent="0.2">
      <c r="B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L316" s="358"/>
      <c r="AM316" s="358"/>
      <c r="AN316" s="358"/>
      <c r="AO316" s="358"/>
      <c r="AP316" s="358"/>
      <c r="AQ316" s="358"/>
      <c r="AR316" s="358"/>
      <c r="AS316" s="358"/>
      <c r="AT316" s="358"/>
      <c r="AU316" s="358"/>
      <c r="AV316" s="358"/>
      <c r="AW316" s="358"/>
      <c r="AX316" s="358"/>
      <c r="AY316" s="358"/>
      <c r="AZ316" s="358"/>
      <c r="BA316" s="358"/>
      <c r="BB316" s="358"/>
      <c r="BC316" s="358"/>
      <c r="BD316" s="358"/>
      <c r="BE316" s="358"/>
      <c r="BF316" s="358"/>
      <c r="BG316" s="358"/>
      <c r="BH316" s="358"/>
      <c r="BI316" s="358"/>
      <c r="BJ316" s="358"/>
      <c r="BK316" s="358"/>
      <c r="BL316" s="358"/>
      <c r="BM316" s="358"/>
      <c r="BN316" s="358"/>
      <c r="BO316" s="358"/>
      <c r="BP316" s="358"/>
      <c r="BQ316" s="358"/>
      <c r="BR316" s="358"/>
      <c r="BS316" s="358"/>
      <c r="BT316" s="358"/>
      <c r="BU316" s="358"/>
      <c r="BV316" s="358"/>
    </row>
    <row r="317" spans="2:74" x14ac:dyDescent="0.2">
      <c r="B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  <c r="AA317" s="358"/>
      <c r="AB317" s="358"/>
      <c r="AC317" s="358"/>
      <c r="AD317" s="358"/>
      <c r="AE317" s="358"/>
      <c r="AF317" s="358"/>
      <c r="AG317" s="358"/>
      <c r="AH317" s="358"/>
      <c r="AI317" s="358"/>
      <c r="AJ317" s="358"/>
      <c r="AK317" s="358"/>
      <c r="AL317" s="358"/>
      <c r="AM317" s="358"/>
      <c r="AN317" s="358"/>
      <c r="AO317" s="358"/>
      <c r="AP317" s="358"/>
      <c r="AQ317" s="358"/>
      <c r="AR317" s="358"/>
      <c r="AS317" s="358"/>
      <c r="AT317" s="358"/>
      <c r="AU317" s="358"/>
      <c r="AV317" s="358"/>
      <c r="AW317" s="358"/>
      <c r="AX317" s="358"/>
      <c r="AY317" s="358"/>
      <c r="AZ317" s="358"/>
      <c r="BA317" s="358"/>
      <c r="BB317" s="358"/>
      <c r="BC317" s="358"/>
      <c r="BD317" s="358"/>
      <c r="BE317" s="358"/>
      <c r="BF317" s="358"/>
      <c r="BG317" s="358"/>
      <c r="BH317" s="358"/>
      <c r="BI317" s="358"/>
      <c r="BJ317" s="358"/>
      <c r="BK317" s="358"/>
      <c r="BL317" s="358"/>
      <c r="BM317" s="358"/>
      <c r="BN317" s="358"/>
      <c r="BO317" s="358"/>
      <c r="BP317" s="358"/>
      <c r="BQ317" s="358"/>
      <c r="BR317" s="358"/>
      <c r="BS317" s="358"/>
      <c r="BT317" s="358"/>
      <c r="BU317" s="358"/>
      <c r="BV317" s="358"/>
    </row>
    <row r="318" spans="2:74" x14ac:dyDescent="0.2">
      <c r="B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  <c r="AI318" s="358"/>
      <c r="AJ318" s="358"/>
      <c r="AK318" s="358"/>
      <c r="AL318" s="358"/>
      <c r="AM318" s="358"/>
      <c r="AN318" s="358"/>
      <c r="AO318" s="358"/>
      <c r="AP318" s="358"/>
      <c r="AQ318" s="358"/>
      <c r="AR318" s="358"/>
      <c r="AS318" s="358"/>
      <c r="AT318" s="358"/>
      <c r="AU318" s="358"/>
      <c r="AV318" s="358"/>
      <c r="AW318" s="358"/>
      <c r="AX318" s="358"/>
      <c r="AY318" s="358"/>
      <c r="AZ318" s="358"/>
      <c r="BA318" s="358"/>
      <c r="BB318" s="358"/>
      <c r="BC318" s="358"/>
      <c r="BD318" s="358"/>
      <c r="BE318" s="358"/>
      <c r="BF318" s="358"/>
      <c r="BG318" s="358"/>
      <c r="BH318" s="358"/>
      <c r="BI318" s="358"/>
      <c r="BJ318" s="358"/>
      <c r="BK318" s="358"/>
      <c r="BL318" s="358"/>
      <c r="BM318" s="358"/>
      <c r="BN318" s="358"/>
      <c r="BO318" s="358"/>
      <c r="BP318" s="358"/>
      <c r="BQ318" s="358"/>
      <c r="BR318" s="358"/>
      <c r="BS318" s="358"/>
      <c r="BT318" s="358"/>
      <c r="BU318" s="358"/>
      <c r="BV318" s="358"/>
    </row>
    <row r="319" spans="2:74" x14ac:dyDescent="0.2">
      <c r="B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  <c r="AA319" s="358"/>
      <c r="AB319" s="358"/>
      <c r="AC319" s="358"/>
      <c r="AD319" s="358"/>
      <c r="AE319" s="358"/>
      <c r="AF319" s="358"/>
      <c r="AG319" s="358"/>
      <c r="AH319" s="358"/>
      <c r="AI319" s="358"/>
      <c r="AJ319" s="358"/>
      <c r="AK319" s="358"/>
      <c r="AL319" s="358"/>
      <c r="AM319" s="358"/>
      <c r="AN319" s="358"/>
      <c r="AO319" s="358"/>
      <c r="AP319" s="358"/>
      <c r="AQ319" s="358"/>
      <c r="AR319" s="358"/>
      <c r="AS319" s="358"/>
      <c r="AT319" s="358"/>
      <c r="AU319" s="358"/>
      <c r="AV319" s="358"/>
      <c r="AW319" s="358"/>
      <c r="AX319" s="358"/>
      <c r="AY319" s="358"/>
      <c r="AZ319" s="358"/>
      <c r="BA319" s="358"/>
      <c r="BB319" s="358"/>
      <c r="BC319" s="358"/>
      <c r="BD319" s="358"/>
      <c r="BE319" s="358"/>
      <c r="BF319" s="358"/>
      <c r="BG319" s="358"/>
      <c r="BH319" s="358"/>
      <c r="BI319" s="358"/>
      <c r="BJ319" s="358"/>
      <c r="BK319" s="358"/>
      <c r="BL319" s="358"/>
      <c r="BM319" s="358"/>
      <c r="BN319" s="358"/>
      <c r="BO319" s="358"/>
      <c r="BP319" s="358"/>
      <c r="BQ319" s="358"/>
      <c r="BR319" s="358"/>
      <c r="BS319" s="358"/>
      <c r="BT319" s="358"/>
      <c r="BU319" s="358"/>
      <c r="BV319" s="358"/>
    </row>
    <row r="320" spans="2:74" x14ac:dyDescent="0.2">
      <c r="B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  <c r="AI320" s="358"/>
      <c r="AJ320" s="358"/>
      <c r="AK320" s="358"/>
      <c r="AL320" s="358"/>
      <c r="AM320" s="358"/>
      <c r="AN320" s="358"/>
      <c r="AO320" s="358"/>
      <c r="AP320" s="358"/>
      <c r="AQ320" s="358"/>
      <c r="AR320" s="358"/>
      <c r="AS320" s="358"/>
      <c r="AT320" s="358"/>
      <c r="AU320" s="358"/>
      <c r="AV320" s="358"/>
      <c r="AW320" s="358"/>
      <c r="AX320" s="358"/>
      <c r="AY320" s="358"/>
      <c r="AZ320" s="358"/>
      <c r="BA320" s="358"/>
      <c r="BB320" s="358"/>
      <c r="BC320" s="358"/>
      <c r="BD320" s="358"/>
      <c r="BE320" s="358"/>
      <c r="BF320" s="358"/>
      <c r="BG320" s="358"/>
      <c r="BH320" s="358"/>
      <c r="BI320" s="358"/>
      <c r="BJ320" s="358"/>
      <c r="BK320" s="358"/>
      <c r="BL320" s="358"/>
      <c r="BM320" s="358"/>
      <c r="BN320" s="358"/>
      <c r="BO320" s="358"/>
      <c r="BP320" s="358"/>
      <c r="BQ320" s="358"/>
      <c r="BR320" s="358"/>
      <c r="BS320" s="358"/>
      <c r="BT320" s="358"/>
      <c r="BU320" s="358"/>
      <c r="BV320" s="358"/>
    </row>
    <row r="321" spans="2:74" x14ac:dyDescent="0.2">
      <c r="B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  <c r="AA321" s="358"/>
      <c r="AB321" s="358"/>
      <c r="AC321" s="358"/>
      <c r="AD321" s="358"/>
      <c r="AE321" s="358"/>
      <c r="AF321" s="358"/>
      <c r="AG321" s="358"/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58"/>
      <c r="AX321" s="358"/>
      <c r="AY321" s="358"/>
      <c r="AZ321" s="358"/>
      <c r="BA321" s="358"/>
      <c r="BB321" s="358"/>
      <c r="BC321" s="358"/>
      <c r="BD321" s="358"/>
      <c r="BE321" s="358"/>
      <c r="BF321" s="358"/>
      <c r="BG321" s="358"/>
      <c r="BH321" s="358"/>
      <c r="BI321" s="358"/>
      <c r="BJ321" s="358"/>
      <c r="BK321" s="358"/>
      <c r="BL321" s="358"/>
      <c r="BM321" s="358"/>
      <c r="BN321" s="358"/>
      <c r="BO321" s="358"/>
      <c r="BP321" s="358"/>
      <c r="BQ321" s="358"/>
      <c r="BR321" s="358"/>
      <c r="BS321" s="358"/>
      <c r="BT321" s="358"/>
      <c r="BU321" s="358"/>
      <c r="BV321" s="358"/>
    </row>
    <row r="322" spans="2:74" x14ac:dyDescent="0.2">
      <c r="B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L322" s="358"/>
      <c r="AM322" s="358"/>
      <c r="AN322" s="358"/>
      <c r="AO322" s="358"/>
      <c r="AP322" s="358"/>
      <c r="AQ322" s="358"/>
      <c r="AR322" s="358"/>
      <c r="AS322" s="358"/>
      <c r="AT322" s="358"/>
      <c r="AU322" s="358"/>
      <c r="AV322" s="358"/>
      <c r="AW322" s="358"/>
      <c r="AX322" s="358"/>
      <c r="AY322" s="358"/>
      <c r="AZ322" s="358"/>
      <c r="BA322" s="358"/>
      <c r="BB322" s="358"/>
      <c r="BC322" s="358"/>
      <c r="BD322" s="358"/>
      <c r="BE322" s="358"/>
      <c r="BF322" s="358"/>
      <c r="BG322" s="358"/>
      <c r="BH322" s="358"/>
      <c r="BI322" s="358"/>
      <c r="BJ322" s="358"/>
      <c r="BK322" s="358"/>
      <c r="BL322" s="358"/>
      <c r="BM322" s="358"/>
      <c r="BN322" s="358"/>
      <c r="BO322" s="358"/>
      <c r="BP322" s="358"/>
      <c r="BQ322" s="358"/>
      <c r="BR322" s="358"/>
      <c r="BS322" s="358"/>
      <c r="BT322" s="358"/>
      <c r="BU322" s="358"/>
      <c r="BV322" s="358"/>
    </row>
    <row r="323" spans="2:74" x14ac:dyDescent="0.2">
      <c r="B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  <c r="AK323" s="358"/>
      <c r="AL323" s="358"/>
      <c r="AM323" s="358"/>
      <c r="AN323" s="358"/>
      <c r="AO323" s="358"/>
      <c r="AP323" s="358"/>
      <c r="AQ323" s="358"/>
      <c r="AR323" s="358"/>
      <c r="AS323" s="358"/>
      <c r="AT323" s="358"/>
      <c r="AU323" s="358"/>
      <c r="AV323" s="358"/>
      <c r="AW323" s="358"/>
      <c r="AX323" s="358"/>
      <c r="AY323" s="358"/>
      <c r="AZ323" s="358"/>
      <c r="BA323" s="358"/>
      <c r="BB323" s="358"/>
      <c r="BC323" s="358"/>
      <c r="BD323" s="358"/>
      <c r="BE323" s="358"/>
      <c r="BF323" s="358"/>
      <c r="BG323" s="358"/>
      <c r="BH323" s="358"/>
      <c r="BI323" s="358"/>
      <c r="BJ323" s="358"/>
      <c r="BK323" s="358"/>
      <c r="BL323" s="358"/>
      <c r="BM323" s="358"/>
      <c r="BN323" s="358"/>
      <c r="BO323" s="358"/>
      <c r="BP323" s="358"/>
      <c r="BQ323" s="358"/>
      <c r="BR323" s="358"/>
      <c r="BS323" s="358"/>
      <c r="BT323" s="358"/>
      <c r="BU323" s="358"/>
      <c r="BV323" s="358"/>
    </row>
    <row r="324" spans="2:74" x14ac:dyDescent="0.2">
      <c r="B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  <c r="AI324" s="358"/>
      <c r="AJ324" s="358"/>
      <c r="AK324" s="358"/>
      <c r="AL324" s="358"/>
      <c r="AM324" s="358"/>
      <c r="AN324" s="358"/>
      <c r="AO324" s="358"/>
      <c r="AP324" s="358"/>
      <c r="AQ324" s="358"/>
      <c r="AR324" s="358"/>
      <c r="AS324" s="358"/>
      <c r="AT324" s="358"/>
      <c r="AU324" s="358"/>
      <c r="AV324" s="358"/>
      <c r="AW324" s="358"/>
      <c r="AX324" s="358"/>
      <c r="AY324" s="358"/>
      <c r="AZ324" s="358"/>
      <c r="BA324" s="358"/>
      <c r="BB324" s="358"/>
      <c r="BC324" s="358"/>
      <c r="BD324" s="358"/>
      <c r="BE324" s="358"/>
      <c r="BF324" s="358"/>
      <c r="BG324" s="358"/>
      <c r="BH324" s="358"/>
      <c r="BI324" s="358"/>
      <c r="BJ324" s="358"/>
      <c r="BK324" s="358"/>
      <c r="BL324" s="358"/>
      <c r="BM324" s="358"/>
      <c r="BN324" s="358"/>
      <c r="BO324" s="358"/>
      <c r="BP324" s="358"/>
      <c r="BQ324" s="358"/>
      <c r="BR324" s="358"/>
      <c r="BS324" s="358"/>
      <c r="BT324" s="358"/>
      <c r="BU324" s="358"/>
      <c r="BV324" s="358"/>
    </row>
    <row r="325" spans="2:74" x14ac:dyDescent="0.2">
      <c r="B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  <c r="AA325" s="358"/>
      <c r="AB325" s="358"/>
      <c r="AC325" s="358"/>
      <c r="AD325" s="358"/>
      <c r="AE325" s="358"/>
      <c r="AF325" s="358"/>
      <c r="AG325" s="358"/>
      <c r="AH325" s="358"/>
      <c r="AI325" s="358"/>
      <c r="AJ325" s="358"/>
      <c r="AK325" s="358"/>
      <c r="AL325" s="358"/>
      <c r="AM325" s="358"/>
      <c r="AN325" s="358"/>
      <c r="AO325" s="358"/>
      <c r="AP325" s="358"/>
      <c r="AQ325" s="358"/>
      <c r="AR325" s="358"/>
      <c r="AS325" s="358"/>
      <c r="AT325" s="358"/>
      <c r="AU325" s="358"/>
      <c r="AV325" s="358"/>
      <c r="AW325" s="358"/>
      <c r="AX325" s="358"/>
      <c r="AY325" s="358"/>
      <c r="AZ325" s="358"/>
      <c r="BA325" s="358"/>
      <c r="BB325" s="358"/>
      <c r="BC325" s="358"/>
      <c r="BD325" s="358"/>
      <c r="BE325" s="358"/>
      <c r="BF325" s="358"/>
      <c r="BG325" s="358"/>
      <c r="BH325" s="358"/>
      <c r="BI325" s="358"/>
      <c r="BJ325" s="358"/>
      <c r="BK325" s="358"/>
      <c r="BL325" s="358"/>
      <c r="BM325" s="358"/>
      <c r="BN325" s="358"/>
      <c r="BO325" s="358"/>
      <c r="BP325" s="358"/>
      <c r="BQ325" s="358"/>
      <c r="BR325" s="358"/>
      <c r="BS325" s="358"/>
      <c r="BT325" s="358"/>
      <c r="BU325" s="358"/>
      <c r="BV325" s="358"/>
    </row>
    <row r="326" spans="2:74" x14ac:dyDescent="0.2">
      <c r="B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  <c r="AS326" s="358"/>
      <c r="AT326" s="358"/>
      <c r="AU326" s="358"/>
      <c r="AV326" s="358"/>
      <c r="AW326" s="358"/>
      <c r="AX326" s="358"/>
      <c r="AY326" s="358"/>
      <c r="AZ326" s="358"/>
      <c r="BA326" s="358"/>
      <c r="BB326" s="358"/>
      <c r="BC326" s="358"/>
      <c r="BD326" s="358"/>
      <c r="BE326" s="358"/>
      <c r="BF326" s="358"/>
      <c r="BG326" s="358"/>
      <c r="BH326" s="358"/>
      <c r="BI326" s="358"/>
      <c r="BJ326" s="358"/>
      <c r="BK326" s="358"/>
      <c r="BL326" s="358"/>
      <c r="BM326" s="358"/>
      <c r="BN326" s="358"/>
      <c r="BO326" s="358"/>
      <c r="BP326" s="358"/>
      <c r="BQ326" s="358"/>
      <c r="BR326" s="358"/>
      <c r="BS326" s="358"/>
      <c r="BT326" s="358"/>
      <c r="BU326" s="358"/>
      <c r="BV326" s="358"/>
    </row>
    <row r="327" spans="2:74" x14ac:dyDescent="0.2">
      <c r="B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  <c r="AA327" s="358"/>
      <c r="AB327" s="358"/>
      <c r="AC327" s="358"/>
      <c r="AD327" s="358"/>
      <c r="AE327" s="358"/>
      <c r="AF327" s="358"/>
      <c r="AG327" s="358"/>
      <c r="AH327" s="358"/>
      <c r="AI327" s="358"/>
      <c r="AJ327" s="358"/>
      <c r="AK327" s="358"/>
      <c r="AL327" s="358"/>
      <c r="AM327" s="358"/>
      <c r="AN327" s="358"/>
      <c r="AO327" s="358"/>
      <c r="AP327" s="358"/>
      <c r="AQ327" s="358"/>
      <c r="AR327" s="358"/>
      <c r="AS327" s="358"/>
      <c r="AT327" s="358"/>
      <c r="AU327" s="358"/>
      <c r="AV327" s="358"/>
      <c r="AW327" s="358"/>
      <c r="AX327" s="358"/>
      <c r="AY327" s="358"/>
      <c r="AZ327" s="358"/>
      <c r="BA327" s="358"/>
      <c r="BB327" s="358"/>
      <c r="BC327" s="358"/>
      <c r="BD327" s="358"/>
      <c r="BE327" s="358"/>
      <c r="BF327" s="358"/>
      <c r="BG327" s="358"/>
      <c r="BH327" s="358"/>
      <c r="BI327" s="358"/>
      <c r="BJ327" s="358"/>
      <c r="BK327" s="358"/>
      <c r="BL327" s="358"/>
      <c r="BM327" s="358"/>
      <c r="BN327" s="358"/>
      <c r="BO327" s="358"/>
      <c r="BP327" s="358"/>
      <c r="BQ327" s="358"/>
      <c r="BR327" s="358"/>
      <c r="BS327" s="358"/>
      <c r="BT327" s="358"/>
      <c r="BU327" s="358"/>
      <c r="BV327" s="358"/>
    </row>
    <row r="328" spans="2:74" x14ac:dyDescent="0.2">
      <c r="B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  <c r="AI328" s="358"/>
      <c r="AJ328" s="358"/>
      <c r="AK328" s="358"/>
      <c r="AL328" s="358"/>
      <c r="AM328" s="358"/>
      <c r="AN328" s="358"/>
      <c r="AO328" s="358"/>
      <c r="AP328" s="358"/>
      <c r="AQ328" s="358"/>
      <c r="AR328" s="358"/>
      <c r="AS328" s="358"/>
      <c r="AT328" s="358"/>
      <c r="AU328" s="358"/>
      <c r="AV328" s="358"/>
      <c r="AW328" s="358"/>
      <c r="AX328" s="358"/>
      <c r="AY328" s="358"/>
      <c r="AZ328" s="358"/>
      <c r="BA328" s="358"/>
      <c r="BB328" s="358"/>
      <c r="BC328" s="358"/>
      <c r="BD328" s="358"/>
      <c r="BE328" s="358"/>
      <c r="BF328" s="358"/>
      <c r="BG328" s="358"/>
      <c r="BH328" s="358"/>
      <c r="BI328" s="358"/>
      <c r="BJ328" s="358"/>
      <c r="BK328" s="358"/>
      <c r="BL328" s="358"/>
      <c r="BM328" s="358"/>
      <c r="BN328" s="358"/>
      <c r="BO328" s="358"/>
      <c r="BP328" s="358"/>
      <c r="BQ328" s="358"/>
      <c r="BR328" s="358"/>
      <c r="BS328" s="358"/>
      <c r="BT328" s="358"/>
      <c r="BU328" s="358"/>
      <c r="BV328" s="358"/>
    </row>
    <row r="329" spans="2:74" x14ac:dyDescent="0.2">
      <c r="B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  <c r="AA329" s="358"/>
      <c r="AB329" s="358"/>
      <c r="AC329" s="358"/>
      <c r="AD329" s="358"/>
      <c r="AE329" s="358"/>
      <c r="AF329" s="358"/>
      <c r="AG329" s="358"/>
      <c r="AH329" s="358"/>
      <c r="AI329" s="358"/>
      <c r="AJ329" s="358"/>
      <c r="AK329" s="358"/>
      <c r="AL329" s="358"/>
      <c r="AM329" s="358"/>
      <c r="AN329" s="358"/>
      <c r="AO329" s="358"/>
      <c r="AP329" s="358"/>
      <c r="AQ329" s="358"/>
      <c r="AR329" s="358"/>
      <c r="AS329" s="358"/>
      <c r="AT329" s="358"/>
      <c r="AU329" s="358"/>
      <c r="AV329" s="358"/>
      <c r="AW329" s="358"/>
      <c r="AX329" s="358"/>
      <c r="AY329" s="358"/>
      <c r="AZ329" s="358"/>
      <c r="BA329" s="358"/>
      <c r="BB329" s="358"/>
      <c r="BC329" s="358"/>
      <c r="BD329" s="358"/>
      <c r="BE329" s="358"/>
      <c r="BF329" s="358"/>
      <c r="BG329" s="358"/>
      <c r="BH329" s="358"/>
      <c r="BI329" s="358"/>
      <c r="BJ329" s="358"/>
      <c r="BK329" s="358"/>
      <c r="BL329" s="358"/>
      <c r="BM329" s="358"/>
      <c r="BN329" s="358"/>
      <c r="BO329" s="358"/>
      <c r="BP329" s="358"/>
      <c r="BQ329" s="358"/>
      <c r="BR329" s="358"/>
      <c r="BS329" s="358"/>
      <c r="BT329" s="358"/>
      <c r="BU329" s="358"/>
      <c r="BV329" s="358"/>
    </row>
    <row r="330" spans="2:74" x14ac:dyDescent="0.2">
      <c r="B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  <c r="AI330" s="358"/>
      <c r="AJ330" s="358"/>
      <c r="AK330" s="358"/>
      <c r="AL330" s="358"/>
      <c r="AM330" s="358"/>
      <c r="AN330" s="358"/>
      <c r="AO330" s="358"/>
      <c r="AP330" s="358"/>
      <c r="AQ330" s="358"/>
      <c r="AR330" s="358"/>
      <c r="AS330" s="358"/>
      <c r="AT330" s="358"/>
      <c r="AU330" s="358"/>
      <c r="AV330" s="358"/>
      <c r="AW330" s="358"/>
      <c r="AX330" s="358"/>
      <c r="AY330" s="358"/>
      <c r="AZ330" s="358"/>
      <c r="BA330" s="358"/>
      <c r="BB330" s="358"/>
      <c r="BC330" s="358"/>
      <c r="BD330" s="358"/>
      <c r="BE330" s="358"/>
      <c r="BF330" s="358"/>
      <c r="BG330" s="358"/>
      <c r="BH330" s="358"/>
      <c r="BI330" s="358"/>
      <c r="BJ330" s="358"/>
      <c r="BK330" s="358"/>
      <c r="BL330" s="358"/>
      <c r="BM330" s="358"/>
      <c r="BN330" s="358"/>
      <c r="BO330" s="358"/>
      <c r="BP330" s="358"/>
      <c r="BQ330" s="358"/>
      <c r="BR330" s="358"/>
      <c r="BS330" s="358"/>
      <c r="BT330" s="358"/>
      <c r="BU330" s="358"/>
      <c r="BV330" s="358"/>
    </row>
    <row r="331" spans="2:74" x14ac:dyDescent="0.2">
      <c r="B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  <c r="AA331" s="358"/>
      <c r="AB331" s="358"/>
      <c r="AC331" s="358"/>
      <c r="AD331" s="358"/>
      <c r="AE331" s="358"/>
      <c r="AF331" s="358"/>
      <c r="AG331" s="358"/>
      <c r="AH331" s="358"/>
      <c r="AI331" s="358"/>
      <c r="AJ331" s="358"/>
      <c r="AK331" s="358"/>
      <c r="AL331" s="358"/>
      <c r="AM331" s="358"/>
      <c r="AN331" s="358"/>
      <c r="AO331" s="358"/>
      <c r="AP331" s="358"/>
      <c r="AQ331" s="358"/>
      <c r="AR331" s="358"/>
      <c r="AS331" s="358"/>
      <c r="AT331" s="358"/>
      <c r="AU331" s="358"/>
      <c r="AV331" s="358"/>
      <c r="AW331" s="358"/>
      <c r="AX331" s="358"/>
      <c r="AY331" s="358"/>
      <c r="AZ331" s="358"/>
      <c r="BA331" s="358"/>
      <c r="BB331" s="358"/>
      <c r="BC331" s="358"/>
      <c r="BD331" s="358"/>
      <c r="BE331" s="358"/>
      <c r="BF331" s="358"/>
      <c r="BG331" s="358"/>
      <c r="BH331" s="358"/>
      <c r="BI331" s="358"/>
      <c r="BJ331" s="358"/>
      <c r="BK331" s="358"/>
      <c r="BL331" s="358"/>
      <c r="BM331" s="358"/>
      <c r="BN331" s="358"/>
      <c r="BO331" s="358"/>
      <c r="BP331" s="358"/>
      <c r="BQ331" s="358"/>
      <c r="BR331" s="358"/>
      <c r="BS331" s="358"/>
      <c r="BT331" s="358"/>
      <c r="BU331" s="358"/>
      <c r="BV331" s="358"/>
    </row>
    <row r="332" spans="2:74" x14ac:dyDescent="0.2">
      <c r="B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  <c r="AI332" s="358"/>
      <c r="AJ332" s="358"/>
      <c r="AK332" s="358"/>
      <c r="AL332" s="358"/>
      <c r="AM332" s="358"/>
      <c r="AN332" s="358"/>
      <c r="AO332" s="358"/>
      <c r="AP332" s="358"/>
      <c r="AQ332" s="358"/>
      <c r="AR332" s="358"/>
      <c r="AS332" s="358"/>
      <c r="AT332" s="358"/>
      <c r="AU332" s="358"/>
      <c r="AV332" s="358"/>
      <c r="AW332" s="358"/>
      <c r="AX332" s="358"/>
      <c r="AY332" s="358"/>
      <c r="AZ332" s="358"/>
      <c r="BA332" s="358"/>
      <c r="BB332" s="358"/>
      <c r="BC332" s="358"/>
      <c r="BD332" s="358"/>
      <c r="BE332" s="358"/>
      <c r="BF332" s="358"/>
      <c r="BG332" s="358"/>
      <c r="BH332" s="358"/>
      <c r="BI332" s="358"/>
      <c r="BJ332" s="358"/>
      <c r="BK332" s="358"/>
      <c r="BL332" s="358"/>
      <c r="BM332" s="358"/>
      <c r="BN332" s="358"/>
      <c r="BO332" s="358"/>
      <c r="BP332" s="358"/>
      <c r="BQ332" s="358"/>
      <c r="BR332" s="358"/>
      <c r="BS332" s="358"/>
      <c r="BT332" s="358"/>
      <c r="BU332" s="358"/>
      <c r="BV332" s="358"/>
    </row>
    <row r="333" spans="2:74" x14ac:dyDescent="0.2">
      <c r="B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  <c r="AA333" s="358"/>
      <c r="AB333" s="358"/>
      <c r="AC333" s="358"/>
      <c r="AD333" s="358"/>
      <c r="AE333" s="358"/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  <c r="AS333" s="358"/>
      <c r="AT333" s="358"/>
      <c r="AU333" s="358"/>
      <c r="AV333" s="358"/>
      <c r="AW333" s="358"/>
      <c r="AX333" s="358"/>
      <c r="AY333" s="358"/>
      <c r="AZ333" s="358"/>
      <c r="BA333" s="358"/>
      <c r="BB333" s="358"/>
      <c r="BC333" s="358"/>
      <c r="BD333" s="358"/>
      <c r="BE333" s="358"/>
      <c r="BF333" s="358"/>
      <c r="BG333" s="358"/>
      <c r="BH333" s="358"/>
      <c r="BI333" s="358"/>
      <c r="BJ333" s="358"/>
      <c r="BK333" s="358"/>
      <c r="BL333" s="358"/>
      <c r="BM333" s="358"/>
      <c r="BN333" s="358"/>
      <c r="BO333" s="358"/>
      <c r="BP333" s="358"/>
      <c r="BQ333" s="358"/>
      <c r="BR333" s="358"/>
      <c r="BS333" s="358"/>
      <c r="BT333" s="358"/>
      <c r="BU333" s="358"/>
      <c r="BV333" s="358"/>
    </row>
    <row r="334" spans="2:74" x14ac:dyDescent="0.2">
      <c r="B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  <c r="AI334" s="358"/>
      <c r="AJ334" s="358"/>
      <c r="AK334" s="358"/>
      <c r="AL334" s="358"/>
      <c r="AM334" s="358"/>
      <c r="AN334" s="358"/>
      <c r="AO334" s="358"/>
      <c r="AP334" s="358"/>
      <c r="AQ334" s="358"/>
      <c r="AR334" s="358"/>
      <c r="AS334" s="358"/>
      <c r="AT334" s="358"/>
      <c r="AU334" s="358"/>
      <c r="AV334" s="358"/>
      <c r="AW334" s="358"/>
      <c r="AX334" s="358"/>
      <c r="AY334" s="358"/>
      <c r="AZ334" s="358"/>
      <c r="BA334" s="358"/>
      <c r="BB334" s="358"/>
      <c r="BC334" s="358"/>
      <c r="BD334" s="358"/>
      <c r="BE334" s="358"/>
      <c r="BF334" s="358"/>
      <c r="BG334" s="358"/>
      <c r="BH334" s="358"/>
      <c r="BI334" s="358"/>
      <c r="BJ334" s="358"/>
      <c r="BK334" s="358"/>
      <c r="BL334" s="358"/>
      <c r="BM334" s="358"/>
      <c r="BN334" s="358"/>
      <c r="BO334" s="358"/>
      <c r="BP334" s="358"/>
      <c r="BQ334" s="358"/>
      <c r="BR334" s="358"/>
      <c r="BS334" s="358"/>
      <c r="BT334" s="358"/>
      <c r="BU334" s="358"/>
      <c r="BV334" s="358"/>
    </row>
    <row r="335" spans="2:74" x14ac:dyDescent="0.2">
      <c r="B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  <c r="AK335" s="358"/>
      <c r="AL335" s="358"/>
      <c r="AM335" s="358"/>
      <c r="AN335" s="358"/>
      <c r="AO335" s="358"/>
      <c r="AP335" s="358"/>
      <c r="AQ335" s="358"/>
      <c r="AR335" s="358"/>
      <c r="AS335" s="358"/>
      <c r="AT335" s="358"/>
      <c r="AU335" s="358"/>
      <c r="AV335" s="358"/>
      <c r="AW335" s="358"/>
      <c r="AX335" s="358"/>
      <c r="AY335" s="358"/>
      <c r="AZ335" s="358"/>
      <c r="BA335" s="358"/>
      <c r="BB335" s="358"/>
      <c r="BC335" s="358"/>
      <c r="BD335" s="358"/>
      <c r="BE335" s="358"/>
      <c r="BF335" s="358"/>
      <c r="BG335" s="358"/>
      <c r="BH335" s="358"/>
      <c r="BI335" s="358"/>
      <c r="BJ335" s="358"/>
      <c r="BK335" s="358"/>
      <c r="BL335" s="358"/>
      <c r="BM335" s="358"/>
      <c r="BN335" s="358"/>
      <c r="BO335" s="358"/>
      <c r="BP335" s="358"/>
      <c r="BQ335" s="358"/>
      <c r="BR335" s="358"/>
      <c r="BS335" s="358"/>
      <c r="BT335" s="358"/>
      <c r="BU335" s="358"/>
      <c r="BV335" s="358"/>
    </row>
    <row r="336" spans="2:74" x14ac:dyDescent="0.2">
      <c r="B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  <c r="AI336" s="358"/>
      <c r="AJ336" s="358"/>
      <c r="AK336" s="358"/>
      <c r="AL336" s="358"/>
      <c r="AM336" s="358"/>
      <c r="AN336" s="358"/>
      <c r="AO336" s="358"/>
      <c r="AP336" s="358"/>
      <c r="AQ336" s="358"/>
      <c r="AR336" s="358"/>
      <c r="AS336" s="358"/>
      <c r="AT336" s="358"/>
      <c r="AU336" s="358"/>
      <c r="AV336" s="358"/>
      <c r="AW336" s="358"/>
      <c r="AX336" s="358"/>
      <c r="AY336" s="358"/>
      <c r="AZ336" s="358"/>
      <c r="BA336" s="358"/>
      <c r="BB336" s="358"/>
      <c r="BC336" s="358"/>
      <c r="BD336" s="358"/>
      <c r="BE336" s="358"/>
      <c r="BF336" s="358"/>
      <c r="BG336" s="358"/>
      <c r="BH336" s="358"/>
      <c r="BI336" s="358"/>
      <c r="BJ336" s="358"/>
      <c r="BK336" s="358"/>
      <c r="BL336" s="358"/>
      <c r="BM336" s="358"/>
      <c r="BN336" s="358"/>
      <c r="BO336" s="358"/>
      <c r="BP336" s="358"/>
      <c r="BQ336" s="358"/>
      <c r="BR336" s="358"/>
      <c r="BS336" s="358"/>
      <c r="BT336" s="358"/>
      <c r="BU336" s="358"/>
      <c r="BV336" s="358"/>
    </row>
    <row r="337" spans="2:74" x14ac:dyDescent="0.2">
      <c r="B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  <c r="AA337" s="358"/>
      <c r="AB337" s="358"/>
      <c r="AC337" s="358"/>
      <c r="AD337" s="358"/>
      <c r="AE337" s="358"/>
      <c r="AF337" s="358"/>
      <c r="AG337" s="358"/>
      <c r="AH337" s="358"/>
      <c r="AI337" s="358"/>
      <c r="AJ337" s="358"/>
      <c r="AK337" s="358"/>
      <c r="AL337" s="358"/>
      <c r="AM337" s="358"/>
      <c r="AN337" s="358"/>
      <c r="AO337" s="358"/>
      <c r="AP337" s="358"/>
      <c r="AQ337" s="358"/>
      <c r="AR337" s="358"/>
      <c r="AS337" s="358"/>
      <c r="AT337" s="358"/>
      <c r="AU337" s="358"/>
      <c r="AV337" s="358"/>
      <c r="AW337" s="358"/>
      <c r="AX337" s="358"/>
      <c r="AY337" s="358"/>
      <c r="AZ337" s="358"/>
      <c r="BA337" s="358"/>
      <c r="BB337" s="358"/>
      <c r="BC337" s="358"/>
      <c r="BD337" s="358"/>
      <c r="BE337" s="358"/>
      <c r="BF337" s="358"/>
      <c r="BG337" s="358"/>
      <c r="BH337" s="358"/>
      <c r="BI337" s="358"/>
      <c r="BJ337" s="358"/>
      <c r="BK337" s="358"/>
      <c r="BL337" s="358"/>
      <c r="BM337" s="358"/>
      <c r="BN337" s="358"/>
      <c r="BO337" s="358"/>
      <c r="BP337" s="358"/>
      <c r="BQ337" s="358"/>
      <c r="BR337" s="358"/>
      <c r="BS337" s="358"/>
      <c r="BT337" s="358"/>
      <c r="BU337" s="358"/>
      <c r="BV337" s="358"/>
    </row>
    <row r="338" spans="2:74" x14ac:dyDescent="0.2">
      <c r="B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  <c r="AI338" s="358"/>
      <c r="AJ338" s="358"/>
      <c r="AK338" s="358"/>
      <c r="AL338" s="358"/>
      <c r="AM338" s="358"/>
      <c r="AN338" s="358"/>
      <c r="AO338" s="358"/>
      <c r="AP338" s="358"/>
      <c r="AQ338" s="358"/>
      <c r="AR338" s="358"/>
      <c r="AS338" s="358"/>
      <c r="AT338" s="358"/>
      <c r="AU338" s="358"/>
      <c r="AV338" s="358"/>
      <c r="AW338" s="358"/>
      <c r="AX338" s="358"/>
      <c r="AY338" s="358"/>
      <c r="AZ338" s="358"/>
      <c r="BA338" s="358"/>
      <c r="BB338" s="358"/>
      <c r="BC338" s="358"/>
      <c r="BD338" s="358"/>
      <c r="BE338" s="358"/>
      <c r="BF338" s="358"/>
      <c r="BG338" s="358"/>
      <c r="BH338" s="358"/>
      <c r="BI338" s="358"/>
      <c r="BJ338" s="358"/>
      <c r="BK338" s="358"/>
      <c r="BL338" s="358"/>
      <c r="BM338" s="358"/>
      <c r="BN338" s="358"/>
      <c r="BO338" s="358"/>
      <c r="BP338" s="358"/>
      <c r="BQ338" s="358"/>
      <c r="BR338" s="358"/>
      <c r="BS338" s="358"/>
      <c r="BT338" s="358"/>
      <c r="BU338" s="358"/>
      <c r="BV338" s="358"/>
    </row>
    <row r="339" spans="2:74" x14ac:dyDescent="0.2">
      <c r="B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  <c r="AA339" s="358"/>
      <c r="AB339" s="358"/>
      <c r="AC339" s="358"/>
      <c r="AD339" s="358"/>
      <c r="AE339" s="358"/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  <c r="AS339" s="358"/>
      <c r="AT339" s="358"/>
      <c r="AU339" s="358"/>
      <c r="AV339" s="358"/>
      <c r="AW339" s="358"/>
      <c r="AX339" s="358"/>
      <c r="AY339" s="358"/>
      <c r="AZ339" s="358"/>
      <c r="BA339" s="358"/>
      <c r="BB339" s="358"/>
      <c r="BC339" s="358"/>
      <c r="BD339" s="358"/>
      <c r="BE339" s="358"/>
      <c r="BF339" s="358"/>
      <c r="BG339" s="358"/>
      <c r="BH339" s="358"/>
      <c r="BI339" s="358"/>
      <c r="BJ339" s="358"/>
      <c r="BK339" s="358"/>
      <c r="BL339" s="358"/>
      <c r="BM339" s="358"/>
      <c r="BN339" s="358"/>
      <c r="BO339" s="358"/>
      <c r="BP339" s="358"/>
      <c r="BQ339" s="358"/>
      <c r="BR339" s="358"/>
      <c r="BS339" s="358"/>
      <c r="BT339" s="358"/>
      <c r="BU339" s="358"/>
      <c r="BV339" s="358"/>
    </row>
    <row r="340" spans="2:74" x14ac:dyDescent="0.2">
      <c r="B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  <c r="AI340" s="358"/>
      <c r="AJ340" s="358"/>
      <c r="AK340" s="358"/>
      <c r="AL340" s="358"/>
      <c r="AM340" s="358"/>
      <c r="AN340" s="358"/>
      <c r="AO340" s="358"/>
      <c r="AP340" s="358"/>
      <c r="AQ340" s="358"/>
      <c r="AR340" s="358"/>
      <c r="AS340" s="358"/>
      <c r="AT340" s="358"/>
      <c r="AU340" s="358"/>
      <c r="AV340" s="358"/>
      <c r="AW340" s="358"/>
      <c r="AX340" s="358"/>
      <c r="AY340" s="358"/>
      <c r="AZ340" s="358"/>
      <c r="BA340" s="358"/>
      <c r="BB340" s="358"/>
      <c r="BC340" s="358"/>
      <c r="BD340" s="358"/>
      <c r="BE340" s="358"/>
      <c r="BF340" s="358"/>
      <c r="BG340" s="358"/>
      <c r="BH340" s="358"/>
      <c r="BI340" s="358"/>
      <c r="BJ340" s="358"/>
      <c r="BK340" s="358"/>
      <c r="BL340" s="358"/>
      <c r="BM340" s="358"/>
      <c r="BN340" s="358"/>
      <c r="BO340" s="358"/>
      <c r="BP340" s="358"/>
      <c r="BQ340" s="358"/>
      <c r="BR340" s="358"/>
      <c r="BS340" s="358"/>
      <c r="BT340" s="358"/>
      <c r="BU340" s="358"/>
      <c r="BV340" s="358"/>
    </row>
    <row r="341" spans="2:74" x14ac:dyDescent="0.2">
      <c r="B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  <c r="AA341" s="358"/>
      <c r="AB341" s="358"/>
      <c r="AC341" s="358"/>
      <c r="AD341" s="358"/>
      <c r="AE341" s="358"/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  <c r="AS341" s="358"/>
      <c r="AT341" s="358"/>
      <c r="AU341" s="358"/>
      <c r="AV341" s="358"/>
      <c r="AW341" s="358"/>
      <c r="AX341" s="358"/>
      <c r="AY341" s="358"/>
      <c r="AZ341" s="358"/>
      <c r="BA341" s="358"/>
      <c r="BB341" s="358"/>
      <c r="BC341" s="358"/>
      <c r="BD341" s="358"/>
      <c r="BE341" s="358"/>
      <c r="BF341" s="358"/>
      <c r="BG341" s="358"/>
      <c r="BH341" s="358"/>
      <c r="BI341" s="358"/>
      <c r="BJ341" s="358"/>
      <c r="BK341" s="358"/>
      <c r="BL341" s="358"/>
      <c r="BM341" s="358"/>
      <c r="BN341" s="358"/>
      <c r="BO341" s="358"/>
      <c r="BP341" s="358"/>
      <c r="BQ341" s="358"/>
      <c r="BR341" s="358"/>
      <c r="BS341" s="358"/>
      <c r="BT341" s="358"/>
      <c r="BU341" s="358"/>
      <c r="BV341" s="358"/>
    </row>
    <row r="342" spans="2:74" x14ac:dyDescent="0.2">
      <c r="B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  <c r="AI342" s="358"/>
      <c r="AJ342" s="358"/>
      <c r="AK342" s="358"/>
      <c r="AL342" s="358"/>
      <c r="AM342" s="358"/>
      <c r="AN342" s="358"/>
      <c r="AO342" s="358"/>
      <c r="AP342" s="358"/>
      <c r="AQ342" s="358"/>
      <c r="AR342" s="358"/>
      <c r="AS342" s="358"/>
      <c r="AT342" s="358"/>
      <c r="AU342" s="358"/>
      <c r="AV342" s="358"/>
      <c r="AW342" s="358"/>
      <c r="AX342" s="358"/>
      <c r="AY342" s="358"/>
      <c r="AZ342" s="358"/>
      <c r="BA342" s="358"/>
      <c r="BB342" s="358"/>
      <c r="BC342" s="358"/>
      <c r="BD342" s="358"/>
      <c r="BE342" s="358"/>
      <c r="BF342" s="358"/>
      <c r="BG342" s="358"/>
      <c r="BH342" s="358"/>
      <c r="BI342" s="358"/>
      <c r="BJ342" s="358"/>
      <c r="BK342" s="358"/>
      <c r="BL342" s="358"/>
      <c r="BM342" s="358"/>
      <c r="BN342" s="358"/>
      <c r="BO342" s="358"/>
      <c r="BP342" s="358"/>
      <c r="BQ342" s="358"/>
      <c r="BR342" s="358"/>
      <c r="BS342" s="358"/>
      <c r="BT342" s="358"/>
      <c r="BU342" s="358"/>
      <c r="BV342" s="358"/>
    </row>
    <row r="343" spans="2:74" x14ac:dyDescent="0.2">
      <c r="B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  <c r="AA343" s="358"/>
      <c r="AB343" s="358"/>
      <c r="AC343" s="358"/>
      <c r="AD343" s="358"/>
      <c r="AE343" s="358"/>
      <c r="AF343" s="358"/>
      <c r="AG343" s="358"/>
      <c r="AH343" s="358"/>
      <c r="AI343" s="358"/>
      <c r="AJ343" s="358"/>
      <c r="AK343" s="358"/>
      <c r="AL343" s="358"/>
      <c r="AM343" s="358"/>
      <c r="AN343" s="358"/>
      <c r="AO343" s="358"/>
      <c r="AP343" s="358"/>
      <c r="AQ343" s="358"/>
      <c r="AR343" s="358"/>
      <c r="AS343" s="358"/>
      <c r="AT343" s="358"/>
      <c r="AU343" s="358"/>
      <c r="AV343" s="358"/>
      <c r="AW343" s="358"/>
      <c r="AX343" s="358"/>
      <c r="AY343" s="358"/>
      <c r="AZ343" s="358"/>
      <c r="BA343" s="358"/>
      <c r="BB343" s="358"/>
      <c r="BC343" s="358"/>
      <c r="BD343" s="358"/>
      <c r="BE343" s="358"/>
      <c r="BF343" s="358"/>
      <c r="BG343" s="358"/>
      <c r="BH343" s="358"/>
      <c r="BI343" s="358"/>
      <c r="BJ343" s="358"/>
      <c r="BK343" s="358"/>
      <c r="BL343" s="358"/>
      <c r="BM343" s="358"/>
      <c r="BN343" s="358"/>
      <c r="BO343" s="358"/>
      <c r="BP343" s="358"/>
      <c r="BQ343" s="358"/>
      <c r="BR343" s="358"/>
      <c r="BS343" s="358"/>
      <c r="BT343" s="358"/>
      <c r="BU343" s="358"/>
      <c r="BV343" s="358"/>
    </row>
    <row r="344" spans="2:74" x14ac:dyDescent="0.2">
      <c r="B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  <c r="AI344" s="358"/>
      <c r="AJ344" s="358"/>
      <c r="AK344" s="358"/>
      <c r="AL344" s="358"/>
      <c r="AM344" s="358"/>
      <c r="AN344" s="358"/>
      <c r="AO344" s="358"/>
      <c r="AP344" s="358"/>
      <c r="AQ344" s="358"/>
      <c r="AR344" s="358"/>
      <c r="AS344" s="358"/>
      <c r="AT344" s="358"/>
      <c r="AU344" s="358"/>
      <c r="AV344" s="358"/>
      <c r="AW344" s="358"/>
      <c r="AX344" s="358"/>
      <c r="AY344" s="358"/>
      <c r="AZ344" s="358"/>
      <c r="BA344" s="358"/>
      <c r="BB344" s="358"/>
      <c r="BC344" s="358"/>
      <c r="BD344" s="358"/>
      <c r="BE344" s="358"/>
      <c r="BF344" s="358"/>
      <c r="BG344" s="358"/>
      <c r="BH344" s="358"/>
      <c r="BI344" s="358"/>
      <c r="BJ344" s="358"/>
      <c r="BK344" s="358"/>
      <c r="BL344" s="358"/>
      <c r="BM344" s="358"/>
      <c r="BN344" s="358"/>
      <c r="BO344" s="358"/>
      <c r="BP344" s="358"/>
      <c r="BQ344" s="358"/>
      <c r="BR344" s="358"/>
      <c r="BS344" s="358"/>
      <c r="BT344" s="358"/>
      <c r="BU344" s="358"/>
      <c r="BV344" s="358"/>
    </row>
    <row r="345" spans="2:74" x14ac:dyDescent="0.2">
      <c r="B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58"/>
      <c r="AX345" s="358"/>
      <c r="AY345" s="358"/>
      <c r="AZ345" s="358"/>
      <c r="BA345" s="358"/>
      <c r="BB345" s="358"/>
      <c r="BC345" s="358"/>
      <c r="BD345" s="358"/>
      <c r="BE345" s="358"/>
      <c r="BF345" s="358"/>
      <c r="BG345" s="358"/>
      <c r="BH345" s="358"/>
      <c r="BI345" s="358"/>
      <c r="BJ345" s="358"/>
      <c r="BK345" s="358"/>
      <c r="BL345" s="358"/>
      <c r="BM345" s="358"/>
      <c r="BN345" s="358"/>
      <c r="BO345" s="358"/>
      <c r="BP345" s="358"/>
      <c r="BQ345" s="358"/>
      <c r="BR345" s="358"/>
      <c r="BS345" s="358"/>
      <c r="BT345" s="358"/>
      <c r="BU345" s="358"/>
      <c r="BV345" s="358"/>
    </row>
    <row r="346" spans="2:74" x14ac:dyDescent="0.2">
      <c r="B346" s="358"/>
      <c r="D346" s="358"/>
      <c r="E346" s="358"/>
      <c r="F346" s="358"/>
      <c r="G346" s="358"/>
      <c r="H346" s="358"/>
      <c r="I346" s="35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  <c r="AI346" s="358"/>
      <c r="AJ346" s="358"/>
      <c r="AK346" s="358"/>
      <c r="AL346" s="358"/>
      <c r="AM346" s="358"/>
      <c r="AN346" s="358"/>
      <c r="AO346" s="358"/>
      <c r="AP346" s="358"/>
      <c r="AQ346" s="358"/>
      <c r="AR346" s="358"/>
      <c r="AS346" s="358"/>
      <c r="AT346" s="358"/>
      <c r="AU346" s="358"/>
      <c r="AV346" s="358"/>
      <c r="AW346" s="358"/>
      <c r="AX346" s="358"/>
      <c r="AY346" s="358"/>
      <c r="AZ346" s="358"/>
      <c r="BA346" s="358"/>
      <c r="BB346" s="358"/>
      <c r="BC346" s="358"/>
      <c r="BD346" s="358"/>
      <c r="BE346" s="358"/>
      <c r="BF346" s="358"/>
      <c r="BG346" s="358"/>
      <c r="BH346" s="358"/>
      <c r="BI346" s="358"/>
      <c r="BJ346" s="358"/>
      <c r="BK346" s="358"/>
      <c r="BL346" s="358"/>
      <c r="BM346" s="358"/>
      <c r="BN346" s="358"/>
      <c r="BO346" s="358"/>
      <c r="BP346" s="358"/>
      <c r="BQ346" s="358"/>
      <c r="BR346" s="358"/>
      <c r="BS346" s="358"/>
      <c r="BT346" s="358"/>
      <c r="BU346" s="358"/>
      <c r="BV346" s="358"/>
    </row>
    <row r="347" spans="2:74" x14ac:dyDescent="0.2">
      <c r="B347" s="358"/>
      <c r="D347" s="358"/>
      <c r="E347" s="358"/>
      <c r="F347" s="358"/>
      <c r="G347" s="358"/>
      <c r="H347" s="358"/>
      <c r="I347" s="35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358"/>
      <c r="AA347" s="358"/>
      <c r="AB347" s="358"/>
      <c r="AC347" s="358"/>
      <c r="AD347" s="358"/>
      <c r="AE347" s="358"/>
      <c r="AF347" s="358"/>
      <c r="AG347" s="358"/>
      <c r="AH347" s="358"/>
      <c r="AI347" s="358"/>
      <c r="AJ347" s="358"/>
      <c r="AK347" s="358"/>
      <c r="AL347" s="358"/>
      <c r="AM347" s="358"/>
      <c r="AN347" s="358"/>
      <c r="AO347" s="358"/>
      <c r="AP347" s="358"/>
      <c r="AQ347" s="358"/>
      <c r="AR347" s="358"/>
      <c r="AS347" s="358"/>
      <c r="AT347" s="358"/>
      <c r="AU347" s="358"/>
      <c r="AV347" s="358"/>
      <c r="AW347" s="358"/>
      <c r="AX347" s="358"/>
      <c r="AY347" s="358"/>
      <c r="AZ347" s="358"/>
      <c r="BA347" s="358"/>
      <c r="BB347" s="358"/>
      <c r="BC347" s="358"/>
      <c r="BD347" s="358"/>
      <c r="BE347" s="358"/>
      <c r="BF347" s="358"/>
      <c r="BG347" s="358"/>
      <c r="BH347" s="358"/>
      <c r="BI347" s="358"/>
      <c r="BJ347" s="358"/>
      <c r="BK347" s="358"/>
      <c r="BL347" s="358"/>
      <c r="BM347" s="358"/>
      <c r="BN347" s="358"/>
      <c r="BO347" s="358"/>
      <c r="BP347" s="358"/>
      <c r="BQ347" s="358"/>
      <c r="BR347" s="358"/>
      <c r="BS347" s="358"/>
      <c r="BT347" s="358"/>
      <c r="BU347" s="358"/>
      <c r="BV347" s="358"/>
    </row>
    <row r="348" spans="2:74" x14ac:dyDescent="0.2">
      <c r="B348" s="358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358"/>
      <c r="AW348" s="358"/>
      <c r="AX348" s="358"/>
      <c r="AY348" s="358"/>
      <c r="AZ348" s="358"/>
      <c r="BA348" s="358"/>
      <c r="BB348" s="358"/>
      <c r="BC348" s="358"/>
      <c r="BD348" s="358"/>
      <c r="BE348" s="358"/>
      <c r="BF348" s="358"/>
      <c r="BG348" s="358"/>
      <c r="BH348" s="358"/>
      <c r="BI348" s="358"/>
      <c r="BJ348" s="358"/>
      <c r="BK348" s="358"/>
      <c r="BL348" s="358"/>
      <c r="BM348" s="358"/>
      <c r="BN348" s="358"/>
      <c r="BO348" s="358"/>
      <c r="BP348" s="358"/>
      <c r="BQ348" s="358"/>
      <c r="BR348" s="358"/>
      <c r="BS348" s="358"/>
      <c r="BT348" s="358"/>
      <c r="BU348" s="358"/>
      <c r="BV348" s="358"/>
    </row>
    <row r="349" spans="2:74" x14ac:dyDescent="0.2">
      <c r="B349" s="358"/>
      <c r="D349" s="358"/>
      <c r="E349" s="358"/>
      <c r="F349" s="358"/>
      <c r="G349" s="358"/>
      <c r="H349" s="358"/>
      <c r="I349" s="35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358"/>
      <c r="AA349" s="358"/>
      <c r="AB349" s="358"/>
      <c r="AC349" s="358"/>
      <c r="AD349" s="358"/>
      <c r="AE349" s="358"/>
      <c r="AF349" s="358"/>
      <c r="AG349" s="358"/>
      <c r="AH349" s="358"/>
      <c r="AI349" s="358"/>
      <c r="AJ349" s="358"/>
      <c r="AK349" s="358"/>
      <c r="AL349" s="358"/>
      <c r="AM349" s="358"/>
      <c r="AN349" s="358"/>
      <c r="AO349" s="358"/>
      <c r="AP349" s="358"/>
      <c r="AQ349" s="358"/>
      <c r="AR349" s="358"/>
      <c r="AS349" s="358"/>
      <c r="AT349" s="358"/>
      <c r="AU349" s="358"/>
      <c r="AV349" s="358"/>
      <c r="AW349" s="358"/>
      <c r="AX349" s="358"/>
      <c r="AY349" s="358"/>
      <c r="AZ349" s="358"/>
      <c r="BA349" s="358"/>
      <c r="BB349" s="358"/>
      <c r="BC349" s="358"/>
      <c r="BD349" s="358"/>
      <c r="BE349" s="358"/>
      <c r="BF349" s="358"/>
      <c r="BG349" s="358"/>
      <c r="BH349" s="358"/>
      <c r="BI349" s="358"/>
      <c r="BJ349" s="358"/>
      <c r="BK349" s="358"/>
      <c r="BL349" s="358"/>
      <c r="BM349" s="358"/>
      <c r="BN349" s="358"/>
      <c r="BO349" s="358"/>
      <c r="BP349" s="358"/>
      <c r="BQ349" s="358"/>
      <c r="BR349" s="358"/>
      <c r="BS349" s="358"/>
      <c r="BT349" s="358"/>
      <c r="BU349" s="358"/>
      <c r="BV349" s="358"/>
    </row>
    <row r="350" spans="2:74" x14ac:dyDescent="0.2">
      <c r="B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  <c r="AI350" s="358"/>
      <c r="AJ350" s="358"/>
      <c r="AK350" s="358"/>
      <c r="AL350" s="358"/>
      <c r="AM350" s="358"/>
      <c r="AN350" s="358"/>
      <c r="AO350" s="358"/>
      <c r="AP350" s="358"/>
      <c r="AQ350" s="358"/>
      <c r="AR350" s="358"/>
      <c r="AS350" s="358"/>
      <c r="AT350" s="358"/>
      <c r="AU350" s="358"/>
      <c r="AV350" s="358"/>
      <c r="AW350" s="358"/>
      <c r="AX350" s="358"/>
      <c r="AY350" s="358"/>
      <c r="AZ350" s="358"/>
      <c r="BA350" s="358"/>
      <c r="BB350" s="358"/>
      <c r="BC350" s="358"/>
      <c r="BD350" s="358"/>
      <c r="BE350" s="358"/>
      <c r="BF350" s="358"/>
      <c r="BG350" s="358"/>
      <c r="BH350" s="358"/>
      <c r="BI350" s="358"/>
      <c r="BJ350" s="358"/>
      <c r="BK350" s="358"/>
      <c r="BL350" s="358"/>
      <c r="BM350" s="358"/>
      <c r="BN350" s="358"/>
      <c r="BO350" s="358"/>
      <c r="BP350" s="358"/>
      <c r="BQ350" s="358"/>
      <c r="BR350" s="358"/>
      <c r="BS350" s="358"/>
      <c r="BT350" s="358"/>
      <c r="BU350" s="358"/>
      <c r="BV350" s="358"/>
    </row>
    <row r="351" spans="2:74" x14ac:dyDescent="0.2">
      <c r="B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  <c r="Y351" s="358"/>
      <c r="Z351" s="358"/>
      <c r="AA351" s="358"/>
      <c r="AB351" s="358"/>
      <c r="AC351" s="358"/>
      <c r="AD351" s="358"/>
      <c r="AE351" s="358"/>
      <c r="AF351" s="358"/>
      <c r="AG351" s="358"/>
      <c r="AH351" s="358"/>
      <c r="AI351" s="358"/>
      <c r="AJ351" s="358"/>
      <c r="AK351" s="358"/>
      <c r="AL351" s="358"/>
      <c r="AM351" s="358"/>
      <c r="AN351" s="358"/>
      <c r="AO351" s="358"/>
      <c r="AP351" s="358"/>
      <c r="AQ351" s="358"/>
      <c r="AR351" s="358"/>
      <c r="AS351" s="358"/>
      <c r="AT351" s="358"/>
      <c r="AU351" s="358"/>
      <c r="AV351" s="358"/>
      <c r="AW351" s="358"/>
      <c r="AX351" s="358"/>
      <c r="AY351" s="358"/>
      <c r="AZ351" s="358"/>
      <c r="BA351" s="358"/>
      <c r="BB351" s="358"/>
      <c r="BC351" s="358"/>
      <c r="BD351" s="358"/>
      <c r="BE351" s="358"/>
      <c r="BF351" s="358"/>
      <c r="BG351" s="358"/>
      <c r="BH351" s="358"/>
      <c r="BI351" s="358"/>
      <c r="BJ351" s="358"/>
      <c r="BK351" s="358"/>
      <c r="BL351" s="358"/>
      <c r="BM351" s="358"/>
      <c r="BN351" s="358"/>
      <c r="BO351" s="358"/>
      <c r="BP351" s="358"/>
      <c r="BQ351" s="358"/>
      <c r="BR351" s="358"/>
      <c r="BS351" s="358"/>
      <c r="BT351" s="358"/>
      <c r="BU351" s="358"/>
      <c r="BV351" s="358"/>
    </row>
    <row r="352" spans="2:74" x14ac:dyDescent="0.2">
      <c r="B352" s="358"/>
      <c r="D352" s="358"/>
      <c r="E352" s="358"/>
      <c r="F352" s="358"/>
      <c r="G352" s="358"/>
      <c r="H352" s="358"/>
      <c r="I352" s="358"/>
      <c r="J352" s="358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  <c r="AI352" s="358"/>
      <c r="AJ352" s="358"/>
      <c r="AK352" s="358"/>
      <c r="AL352" s="358"/>
      <c r="AM352" s="358"/>
      <c r="AN352" s="358"/>
      <c r="AO352" s="358"/>
      <c r="AP352" s="358"/>
      <c r="AQ352" s="358"/>
      <c r="AR352" s="358"/>
      <c r="AS352" s="358"/>
      <c r="AT352" s="358"/>
      <c r="AU352" s="358"/>
      <c r="AV352" s="358"/>
      <c r="AW352" s="358"/>
      <c r="AX352" s="358"/>
      <c r="AY352" s="358"/>
      <c r="AZ352" s="358"/>
      <c r="BA352" s="358"/>
      <c r="BB352" s="358"/>
      <c r="BC352" s="358"/>
      <c r="BD352" s="358"/>
      <c r="BE352" s="358"/>
      <c r="BF352" s="358"/>
      <c r="BG352" s="358"/>
      <c r="BH352" s="358"/>
      <c r="BI352" s="358"/>
      <c r="BJ352" s="358"/>
      <c r="BK352" s="358"/>
      <c r="BL352" s="358"/>
      <c r="BM352" s="358"/>
      <c r="BN352" s="358"/>
      <c r="BO352" s="358"/>
      <c r="BP352" s="358"/>
      <c r="BQ352" s="358"/>
      <c r="BR352" s="358"/>
      <c r="BS352" s="358"/>
      <c r="BT352" s="358"/>
      <c r="BU352" s="358"/>
      <c r="BV352" s="358"/>
    </row>
    <row r="353" spans="2:74" x14ac:dyDescent="0.2">
      <c r="B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358"/>
      <c r="AA353" s="358"/>
      <c r="AB353" s="358"/>
      <c r="AC353" s="358"/>
      <c r="AD353" s="358"/>
      <c r="AE353" s="358"/>
      <c r="AF353" s="358"/>
      <c r="AG353" s="358"/>
      <c r="AH353" s="358"/>
      <c r="AI353" s="358"/>
      <c r="AJ353" s="358"/>
      <c r="AK353" s="358"/>
      <c r="AL353" s="358"/>
      <c r="AM353" s="358"/>
      <c r="AN353" s="358"/>
      <c r="AO353" s="358"/>
      <c r="AP353" s="358"/>
      <c r="AQ353" s="358"/>
      <c r="AR353" s="358"/>
      <c r="AS353" s="358"/>
      <c r="AT353" s="358"/>
      <c r="AU353" s="358"/>
      <c r="AV353" s="358"/>
      <c r="AW353" s="358"/>
      <c r="AX353" s="358"/>
      <c r="AY353" s="358"/>
      <c r="AZ353" s="358"/>
      <c r="BA353" s="358"/>
      <c r="BB353" s="358"/>
      <c r="BC353" s="358"/>
      <c r="BD353" s="358"/>
      <c r="BE353" s="358"/>
      <c r="BF353" s="358"/>
      <c r="BG353" s="358"/>
      <c r="BH353" s="358"/>
      <c r="BI353" s="358"/>
      <c r="BJ353" s="358"/>
      <c r="BK353" s="358"/>
      <c r="BL353" s="358"/>
      <c r="BM353" s="358"/>
      <c r="BN353" s="358"/>
      <c r="BO353" s="358"/>
      <c r="BP353" s="358"/>
      <c r="BQ353" s="358"/>
      <c r="BR353" s="358"/>
      <c r="BS353" s="358"/>
      <c r="BT353" s="358"/>
      <c r="BU353" s="358"/>
      <c r="BV353" s="358"/>
    </row>
    <row r="354" spans="2:74" x14ac:dyDescent="0.2">
      <c r="B354" s="358"/>
      <c r="D354" s="358"/>
      <c r="E354" s="358"/>
      <c r="F354" s="358"/>
      <c r="G354" s="358"/>
      <c r="H354" s="358"/>
      <c r="I354" s="358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  <c r="AI354" s="358"/>
      <c r="AJ354" s="358"/>
      <c r="AK354" s="358"/>
      <c r="AL354" s="358"/>
      <c r="AM354" s="358"/>
      <c r="AN354" s="358"/>
      <c r="AO354" s="358"/>
      <c r="AP354" s="358"/>
      <c r="AQ354" s="358"/>
      <c r="AR354" s="358"/>
      <c r="AS354" s="358"/>
      <c r="AT354" s="358"/>
      <c r="AU354" s="358"/>
      <c r="AV354" s="358"/>
      <c r="AW354" s="358"/>
      <c r="AX354" s="358"/>
      <c r="AY354" s="358"/>
      <c r="AZ354" s="358"/>
      <c r="BA354" s="358"/>
      <c r="BB354" s="358"/>
      <c r="BC354" s="358"/>
      <c r="BD354" s="358"/>
      <c r="BE354" s="358"/>
      <c r="BF354" s="358"/>
      <c r="BG354" s="358"/>
      <c r="BH354" s="358"/>
      <c r="BI354" s="358"/>
      <c r="BJ354" s="358"/>
      <c r="BK354" s="358"/>
      <c r="BL354" s="358"/>
      <c r="BM354" s="358"/>
      <c r="BN354" s="358"/>
      <c r="BO354" s="358"/>
      <c r="BP354" s="358"/>
      <c r="BQ354" s="358"/>
      <c r="BR354" s="358"/>
      <c r="BS354" s="358"/>
      <c r="BT354" s="358"/>
      <c r="BU354" s="358"/>
      <c r="BV354" s="358"/>
    </row>
    <row r="355" spans="2:74" x14ac:dyDescent="0.2">
      <c r="B355" s="358"/>
      <c r="D355" s="358"/>
      <c r="E355" s="358"/>
      <c r="F355" s="358"/>
      <c r="G355" s="358"/>
      <c r="H355" s="358"/>
      <c r="I355" s="358"/>
      <c r="J355" s="358"/>
      <c r="K355" s="358"/>
      <c r="L355" s="358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  <c r="Y355" s="358"/>
      <c r="Z355" s="358"/>
      <c r="AA355" s="358"/>
      <c r="AB355" s="358"/>
      <c r="AC355" s="358"/>
      <c r="AD355" s="358"/>
      <c r="AE355" s="358"/>
      <c r="AF355" s="358"/>
      <c r="AG355" s="358"/>
      <c r="AH355" s="358"/>
      <c r="AI355" s="358"/>
      <c r="AJ355" s="358"/>
      <c r="AK355" s="358"/>
      <c r="AL355" s="358"/>
      <c r="AM355" s="358"/>
      <c r="AN355" s="358"/>
      <c r="AO355" s="358"/>
      <c r="AP355" s="358"/>
      <c r="AQ355" s="358"/>
      <c r="AR355" s="358"/>
      <c r="AS355" s="358"/>
      <c r="AT355" s="358"/>
      <c r="AU355" s="358"/>
      <c r="AV355" s="358"/>
      <c r="AW355" s="358"/>
      <c r="AX355" s="358"/>
      <c r="AY355" s="358"/>
      <c r="AZ355" s="358"/>
      <c r="BA355" s="358"/>
      <c r="BB355" s="358"/>
      <c r="BC355" s="358"/>
      <c r="BD355" s="358"/>
      <c r="BE355" s="358"/>
      <c r="BF355" s="358"/>
      <c r="BG355" s="358"/>
      <c r="BH355" s="358"/>
      <c r="BI355" s="358"/>
      <c r="BJ355" s="358"/>
      <c r="BK355" s="358"/>
      <c r="BL355" s="358"/>
      <c r="BM355" s="358"/>
      <c r="BN355" s="358"/>
      <c r="BO355" s="358"/>
      <c r="BP355" s="358"/>
      <c r="BQ355" s="358"/>
      <c r="BR355" s="358"/>
      <c r="BS355" s="358"/>
      <c r="BT355" s="358"/>
      <c r="BU355" s="358"/>
      <c r="BV355" s="358"/>
    </row>
    <row r="356" spans="2:74" x14ac:dyDescent="0.2">
      <c r="B356" s="358"/>
      <c r="D356" s="358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  <c r="AI356" s="358"/>
      <c r="AJ356" s="358"/>
      <c r="AK356" s="358"/>
      <c r="AL356" s="358"/>
      <c r="AM356" s="358"/>
      <c r="AN356" s="358"/>
      <c r="AO356" s="358"/>
      <c r="AP356" s="358"/>
      <c r="AQ356" s="358"/>
      <c r="AR356" s="358"/>
      <c r="AS356" s="358"/>
      <c r="AT356" s="358"/>
      <c r="AU356" s="358"/>
      <c r="AV356" s="358"/>
      <c r="AW356" s="358"/>
      <c r="AX356" s="358"/>
      <c r="AY356" s="358"/>
      <c r="AZ356" s="358"/>
      <c r="BA356" s="358"/>
      <c r="BB356" s="358"/>
      <c r="BC356" s="358"/>
      <c r="BD356" s="358"/>
      <c r="BE356" s="358"/>
      <c r="BF356" s="358"/>
      <c r="BG356" s="358"/>
      <c r="BH356" s="358"/>
      <c r="BI356" s="358"/>
      <c r="BJ356" s="358"/>
      <c r="BK356" s="358"/>
      <c r="BL356" s="358"/>
      <c r="BM356" s="358"/>
      <c r="BN356" s="358"/>
      <c r="BO356" s="358"/>
      <c r="BP356" s="358"/>
      <c r="BQ356" s="358"/>
      <c r="BR356" s="358"/>
      <c r="BS356" s="358"/>
      <c r="BT356" s="358"/>
      <c r="BU356" s="358"/>
      <c r="BV356" s="358"/>
    </row>
    <row r="357" spans="2:74" x14ac:dyDescent="0.2">
      <c r="B357" s="358"/>
      <c r="D357" s="358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358"/>
      <c r="AX357" s="358"/>
      <c r="AY357" s="358"/>
      <c r="AZ357" s="358"/>
      <c r="BA357" s="358"/>
      <c r="BB357" s="358"/>
      <c r="BC357" s="358"/>
      <c r="BD357" s="358"/>
      <c r="BE357" s="358"/>
      <c r="BF357" s="358"/>
      <c r="BG357" s="358"/>
      <c r="BH357" s="358"/>
      <c r="BI357" s="358"/>
      <c r="BJ357" s="358"/>
      <c r="BK357" s="358"/>
      <c r="BL357" s="358"/>
      <c r="BM357" s="358"/>
      <c r="BN357" s="358"/>
      <c r="BO357" s="358"/>
      <c r="BP357" s="358"/>
      <c r="BQ357" s="358"/>
      <c r="BR357" s="358"/>
      <c r="BS357" s="358"/>
      <c r="BT357" s="358"/>
      <c r="BU357" s="358"/>
      <c r="BV357" s="358"/>
    </row>
    <row r="358" spans="2:74" x14ac:dyDescent="0.2">
      <c r="B358" s="358"/>
      <c r="D358" s="358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  <c r="AI358" s="358"/>
      <c r="AJ358" s="358"/>
      <c r="AK358" s="358"/>
      <c r="AL358" s="358"/>
      <c r="AM358" s="358"/>
      <c r="AN358" s="358"/>
      <c r="AO358" s="358"/>
      <c r="AP358" s="358"/>
      <c r="AQ358" s="358"/>
      <c r="AR358" s="358"/>
      <c r="AS358" s="358"/>
      <c r="AT358" s="358"/>
      <c r="AU358" s="358"/>
      <c r="AV358" s="358"/>
      <c r="AW358" s="358"/>
      <c r="AX358" s="358"/>
      <c r="AY358" s="358"/>
      <c r="AZ358" s="358"/>
      <c r="BA358" s="358"/>
      <c r="BB358" s="358"/>
      <c r="BC358" s="358"/>
      <c r="BD358" s="358"/>
      <c r="BE358" s="358"/>
      <c r="BF358" s="358"/>
      <c r="BG358" s="358"/>
      <c r="BH358" s="358"/>
      <c r="BI358" s="358"/>
      <c r="BJ358" s="358"/>
      <c r="BK358" s="358"/>
      <c r="BL358" s="358"/>
      <c r="BM358" s="358"/>
      <c r="BN358" s="358"/>
      <c r="BO358" s="358"/>
      <c r="BP358" s="358"/>
      <c r="BQ358" s="358"/>
      <c r="BR358" s="358"/>
      <c r="BS358" s="358"/>
      <c r="BT358" s="358"/>
      <c r="BU358" s="358"/>
      <c r="BV358" s="358"/>
    </row>
    <row r="359" spans="2:74" x14ac:dyDescent="0.2">
      <c r="B359" s="358"/>
      <c r="D359" s="358"/>
      <c r="E359" s="358"/>
      <c r="F359" s="358"/>
      <c r="G359" s="358"/>
      <c r="H359" s="358"/>
      <c r="I359" s="358"/>
      <c r="J359" s="358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  <c r="AA359" s="358"/>
      <c r="AB359" s="358"/>
      <c r="AC359" s="358"/>
      <c r="AD359" s="358"/>
      <c r="AE359" s="358"/>
      <c r="AF359" s="358"/>
      <c r="AG359" s="358"/>
      <c r="AH359" s="358"/>
      <c r="AI359" s="358"/>
      <c r="AJ359" s="358"/>
      <c r="AK359" s="358"/>
      <c r="AL359" s="358"/>
      <c r="AM359" s="358"/>
      <c r="AN359" s="358"/>
      <c r="AO359" s="358"/>
      <c r="AP359" s="358"/>
      <c r="AQ359" s="358"/>
      <c r="AR359" s="358"/>
      <c r="AS359" s="358"/>
      <c r="AT359" s="358"/>
      <c r="AU359" s="358"/>
      <c r="AV359" s="358"/>
      <c r="AW359" s="358"/>
      <c r="AX359" s="358"/>
      <c r="AY359" s="358"/>
      <c r="AZ359" s="358"/>
      <c r="BA359" s="358"/>
      <c r="BB359" s="358"/>
      <c r="BC359" s="358"/>
      <c r="BD359" s="358"/>
      <c r="BE359" s="358"/>
      <c r="BF359" s="358"/>
      <c r="BG359" s="358"/>
      <c r="BH359" s="358"/>
      <c r="BI359" s="358"/>
      <c r="BJ359" s="358"/>
      <c r="BK359" s="358"/>
      <c r="BL359" s="358"/>
      <c r="BM359" s="358"/>
      <c r="BN359" s="358"/>
      <c r="BO359" s="358"/>
      <c r="BP359" s="358"/>
      <c r="BQ359" s="358"/>
      <c r="BR359" s="358"/>
      <c r="BS359" s="358"/>
      <c r="BT359" s="358"/>
      <c r="BU359" s="358"/>
      <c r="BV359" s="358"/>
    </row>
    <row r="360" spans="2:74" x14ac:dyDescent="0.2">
      <c r="B360" s="358"/>
      <c r="D360" s="358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  <c r="AI360" s="358"/>
      <c r="AJ360" s="358"/>
      <c r="AK360" s="358"/>
      <c r="AL360" s="358"/>
      <c r="AM360" s="358"/>
      <c r="AN360" s="358"/>
      <c r="AO360" s="358"/>
      <c r="AP360" s="358"/>
      <c r="AQ360" s="358"/>
      <c r="AR360" s="358"/>
      <c r="AS360" s="358"/>
      <c r="AT360" s="358"/>
      <c r="AU360" s="358"/>
      <c r="AV360" s="358"/>
      <c r="AW360" s="358"/>
      <c r="AX360" s="358"/>
      <c r="AY360" s="358"/>
      <c r="AZ360" s="358"/>
      <c r="BA360" s="358"/>
      <c r="BB360" s="358"/>
      <c r="BC360" s="358"/>
      <c r="BD360" s="358"/>
      <c r="BE360" s="358"/>
      <c r="BF360" s="358"/>
      <c r="BG360" s="358"/>
      <c r="BH360" s="358"/>
      <c r="BI360" s="358"/>
      <c r="BJ360" s="358"/>
      <c r="BK360" s="358"/>
      <c r="BL360" s="358"/>
      <c r="BM360" s="358"/>
      <c r="BN360" s="358"/>
      <c r="BO360" s="358"/>
      <c r="BP360" s="358"/>
      <c r="BQ360" s="358"/>
      <c r="BR360" s="358"/>
      <c r="BS360" s="358"/>
      <c r="BT360" s="358"/>
      <c r="BU360" s="358"/>
      <c r="BV360" s="358"/>
    </row>
    <row r="361" spans="2:74" x14ac:dyDescent="0.2">
      <c r="B361" s="358"/>
      <c r="D361" s="358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  <c r="AA361" s="358"/>
      <c r="AB361" s="358"/>
      <c r="AC361" s="358"/>
      <c r="AD361" s="358"/>
      <c r="AE361" s="358"/>
      <c r="AF361" s="358"/>
      <c r="AG361" s="358"/>
      <c r="AH361" s="358"/>
      <c r="AI361" s="358"/>
      <c r="AJ361" s="358"/>
      <c r="AK361" s="358"/>
      <c r="AL361" s="358"/>
      <c r="AM361" s="358"/>
      <c r="AN361" s="358"/>
      <c r="AO361" s="358"/>
      <c r="AP361" s="358"/>
      <c r="AQ361" s="358"/>
      <c r="AR361" s="358"/>
      <c r="AS361" s="358"/>
      <c r="AT361" s="358"/>
      <c r="AU361" s="358"/>
      <c r="AV361" s="358"/>
      <c r="AW361" s="358"/>
      <c r="AX361" s="358"/>
      <c r="AY361" s="358"/>
      <c r="AZ361" s="358"/>
      <c r="BA361" s="358"/>
      <c r="BB361" s="358"/>
      <c r="BC361" s="358"/>
      <c r="BD361" s="358"/>
      <c r="BE361" s="358"/>
      <c r="BF361" s="358"/>
      <c r="BG361" s="358"/>
      <c r="BH361" s="358"/>
      <c r="BI361" s="358"/>
      <c r="BJ361" s="358"/>
      <c r="BK361" s="358"/>
      <c r="BL361" s="358"/>
      <c r="BM361" s="358"/>
      <c r="BN361" s="358"/>
      <c r="BO361" s="358"/>
      <c r="BP361" s="358"/>
      <c r="BQ361" s="358"/>
      <c r="BR361" s="358"/>
      <c r="BS361" s="358"/>
      <c r="BT361" s="358"/>
      <c r="BU361" s="358"/>
      <c r="BV361" s="358"/>
    </row>
    <row r="362" spans="2:74" x14ac:dyDescent="0.2">
      <c r="B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58"/>
      <c r="AU362" s="358"/>
      <c r="AV362" s="358"/>
      <c r="AW362" s="358"/>
      <c r="AX362" s="358"/>
      <c r="AY362" s="358"/>
      <c r="AZ362" s="358"/>
      <c r="BA362" s="358"/>
      <c r="BB362" s="358"/>
      <c r="BC362" s="358"/>
      <c r="BD362" s="358"/>
      <c r="BE362" s="358"/>
      <c r="BF362" s="358"/>
      <c r="BG362" s="358"/>
      <c r="BH362" s="358"/>
      <c r="BI362" s="358"/>
      <c r="BJ362" s="358"/>
      <c r="BK362" s="358"/>
      <c r="BL362" s="358"/>
      <c r="BM362" s="358"/>
      <c r="BN362" s="358"/>
      <c r="BO362" s="358"/>
      <c r="BP362" s="358"/>
      <c r="BQ362" s="358"/>
      <c r="BR362" s="358"/>
      <c r="BS362" s="358"/>
      <c r="BT362" s="358"/>
      <c r="BU362" s="358"/>
      <c r="BV362" s="358"/>
    </row>
    <row r="363" spans="2:74" x14ac:dyDescent="0.2">
      <c r="B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  <c r="AA363" s="358"/>
      <c r="AB363" s="358"/>
      <c r="AC363" s="358"/>
      <c r="AD363" s="358"/>
      <c r="AE363" s="358"/>
      <c r="AF363" s="358"/>
      <c r="AG363" s="358"/>
      <c r="AH363" s="358"/>
      <c r="AI363" s="358"/>
      <c r="AJ363" s="358"/>
      <c r="AK363" s="358"/>
      <c r="AL363" s="358"/>
      <c r="AM363" s="358"/>
      <c r="AN363" s="358"/>
      <c r="AO363" s="358"/>
      <c r="AP363" s="358"/>
      <c r="AQ363" s="358"/>
      <c r="AR363" s="358"/>
      <c r="AS363" s="358"/>
      <c r="AT363" s="358"/>
      <c r="AU363" s="358"/>
      <c r="AV363" s="358"/>
      <c r="AW363" s="358"/>
      <c r="AX363" s="358"/>
      <c r="AY363" s="358"/>
      <c r="AZ363" s="358"/>
      <c r="BA363" s="358"/>
      <c r="BB363" s="358"/>
      <c r="BC363" s="358"/>
      <c r="BD363" s="358"/>
      <c r="BE363" s="358"/>
      <c r="BF363" s="358"/>
      <c r="BG363" s="358"/>
      <c r="BH363" s="358"/>
      <c r="BI363" s="358"/>
      <c r="BJ363" s="358"/>
      <c r="BK363" s="358"/>
      <c r="BL363" s="358"/>
      <c r="BM363" s="358"/>
      <c r="BN363" s="358"/>
      <c r="BO363" s="358"/>
      <c r="BP363" s="358"/>
      <c r="BQ363" s="358"/>
      <c r="BR363" s="358"/>
      <c r="BS363" s="358"/>
      <c r="BT363" s="358"/>
      <c r="BU363" s="358"/>
      <c r="BV363" s="358"/>
    </row>
    <row r="364" spans="2:74" x14ac:dyDescent="0.2">
      <c r="B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L364" s="358"/>
      <c r="AM364" s="358"/>
      <c r="AN364" s="358"/>
      <c r="AO364" s="358"/>
      <c r="AP364" s="358"/>
      <c r="AQ364" s="358"/>
      <c r="AR364" s="358"/>
      <c r="AS364" s="358"/>
      <c r="AT364" s="358"/>
      <c r="AU364" s="358"/>
      <c r="AV364" s="358"/>
      <c r="AW364" s="358"/>
      <c r="AX364" s="358"/>
      <c r="AY364" s="358"/>
      <c r="AZ364" s="358"/>
      <c r="BA364" s="358"/>
      <c r="BB364" s="358"/>
      <c r="BC364" s="358"/>
      <c r="BD364" s="358"/>
      <c r="BE364" s="358"/>
      <c r="BF364" s="358"/>
      <c r="BG364" s="358"/>
      <c r="BH364" s="358"/>
      <c r="BI364" s="358"/>
      <c r="BJ364" s="358"/>
      <c r="BK364" s="358"/>
      <c r="BL364" s="358"/>
      <c r="BM364" s="358"/>
      <c r="BN364" s="358"/>
      <c r="BO364" s="358"/>
      <c r="BP364" s="358"/>
      <c r="BQ364" s="358"/>
      <c r="BR364" s="358"/>
      <c r="BS364" s="358"/>
      <c r="BT364" s="358"/>
      <c r="BU364" s="358"/>
      <c r="BV364" s="358"/>
    </row>
    <row r="365" spans="2:74" x14ac:dyDescent="0.2">
      <c r="B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  <c r="AA365" s="358"/>
      <c r="AB365" s="358"/>
      <c r="AC365" s="358"/>
      <c r="AD365" s="358"/>
      <c r="AE365" s="358"/>
      <c r="AF365" s="358"/>
      <c r="AG365" s="358"/>
      <c r="AH365" s="358"/>
      <c r="AI365" s="358"/>
      <c r="AJ365" s="358"/>
      <c r="AK365" s="358"/>
      <c r="AL365" s="358"/>
      <c r="AM365" s="358"/>
      <c r="AN365" s="358"/>
      <c r="AO365" s="358"/>
      <c r="AP365" s="358"/>
      <c r="AQ365" s="358"/>
      <c r="AR365" s="358"/>
      <c r="AS365" s="358"/>
      <c r="AT365" s="358"/>
      <c r="AU365" s="358"/>
      <c r="AV365" s="358"/>
      <c r="AW365" s="358"/>
      <c r="AX365" s="358"/>
      <c r="AY365" s="358"/>
      <c r="AZ365" s="358"/>
      <c r="BA365" s="358"/>
      <c r="BB365" s="358"/>
      <c r="BC365" s="358"/>
      <c r="BD365" s="358"/>
      <c r="BE365" s="358"/>
      <c r="BF365" s="358"/>
      <c r="BG365" s="358"/>
      <c r="BH365" s="358"/>
      <c r="BI365" s="358"/>
      <c r="BJ365" s="358"/>
      <c r="BK365" s="358"/>
      <c r="BL365" s="358"/>
      <c r="BM365" s="358"/>
      <c r="BN365" s="358"/>
      <c r="BO365" s="358"/>
      <c r="BP365" s="358"/>
      <c r="BQ365" s="358"/>
      <c r="BR365" s="358"/>
      <c r="BS365" s="358"/>
      <c r="BT365" s="358"/>
      <c r="BU365" s="358"/>
      <c r="BV365" s="358"/>
    </row>
    <row r="366" spans="2:74" x14ac:dyDescent="0.2">
      <c r="B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  <c r="AI366" s="358"/>
      <c r="AJ366" s="358"/>
      <c r="AK366" s="358"/>
      <c r="AL366" s="358"/>
      <c r="AM366" s="358"/>
      <c r="AN366" s="358"/>
      <c r="AO366" s="358"/>
      <c r="AP366" s="358"/>
      <c r="AQ366" s="358"/>
      <c r="AR366" s="358"/>
      <c r="AS366" s="358"/>
      <c r="AT366" s="358"/>
      <c r="AU366" s="358"/>
      <c r="AV366" s="358"/>
      <c r="AW366" s="358"/>
      <c r="AX366" s="358"/>
      <c r="AY366" s="358"/>
      <c r="AZ366" s="358"/>
      <c r="BA366" s="358"/>
      <c r="BB366" s="358"/>
      <c r="BC366" s="358"/>
      <c r="BD366" s="358"/>
      <c r="BE366" s="358"/>
      <c r="BF366" s="358"/>
      <c r="BG366" s="358"/>
      <c r="BH366" s="358"/>
      <c r="BI366" s="358"/>
      <c r="BJ366" s="358"/>
      <c r="BK366" s="358"/>
      <c r="BL366" s="358"/>
      <c r="BM366" s="358"/>
      <c r="BN366" s="358"/>
      <c r="BO366" s="358"/>
      <c r="BP366" s="358"/>
      <c r="BQ366" s="358"/>
      <c r="BR366" s="358"/>
      <c r="BS366" s="358"/>
      <c r="BT366" s="358"/>
      <c r="BU366" s="358"/>
      <c r="BV366" s="358"/>
    </row>
    <row r="367" spans="2:74" x14ac:dyDescent="0.2">
      <c r="B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  <c r="AA367" s="358"/>
      <c r="AB367" s="358"/>
      <c r="AC367" s="358"/>
      <c r="AD367" s="358"/>
      <c r="AE367" s="358"/>
      <c r="AF367" s="358"/>
      <c r="AG367" s="358"/>
      <c r="AH367" s="358"/>
      <c r="AI367" s="358"/>
      <c r="AJ367" s="358"/>
      <c r="AK367" s="358"/>
      <c r="AL367" s="358"/>
      <c r="AM367" s="358"/>
      <c r="AN367" s="358"/>
      <c r="AO367" s="358"/>
      <c r="AP367" s="358"/>
      <c r="AQ367" s="358"/>
      <c r="AR367" s="358"/>
      <c r="AS367" s="358"/>
      <c r="AT367" s="358"/>
      <c r="AU367" s="358"/>
      <c r="AV367" s="358"/>
      <c r="AW367" s="358"/>
      <c r="AX367" s="358"/>
      <c r="AY367" s="358"/>
      <c r="AZ367" s="358"/>
      <c r="BA367" s="358"/>
      <c r="BB367" s="358"/>
      <c r="BC367" s="358"/>
      <c r="BD367" s="358"/>
      <c r="BE367" s="358"/>
      <c r="BF367" s="358"/>
      <c r="BG367" s="358"/>
      <c r="BH367" s="358"/>
      <c r="BI367" s="358"/>
      <c r="BJ367" s="358"/>
      <c r="BK367" s="358"/>
      <c r="BL367" s="358"/>
      <c r="BM367" s="358"/>
      <c r="BN367" s="358"/>
      <c r="BO367" s="358"/>
      <c r="BP367" s="358"/>
      <c r="BQ367" s="358"/>
      <c r="BR367" s="358"/>
      <c r="BS367" s="358"/>
      <c r="BT367" s="358"/>
      <c r="BU367" s="358"/>
      <c r="BV367" s="358"/>
    </row>
    <row r="368" spans="2:74" x14ac:dyDescent="0.2">
      <c r="B368" s="358"/>
      <c r="D368" s="358"/>
      <c r="E368" s="358"/>
      <c r="F368" s="358"/>
      <c r="G368" s="358"/>
      <c r="H368" s="358"/>
      <c r="I368" s="358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  <c r="AI368" s="358"/>
      <c r="AJ368" s="358"/>
      <c r="AK368" s="358"/>
      <c r="AL368" s="358"/>
      <c r="AM368" s="358"/>
      <c r="AN368" s="358"/>
      <c r="AO368" s="358"/>
      <c r="AP368" s="358"/>
      <c r="AQ368" s="358"/>
      <c r="AR368" s="358"/>
      <c r="AS368" s="358"/>
      <c r="AT368" s="358"/>
      <c r="AU368" s="358"/>
      <c r="AV368" s="358"/>
      <c r="AW368" s="358"/>
      <c r="AX368" s="358"/>
      <c r="AY368" s="358"/>
      <c r="AZ368" s="358"/>
      <c r="BA368" s="358"/>
      <c r="BB368" s="358"/>
      <c r="BC368" s="358"/>
      <c r="BD368" s="358"/>
      <c r="BE368" s="358"/>
      <c r="BF368" s="358"/>
      <c r="BG368" s="358"/>
      <c r="BH368" s="358"/>
      <c r="BI368" s="358"/>
      <c r="BJ368" s="358"/>
      <c r="BK368" s="358"/>
      <c r="BL368" s="358"/>
      <c r="BM368" s="358"/>
      <c r="BN368" s="358"/>
      <c r="BO368" s="358"/>
      <c r="BP368" s="358"/>
      <c r="BQ368" s="358"/>
      <c r="BR368" s="358"/>
      <c r="BS368" s="358"/>
      <c r="BT368" s="358"/>
      <c r="BU368" s="358"/>
      <c r="BV368" s="358"/>
    </row>
    <row r="369" spans="2:74" x14ac:dyDescent="0.2">
      <c r="B369" s="358"/>
      <c r="D369" s="358"/>
      <c r="E369" s="358"/>
      <c r="F369" s="358"/>
      <c r="G369" s="358"/>
      <c r="H369" s="358"/>
      <c r="I369" s="358"/>
      <c r="J369" s="358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  <c r="AA369" s="358"/>
      <c r="AB369" s="358"/>
      <c r="AC369" s="358"/>
      <c r="AD369" s="358"/>
      <c r="AE369" s="358"/>
      <c r="AF369" s="358"/>
      <c r="AG369" s="358"/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58"/>
      <c r="AX369" s="358"/>
      <c r="AY369" s="358"/>
      <c r="AZ369" s="358"/>
      <c r="BA369" s="358"/>
      <c r="BB369" s="358"/>
      <c r="BC369" s="358"/>
      <c r="BD369" s="358"/>
      <c r="BE369" s="358"/>
      <c r="BF369" s="358"/>
      <c r="BG369" s="358"/>
      <c r="BH369" s="358"/>
      <c r="BI369" s="358"/>
      <c r="BJ369" s="358"/>
      <c r="BK369" s="358"/>
      <c r="BL369" s="358"/>
      <c r="BM369" s="358"/>
      <c r="BN369" s="358"/>
      <c r="BO369" s="358"/>
      <c r="BP369" s="358"/>
      <c r="BQ369" s="358"/>
      <c r="BR369" s="358"/>
      <c r="BS369" s="358"/>
      <c r="BT369" s="358"/>
      <c r="BU369" s="358"/>
      <c r="BV369" s="358"/>
    </row>
    <row r="370" spans="2:74" x14ac:dyDescent="0.2">
      <c r="B370" s="358"/>
      <c r="D370" s="358"/>
      <c r="E370" s="358"/>
      <c r="F370" s="358"/>
      <c r="G370" s="358"/>
      <c r="H370" s="358"/>
      <c r="I370" s="358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  <c r="AI370" s="358"/>
      <c r="AJ370" s="358"/>
      <c r="AK370" s="358"/>
      <c r="AL370" s="358"/>
      <c r="AM370" s="358"/>
      <c r="AN370" s="358"/>
      <c r="AO370" s="358"/>
      <c r="AP370" s="358"/>
      <c r="AQ370" s="358"/>
      <c r="AR370" s="358"/>
      <c r="AS370" s="358"/>
      <c r="AT370" s="358"/>
      <c r="AU370" s="358"/>
      <c r="AV370" s="358"/>
      <c r="AW370" s="358"/>
      <c r="AX370" s="358"/>
      <c r="AY370" s="358"/>
      <c r="AZ370" s="358"/>
      <c r="BA370" s="358"/>
      <c r="BB370" s="358"/>
      <c r="BC370" s="358"/>
      <c r="BD370" s="358"/>
      <c r="BE370" s="358"/>
      <c r="BF370" s="358"/>
      <c r="BG370" s="358"/>
      <c r="BH370" s="358"/>
      <c r="BI370" s="358"/>
      <c r="BJ370" s="358"/>
      <c r="BK370" s="358"/>
      <c r="BL370" s="358"/>
      <c r="BM370" s="358"/>
      <c r="BN370" s="358"/>
      <c r="BO370" s="358"/>
      <c r="BP370" s="358"/>
      <c r="BQ370" s="358"/>
      <c r="BR370" s="358"/>
      <c r="BS370" s="358"/>
      <c r="BT370" s="358"/>
      <c r="BU370" s="358"/>
      <c r="BV370" s="358"/>
    </row>
    <row r="371" spans="2:74" x14ac:dyDescent="0.2">
      <c r="B371" s="358"/>
      <c r="D371" s="358"/>
      <c r="E371" s="358"/>
      <c r="F371" s="358"/>
      <c r="G371" s="358"/>
      <c r="H371" s="358"/>
      <c r="I371" s="358"/>
      <c r="J371" s="358"/>
      <c r="K371" s="358"/>
      <c r="L371" s="358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  <c r="Y371" s="358"/>
      <c r="Z371" s="358"/>
      <c r="AA371" s="358"/>
      <c r="AB371" s="358"/>
      <c r="AC371" s="358"/>
      <c r="AD371" s="358"/>
      <c r="AE371" s="358"/>
      <c r="AF371" s="358"/>
      <c r="AG371" s="358"/>
      <c r="AH371" s="358"/>
      <c r="AI371" s="358"/>
      <c r="AJ371" s="358"/>
      <c r="AK371" s="358"/>
      <c r="AL371" s="358"/>
      <c r="AM371" s="358"/>
      <c r="AN371" s="358"/>
      <c r="AO371" s="358"/>
      <c r="AP371" s="358"/>
      <c r="AQ371" s="358"/>
      <c r="AR371" s="358"/>
      <c r="AS371" s="358"/>
      <c r="AT371" s="358"/>
      <c r="AU371" s="358"/>
      <c r="AV371" s="358"/>
      <c r="AW371" s="358"/>
      <c r="AX371" s="358"/>
      <c r="AY371" s="358"/>
      <c r="AZ371" s="358"/>
      <c r="BA371" s="358"/>
      <c r="BB371" s="358"/>
      <c r="BC371" s="358"/>
      <c r="BD371" s="358"/>
      <c r="BE371" s="358"/>
      <c r="BF371" s="358"/>
      <c r="BG371" s="358"/>
      <c r="BH371" s="358"/>
      <c r="BI371" s="358"/>
      <c r="BJ371" s="358"/>
      <c r="BK371" s="358"/>
      <c r="BL371" s="358"/>
      <c r="BM371" s="358"/>
      <c r="BN371" s="358"/>
      <c r="BO371" s="358"/>
      <c r="BP371" s="358"/>
      <c r="BQ371" s="358"/>
      <c r="BR371" s="358"/>
      <c r="BS371" s="358"/>
      <c r="BT371" s="358"/>
      <c r="BU371" s="358"/>
      <c r="BV371" s="358"/>
    </row>
    <row r="372" spans="2:74" x14ac:dyDescent="0.2">
      <c r="B372" s="358"/>
      <c r="D372" s="358"/>
      <c r="E372" s="358"/>
      <c r="F372" s="358"/>
      <c r="G372" s="358"/>
      <c r="H372" s="358"/>
      <c r="I372" s="358"/>
      <c r="J372" s="358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  <c r="AI372" s="358"/>
      <c r="AJ372" s="358"/>
      <c r="AK372" s="358"/>
      <c r="AL372" s="358"/>
      <c r="AM372" s="358"/>
      <c r="AN372" s="358"/>
      <c r="AO372" s="358"/>
      <c r="AP372" s="358"/>
      <c r="AQ372" s="358"/>
      <c r="AR372" s="358"/>
      <c r="AS372" s="358"/>
      <c r="AT372" s="358"/>
      <c r="AU372" s="358"/>
      <c r="AV372" s="358"/>
      <c r="AW372" s="358"/>
      <c r="AX372" s="358"/>
      <c r="AY372" s="358"/>
      <c r="AZ372" s="358"/>
      <c r="BA372" s="358"/>
      <c r="BB372" s="358"/>
      <c r="BC372" s="358"/>
      <c r="BD372" s="358"/>
      <c r="BE372" s="358"/>
      <c r="BF372" s="358"/>
      <c r="BG372" s="358"/>
      <c r="BH372" s="358"/>
      <c r="BI372" s="358"/>
      <c r="BJ372" s="358"/>
      <c r="BK372" s="358"/>
      <c r="BL372" s="358"/>
      <c r="BM372" s="358"/>
      <c r="BN372" s="358"/>
      <c r="BO372" s="358"/>
      <c r="BP372" s="358"/>
      <c r="BQ372" s="358"/>
      <c r="BR372" s="358"/>
      <c r="BS372" s="358"/>
      <c r="BT372" s="358"/>
      <c r="BU372" s="358"/>
      <c r="BV372" s="358"/>
    </row>
    <row r="373" spans="2:74" x14ac:dyDescent="0.2">
      <c r="B373" s="358"/>
      <c r="D373" s="358"/>
      <c r="E373" s="358"/>
      <c r="F373" s="358"/>
      <c r="G373" s="358"/>
      <c r="H373" s="358"/>
      <c r="I373" s="358"/>
      <c r="J373" s="358"/>
      <c r="K373" s="358"/>
      <c r="L373" s="358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  <c r="Y373" s="358"/>
      <c r="Z373" s="358"/>
      <c r="AA373" s="358"/>
      <c r="AB373" s="358"/>
      <c r="AC373" s="358"/>
      <c r="AD373" s="358"/>
      <c r="AE373" s="358"/>
      <c r="AF373" s="358"/>
      <c r="AG373" s="358"/>
      <c r="AH373" s="358"/>
      <c r="AI373" s="358"/>
      <c r="AJ373" s="358"/>
      <c r="AK373" s="358"/>
      <c r="AL373" s="358"/>
      <c r="AM373" s="358"/>
      <c r="AN373" s="358"/>
      <c r="AO373" s="358"/>
      <c r="AP373" s="358"/>
      <c r="AQ373" s="358"/>
      <c r="AR373" s="358"/>
      <c r="AS373" s="358"/>
      <c r="AT373" s="358"/>
      <c r="AU373" s="358"/>
      <c r="AV373" s="358"/>
      <c r="AW373" s="358"/>
      <c r="AX373" s="358"/>
      <c r="AY373" s="358"/>
      <c r="AZ373" s="358"/>
      <c r="BA373" s="358"/>
      <c r="BB373" s="358"/>
      <c r="BC373" s="358"/>
      <c r="BD373" s="358"/>
      <c r="BE373" s="358"/>
      <c r="BF373" s="358"/>
      <c r="BG373" s="358"/>
      <c r="BH373" s="358"/>
      <c r="BI373" s="358"/>
      <c r="BJ373" s="358"/>
      <c r="BK373" s="358"/>
      <c r="BL373" s="358"/>
      <c r="BM373" s="358"/>
      <c r="BN373" s="358"/>
      <c r="BO373" s="358"/>
      <c r="BP373" s="358"/>
      <c r="BQ373" s="358"/>
      <c r="BR373" s="358"/>
      <c r="BS373" s="358"/>
      <c r="BT373" s="358"/>
      <c r="BU373" s="358"/>
      <c r="BV373" s="358"/>
    </row>
    <row r="374" spans="2:74" x14ac:dyDescent="0.2">
      <c r="B374" s="358"/>
      <c r="D374" s="358"/>
      <c r="E374" s="358"/>
      <c r="F374" s="358"/>
      <c r="G374" s="358"/>
      <c r="H374" s="358"/>
      <c r="I374" s="358"/>
      <c r="J374" s="358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  <c r="AI374" s="358"/>
      <c r="AJ374" s="358"/>
      <c r="AK374" s="358"/>
      <c r="AL374" s="358"/>
      <c r="AM374" s="358"/>
      <c r="AN374" s="358"/>
      <c r="AO374" s="358"/>
      <c r="AP374" s="358"/>
      <c r="AQ374" s="358"/>
      <c r="AR374" s="358"/>
      <c r="AS374" s="358"/>
      <c r="AT374" s="358"/>
      <c r="AU374" s="358"/>
      <c r="AV374" s="358"/>
      <c r="AW374" s="358"/>
      <c r="AX374" s="358"/>
      <c r="AY374" s="358"/>
      <c r="AZ374" s="358"/>
      <c r="BA374" s="358"/>
      <c r="BB374" s="358"/>
      <c r="BC374" s="358"/>
      <c r="BD374" s="358"/>
      <c r="BE374" s="358"/>
      <c r="BF374" s="358"/>
      <c r="BG374" s="358"/>
      <c r="BH374" s="358"/>
      <c r="BI374" s="358"/>
      <c r="BJ374" s="358"/>
      <c r="BK374" s="358"/>
      <c r="BL374" s="358"/>
      <c r="BM374" s="358"/>
      <c r="BN374" s="358"/>
      <c r="BO374" s="358"/>
      <c r="BP374" s="358"/>
      <c r="BQ374" s="358"/>
      <c r="BR374" s="358"/>
      <c r="BS374" s="358"/>
      <c r="BT374" s="358"/>
      <c r="BU374" s="358"/>
      <c r="BV374" s="358"/>
    </row>
    <row r="375" spans="2:74" x14ac:dyDescent="0.2">
      <c r="B375" s="358"/>
      <c r="D375" s="358"/>
      <c r="E375" s="358"/>
      <c r="F375" s="358"/>
      <c r="G375" s="358"/>
      <c r="H375" s="358"/>
      <c r="I375" s="358"/>
      <c r="J375" s="358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  <c r="AK375" s="358"/>
      <c r="AL375" s="358"/>
      <c r="AM375" s="358"/>
      <c r="AN375" s="358"/>
      <c r="AO375" s="358"/>
      <c r="AP375" s="358"/>
      <c r="AQ375" s="358"/>
      <c r="AR375" s="358"/>
      <c r="AS375" s="358"/>
      <c r="AT375" s="358"/>
      <c r="AU375" s="358"/>
      <c r="AV375" s="358"/>
      <c r="AW375" s="358"/>
      <c r="AX375" s="358"/>
      <c r="AY375" s="358"/>
      <c r="AZ375" s="358"/>
      <c r="BA375" s="358"/>
      <c r="BB375" s="358"/>
      <c r="BC375" s="358"/>
      <c r="BD375" s="358"/>
      <c r="BE375" s="358"/>
      <c r="BF375" s="358"/>
      <c r="BG375" s="358"/>
      <c r="BH375" s="358"/>
      <c r="BI375" s="358"/>
      <c r="BJ375" s="358"/>
      <c r="BK375" s="358"/>
      <c r="BL375" s="358"/>
      <c r="BM375" s="358"/>
      <c r="BN375" s="358"/>
      <c r="BO375" s="358"/>
      <c r="BP375" s="358"/>
      <c r="BQ375" s="358"/>
      <c r="BR375" s="358"/>
      <c r="BS375" s="358"/>
      <c r="BT375" s="358"/>
      <c r="BU375" s="358"/>
      <c r="BV375" s="358"/>
    </row>
    <row r="376" spans="2:74" x14ac:dyDescent="0.2">
      <c r="B376" s="358"/>
      <c r="D376" s="358"/>
      <c r="E376" s="358"/>
      <c r="F376" s="358"/>
      <c r="G376" s="358"/>
      <c r="H376" s="358"/>
      <c r="I376" s="358"/>
      <c r="J376" s="358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  <c r="AI376" s="358"/>
      <c r="AJ376" s="358"/>
      <c r="AK376" s="358"/>
      <c r="AL376" s="358"/>
      <c r="AM376" s="358"/>
      <c r="AN376" s="358"/>
      <c r="AO376" s="358"/>
      <c r="AP376" s="358"/>
      <c r="AQ376" s="358"/>
      <c r="AR376" s="358"/>
      <c r="AS376" s="358"/>
      <c r="AT376" s="358"/>
      <c r="AU376" s="358"/>
      <c r="AV376" s="358"/>
      <c r="AW376" s="358"/>
      <c r="AX376" s="358"/>
      <c r="AY376" s="358"/>
      <c r="AZ376" s="358"/>
      <c r="BA376" s="358"/>
      <c r="BB376" s="358"/>
      <c r="BC376" s="358"/>
      <c r="BD376" s="358"/>
      <c r="BE376" s="358"/>
      <c r="BF376" s="358"/>
      <c r="BG376" s="358"/>
      <c r="BH376" s="358"/>
      <c r="BI376" s="358"/>
      <c r="BJ376" s="358"/>
      <c r="BK376" s="358"/>
      <c r="BL376" s="358"/>
      <c r="BM376" s="358"/>
      <c r="BN376" s="358"/>
      <c r="BO376" s="358"/>
      <c r="BP376" s="358"/>
      <c r="BQ376" s="358"/>
      <c r="BR376" s="358"/>
      <c r="BS376" s="358"/>
      <c r="BT376" s="358"/>
      <c r="BU376" s="358"/>
      <c r="BV376" s="358"/>
    </row>
    <row r="377" spans="2:74" x14ac:dyDescent="0.2">
      <c r="B377" s="358"/>
      <c r="D377" s="358"/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L377" s="358"/>
      <c r="AM377" s="358"/>
      <c r="AN377" s="358"/>
      <c r="AO377" s="358"/>
      <c r="AP377" s="358"/>
      <c r="AQ377" s="358"/>
      <c r="AR377" s="358"/>
      <c r="AS377" s="358"/>
      <c r="AT377" s="358"/>
      <c r="AU377" s="358"/>
      <c r="AV377" s="358"/>
      <c r="AW377" s="358"/>
      <c r="AX377" s="358"/>
      <c r="AY377" s="358"/>
      <c r="AZ377" s="358"/>
      <c r="BA377" s="358"/>
      <c r="BB377" s="358"/>
      <c r="BC377" s="358"/>
      <c r="BD377" s="358"/>
      <c r="BE377" s="358"/>
      <c r="BF377" s="358"/>
      <c r="BG377" s="358"/>
      <c r="BH377" s="358"/>
      <c r="BI377" s="358"/>
      <c r="BJ377" s="358"/>
      <c r="BK377" s="358"/>
      <c r="BL377" s="358"/>
      <c r="BM377" s="358"/>
      <c r="BN377" s="358"/>
      <c r="BO377" s="358"/>
      <c r="BP377" s="358"/>
      <c r="BQ377" s="358"/>
      <c r="BR377" s="358"/>
      <c r="BS377" s="358"/>
      <c r="BT377" s="358"/>
      <c r="BU377" s="358"/>
      <c r="BV377" s="358"/>
    </row>
    <row r="378" spans="2:74" x14ac:dyDescent="0.2">
      <c r="B378" s="358"/>
      <c r="D378" s="358"/>
      <c r="E378" s="358"/>
      <c r="F378" s="358"/>
      <c r="G378" s="358"/>
      <c r="H378" s="358"/>
      <c r="I378" s="358"/>
      <c r="J378" s="358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  <c r="AI378" s="358"/>
      <c r="AJ378" s="358"/>
      <c r="AK378" s="358"/>
      <c r="AL378" s="358"/>
      <c r="AM378" s="358"/>
      <c r="AN378" s="358"/>
      <c r="AO378" s="358"/>
      <c r="AP378" s="358"/>
      <c r="AQ378" s="358"/>
      <c r="AR378" s="358"/>
      <c r="AS378" s="358"/>
      <c r="AT378" s="358"/>
      <c r="AU378" s="358"/>
      <c r="AV378" s="358"/>
      <c r="AW378" s="358"/>
      <c r="AX378" s="358"/>
      <c r="AY378" s="358"/>
      <c r="AZ378" s="358"/>
      <c r="BA378" s="358"/>
      <c r="BB378" s="358"/>
      <c r="BC378" s="358"/>
      <c r="BD378" s="358"/>
      <c r="BE378" s="358"/>
      <c r="BF378" s="358"/>
      <c r="BG378" s="358"/>
      <c r="BH378" s="358"/>
      <c r="BI378" s="358"/>
      <c r="BJ378" s="358"/>
      <c r="BK378" s="358"/>
      <c r="BL378" s="358"/>
      <c r="BM378" s="358"/>
      <c r="BN378" s="358"/>
      <c r="BO378" s="358"/>
      <c r="BP378" s="358"/>
      <c r="BQ378" s="358"/>
      <c r="BR378" s="358"/>
      <c r="BS378" s="358"/>
      <c r="BT378" s="358"/>
      <c r="BU378" s="358"/>
      <c r="BV378" s="358"/>
    </row>
    <row r="379" spans="2:74" x14ac:dyDescent="0.2">
      <c r="B379" s="358"/>
      <c r="D379" s="358"/>
      <c r="E379" s="358"/>
      <c r="F379" s="358"/>
      <c r="G379" s="358"/>
      <c r="H379" s="358"/>
      <c r="I379" s="358"/>
      <c r="J379" s="358"/>
      <c r="K379" s="358"/>
      <c r="L379" s="358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  <c r="Y379" s="358"/>
      <c r="Z379" s="358"/>
      <c r="AA379" s="358"/>
      <c r="AB379" s="358"/>
      <c r="AC379" s="358"/>
      <c r="AD379" s="358"/>
      <c r="AE379" s="358"/>
      <c r="AF379" s="358"/>
      <c r="AG379" s="358"/>
      <c r="AH379" s="358"/>
      <c r="AI379" s="358"/>
      <c r="AJ379" s="358"/>
      <c r="AK379" s="358"/>
      <c r="AL379" s="358"/>
      <c r="AM379" s="358"/>
      <c r="AN379" s="358"/>
      <c r="AO379" s="358"/>
      <c r="AP379" s="358"/>
      <c r="AQ379" s="358"/>
      <c r="AR379" s="358"/>
      <c r="AS379" s="358"/>
      <c r="AT379" s="358"/>
      <c r="AU379" s="358"/>
      <c r="AV379" s="358"/>
      <c r="AW379" s="358"/>
      <c r="AX379" s="358"/>
      <c r="AY379" s="358"/>
      <c r="AZ379" s="358"/>
      <c r="BA379" s="358"/>
      <c r="BB379" s="358"/>
      <c r="BC379" s="358"/>
      <c r="BD379" s="358"/>
      <c r="BE379" s="358"/>
      <c r="BF379" s="358"/>
      <c r="BG379" s="358"/>
      <c r="BH379" s="358"/>
      <c r="BI379" s="358"/>
      <c r="BJ379" s="358"/>
      <c r="BK379" s="358"/>
      <c r="BL379" s="358"/>
      <c r="BM379" s="358"/>
      <c r="BN379" s="358"/>
      <c r="BO379" s="358"/>
      <c r="BP379" s="358"/>
      <c r="BQ379" s="358"/>
      <c r="BR379" s="358"/>
      <c r="BS379" s="358"/>
      <c r="BT379" s="358"/>
      <c r="BU379" s="358"/>
      <c r="BV379" s="358"/>
    </row>
    <row r="380" spans="2:74" x14ac:dyDescent="0.2">
      <c r="B380" s="358"/>
      <c r="D380" s="358"/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8"/>
      <c r="AX380" s="358"/>
      <c r="AY380" s="358"/>
      <c r="AZ380" s="358"/>
      <c r="BA380" s="358"/>
      <c r="BB380" s="358"/>
      <c r="BC380" s="358"/>
      <c r="BD380" s="358"/>
      <c r="BE380" s="358"/>
      <c r="BF380" s="358"/>
      <c r="BG380" s="358"/>
      <c r="BH380" s="358"/>
      <c r="BI380" s="358"/>
      <c r="BJ380" s="358"/>
      <c r="BK380" s="358"/>
      <c r="BL380" s="358"/>
      <c r="BM380" s="358"/>
      <c r="BN380" s="358"/>
      <c r="BO380" s="358"/>
      <c r="BP380" s="358"/>
      <c r="BQ380" s="358"/>
      <c r="BR380" s="358"/>
      <c r="BS380" s="358"/>
      <c r="BT380" s="358"/>
      <c r="BU380" s="358"/>
      <c r="BV380" s="358"/>
    </row>
    <row r="381" spans="2:74" x14ac:dyDescent="0.2">
      <c r="B381" s="358"/>
      <c r="D381" s="358"/>
      <c r="E381" s="358"/>
      <c r="F381" s="358"/>
      <c r="G381" s="358"/>
      <c r="H381" s="358"/>
      <c r="I381" s="358"/>
      <c r="J381" s="358"/>
      <c r="K381" s="358"/>
      <c r="L381" s="358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  <c r="Y381" s="358"/>
      <c r="Z381" s="358"/>
      <c r="AA381" s="358"/>
      <c r="AB381" s="358"/>
      <c r="AC381" s="358"/>
      <c r="AD381" s="358"/>
      <c r="AE381" s="358"/>
      <c r="AF381" s="358"/>
      <c r="AG381" s="358"/>
      <c r="AH381" s="358"/>
      <c r="AI381" s="358"/>
      <c r="AJ381" s="358"/>
      <c r="AK381" s="358"/>
      <c r="AL381" s="358"/>
      <c r="AM381" s="358"/>
      <c r="AN381" s="358"/>
      <c r="AO381" s="358"/>
      <c r="AP381" s="358"/>
      <c r="AQ381" s="358"/>
      <c r="AR381" s="358"/>
      <c r="AS381" s="358"/>
      <c r="AT381" s="358"/>
      <c r="AU381" s="358"/>
      <c r="AV381" s="358"/>
      <c r="AW381" s="358"/>
      <c r="AX381" s="358"/>
      <c r="AY381" s="358"/>
      <c r="AZ381" s="358"/>
      <c r="BA381" s="358"/>
      <c r="BB381" s="358"/>
      <c r="BC381" s="358"/>
      <c r="BD381" s="358"/>
      <c r="BE381" s="358"/>
      <c r="BF381" s="358"/>
      <c r="BG381" s="358"/>
      <c r="BH381" s="358"/>
      <c r="BI381" s="358"/>
      <c r="BJ381" s="358"/>
      <c r="BK381" s="358"/>
      <c r="BL381" s="358"/>
      <c r="BM381" s="358"/>
      <c r="BN381" s="358"/>
      <c r="BO381" s="358"/>
      <c r="BP381" s="358"/>
      <c r="BQ381" s="358"/>
      <c r="BR381" s="358"/>
      <c r="BS381" s="358"/>
      <c r="BT381" s="358"/>
      <c r="BU381" s="358"/>
      <c r="BV381" s="358"/>
    </row>
    <row r="382" spans="2:74" x14ac:dyDescent="0.2">
      <c r="B382" s="358"/>
      <c r="D382" s="358"/>
      <c r="E382" s="358"/>
      <c r="F382" s="358"/>
      <c r="G382" s="358"/>
      <c r="H382" s="358"/>
      <c r="I382" s="358"/>
      <c r="J382" s="358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  <c r="AI382" s="358"/>
      <c r="AJ382" s="358"/>
      <c r="AK382" s="358"/>
      <c r="AL382" s="358"/>
      <c r="AM382" s="358"/>
      <c r="AN382" s="358"/>
      <c r="AO382" s="358"/>
      <c r="AP382" s="358"/>
      <c r="AQ382" s="358"/>
      <c r="AR382" s="358"/>
      <c r="AS382" s="358"/>
      <c r="AT382" s="358"/>
      <c r="AU382" s="358"/>
      <c r="AV382" s="358"/>
      <c r="AW382" s="358"/>
      <c r="AX382" s="358"/>
      <c r="AY382" s="358"/>
      <c r="AZ382" s="358"/>
      <c r="BA382" s="358"/>
      <c r="BB382" s="358"/>
      <c r="BC382" s="358"/>
      <c r="BD382" s="358"/>
      <c r="BE382" s="358"/>
      <c r="BF382" s="358"/>
      <c r="BG382" s="358"/>
      <c r="BH382" s="358"/>
      <c r="BI382" s="358"/>
      <c r="BJ382" s="358"/>
      <c r="BK382" s="358"/>
      <c r="BL382" s="358"/>
      <c r="BM382" s="358"/>
      <c r="BN382" s="358"/>
      <c r="BO382" s="358"/>
      <c r="BP382" s="358"/>
      <c r="BQ382" s="358"/>
      <c r="BR382" s="358"/>
      <c r="BS382" s="358"/>
      <c r="BT382" s="358"/>
      <c r="BU382" s="358"/>
      <c r="BV382" s="358"/>
    </row>
    <row r="383" spans="2:74" x14ac:dyDescent="0.2">
      <c r="B383" s="358"/>
      <c r="D383" s="358"/>
      <c r="E383" s="35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L383" s="358"/>
      <c r="AM383" s="358"/>
      <c r="AN383" s="358"/>
      <c r="AO383" s="358"/>
      <c r="AP383" s="358"/>
      <c r="AQ383" s="358"/>
      <c r="AR383" s="358"/>
      <c r="AS383" s="358"/>
      <c r="AT383" s="358"/>
      <c r="AU383" s="358"/>
      <c r="AV383" s="358"/>
      <c r="AW383" s="358"/>
      <c r="AX383" s="358"/>
      <c r="AY383" s="358"/>
      <c r="AZ383" s="358"/>
      <c r="BA383" s="358"/>
      <c r="BB383" s="358"/>
      <c r="BC383" s="358"/>
      <c r="BD383" s="358"/>
      <c r="BE383" s="358"/>
      <c r="BF383" s="358"/>
      <c r="BG383" s="358"/>
      <c r="BH383" s="358"/>
      <c r="BI383" s="358"/>
      <c r="BJ383" s="358"/>
      <c r="BK383" s="358"/>
      <c r="BL383" s="358"/>
      <c r="BM383" s="358"/>
      <c r="BN383" s="358"/>
      <c r="BO383" s="358"/>
      <c r="BP383" s="358"/>
      <c r="BQ383" s="358"/>
      <c r="BR383" s="358"/>
      <c r="BS383" s="358"/>
      <c r="BT383" s="358"/>
      <c r="BU383" s="358"/>
      <c r="BV383" s="358"/>
    </row>
    <row r="384" spans="2:74" x14ac:dyDescent="0.2">
      <c r="B384" s="358"/>
      <c r="D384" s="358"/>
      <c r="E384" s="35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  <c r="AK384" s="358"/>
      <c r="AL384" s="358"/>
      <c r="AM384" s="358"/>
      <c r="AN384" s="358"/>
      <c r="AO384" s="358"/>
      <c r="AP384" s="358"/>
      <c r="AQ384" s="358"/>
      <c r="AR384" s="358"/>
      <c r="AS384" s="358"/>
      <c r="AT384" s="358"/>
      <c r="AU384" s="358"/>
      <c r="AV384" s="358"/>
      <c r="AW384" s="358"/>
      <c r="AX384" s="358"/>
      <c r="AY384" s="358"/>
      <c r="AZ384" s="358"/>
      <c r="BA384" s="358"/>
      <c r="BB384" s="358"/>
      <c r="BC384" s="358"/>
      <c r="BD384" s="358"/>
      <c r="BE384" s="358"/>
      <c r="BF384" s="358"/>
      <c r="BG384" s="358"/>
      <c r="BH384" s="358"/>
      <c r="BI384" s="358"/>
      <c r="BJ384" s="358"/>
      <c r="BK384" s="358"/>
      <c r="BL384" s="358"/>
      <c r="BM384" s="358"/>
      <c r="BN384" s="358"/>
      <c r="BO384" s="358"/>
      <c r="BP384" s="358"/>
      <c r="BQ384" s="358"/>
      <c r="BR384" s="358"/>
      <c r="BS384" s="358"/>
      <c r="BT384" s="358"/>
      <c r="BU384" s="358"/>
      <c r="BV384" s="358"/>
    </row>
    <row r="385" spans="2:74" x14ac:dyDescent="0.2">
      <c r="B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358"/>
      <c r="AA385" s="358"/>
      <c r="AB385" s="358"/>
      <c r="AC385" s="358"/>
      <c r="AD385" s="358"/>
      <c r="AE385" s="358"/>
      <c r="AF385" s="358"/>
      <c r="AG385" s="358"/>
      <c r="AH385" s="358"/>
      <c r="AI385" s="358"/>
      <c r="AJ385" s="358"/>
      <c r="AK385" s="358"/>
      <c r="AL385" s="358"/>
      <c r="AM385" s="358"/>
      <c r="AN385" s="358"/>
      <c r="AO385" s="358"/>
      <c r="AP385" s="358"/>
      <c r="AQ385" s="358"/>
      <c r="AR385" s="358"/>
      <c r="AS385" s="358"/>
      <c r="AT385" s="358"/>
      <c r="AU385" s="358"/>
      <c r="AV385" s="358"/>
      <c r="AW385" s="358"/>
      <c r="AX385" s="358"/>
      <c r="AY385" s="358"/>
      <c r="AZ385" s="358"/>
      <c r="BA385" s="358"/>
      <c r="BB385" s="358"/>
      <c r="BC385" s="358"/>
      <c r="BD385" s="358"/>
      <c r="BE385" s="358"/>
      <c r="BF385" s="358"/>
      <c r="BG385" s="358"/>
      <c r="BH385" s="358"/>
      <c r="BI385" s="358"/>
      <c r="BJ385" s="358"/>
      <c r="BK385" s="358"/>
      <c r="BL385" s="358"/>
      <c r="BM385" s="358"/>
      <c r="BN385" s="358"/>
      <c r="BO385" s="358"/>
      <c r="BP385" s="358"/>
      <c r="BQ385" s="358"/>
      <c r="BR385" s="358"/>
      <c r="BS385" s="358"/>
      <c r="BT385" s="358"/>
      <c r="BU385" s="358"/>
      <c r="BV385" s="358"/>
    </row>
    <row r="386" spans="2:74" x14ac:dyDescent="0.2">
      <c r="B386" s="358"/>
      <c r="D386" s="358"/>
      <c r="E386" s="358"/>
      <c r="F386" s="358"/>
      <c r="G386" s="358"/>
      <c r="H386" s="358"/>
      <c r="I386" s="358"/>
      <c r="J386" s="358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  <c r="AI386" s="358"/>
      <c r="AJ386" s="358"/>
      <c r="AK386" s="358"/>
      <c r="AL386" s="358"/>
      <c r="AM386" s="358"/>
      <c r="AN386" s="358"/>
      <c r="AO386" s="358"/>
      <c r="AP386" s="358"/>
      <c r="AQ386" s="358"/>
      <c r="AR386" s="358"/>
      <c r="AS386" s="358"/>
      <c r="AT386" s="358"/>
      <c r="AU386" s="358"/>
      <c r="AV386" s="358"/>
      <c r="AW386" s="358"/>
      <c r="AX386" s="358"/>
      <c r="AY386" s="358"/>
      <c r="AZ386" s="358"/>
      <c r="BA386" s="358"/>
      <c r="BB386" s="358"/>
      <c r="BC386" s="358"/>
      <c r="BD386" s="358"/>
      <c r="BE386" s="358"/>
      <c r="BF386" s="358"/>
      <c r="BG386" s="358"/>
      <c r="BH386" s="358"/>
      <c r="BI386" s="358"/>
      <c r="BJ386" s="358"/>
      <c r="BK386" s="358"/>
      <c r="BL386" s="358"/>
      <c r="BM386" s="358"/>
      <c r="BN386" s="358"/>
      <c r="BO386" s="358"/>
      <c r="BP386" s="358"/>
      <c r="BQ386" s="358"/>
      <c r="BR386" s="358"/>
      <c r="BS386" s="358"/>
      <c r="BT386" s="358"/>
      <c r="BU386" s="358"/>
      <c r="BV386" s="358"/>
    </row>
    <row r="387" spans="2:74" x14ac:dyDescent="0.2">
      <c r="B387" s="358"/>
      <c r="D387" s="358"/>
      <c r="E387" s="35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358"/>
      <c r="AA387" s="358"/>
      <c r="AB387" s="358"/>
      <c r="AC387" s="358"/>
      <c r="AD387" s="358"/>
      <c r="AE387" s="358"/>
      <c r="AF387" s="358"/>
      <c r="AG387" s="358"/>
      <c r="AH387" s="358"/>
      <c r="AI387" s="358"/>
      <c r="AJ387" s="358"/>
      <c r="AK387" s="358"/>
      <c r="AL387" s="358"/>
      <c r="AM387" s="358"/>
      <c r="AN387" s="358"/>
      <c r="AO387" s="358"/>
      <c r="AP387" s="358"/>
      <c r="AQ387" s="358"/>
      <c r="AR387" s="358"/>
      <c r="AS387" s="358"/>
      <c r="AT387" s="358"/>
      <c r="AU387" s="358"/>
      <c r="AV387" s="358"/>
      <c r="AW387" s="358"/>
      <c r="AX387" s="358"/>
      <c r="AY387" s="358"/>
      <c r="AZ387" s="358"/>
      <c r="BA387" s="358"/>
      <c r="BB387" s="358"/>
      <c r="BC387" s="358"/>
      <c r="BD387" s="358"/>
      <c r="BE387" s="358"/>
      <c r="BF387" s="358"/>
      <c r="BG387" s="358"/>
      <c r="BH387" s="358"/>
      <c r="BI387" s="358"/>
      <c r="BJ387" s="358"/>
      <c r="BK387" s="358"/>
      <c r="BL387" s="358"/>
      <c r="BM387" s="358"/>
      <c r="BN387" s="358"/>
      <c r="BO387" s="358"/>
      <c r="BP387" s="358"/>
      <c r="BQ387" s="358"/>
      <c r="BR387" s="358"/>
      <c r="BS387" s="358"/>
      <c r="BT387" s="358"/>
      <c r="BU387" s="358"/>
      <c r="BV387" s="358"/>
    </row>
    <row r="388" spans="2:74" x14ac:dyDescent="0.2">
      <c r="B388" s="358"/>
      <c r="D388" s="358"/>
      <c r="E388" s="358"/>
      <c r="F388" s="358"/>
      <c r="G388" s="358"/>
      <c r="H388" s="358"/>
      <c r="I388" s="358"/>
      <c r="J388" s="358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  <c r="AI388" s="358"/>
      <c r="AJ388" s="358"/>
      <c r="AK388" s="358"/>
      <c r="AL388" s="358"/>
      <c r="AM388" s="358"/>
      <c r="AN388" s="358"/>
      <c r="AO388" s="358"/>
      <c r="AP388" s="358"/>
      <c r="AQ388" s="358"/>
      <c r="AR388" s="358"/>
      <c r="AS388" s="358"/>
      <c r="AT388" s="358"/>
      <c r="AU388" s="358"/>
      <c r="AV388" s="358"/>
      <c r="AW388" s="358"/>
      <c r="AX388" s="358"/>
      <c r="AY388" s="358"/>
      <c r="AZ388" s="358"/>
      <c r="BA388" s="358"/>
      <c r="BB388" s="358"/>
      <c r="BC388" s="358"/>
      <c r="BD388" s="358"/>
      <c r="BE388" s="358"/>
      <c r="BF388" s="358"/>
      <c r="BG388" s="358"/>
      <c r="BH388" s="358"/>
      <c r="BI388" s="358"/>
      <c r="BJ388" s="358"/>
      <c r="BK388" s="358"/>
      <c r="BL388" s="358"/>
      <c r="BM388" s="358"/>
      <c r="BN388" s="358"/>
      <c r="BO388" s="358"/>
      <c r="BP388" s="358"/>
      <c r="BQ388" s="358"/>
      <c r="BR388" s="358"/>
      <c r="BS388" s="358"/>
      <c r="BT388" s="358"/>
      <c r="BU388" s="358"/>
      <c r="BV388" s="358"/>
    </row>
    <row r="389" spans="2:74" x14ac:dyDescent="0.2">
      <c r="B389" s="358"/>
      <c r="D389" s="358"/>
      <c r="E389" s="358"/>
      <c r="F389" s="358"/>
      <c r="G389" s="358"/>
      <c r="H389" s="358"/>
      <c r="I389" s="358"/>
      <c r="J389" s="358"/>
      <c r="K389" s="358"/>
      <c r="L389" s="358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  <c r="Y389" s="358"/>
      <c r="Z389" s="358"/>
      <c r="AA389" s="358"/>
      <c r="AB389" s="358"/>
      <c r="AC389" s="358"/>
      <c r="AD389" s="358"/>
      <c r="AE389" s="358"/>
      <c r="AF389" s="358"/>
      <c r="AG389" s="358"/>
      <c r="AH389" s="358"/>
      <c r="AI389" s="358"/>
      <c r="AJ389" s="358"/>
      <c r="AK389" s="358"/>
      <c r="AL389" s="358"/>
      <c r="AM389" s="358"/>
      <c r="AN389" s="358"/>
      <c r="AO389" s="358"/>
      <c r="AP389" s="358"/>
      <c r="AQ389" s="358"/>
      <c r="AR389" s="358"/>
      <c r="AS389" s="358"/>
      <c r="AT389" s="358"/>
      <c r="AU389" s="358"/>
      <c r="AV389" s="358"/>
      <c r="AW389" s="358"/>
      <c r="AX389" s="358"/>
      <c r="AY389" s="358"/>
      <c r="AZ389" s="358"/>
      <c r="BA389" s="358"/>
      <c r="BB389" s="358"/>
      <c r="BC389" s="358"/>
      <c r="BD389" s="358"/>
      <c r="BE389" s="358"/>
      <c r="BF389" s="358"/>
      <c r="BG389" s="358"/>
      <c r="BH389" s="358"/>
      <c r="BI389" s="358"/>
      <c r="BJ389" s="358"/>
      <c r="BK389" s="358"/>
      <c r="BL389" s="358"/>
      <c r="BM389" s="358"/>
      <c r="BN389" s="358"/>
      <c r="BO389" s="358"/>
      <c r="BP389" s="358"/>
      <c r="BQ389" s="358"/>
      <c r="BR389" s="358"/>
      <c r="BS389" s="358"/>
      <c r="BT389" s="358"/>
      <c r="BU389" s="358"/>
      <c r="BV389" s="358"/>
    </row>
    <row r="390" spans="2:74" x14ac:dyDescent="0.2">
      <c r="B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  <c r="AK390" s="358"/>
      <c r="AL390" s="358"/>
      <c r="AM390" s="358"/>
      <c r="AN390" s="358"/>
      <c r="AO390" s="358"/>
      <c r="AP390" s="358"/>
      <c r="AQ390" s="358"/>
      <c r="AR390" s="358"/>
      <c r="AS390" s="358"/>
      <c r="AT390" s="358"/>
      <c r="AU390" s="358"/>
      <c r="AV390" s="358"/>
      <c r="AW390" s="358"/>
      <c r="AX390" s="358"/>
      <c r="AY390" s="358"/>
      <c r="AZ390" s="358"/>
      <c r="BA390" s="358"/>
      <c r="BB390" s="358"/>
      <c r="BC390" s="358"/>
      <c r="BD390" s="358"/>
      <c r="BE390" s="358"/>
      <c r="BF390" s="358"/>
      <c r="BG390" s="358"/>
      <c r="BH390" s="358"/>
      <c r="BI390" s="358"/>
      <c r="BJ390" s="358"/>
      <c r="BK390" s="358"/>
      <c r="BL390" s="358"/>
      <c r="BM390" s="358"/>
      <c r="BN390" s="358"/>
      <c r="BO390" s="358"/>
      <c r="BP390" s="358"/>
      <c r="BQ390" s="358"/>
      <c r="BR390" s="358"/>
      <c r="BS390" s="358"/>
      <c r="BT390" s="358"/>
      <c r="BU390" s="358"/>
      <c r="BV390" s="358"/>
    </row>
    <row r="391" spans="2:74" x14ac:dyDescent="0.2">
      <c r="B391" s="358"/>
      <c r="D391" s="358"/>
      <c r="E391" s="358"/>
      <c r="F391" s="358"/>
      <c r="G391" s="358"/>
      <c r="H391" s="358"/>
      <c r="I391" s="358"/>
      <c r="J391" s="358"/>
      <c r="K391" s="358"/>
      <c r="L391" s="358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  <c r="Y391" s="358"/>
      <c r="Z391" s="358"/>
      <c r="AA391" s="358"/>
      <c r="AB391" s="358"/>
      <c r="AC391" s="358"/>
      <c r="AD391" s="358"/>
      <c r="AE391" s="358"/>
      <c r="AF391" s="358"/>
      <c r="AG391" s="358"/>
      <c r="AH391" s="358"/>
      <c r="AI391" s="358"/>
      <c r="AJ391" s="358"/>
      <c r="AK391" s="358"/>
      <c r="AL391" s="358"/>
      <c r="AM391" s="358"/>
      <c r="AN391" s="358"/>
      <c r="AO391" s="358"/>
      <c r="AP391" s="358"/>
      <c r="AQ391" s="358"/>
      <c r="AR391" s="358"/>
      <c r="AS391" s="358"/>
      <c r="AT391" s="358"/>
      <c r="AU391" s="358"/>
      <c r="AV391" s="358"/>
      <c r="AW391" s="358"/>
      <c r="AX391" s="358"/>
      <c r="AY391" s="358"/>
      <c r="AZ391" s="358"/>
      <c r="BA391" s="358"/>
      <c r="BB391" s="358"/>
      <c r="BC391" s="358"/>
      <c r="BD391" s="358"/>
      <c r="BE391" s="358"/>
      <c r="BF391" s="358"/>
      <c r="BG391" s="358"/>
      <c r="BH391" s="358"/>
      <c r="BI391" s="358"/>
      <c r="BJ391" s="358"/>
      <c r="BK391" s="358"/>
      <c r="BL391" s="358"/>
      <c r="BM391" s="358"/>
      <c r="BN391" s="358"/>
      <c r="BO391" s="358"/>
      <c r="BP391" s="358"/>
      <c r="BQ391" s="358"/>
      <c r="BR391" s="358"/>
      <c r="BS391" s="358"/>
      <c r="BT391" s="358"/>
      <c r="BU391" s="358"/>
      <c r="BV391" s="358"/>
    </row>
    <row r="392" spans="2:74" x14ac:dyDescent="0.2">
      <c r="B392" s="358"/>
      <c r="D392" s="358"/>
      <c r="E392" s="35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  <c r="AI392" s="358"/>
      <c r="AJ392" s="358"/>
      <c r="AK392" s="358"/>
      <c r="AL392" s="358"/>
      <c r="AM392" s="358"/>
      <c r="AN392" s="358"/>
      <c r="AO392" s="358"/>
      <c r="AP392" s="358"/>
      <c r="AQ392" s="358"/>
      <c r="AR392" s="358"/>
      <c r="AS392" s="358"/>
      <c r="AT392" s="358"/>
      <c r="AU392" s="358"/>
      <c r="AV392" s="358"/>
      <c r="AW392" s="358"/>
      <c r="AX392" s="358"/>
      <c r="AY392" s="358"/>
      <c r="AZ392" s="358"/>
      <c r="BA392" s="358"/>
      <c r="BB392" s="358"/>
      <c r="BC392" s="358"/>
      <c r="BD392" s="358"/>
      <c r="BE392" s="358"/>
      <c r="BF392" s="358"/>
      <c r="BG392" s="358"/>
      <c r="BH392" s="358"/>
      <c r="BI392" s="358"/>
      <c r="BJ392" s="358"/>
      <c r="BK392" s="358"/>
      <c r="BL392" s="358"/>
      <c r="BM392" s="358"/>
      <c r="BN392" s="358"/>
      <c r="BO392" s="358"/>
      <c r="BP392" s="358"/>
      <c r="BQ392" s="358"/>
      <c r="BR392" s="358"/>
      <c r="BS392" s="358"/>
      <c r="BT392" s="358"/>
      <c r="BU392" s="358"/>
      <c r="BV392" s="358"/>
    </row>
    <row r="393" spans="2:74" x14ac:dyDescent="0.2">
      <c r="B393" s="358"/>
      <c r="D393" s="358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58"/>
      <c r="AX393" s="358"/>
      <c r="AY393" s="358"/>
      <c r="AZ393" s="358"/>
      <c r="BA393" s="358"/>
      <c r="BB393" s="358"/>
      <c r="BC393" s="358"/>
      <c r="BD393" s="358"/>
      <c r="BE393" s="358"/>
      <c r="BF393" s="358"/>
      <c r="BG393" s="358"/>
      <c r="BH393" s="358"/>
      <c r="BI393" s="358"/>
      <c r="BJ393" s="358"/>
      <c r="BK393" s="358"/>
      <c r="BL393" s="358"/>
      <c r="BM393" s="358"/>
      <c r="BN393" s="358"/>
      <c r="BO393" s="358"/>
      <c r="BP393" s="358"/>
      <c r="BQ393" s="358"/>
      <c r="BR393" s="358"/>
      <c r="BS393" s="358"/>
      <c r="BT393" s="358"/>
      <c r="BU393" s="358"/>
      <c r="BV393" s="358"/>
    </row>
    <row r="394" spans="2:74" x14ac:dyDescent="0.2">
      <c r="B394" s="358"/>
      <c r="D394" s="358"/>
      <c r="E394" s="35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  <c r="AI394" s="358"/>
      <c r="AJ394" s="358"/>
      <c r="AK394" s="358"/>
      <c r="AL394" s="358"/>
      <c r="AM394" s="358"/>
      <c r="AN394" s="358"/>
      <c r="AO394" s="358"/>
      <c r="AP394" s="358"/>
      <c r="AQ394" s="358"/>
      <c r="AR394" s="358"/>
      <c r="AS394" s="358"/>
      <c r="AT394" s="358"/>
      <c r="AU394" s="358"/>
      <c r="AV394" s="358"/>
      <c r="AW394" s="358"/>
      <c r="AX394" s="358"/>
      <c r="AY394" s="358"/>
      <c r="AZ394" s="358"/>
      <c r="BA394" s="358"/>
      <c r="BB394" s="358"/>
      <c r="BC394" s="358"/>
      <c r="BD394" s="358"/>
      <c r="BE394" s="358"/>
      <c r="BF394" s="358"/>
      <c r="BG394" s="358"/>
      <c r="BH394" s="358"/>
      <c r="BI394" s="358"/>
      <c r="BJ394" s="358"/>
      <c r="BK394" s="358"/>
      <c r="BL394" s="358"/>
      <c r="BM394" s="358"/>
      <c r="BN394" s="358"/>
      <c r="BO394" s="358"/>
      <c r="BP394" s="358"/>
      <c r="BQ394" s="358"/>
      <c r="BR394" s="358"/>
      <c r="BS394" s="358"/>
      <c r="BT394" s="358"/>
      <c r="BU394" s="358"/>
      <c r="BV394" s="358"/>
    </row>
    <row r="395" spans="2:74" x14ac:dyDescent="0.2">
      <c r="B395" s="358"/>
      <c r="D395" s="358"/>
      <c r="E395" s="358"/>
      <c r="F395" s="358"/>
      <c r="G395" s="358"/>
      <c r="H395" s="358"/>
      <c r="I395" s="358"/>
      <c r="J395" s="358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  <c r="AK395" s="358"/>
      <c r="AL395" s="358"/>
      <c r="AM395" s="358"/>
      <c r="AN395" s="358"/>
      <c r="AO395" s="358"/>
      <c r="AP395" s="358"/>
      <c r="AQ395" s="358"/>
      <c r="AR395" s="358"/>
      <c r="AS395" s="358"/>
      <c r="AT395" s="358"/>
      <c r="AU395" s="358"/>
      <c r="AV395" s="358"/>
      <c r="AW395" s="358"/>
      <c r="AX395" s="358"/>
      <c r="AY395" s="358"/>
      <c r="AZ395" s="358"/>
      <c r="BA395" s="358"/>
      <c r="BB395" s="358"/>
      <c r="BC395" s="358"/>
      <c r="BD395" s="358"/>
      <c r="BE395" s="358"/>
      <c r="BF395" s="358"/>
      <c r="BG395" s="358"/>
      <c r="BH395" s="358"/>
      <c r="BI395" s="358"/>
      <c r="BJ395" s="358"/>
      <c r="BK395" s="358"/>
      <c r="BL395" s="358"/>
      <c r="BM395" s="358"/>
      <c r="BN395" s="358"/>
      <c r="BO395" s="358"/>
      <c r="BP395" s="358"/>
      <c r="BQ395" s="358"/>
      <c r="BR395" s="358"/>
      <c r="BS395" s="358"/>
      <c r="BT395" s="358"/>
      <c r="BU395" s="358"/>
      <c r="BV395" s="358"/>
    </row>
    <row r="396" spans="2:74" x14ac:dyDescent="0.2">
      <c r="B396" s="358"/>
      <c r="D396" s="358"/>
      <c r="E396" s="358"/>
      <c r="F396" s="358"/>
      <c r="G396" s="358"/>
      <c r="H396" s="358"/>
      <c r="I396" s="358"/>
      <c r="J396" s="358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  <c r="AI396" s="358"/>
      <c r="AJ396" s="358"/>
      <c r="AK396" s="358"/>
      <c r="AL396" s="358"/>
      <c r="AM396" s="358"/>
      <c r="AN396" s="358"/>
      <c r="AO396" s="358"/>
      <c r="AP396" s="358"/>
      <c r="AQ396" s="358"/>
      <c r="AR396" s="358"/>
      <c r="AS396" s="358"/>
      <c r="AT396" s="358"/>
      <c r="AU396" s="358"/>
      <c r="AV396" s="358"/>
      <c r="AW396" s="358"/>
      <c r="AX396" s="358"/>
      <c r="AY396" s="358"/>
      <c r="AZ396" s="358"/>
      <c r="BA396" s="358"/>
      <c r="BB396" s="358"/>
      <c r="BC396" s="358"/>
      <c r="BD396" s="358"/>
      <c r="BE396" s="358"/>
      <c r="BF396" s="358"/>
      <c r="BG396" s="358"/>
      <c r="BH396" s="358"/>
      <c r="BI396" s="358"/>
      <c r="BJ396" s="358"/>
      <c r="BK396" s="358"/>
      <c r="BL396" s="358"/>
      <c r="BM396" s="358"/>
      <c r="BN396" s="358"/>
      <c r="BO396" s="358"/>
      <c r="BP396" s="358"/>
      <c r="BQ396" s="358"/>
      <c r="BR396" s="358"/>
      <c r="BS396" s="358"/>
      <c r="BT396" s="358"/>
      <c r="BU396" s="358"/>
      <c r="BV396" s="358"/>
    </row>
    <row r="397" spans="2:74" x14ac:dyDescent="0.2">
      <c r="B397" s="358"/>
      <c r="D397" s="358"/>
      <c r="E397" s="358"/>
      <c r="F397" s="358"/>
      <c r="G397" s="358"/>
      <c r="H397" s="358"/>
      <c r="I397" s="358"/>
      <c r="J397" s="358"/>
      <c r="K397" s="358"/>
      <c r="L397" s="358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  <c r="Y397" s="358"/>
      <c r="Z397" s="358"/>
      <c r="AA397" s="358"/>
      <c r="AB397" s="358"/>
      <c r="AC397" s="358"/>
      <c r="AD397" s="358"/>
      <c r="AE397" s="358"/>
      <c r="AF397" s="358"/>
      <c r="AG397" s="358"/>
      <c r="AH397" s="358"/>
      <c r="AI397" s="358"/>
      <c r="AJ397" s="358"/>
      <c r="AK397" s="358"/>
      <c r="AL397" s="358"/>
      <c r="AM397" s="358"/>
      <c r="AN397" s="358"/>
      <c r="AO397" s="358"/>
      <c r="AP397" s="358"/>
      <c r="AQ397" s="358"/>
      <c r="AR397" s="358"/>
      <c r="AS397" s="358"/>
      <c r="AT397" s="358"/>
      <c r="AU397" s="358"/>
      <c r="AV397" s="358"/>
      <c r="AW397" s="358"/>
      <c r="AX397" s="358"/>
      <c r="AY397" s="358"/>
      <c r="AZ397" s="358"/>
      <c r="BA397" s="358"/>
      <c r="BB397" s="358"/>
      <c r="BC397" s="358"/>
      <c r="BD397" s="358"/>
      <c r="BE397" s="358"/>
      <c r="BF397" s="358"/>
      <c r="BG397" s="358"/>
      <c r="BH397" s="358"/>
      <c r="BI397" s="358"/>
      <c r="BJ397" s="358"/>
      <c r="BK397" s="358"/>
      <c r="BL397" s="358"/>
      <c r="BM397" s="358"/>
      <c r="BN397" s="358"/>
      <c r="BO397" s="358"/>
      <c r="BP397" s="358"/>
      <c r="BQ397" s="358"/>
      <c r="BR397" s="358"/>
      <c r="BS397" s="358"/>
      <c r="BT397" s="358"/>
      <c r="BU397" s="358"/>
      <c r="BV397" s="358"/>
    </row>
    <row r="398" spans="2:74" x14ac:dyDescent="0.2">
      <c r="B398" s="358"/>
      <c r="D398" s="358"/>
      <c r="E398" s="35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  <c r="AI398" s="358"/>
      <c r="AJ398" s="358"/>
      <c r="AK398" s="358"/>
      <c r="AL398" s="358"/>
      <c r="AM398" s="358"/>
      <c r="AN398" s="358"/>
      <c r="AO398" s="358"/>
      <c r="AP398" s="358"/>
      <c r="AQ398" s="358"/>
      <c r="AR398" s="358"/>
      <c r="AS398" s="358"/>
      <c r="AT398" s="358"/>
      <c r="AU398" s="358"/>
      <c r="AV398" s="358"/>
      <c r="AW398" s="358"/>
      <c r="AX398" s="358"/>
      <c r="AY398" s="358"/>
      <c r="AZ398" s="358"/>
      <c r="BA398" s="358"/>
      <c r="BB398" s="358"/>
      <c r="BC398" s="358"/>
      <c r="BD398" s="358"/>
      <c r="BE398" s="358"/>
      <c r="BF398" s="358"/>
      <c r="BG398" s="358"/>
      <c r="BH398" s="358"/>
      <c r="BI398" s="358"/>
      <c r="BJ398" s="358"/>
      <c r="BK398" s="358"/>
      <c r="BL398" s="358"/>
      <c r="BM398" s="358"/>
      <c r="BN398" s="358"/>
      <c r="BO398" s="358"/>
      <c r="BP398" s="358"/>
      <c r="BQ398" s="358"/>
      <c r="BR398" s="358"/>
      <c r="BS398" s="358"/>
      <c r="BT398" s="358"/>
      <c r="BU398" s="358"/>
      <c r="BV398" s="358"/>
    </row>
    <row r="399" spans="2:74" x14ac:dyDescent="0.2">
      <c r="B399" s="358"/>
      <c r="D399" s="358"/>
      <c r="E399" s="35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358"/>
      <c r="AA399" s="358"/>
      <c r="AB399" s="358"/>
      <c r="AC399" s="358"/>
      <c r="AD399" s="358"/>
      <c r="AE399" s="358"/>
      <c r="AF399" s="358"/>
      <c r="AG399" s="358"/>
      <c r="AH399" s="358"/>
      <c r="AI399" s="358"/>
      <c r="AJ399" s="358"/>
      <c r="AK399" s="358"/>
      <c r="AL399" s="358"/>
      <c r="AM399" s="358"/>
      <c r="AN399" s="358"/>
      <c r="AO399" s="358"/>
      <c r="AP399" s="358"/>
      <c r="AQ399" s="358"/>
      <c r="AR399" s="358"/>
      <c r="AS399" s="358"/>
      <c r="AT399" s="358"/>
      <c r="AU399" s="358"/>
      <c r="AV399" s="358"/>
      <c r="AW399" s="358"/>
      <c r="AX399" s="358"/>
      <c r="AY399" s="358"/>
      <c r="AZ399" s="358"/>
      <c r="BA399" s="358"/>
      <c r="BB399" s="358"/>
      <c r="BC399" s="358"/>
      <c r="BD399" s="358"/>
      <c r="BE399" s="358"/>
      <c r="BF399" s="358"/>
      <c r="BG399" s="358"/>
      <c r="BH399" s="358"/>
      <c r="BI399" s="358"/>
      <c r="BJ399" s="358"/>
      <c r="BK399" s="358"/>
      <c r="BL399" s="358"/>
      <c r="BM399" s="358"/>
      <c r="BN399" s="358"/>
      <c r="BO399" s="358"/>
      <c r="BP399" s="358"/>
      <c r="BQ399" s="358"/>
      <c r="BR399" s="358"/>
      <c r="BS399" s="358"/>
      <c r="BT399" s="358"/>
      <c r="BU399" s="358"/>
      <c r="BV399" s="358"/>
    </row>
    <row r="400" spans="2:74" x14ac:dyDescent="0.2">
      <c r="B400" s="358"/>
      <c r="D400" s="358"/>
      <c r="E400" s="358"/>
      <c r="F400" s="358"/>
      <c r="G400" s="358"/>
      <c r="H400" s="358"/>
      <c r="I400" s="35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  <c r="AI400" s="358"/>
      <c r="AJ400" s="358"/>
      <c r="AK400" s="358"/>
      <c r="AL400" s="358"/>
      <c r="AM400" s="358"/>
      <c r="AN400" s="358"/>
      <c r="AO400" s="358"/>
      <c r="AP400" s="358"/>
      <c r="AQ400" s="358"/>
      <c r="AR400" s="358"/>
      <c r="AS400" s="358"/>
      <c r="AT400" s="358"/>
      <c r="AU400" s="358"/>
      <c r="AV400" s="358"/>
      <c r="AW400" s="358"/>
      <c r="AX400" s="358"/>
      <c r="AY400" s="358"/>
      <c r="AZ400" s="358"/>
      <c r="BA400" s="358"/>
      <c r="BB400" s="358"/>
      <c r="BC400" s="358"/>
      <c r="BD400" s="358"/>
      <c r="BE400" s="358"/>
      <c r="BF400" s="358"/>
      <c r="BG400" s="358"/>
      <c r="BH400" s="358"/>
      <c r="BI400" s="358"/>
      <c r="BJ400" s="358"/>
      <c r="BK400" s="358"/>
      <c r="BL400" s="358"/>
      <c r="BM400" s="358"/>
      <c r="BN400" s="358"/>
      <c r="BO400" s="358"/>
      <c r="BP400" s="358"/>
      <c r="BQ400" s="358"/>
      <c r="BR400" s="358"/>
      <c r="BS400" s="358"/>
      <c r="BT400" s="358"/>
      <c r="BU400" s="358"/>
      <c r="BV400" s="358"/>
    </row>
    <row r="401" spans="2:74" x14ac:dyDescent="0.2">
      <c r="B401" s="358"/>
      <c r="D401" s="358"/>
      <c r="E401" s="358"/>
      <c r="F401" s="358"/>
      <c r="G401" s="358"/>
      <c r="H401" s="358"/>
      <c r="I401" s="35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358"/>
      <c r="AA401" s="358"/>
      <c r="AB401" s="358"/>
      <c r="AC401" s="358"/>
      <c r="AD401" s="358"/>
      <c r="AE401" s="358"/>
      <c r="AF401" s="358"/>
      <c r="AG401" s="358"/>
      <c r="AH401" s="358"/>
      <c r="AI401" s="358"/>
      <c r="AJ401" s="358"/>
      <c r="AK401" s="358"/>
      <c r="AL401" s="358"/>
      <c r="AM401" s="358"/>
      <c r="AN401" s="358"/>
      <c r="AO401" s="358"/>
      <c r="AP401" s="358"/>
      <c r="AQ401" s="358"/>
      <c r="AR401" s="358"/>
      <c r="AS401" s="358"/>
      <c r="AT401" s="358"/>
      <c r="AU401" s="358"/>
      <c r="AV401" s="358"/>
      <c r="AW401" s="358"/>
      <c r="AX401" s="358"/>
      <c r="AY401" s="358"/>
      <c r="AZ401" s="358"/>
      <c r="BA401" s="358"/>
      <c r="BB401" s="358"/>
      <c r="BC401" s="358"/>
      <c r="BD401" s="358"/>
      <c r="BE401" s="358"/>
      <c r="BF401" s="358"/>
      <c r="BG401" s="358"/>
      <c r="BH401" s="358"/>
      <c r="BI401" s="358"/>
      <c r="BJ401" s="358"/>
      <c r="BK401" s="358"/>
      <c r="BL401" s="358"/>
      <c r="BM401" s="358"/>
      <c r="BN401" s="358"/>
      <c r="BO401" s="358"/>
      <c r="BP401" s="358"/>
      <c r="BQ401" s="358"/>
      <c r="BR401" s="358"/>
      <c r="BS401" s="358"/>
      <c r="BT401" s="358"/>
      <c r="BU401" s="358"/>
      <c r="BV401" s="358"/>
    </row>
    <row r="402" spans="2:74" x14ac:dyDescent="0.2">
      <c r="B402" s="358"/>
      <c r="D402" s="358"/>
      <c r="E402" s="358"/>
      <c r="F402" s="358"/>
      <c r="G402" s="358"/>
      <c r="H402" s="358"/>
      <c r="I402" s="35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  <c r="AI402" s="358"/>
      <c r="AJ402" s="358"/>
      <c r="AK402" s="358"/>
      <c r="AL402" s="358"/>
      <c r="AM402" s="358"/>
      <c r="AN402" s="358"/>
      <c r="AO402" s="358"/>
      <c r="AP402" s="358"/>
      <c r="AQ402" s="358"/>
      <c r="AR402" s="358"/>
      <c r="AS402" s="358"/>
      <c r="AT402" s="358"/>
      <c r="AU402" s="358"/>
      <c r="AV402" s="358"/>
      <c r="AW402" s="358"/>
      <c r="AX402" s="358"/>
      <c r="AY402" s="358"/>
      <c r="AZ402" s="358"/>
      <c r="BA402" s="358"/>
      <c r="BB402" s="358"/>
      <c r="BC402" s="358"/>
      <c r="BD402" s="358"/>
      <c r="BE402" s="358"/>
      <c r="BF402" s="358"/>
      <c r="BG402" s="358"/>
      <c r="BH402" s="358"/>
      <c r="BI402" s="358"/>
      <c r="BJ402" s="358"/>
      <c r="BK402" s="358"/>
      <c r="BL402" s="358"/>
      <c r="BM402" s="358"/>
      <c r="BN402" s="358"/>
      <c r="BO402" s="358"/>
      <c r="BP402" s="358"/>
      <c r="BQ402" s="358"/>
      <c r="BR402" s="358"/>
      <c r="BS402" s="358"/>
      <c r="BT402" s="358"/>
      <c r="BU402" s="358"/>
      <c r="BV402" s="358"/>
    </row>
    <row r="403" spans="2:74" x14ac:dyDescent="0.2">
      <c r="B403" s="358"/>
      <c r="D403" s="358"/>
      <c r="E403" s="358"/>
      <c r="F403" s="358"/>
      <c r="G403" s="358"/>
      <c r="H403" s="358"/>
      <c r="I403" s="35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358"/>
      <c r="AA403" s="358"/>
      <c r="AB403" s="358"/>
      <c r="AC403" s="358"/>
      <c r="AD403" s="358"/>
      <c r="AE403" s="358"/>
      <c r="AF403" s="358"/>
      <c r="AG403" s="358"/>
      <c r="AH403" s="358"/>
      <c r="AI403" s="358"/>
      <c r="AJ403" s="358"/>
      <c r="AK403" s="358"/>
      <c r="AL403" s="358"/>
      <c r="AM403" s="358"/>
      <c r="AN403" s="358"/>
      <c r="AO403" s="358"/>
      <c r="AP403" s="358"/>
      <c r="AQ403" s="358"/>
      <c r="AR403" s="358"/>
      <c r="AS403" s="358"/>
      <c r="AT403" s="358"/>
      <c r="AU403" s="358"/>
      <c r="AV403" s="358"/>
      <c r="AW403" s="358"/>
      <c r="AX403" s="358"/>
      <c r="AY403" s="358"/>
      <c r="AZ403" s="358"/>
      <c r="BA403" s="358"/>
      <c r="BB403" s="358"/>
      <c r="BC403" s="358"/>
      <c r="BD403" s="358"/>
      <c r="BE403" s="358"/>
      <c r="BF403" s="358"/>
      <c r="BG403" s="358"/>
      <c r="BH403" s="358"/>
      <c r="BI403" s="358"/>
      <c r="BJ403" s="358"/>
      <c r="BK403" s="358"/>
      <c r="BL403" s="358"/>
      <c r="BM403" s="358"/>
      <c r="BN403" s="358"/>
      <c r="BO403" s="358"/>
      <c r="BP403" s="358"/>
      <c r="BQ403" s="358"/>
      <c r="BR403" s="358"/>
      <c r="BS403" s="358"/>
      <c r="BT403" s="358"/>
      <c r="BU403" s="358"/>
      <c r="BV403" s="358"/>
    </row>
    <row r="404" spans="2:74" x14ac:dyDescent="0.2">
      <c r="B404" s="358"/>
      <c r="D404" s="358"/>
      <c r="E404" s="358"/>
      <c r="F404" s="358"/>
      <c r="G404" s="358"/>
      <c r="H404" s="358"/>
      <c r="I404" s="358"/>
      <c r="J404" s="358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  <c r="AI404" s="358"/>
      <c r="AJ404" s="358"/>
      <c r="AK404" s="358"/>
      <c r="AL404" s="358"/>
      <c r="AM404" s="358"/>
      <c r="AN404" s="358"/>
      <c r="AO404" s="358"/>
      <c r="AP404" s="358"/>
      <c r="AQ404" s="358"/>
      <c r="AR404" s="358"/>
      <c r="AS404" s="358"/>
      <c r="AT404" s="358"/>
      <c r="AU404" s="358"/>
      <c r="AV404" s="358"/>
      <c r="AW404" s="358"/>
      <c r="AX404" s="358"/>
      <c r="AY404" s="358"/>
      <c r="AZ404" s="358"/>
      <c r="BA404" s="358"/>
      <c r="BB404" s="358"/>
      <c r="BC404" s="358"/>
      <c r="BD404" s="358"/>
      <c r="BE404" s="358"/>
      <c r="BF404" s="358"/>
      <c r="BG404" s="358"/>
      <c r="BH404" s="358"/>
      <c r="BI404" s="358"/>
      <c r="BJ404" s="358"/>
      <c r="BK404" s="358"/>
      <c r="BL404" s="358"/>
      <c r="BM404" s="358"/>
      <c r="BN404" s="358"/>
      <c r="BO404" s="358"/>
      <c r="BP404" s="358"/>
      <c r="BQ404" s="358"/>
      <c r="BR404" s="358"/>
      <c r="BS404" s="358"/>
      <c r="BT404" s="358"/>
      <c r="BU404" s="358"/>
      <c r="BV404" s="358"/>
    </row>
    <row r="405" spans="2:74" x14ac:dyDescent="0.2">
      <c r="B405" s="358"/>
      <c r="D405" s="358"/>
      <c r="E405" s="358"/>
      <c r="F405" s="358"/>
      <c r="G405" s="358"/>
      <c r="H405" s="358"/>
      <c r="I405" s="35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358"/>
      <c r="AA405" s="358"/>
      <c r="AB405" s="358"/>
      <c r="AC405" s="358"/>
      <c r="AD405" s="358"/>
      <c r="AE405" s="358"/>
      <c r="AF405" s="358"/>
      <c r="AG405" s="358"/>
      <c r="AH405" s="358"/>
      <c r="AI405" s="358"/>
      <c r="AJ405" s="358"/>
      <c r="AK405" s="358"/>
      <c r="AL405" s="358"/>
      <c r="AM405" s="358"/>
      <c r="AN405" s="358"/>
      <c r="AO405" s="358"/>
      <c r="AP405" s="358"/>
      <c r="AQ405" s="358"/>
      <c r="AR405" s="358"/>
      <c r="AS405" s="358"/>
      <c r="AT405" s="358"/>
      <c r="AU405" s="358"/>
      <c r="AV405" s="358"/>
      <c r="AW405" s="358"/>
      <c r="AX405" s="358"/>
      <c r="AY405" s="358"/>
      <c r="AZ405" s="358"/>
      <c r="BA405" s="358"/>
      <c r="BB405" s="358"/>
      <c r="BC405" s="358"/>
      <c r="BD405" s="358"/>
      <c r="BE405" s="358"/>
      <c r="BF405" s="358"/>
      <c r="BG405" s="358"/>
      <c r="BH405" s="358"/>
      <c r="BI405" s="358"/>
      <c r="BJ405" s="358"/>
      <c r="BK405" s="358"/>
      <c r="BL405" s="358"/>
      <c r="BM405" s="358"/>
      <c r="BN405" s="358"/>
      <c r="BO405" s="358"/>
      <c r="BP405" s="358"/>
      <c r="BQ405" s="358"/>
      <c r="BR405" s="358"/>
      <c r="BS405" s="358"/>
      <c r="BT405" s="358"/>
      <c r="BU405" s="358"/>
      <c r="BV405" s="358"/>
    </row>
    <row r="406" spans="2:74" x14ac:dyDescent="0.2">
      <c r="B406" s="358"/>
      <c r="D406" s="358"/>
      <c r="E406" s="358"/>
      <c r="F406" s="358"/>
      <c r="G406" s="358"/>
      <c r="H406" s="358"/>
      <c r="I406" s="35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  <c r="AI406" s="358"/>
      <c r="AJ406" s="358"/>
      <c r="AK406" s="358"/>
      <c r="AL406" s="358"/>
      <c r="AM406" s="358"/>
      <c r="AN406" s="358"/>
      <c r="AO406" s="358"/>
      <c r="AP406" s="358"/>
      <c r="AQ406" s="358"/>
      <c r="AR406" s="358"/>
      <c r="AS406" s="358"/>
      <c r="AT406" s="358"/>
      <c r="AU406" s="358"/>
      <c r="AV406" s="358"/>
      <c r="AW406" s="358"/>
      <c r="AX406" s="358"/>
      <c r="AY406" s="358"/>
      <c r="AZ406" s="358"/>
      <c r="BA406" s="358"/>
      <c r="BB406" s="358"/>
      <c r="BC406" s="358"/>
      <c r="BD406" s="358"/>
      <c r="BE406" s="358"/>
      <c r="BF406" s="358"/>
      <c r="BG406" s="358"/>
      <c r="BH406" s="358"/>
      <c r="BI406" s="358"/>
      <c r="BJ406" s="358"/>
      <c r="BK406" s="358"/>
      <c r="BL406" s="358"/>
      <c r="BM406" s="358"/>
      <c r="BN406" s="358"/>
      <c r="BO406" s="358"/>
      <c r="BP406" s="358"/>
      <c r="BQ406" s="358"/>
      <c r="BR406" s="358"/>
      <c r="BS406" s="358"/>
      <c r="BT406" s="358"/>
      <c r="BU406" s="358"/>
      <c r="BV406" s="358"/>
    </row>
    <row r="407" spans="2:74" x14ac:dyDescent="0.2">
      <c r="B407" s="358"/>
      <c r="D407" s="358"/>
      <c r="E407" s="358"/>
      <c r="F407" s="358"/>
      <c r="G407" s="358"/>
      <c r="H407" s="358"/>
      <c r="I407" s="35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358"/>
      <c r="AA407" s="358"/>
      <c r="AB407" s="358"/>
      <c r="AC407" s="358"/>
      <c r="AD407" s="358"/>
      <c r="AE407" s="358"/>
      <c r="AF407" s="358"/>
      <c r="AG407" s="358"/>
      <c r="AH407" s="358"/>
      <c r="AI407" s="358"/>
      <c r="AJ407" s="358"/>
      <c r="AK407" s="358"/>
      <c r="AL407" s="358"/>
      <c r="AM407" s="358"/>
      <c r="AN407" s="358"/>
      <c r="AO407" s="358"/>
      <c r="AP407" s="358"/>
      <c r="AQ407" s="358"/>
      <c r="AR407" s="358"/>
      <c r="AS407" s="358"/>
      <c r="AT407" s="358"/>
      <c r="AU407" s="358"/>
      <c r="AV407" s="358"/>
      <c r="AW407" s="358"/>
      <c r="AX407" s="358"/>
      <c r="AY407" s="358"/>
      <c r="AZ407" s="358"/>
      <c r="BA407" s="358"/>
      <c r="BB407" s="358"/>
      <c r="BC407" s="358"/>
      <c r="BD407" s="358"/>
      <c r="BE407" s="358"/>
      <c r="BF407" s="358"/>
      <c r="BG407" s="358"/>
      <c r="BH407" s="358"/>
      <c r="BI407" s="358"/>
      <c r="BJ407" s="358"/>
      <c r="BK407" s="358"/>
      <c r="BL407" s="358"/>
      <c r="BM407" s="358"/>
      <c r="BN407" s="358"/>
      <c r="BO407" s="358"/>
      <c r="BP407" s="358"/>
      <c r="BQ407" s="358"/>
      <c r="BR407" s="358"/>
      <c r="BS407" s="358"/>
      <c r="BT407" s="358"/>
      <c r="BU407" s="358"/>
      <c r="BV407" s="358"/>
    </row>
    <row r="408" spans="2:74" x14ac:dyDescent="0.2">
      <c r="B408" s="358"/>
      <c r="D408" s="358"/>
      <c r="E408" s="358"/>
      <c r="F408" s="358"/>
      <c r="G408" s="358"/>
      <c r="H408" s="358"/>
      <c r="I408" s="35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  <c r="AI408" s="358"/>
      <c r="AJ408" s="358"/>
      <c r="AK408" s="358"/>
      <c r="AL408" s="358"/>
      <c r="AM408" s="358"/>
      <c r="AN408" s="358"/>
      <c r="AO408" s="358"/>
      <c r="AP408" s="358"/>
      <c r="AQ408" s="358"/>
      <c r="AR408" s="358"/>
      <c r="AS408" s="358"/>
      <c r="AT408" s="358"/>
      <c r="AU408" s="358"/>
      <c r="AV408" s="358"/>
      <c r="AW408" s="358"/>
      <c r="AX408" s="358"/>
      <c r="AY408" s="358"/>
      <c r="AZ408" s="358"/>
      <c r="BA408" s="358"/>
      <c r="BB408" s="358"/>
      <c r="BC408" s="358"/>
      <c r="BD408" s="358"/>
      <c r="BE408" s="358"/>
      <c r="BF408" s="358"/>
      <c r="BG408" s="358"/>
      <c r="BH408" s="358"/>
      <c r="BI408" s="358"/>
      <c r="BJ408" s="358"/>
      <c r="BK408" s="358"/>
      <c r="BL408" s="358"/>
      <c r="BM408" s="358"/>
      <c r="BN408" s="358"/>
      <c r="BO408" s="358"/>
      <c r="BP408" s="358"/>
      <c r="BQ408" s="358"/>
      <c r="BR408" s="358"/>
      <c r="BS408" s="358"/>
      <c r="BT408" s="358"/>
      <c r="BU408" s="358"/>
      <c r="BV408" s="358"/>
    </row>
    <row r="409" spans="2:74" x14ac:dyDescent="0.2">
      <c r="B409" s="358"/>
      <c r="D409" s="358"/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358"/>
      <c r="AW409" s="358"/>
      <c r="AX409" s="358"/>
      <c r="AY409" s="358"/>
      <c r="AZ409" s="358"/>
      <c r="BA409" s="358"/>
      <c r="BB409" s="358"/>
      <c r="BC409" s="358"/>
      <c r="BD409" s="358"/>
      <c r="BE409" s="358"/>
      <c r="BF409" s="358"/>
      <c r="BG409" s="358"/>
      <c r="BH409" s="358"/>
      <c r="BI409" s="358"/>
      <c r="BJ409" s="358"/>
      <c r="BK409" s="358"/>
      <c r="BL409" s="358"/>
      <c r="BM409" s="358"/>
      <c r="BN409" s="358"/>
      <c r="BO409" s="358"/>
      <c r="BP409" s="358"/>
      <c r="BQ409" s="358"/>
      <c r="BR409" s="358"/>
      <c r="BS409" s="358"/>
      <c r="BT409" s="358"/>
      <c r="BU409" s="358"/>
      <c r="BV409" s="358"/>
    </row>
    <row r="410" spans="2:74" x14ac:dyDescent="0.2">
      <c r="B410" s="358"/>
      <c r="D410" s="358"/>
      <c r="E410" s="358"/>
      <c r="F410" s="358"/>
      <c r="G410" s="358"/>
      <c r="H410" s="358"/>
      <c r="I410" s="35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  <c r="AI410" s="358"/>
      <c r="AJ410" s="358"/>
      <c r="AK410" s="358"/>
      <c r="AL410" s="358"/>
      <c r="AM410" s="358"/>
      <c r="AN410" s="358"/>
      <c r="AO410" s="358"/>
      <c r="AP410" s="358"/>
      <c r="AQ410" s="358"/>
      <c r="AR410" s="358"/>
      <c r="AS410" s="358"/>
      <c r="AT410" s="358"/>
      <c r="AU410" s="358"/>
      <c r="AV410" s="358"/>
      <c r="AW410" s="358"/>
      <c r="AX410" s="358"/>
      <c r="AY410" s="358"/>
      <c r="AZ410" s="358"/>
      <c r="BA410" s="358"/>
      <c r="BB410" s="358"/>
      <c r="BC410" s="358"/>
      <c r="BD410" s="358"/>
      <c r="BE410" s="358"/>
      <c r="BF410" s="358"/>
      <c r="BG410" s="358"/>
      <c r="BH410" s="358"/>
      <c r="BI410" s="358"/>
      <c r="BJ410" s="358"/>
      <c r="BK410" s="358"/>
      <c r="BL410" s="358"/>
      <c r="BM410" s="358"/>
      <c r="BN410" s="358"/>
      <c r="BO410" s="358"/>
      <c r="BP410" s="358"/>
      <c r="BQ410" s="358"/>
      <c r="BR410" s="358"/>
      <c r="BS410" s="358"/>
      <c r="BT410" s="358"/>
      <c r="BU410" s="358"/>
      <c r="BV410" s="358"/>
    </row>
    <row r="411" spans="2:74" x14ac:dyDescent="0.2">
      <c r="B411" s="358"/>
      <c r="D411" s="358"/>
      <c r="E411" s="358"/>
      <c r="F411" s="358"/>
      <c r="G411" s="358"/>
      <c r="H411" s="358"/>
      <c r="I411" s="358"/>
      <c r="J411" s="358"/>
      <c r="K411" s="358"/>
      <c r="L411" s="358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  <c r="Y411" s="358"/>
      <c r="Z411" s="358"/>
      <c r="AA411" s="358"/>
      <c r="AB411" s="358"/>
      <c r="AC411" s="358"/>
      <c r="AD411" s="358"/>
      <c r="AE411" s="358"/>
      <c r="AF411" s="358"/>
      <c r="AG411" s="358"/>
      <c r="AH411" s="358"/>
      <c r="AI411" s="358"/>
      <c r="AJ411" s="358"/>
      <c r="AK411" s="358"/>
      <c r="AL411" s="358"/>
      <c r="AM411" s="358"/>
      <c r="AN411" s="358"/>
      <c r="AO411" s="358"/>
      <c r="AP411" s="358"/>
      <c r="AQ411" s="358"/>
      <c r="AR411" s="358"/>
      <c r="AS411" s="358"/>
      <c r="AT411" s="358"/>
      <c r="AU411" s="358"/>
      <c r="AV411" s="358"/>
      <c r="AW411" s="358"/>
      <c r="AX411" s="358"/>
      <c r="AY411" s="358"/>
      <c r="AZ411" s="358"/>
      <c r="BA411" s="358"/>
      <c r="BB411" s="358"/>
      <c r="BC411" s="358"/>
      <c r="BD411" s="358"/>
      <c r="BE411" s="358"/>
      <c r="BF411" s="358"/>
      <c r="BG411" s="358"/>
      <c r="BH411" s="358"/>
      <c r="BI411" s="358"/>
      <c r="BJ411" s="358"/>
      <c r="BK411" s="358"/>
      <c r="BL411" s="358"/>
      <c r="BM411" s="358"/>
      <c r="BN411" s="358"/>
      <c r="BO411" s="358"/>
      <c r="BP411" s="358"/>
      <c r="BQ411" s="358"/>
      <c r="BR411" s="358"/>
      <c r="BS411" s="358"/>
      <c r="BT411" s="358"/>
      <c r="BU411" s="358"/>
      <c r="BV411" s="358"/>
    </row>
    <row r="412" spans="2:74" x14ac:dyDescent="0.2">
      <c r="B412" s="358"/>
      <c r="D412" s="358"/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L412" s="358"/>
      <c r="AM412" s="358"/>
      <c r="AN412" s="358"/>
      <c r="AO412" s="358"/>
      <c r="AP412" s="358"/>
      <c r="AQ412" s="358"/>
      <c r="AR412" s="358"/>
      <c r="AS412" s="358"/>
      <c r="AT412" s="358"/>
      <c r="AU412" s="358"/>
      <c r="AV412" s="358"/>
      <c r="AW412" s="358"/>
      <c r="AX412" s="358"/>
      <c r="AY412" s="358"/>
      <c r="AZ412" s="358"/>
      <c r="BA412" s="358"/>
      <c r="BB412" s="358"/>
      <c r="BC412" s="358"/>
      <c r="BD412" s="358"/>
      <c r="BE412" s="358"/>
      <c r="BF412" s="358"/>
      <c r="BG412" s="358"/>
      <c r="BH412" s="358"/>
      <c r="BI412" s="358"/>
      <c r="BJ412" s="358"/>
      <c r="BK412" s="358"/>
      <c r="BL412" s="358"/>
      <c r="BM412" s="358"/>
      <c r="BN412" s="358"/>
      <c r="BO412" s="358"/>
      <c r="BP412" s="358"/>
      <c r="BQ412" s="358"/>
      <c r="BR412" s="358"/>
      <c r="BS412" s="358"/>
      <c r="BT412" s="358"/>
      <c r="BU412" s="358"/>
      <c r="BV412" s="358"/>
    </row>
    <row r="413" spans="2:74" x14ac:dyDescent="0.2">
      <c r="B413" s="358"/>
      <c r="D413" s="358"/>
      <c r="E413" s="358"/>
      <c r="F413" s="358"/>
      <c r="G413" s="358"/>
      <c r="H413" s="358"/>
      <c r="I413" s="358"/>
      <c r="J413" s="358"/>
      <c r="K413" s="358"/>
      <c r="L413" s="358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  <c r="Y413" s="358"/>
      <c r="Z413" s="358"/>
      <c r="AA413" s="358"/>
      <c r="AB413" s="358"/>
      <c r="AC413" s="358"/>
      <c r="AD413" s="358"/>
      <c r="AE413" s="358"/>
      <c r="AF413" s="358"/>
      <c r="AG413" s="358"/>
      <c r="AH413" s="358"/>
      <c r="AI413" s="358"/>
      <c r="AJ413" s="358"/>
      <c r="AK413" s="358"/>
      <c r="AL413" s="358"/>
      <c r="AM413" s="358"/>
      <c r="AN413" s="358"/>
      <c r="AO413" s="358"/>
      <c r="AP413" s="358"/>
      <c r="AQ413" s="358"/>
      <c r="AR413" s="358"/>
      <c r="AS413" s="358"/>
      <c r="AT413" s="358"/>
      <c r="AU413" s="358"/>
      <c r="AV413" s="358"/>
      <c r="AW413" s="358"/>
      <c r="AX413" s="358"/>
      <c r="AY413" s="358"/>
      <c r="AZ413" s="358"/>
      <c r="BA413" s="358"/>
      <c r="BB413" s="358"/>
      <c r="BC413" s="358"/>
      <c r="BD413" s="358"/>
      <c r="BE413" s="358"/>
      <c r="BF413" s="358"/>
      <c r="BG413" s="358"/>
      <c r="BH413" s="358"/>
      <c r="BI413" s="358"/>
      <c r="BJ413" s="358"/>
      <c r="BK413" s="358"/>
      <c r="BL413" s="358"/>
      <c r="BM413" s="358"/>
      <c r="BN413" s="358"/>
      <c r="BO413" s="358"/>
      <c r="BP413" s="358"/>
      <c r="BQ413" s="358"/>
      <c r="BR413" s="358"/>
      <c r="BS413" s="358"/>
      <c r="BT413" s="358"/>
      <c r="BU413" s="358"/>
      <c r="BV413" s="358"/>
    </row>
    <row r="414" spans="2:74" x14ac:dyDescent="0.2">
      <c r="B414" s="358"/>
      <c r="D414" s="358"/>
      <c r="E414" s="358"/>
      <c r="F414" s="358"/>
      <c r="G414" s="358"/>
      <c r="H414" s="358"/>
      <c r="I414" s="358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  <c r="AK414" s="358"/>
      <c r="AL414" s="358"/>
      <c r="AM414" s="358"/>
      <c r="AN414" s="358"/>
      <c r="AO414" s="358"/>
      <c r="AP414" s="358"/>
      <c r="AQ414" s="358"/>
      <c r="AR414" s="358"/>
      <c r="AS414" s="358"/>
      <c r="AT414" s="358"/>
      <c r="AU414" s="358"/>
      <c r="AV414" s="358"/>
      <c r="AW414" s="358"/>
      <c r="AX414" s="358"/>
      <c r="AY414" s="358"/>
      <c r="AZ414" s="358"/>
      <c r="BA414" s="358"/>
      <c r="BB414" s="358"/>
      <c r="BC414" s="358"/>
      <c r="BD414" s="358"/>
      <c r="BE414" s="358"/>
      <c r="BF414" s="358"/>
      <c r="BG414" s="358"/>
      <c r="BH414" s="358"/>
      <c r="BI414" s="358"/>
      <c r="BJ414" s="358"/>
      <c r="BK414" s="358"/>
      <c r="BL414" s="358"/>
      <c r="BM414" s="358"/>
      <c r="BN414" s="358"/>
      <c r="BO414" s="358"/>
      <c r="BP414" s="358"/>
      <c r="BQ414" s="358"/>
      <c r="BR414" s="358"/>
      <c r="BS414" s="358"/>
      <c r="BT414" s="358"/>
      <c r="BU414" s="358"/>
      <c r="BV414" s="358"/>
    </row>
    <row r="415" spans="2:74" x14ac:dyDescent="0.2">
      <c r="B415" s="358"/>
      <c r="D415" s="358"/>
      <c r="E415" s="358"/>
      <c r="F415" s="358"/>
      <c r="G415" s="358"/>
      <c r="H415" s="358"/>
      <c r="I415" s="358"/>
      <c r="J415" s="358"/>
      <c r="K415" s="358"/>
      <c r="L415" s="358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  <c r="Y415" s="358"/>
      <c r="Z415" s="358"/>
      <c r="AA415" s="358"/>
      <c r="AB415" s="358"/>
      <c r="AC415" s="358"/>
      <c r="AD415" s="358"/>
      <c r="AE415" s="358"/>
      <c r="AF415" s="358"/>
      <c r="AG415" s="358"/>
      <c r="AH415" s="358"/>
      <c r="AI415" s="358"/>
      <c r="AJ415" s="358"/>
      <c r="AK415" s="358"/>
      <c r="AL415" s="358"/>
      <c r="AM415" s="358"/>
      <c r="AN415" s="358"/>
      <c r="AO415" s="358"/>
      <c r="AP415" s="358"/>
      <c r="AQ415" s="358"/>
      <c r="AR415" s="358"/>
      <c r="AS415" s="358"/>
      <c r="AT415" s="358"/>
      <c r="AU415" s="358"/>
      <c r="AV415" s="358"/>
      <c r="AW415" s="358"/>
      <c r="AX415" s="358"/>
      <c r="AY415" s="358"/>
      <c r="AZ415" s="358"/>
      <c r="BA415" s="358"/>
      <c r="BB415" s="358"/>
      <c r="BC415" s="358"/>
      <c r="BD415" s="358"/>
      <c r="BE415" s="358"/>
      <c r="BF415" s="358"/>
      <c r="BG415" s="358"/>
      <c r="BH415" s="358"/>
      <c r="BI415" s="358"/>
      <c r="BJ415" s="358"/>
      <c r="BK415" s="358"/>
      <c r="BL415" s="358"/>
      <c r="BM415" s="358"/>
      <c r="BN415" s="358"/>
      <c r="BO415" s="358"/>
      <c r="BP415" s="358"/>
      <c r="BQ415" s="358"/>
      <c r="BR415" s="358"/>
      <c r="BS415" s="358"/>
      <c r="BT415" s="358"/>
      <c r="BU415" s="358"/>
      <c r="BV415" s="358"/>
    </row>
    <row r="416" spans="2:74" x14ac:dyDescent="0.2">
      <c r="B416" s="358"/>
      <c r="D416" s="358"/>
      <c r="E416" s="358"/>
      <c r="F416" s="358"/>
      <c r="G416" s="358"/>
      <c r="H416" s="358"/>
      <c r="I416" s="358"/>
      <c r="J416" s="358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  <c r="AI416" s="358"/>
      <c r="AJ416" s="358"/>
      <c r="AK416" s="358"/>
      <c r="AL416" s="358"/>
      <c r="AM416" s="358"/>
      <c r="AN416" s="358"/>
      <c r="AO416" s="358"/>
      <c r="AP416" s="358"/>
      <c r="AQ416" s="358"/>
      <c r="AR416" s="358"/>
      <c r="AS416" s="358"/>
      <c r="AT416" s="358"/>
      <c r="AU416" s="358"/>
      <c r="AV416" s="358"/>
      <c r="AW416" s="358"/>
      <c r="AX416" s="358"/>
      <c r="AY416" s="358"/>
      <c r="AZ416" s="358"/>
      <c r="BA416" s="358"/>
      <c r="BB416" s="358"/>
      <c r="BC416" s="358"/>
      <c r="BD416" s="358"/>
      <c r="BE416" s="358"/>
      <c r="BF416" s="358"/>
      <c r="BG416" s="358"/>
      <c r="BH416" s="358"/>
      <c r="BI416" s="358"/>
      <c r="BJ416" s="358"/>
      <c r="BK416" s="358"/>
      <c r="BL416" s="358"/>
      <c r="BM416" s="358"/>
      <c r="BN416" s="358"/>
      <c r="BO416" s="358"/>
      <c r="BP416" s="358"/>
      <c r="BQ416" s="358"/>
      <c r="BR416" s="358"/>
      <c r="BS416" s="358"/>
      <c r="BT416" s="358"/>
      <c r="BU416" s="358"/>
      <c r="BV416" s="358"/>
    </row>
    <row r="417" spans="2:74" x14ac:dyDescent="0.2">
      <c r="B417" s="358"/>
      <c r="D417" s="358"/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358"/>
      <c r="AA417" s="358"/>
      <c r="AB417" s="358"/>
      <c r="AC417" s="358"/>
      <c r="AD417" s="358"/>
      <c r="AE417" s="358"/>
      <c r="AF417" s="358"/>
      <c r="AG417" s="358"/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58"/>
      <c r="AX417" s="358"/>
      <c r="AY417" s="358"/>
      <c r="AZ417" s="358"/>
      <c r="BA417" s="358"/>
      <c r="BB417" s="358"/>
      <c r="BC417" s="358"/>
      <c r="BD417" s="358"/>
      <c r="BE417" s="358"/>
      <c r="BF417" s="358"/>
      <c r="BG417" s="358"/>
      <c r="BH417" s="358"/>
      <c r="BI417" s="358"/>
      <c r="BJ417" s="358"/>
      <c r="BK417" s="358"/>
      <c r="BL417" s="358"/>
      <c r="BM417" s="358"/>
      <c r="BN417" s="358"/>
      <c r="BO417" s="358"/>
      <c r="BP417" s="358"/>
      <c r="BQ417" s="358"/>
      <c r="BR417" s="358"/>
      <c r="BS417" s="358"/>
      <c r="BT417" s="358"/>
      <c r="BU417" s="358"/>
      <c r="BV417" s="358"/>
    </row>
    <row r="418" spans="2:74" x14ac:dyDescent="0.2">
      <c r="B418" s="358"/>
      <c r="D418" s="358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  <c r="AI418" s="358"/>
      <c r="AJ418" s="358"/>
      <c r="AK418" s="358"/>
      <c r="AL418" s="358"/>
      <c r="AM418" s="358"/>
      <c r="AN418" s="358"/>
      <c r="AO418" s="358"/>
      <c r="AP418" s="358"/>
      <c r="AQ418" s="358"/>
      <c r="AR418" s="358"/>
      <c r="AS418" s="358"/>
      <c r="AT418" s="358"/>
      <c r="AU418" s="358"/>
      <c r="AV418" s="358"/>
      <c r="AW418" s="358"/>
      <c r="AX418" s="358"/>
      <c r="AY418" s="358"/>
      <c r="AZ418" s="358"/>
      <c r="BA418" s="358"/>
      <c r="BB418" s="358"/>
      <c r="BC418" s="358"/>
      <c r="BD418" s="358"/>
      <c r="BE418" s="358"/>
      <c r="BF418" s="358"/>
      <c r="BG418" s="358"/>
      <c r="BH418" s="358"/>
      <c r="BI418" s="358"/>
      <c r="BJ418" s="358"/>
      <c r="BK418" s="358"/>
      <c r="BL418" s="358"/>
      <c r="BM418" s="358"/>
      <c r="BN418" s="358"/>
      <c r="BO418" s="358"/>
      <c r="BP418" s="358"/>
      <c r="BQ418" s="358"/>
      <c r="BR418" s="358"/>
      <c r="BS418" s="358"/>
      <c r="BT418" s="358"/>
      <c r="BU418" s="358"/>
      <c r="BV418" s="358"/>
    </row>
    <row r="419" spans="2:74" x14ac:dyDescent="0.2">
      <c r="B419" s="358"/>
      <c r="D419" s="358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358"/>
      <c r="AA419" s="358"/>
      <c r="AB419" s="358"/>
      <c r="AC419" s="358"/>
      <c r="AD419" s="358"/>
      <c r="AE419" s="358"/>
      <c r="AF419" s="358"/>
      <c r="AG419" s="358"/>
      <c r="AH419" s="358"/>
      <c r="AI419" s="358"/>
      <c r="AJ419" s="358"/>
      <c r="AK419" s="358"/>
      <c r="AL419" s="358"/>
      <c r="AM419" s="358"/>
      <c r="AN419" s="358"/>
      <c r="AO419" s="358"/>
      <c r="AP419" s="358"/>
      <c r="AQ419" s="358"/>
      <c r="AR419" s="358"/>
      <c r="AS419" s="358"/>
      <c r="AT419" s="358"/>
      <c r="AU419" s="358"/>
      <c r="AV419" s="358"/>
      <c r="AW419" s="358"/>
      <c r="AX419" s="358"/>
      <c r="AY419" s="358"/>
      <c r="AZ419" s="358"/>
      <c r="BA419" s="358"/>
      <c r="BB419" s="358"/>
      <c r="BC419" s="358"/>
      <c r="BD419" s="358"/>
      <c r="BE419" s="358"/>
      <c r="BF419" s="358"/>
      <c r="BG419" s="358"/>
      <c r="BH419" s="358"/>
      <c r="BI419" s="358"/>
      <c r="BJ419" s="358"/>
      <c r="BK419" s="358"/>
      <c r="BL419" s="358"/>
      <c r="BM419" s="358"/>
      <c r="BN419" s="358"/>
      <c r="BO419" s="358"/>
      <c r="BP419" s="358"/>
      <c r="BQ419" s="358"/>
      <c r="BR419" s="358"/>
      <c r="BS419" s="358"/>
      <c r="BT419" s="358"/>
      <c r="BU419" s="358"/>
      <c r="BV419" s="358"/>
    </row>
    <row r="420" spans="2:74" x14ac:dyDescent="0.2">
      <c r="B420" s="358"/>
      <c r="D420" s="358"/>
      <c r="E420" s="358"/>
      <c r="F420" s="358"/>
      <c r="G420" s="358"/>
      <c r="H420" s="358"/>
      <c r="I420" s="358"/>
      <c r="J420" s="358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  <c r="AI420" s="358"/>
      <c r="AJ420" s="358"/>
      <c r="AK420" s="358"/>
      <c r="AL420" s="358"/>
      <c r="AM420" s="358"/>
      <c r="AN420" s="358"/>
      <c r="AO420" s="358"/>
      <c r="AP420" s="358"/>
      <c r="AQ420" s="358"/>
      <c r="AR420" s="358"/>
      <c r="AS420" s="358"/>
      <c r="AT420" s="358"/>
      <c r="AU420" s="358"/>
      <c r="AV420" s="358"/>
      <c r="AW420" s="358"/>
      <c r="AX420" s="358"/>
      <c r="AY420" s="358"/>
      <c r="AZ420" s="358"/>
      <c r="BA420" s="358"/>
      <c r="BB420" s="358"/>
      <c r="BC420" s="358"/>
      <c r="BD420" s="358"/>
      <c r="BE420" s="358"/>
      <c r="BF420" s="358"/>
      <c r="BG420" s="358"/>
      <c r="BH420" s="358"/>
      <c r="BI420" s="358"/>
      <c r="BJ420" s="358"/>
      <c r="BK420" s="358"/>
      <c r="BL420" s="358"/>
      <c r="BM420" s="358"/>
      <c r="BN420" s="358"/>
      <c r="BO420" s="358"/>
      <c r="BP420" s="358"/>
      <c r="BQ420" s="358"/>
      <c r="BR420" s="358"/>
      <c r="BS420" s="358"/>
      <c r="BT420" s="358"/>
      <c r="BU420" s="358"/>
      <c r="BV420" s="358"/>
    </row>
    <row r="421" spans="2:74" x14ac:dyDescent="0.2">
      <c r="B421" s="358"/>
      <c r="D421" s="358"/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358"/>
      <c r="AA421" s="358"/>
      <c r="AB421" s="358"/>
      <c r="AC421" s="358"/>
      <c r="AD421" s="358"/>
      <c r="AE421" s="358"/>
      <c r="AF421" s="358"/>
      <c r="AG421" s="358"/>
      <c r="AH421" s="358"/>
      <c r="AI421" s="358"/>
      <c r="AJ421" s="358"/>
      <c r="AK421" s="358"/>
      <c r="AL421" s="358"/>
      <c r="AM421" s="358"/>
      <c r="AN421" s="358"/>
      <c r="AO421" s="358"/>
      <c r="AP421" s="358"/>
      <c r="AQ421" s="358"/>
      <c r="AR421" s="358"/>
      <c r="AS421" s="358"/>
      <c r="AT421" s="358"/>
      <c r="AU421" s="358"/>
      <c r="AV421" s="358"/>
      <c r="AW421" s="358"/>
      <c r="AX421" s="358"/>
      <c r="AY421" s="358"/>
      <c r="AZ421" s="358"/>
      <c r="BA421" s="358"/>
      <c r="BB421" s="358"/>
      <c r="BC421" s="358"/>
      <c r="BD421" s="358"/>
      <c r="BE421" s="358"/>
      <c r="BF421" s="358"/>
      <c r="BG421" s="358"/>
      <c r="BH421" s="358"/>
      <c r="BI421" s="358"/>
      <c r="BJ421" s="358"/>
      <c r="BK421" s="358"/>
      <c r="BL421" s="358"/>
      <c r="BM421" s="358"/>
      <c r="BN421" s="358"/>
      <c r="BO421" s="358"/>
      <c r="BP421" s="358"/>
      <c r="BQ421" s="358"/>
      <c r="BR421" s="358"/>
      <c r="BS421" s="358"/>
      <c r="BT421" s="358"/>
      <c r="BU421" s="358"/>
      <c r="BV421" s="358"/>
    </row>
    <row r="422" spans="2:74" x14ac:dyDescent="0.2">
      <c r="B422" s="358"/>
      <c r="D422" s="358"/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  <c r="AI422" s="358"/>
      <c r="AJ422" s="358"/>
      <c r="AK422" s="358"/>
      <c r="AL422" s="358"/>
      <c r="AM422" s="358"/>
      <c r="AN422" s="358"/>
      <c r="AO422" s="358"/>
      <c r="AP422" s="358"/>
      <c r="AQ422" s="358"/>
      <c r="AR422" s="358"/>
      <c r="AS422" s="358"/>
      <c r="AT422" s="358"/>
      <c r="AU422" s="358"/>
      <c r="AV422" s="358"/>
      <c r="AW422" s="358"/>
      <c r="AX422" s="358"/>
      <c r="AY422" s="358"/>
      <c r="AZ422" s="358"/>
      <c r="BA422" s="358"/>
      <c r="BB422" s="358"/>
      <c r="BC422" s="358"/>
      <c r="BD422" s="358"/>
      <c r="BE422" s="358"/>
      <c r="BF422" s="358"/>
      <c r="BG422" s="358"/>
      <c r="BH422" s="358"/>
      <c r="BI422" s="358"/>
      <c r="BJ422" s="358"/>
      <c r="BK422" s="358"/>
      <c r="BL422" s="358"/>
      <c r="BM422" s="358"/>
      <c r="BN422" s="358"/>
      <c r="BO422" s="358"/>
      <c r="BP422" s="358"/>
      <c r="BQ422" s="358"/>
      <c r="BR422" s="358"/>
      <c r="BS422" s="358"/>
      <c r="BT422" s="358"/>
      <c r="BU422" s="358"/>
      <c r="BV422" s="358"/>
    </row>
    <row r="423" spans="2:74" x14ac:dyDescent="0.2">
      <c r="B423" s="358"/>
      <c r="D423" s="358"/>
      <c r="E423" s="358"/>
      <c r="F423" s="358"/>
      <c r="G423" s="358"/>
      <c r="H423" s="358"/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Y423" s="358"/>
      <c r="Z423" s="358"/>
      <c r="AA423" s="358"/>
      <c r="AB423" s="358"/>
      <c r="AC423" s="358"/>
      <c r="AD423" s="358"/>
      <c r="AE423" s="358"/>
      <c r="AF423" s="358"/>
      <c r="AG423" s="358"/>
      <c r="AH423" s="358"/>
      <c r="AI423" s="358"/>
      <c r="AJ423" s="358"/>
      <c r="AK423" s="358"/>
      <c r="AL423" s="358"/>
      <c r="AM423" s="358"/>
      <c r="AN423" s="358"/>
      <c r="AO423" s="358"/>
      <c r="AP423" s="358"/>
      <c r="AQ423" s="358"/>
      <c r="AR423" s="358"/>
      <c r="AS423" s="358"/>
      <c r="AT423" s="358"/>
      <c r="AU423" s="358"/>
      <c r="AV423" s="358"/>
      <c r="AW423" s="358"/>
      <c r="AX423" s="358"/>
      <c r="AY423" s="358"/>
      <c r="AZ423" s="358"/>
      <c r="BA423" s="358"/>
      <c r="BB423" s="358"/>
      <c r="BC423" s="358"/>
      <c r="BD423" s="358"/>
      <c r="BE423" s="358"/>
      <c r="BF423" s="358"/>
      <c r="BG423" s="358"/>
      <c r="BH423" s="358"/>
      <c r="BI423" s="358"/>
      <c r="BJ423" s="358"/>
      <c r="BK423" s="358"/>
      <c r="BL423" s="358"/>
      <c r="BM423" s="358"/>
      <c r="BN423" s="358"/>
      <c r="BO423" s="358"/>
      <c r="BP423" s="358"/>
      <c r="BQ423" s="358"/>
      <c r="BR423" s="358"/>
      <c r="BS423" s="358"/>
      <c r="BT423" s="358"/>
      <c r="BU423" s="358"/>
      <c r="BV423" s="358"/>
    </row>
    <row r="424" spans="2:74" x14ac:dyDescent="0.2">
      <c r="B424" s="358"/>
      <c r="D424" s="358"/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  <c r="AI424" s="358"/>
      <c r="AJ424" s="358"/>
      <c r="AK424" s="358"/>
      <c r="AL424" s="358"/>
      <c r="AM424" s="358"/>
      <c r="AN424" s="358"/>
      <c r="AO424" s="358"/>
      <c r="AP424" s="358"/>
      <c r="AQ424" s="358"/>
      <c r="AR424" s="358"/>
      <c r="AS424" s="358"/>
      <c r="AT424" s="358"/>
      <c r="AU424" s="358"/>
      <c r="AV424" s="358"/>
      <c r="AW424" s="358"/>
      <c r="AX424" s="358"/>
      <c r="AY424" s="358"/>
      <c r="AZ424" s="358"/>
      <c r="BA424" s="358"/>
      <c r="BB424" s="358"/>
      <c r="BC424" s="358"/>
      <c r="BD424" s="358"/>
      <c r="BE424" s="358"/>
      <c r="BF424" s="358"/>
      <c r="BG424" s="358"/>
      <c r="BH424" s="358"/>
      <c r="BI424" s="358"/>
      <c r="BJ424" s="358"/>
      <c r="BK424" s="358"/>
      <c r="BL424" s="358"/>
      <c r="BM424" s="358"/>
      <c r="BN424" s="358"/>
      <c r="BO424" s="358"/>
      <c r="BP424" s="358"/>
      <c r="BQ424" s="358"/>
      <c r="BR424" s="358"/>
      <c r="BS424" s="358"/>
      <c r="BT424" s="358"/>
      <c r="BU424" s="358"/>
      <c r="BV424" s="358"/>
    </row>
    <row r="425" spans="2:74" x14ac:dyDescent="0.2">
      <c r="B425" s="358"/>
      <c r="D425" s="358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358"/>
      <c r="AX425" s="358"/>
      <c r="AY425" s="358"/>
      <c r="AZ425" s="358"/>
      <c r="BA425" s="358"/>
      <c r="BB425" s="358"/>
      <c r="BC425" s="358"/>
      <c r="BD425" s="358"/>
      <c r="BE425" s="358"/>
      <c r="BF425" s="358"/>
      <c r="BG425" s="358"/>
      <c r="BH425" s="358"/>
      <c r="BI425" s="358"/>
      <c r="BJ425" s="358"/>
      <c r="BK425" s="358"/>
      <c r="BL425" s="358"/>
      <c r="BM425" s="358"/>
      <c r="BN425" s="358"/>
      <c r="BO425" s="358"/>
      <c r="BP425" s="358"/>
      <c r="BQ425" s="358"/>
      <c r="BR425" s="358"/>
      <c r="BS425" s="358"/>
      <c r="BT425" s="358"/>
      <c r="BU425" s="358"/>
      <c r="BV425" s="358"/>
    </row>
    <row r="426" spans="2:74" x14ac:dyDescent="0.2">
      <c r="B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  <c r="AI426" s="358"/>
      <c r="AJ426" s="358"/>
      <c r="AK426" s="358"/>
      <c r="AL426" s="358"/>
      <c r="AM426" s="358"/>
      <c r="AN426" s="358"/>
      <c r="AO426" s="358"/>
      <c r="AP426" s="358"/>
      <c r="AQ426" s="358"/>
      <c r="AR426" s="358"/>
      <c r="AS426" s="358"/>
      <c r="AT426" s="358"/>
      <c r="AU426" s="358"/>
      <c r="AV426" s="358"/>
      <c r="AW426" s="358"/>
      <c r="AX426" s="358"/>
      <c r="AY426" s="358"/>
      <c r="AZ426" s="358"/>
      <c r="BA426" s="358"/>
      <c r="BB426" s="358"/>
      <c r="BC426" s="358"/>
      <c r="BD426" s="358"/>
      <c r="BE426" s="358"/>
      <c r="BF426" s="358"/>
      <c r="BG426" s="358"/>
      <c r="BH426" s="358"/>
      <c r="BI426" s="358"/>
      <c r="BJ426" s="358"/>
      <c r="BK426" s="358"/>
      <c r="BL426" s="358"/>
      <c r="BM426" s="358"/>
      <c r="BN426" s="358"/>
      <c r="BO426" s="358"/>
      <c r="BP426" s="358"/>
      <c r="BQ426" s="358"/>
      <c r="BR426" s="358"/>
      <c r="BS426" s="358"/>
      <c r="BT426" s="358"/>
      <c r="BU426" s="358"/>
      <c r="BV426" s="358"/>
    </row>
    <row r="427" spans="2:74" x14ac:dyDescent="0.2">
      <c r="B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</row>
    <row r="428" spans="2:74" x14ac:dyDescent="0.2">
      <c r="B428" s="358"/>
      <c r="D428" s="358"/>
      <c r="E428" s="358"/>
      <c r="F428" s="358"/>
      <c r="G428" s="358"/>
      <c r="H428" s="358"/>
      <c r="I428" s="358"/>
      <c r="J428" s="358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  <c r="AI428" s="358"/>
      <c r="AJ428" s="358"/>
      <c r="AK428" s="358"/>
      <c r="AL428" s="358"/>
      <c r="AM428" s="358"/>
      <c r="AN428" s="358"/>
      <c r="AO428" s="358"/>
      <c r="AP428" s="358"/>
      <c r="AQ428" s="358"/>
      <c r="AR428" s="358"/>
      <c r="AS428" s="358"/>
      <c r="AT428" s="358"/>
      <c r="AU428" s="358"/>
      <c r="AV428" s="358"/>
      <c r="AW428" s="358"/>
      <c r="AX428" s="358"/>
      <c r="AY428" s="358"/>
      <c r="AZ428" s="358"/>
      <c r="BA428" s="358"/>
      <c r="BB428" s="358"/>
      <c r="BC428" s="358"/>
      <c r="BD428" s="358"/>
      <c r="BE428" s="358"/>
      <c r="BF428" s="358"/>
      <c r="BG428" s="358"/>
      <c r="BH428" s="358"/>
      <c r="BI428" s="358"/>
      <c r="BJ428" s="358"/>
      <c r="BK428" s="358"/>
      <c r="BL428" s="358"/>
      <c r="BM428" s="358"/>
      <c r="BN428" s="358"/>
      <c r="BO428" s="358"/>
      <c r="BP428" s="358"/>
      <c r="BQ428" s="358"/>
      <c r="BR428" s="358"/>
      <c r="BS428" s="358"/>
      <c r="BT428" s="358"/>
      <c r="BU428" s="358"/>
      <c r="BV428" s="358"/>
    </row>
    <row r="429" spans="2:74" x14ac:dyDescent="0.2">
      <c r="B429" s="358"/>
      <c r="D429" s="358"/>
      <c r="E429" s="358"/>
      <c r="F429" s="358"/>
      <c r="G429" s="358"/>
      <c r="H429" s="358"/>
      <c r="I429" s="358"/>
      <c r="J429" s="358"/>
      <c r="K429" s="358"/>
      <c r="L429" s="358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  <c r="Y429" s="358"/>
      <c r="Z429" s="358"/>
      <c r="AA429" s="358"/>
      <c r="AB429" s="358"/>
      <c r="AC429" s="358"/>
      <c r="AD429" s="358"/>
      <c r="AE429" s="358"/>
      <c r="AF429" s="358"/>
      <c r="AG429" s="358"/>
      <c r="AH429" s="358"/>
      <c r="AI429" s="358"/>
      <c r="AJ429" s="358"/>
      <c r="AK429" s="358"/>
      <c r="AL429" s="358"/>
      <c r="AM429" s="358"/>
      <c r="AN429" s="358"/>
      <c r="AO429" s="358"/>
      <c r="AP429" s="358"/>
      <c r="AQ429" s="358"/>
      <c r="AR429" s="358"/>
      <c r="AS429" s="358"/>
      <c r="AT429" s="358"/>
      <c r="AU429" s="358"/>
      <c r="AV429" s="358"/>
      <c r="AW429" s="358"/>
      <c r="AX429" s="358"/>
      <c r="AY429" s="358"/>
      <c r="AZ429" s="358"/>
      <c r="BA429" s="358"/>
      <c r="BB429" s="358"/>
      <c r="BC429" s="358"/>
      <c r="BD429" s="358"/>
      <c r="BE429" s="358"/>
      <c r="BF429" s="358"/>
      <c r="BG429" s="358"/>
      <c r="BH429" s="358"/>
      <c r="BI429" s="358"/>
      <c r="BJ429" s="358"/>
      <c r="BK429" s="358"/>
      <c r="BL429" s="358"/>
      <c r="BM429" s="358"/>
      <c r="BN429" s="358"/>
      <c r="BO429" s="358"/>
      <c r="BP429" s="358"/>
      <c r="BQ429" s="358"/>
      <c r="BR429" s="358"/>
      <c r="BS429" s="358"/>
      <c r="BT429" s="358"/>
      <c r="BU429" s="358"/>
      <c r="BV429" s="358"/>
    </row>
    <row r="430" spans="2:74" x14ac:dyDescent="0.2">
      <c r="B430" s="358"/>
      <c r="D430" s="358"/>
      <c r="E430" s="358"/>
      <c r="F430" s="358"/>
      <c r="G430" s="358"/>
      <c r="H430" s="358"/>
      <c r="I430" s="358"/>
      <c r="J430" s="358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  <c r="AI430" s="358"/>
      <c r="AJ430" s="358"/>
      <c r="AK430" s="358"/>
      <c r="AL430" s="358"/>
      <c r="AM430" s="358"/>
      <c r="AN430" s="358"/>
      <c r="AO430" s="358"/>
      <c r="AP430" s="358"/>
      <c r="AQ430" s="358"/>
      <c r="AR430" s="358"/>
      <c r="AS430" s="358"/>
      <c r="AT430" s="358"/>
      <c r="AU430" s="358"/>
      <c r="AV430" s="358"/>
      <c r="AW430" s="358"/>
      <c r="AX430" s="358"/>
      <c r="AY430" s="358"/>
      <c r="AZ430" s="358"/>
      <c r="BA430" s="358"/>
      <c r="BB430" s="358"/>
      <c r="BC430" s="358"/>
      <c r="BD430" s="358"/>
      <c r="BE430" s="358"/>
      <c r="BF430" s="358"/>
      <c r="BG430" s="358"/>
      <c r="BH430" s="358"/>
      <c r="BI430" s="358"/>
      <c r="BJ430" s="358"/>
      <c r="BK430" s="358"/>
      <c r="BL430" s="358"/>
      <c r="BM430" s="358"/>
      <c r="BN430" s="358"/>
      <c r="BO430" s="358"/>
      <c r="BP430" s="358"/>
      <c r="BQ430" s="358"/>
      <c r="BR430" s="358"/>
      <c r="BS430" s="358"/>
      <c r="BT430" s="358"/>
      <c r="BU430" s="358"/>
      <c r="BV430" s="358"/>
    </row>
    <row r="431" spans="2:74" x14ac:dyDescent="0.2">
      <c r="B431" s="358"/>
      <c r="D431" s="358"/>
      <c r="E431" s="358"/>
      <c r="F431" s="358"/>
      <c r="G431" s="358"/>
      <c r="H431" s="358"/>
      <c r="I431" s="358"/>
      <c r="J431" s="358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  <c r="AA431" s="358"/>
      <c r="AB431" s="358"/>
      <c r="AC431" s="358"/>
      <c r="AD431" s="358"/>
      <c r="AE431" s="358"/>
      <c r="AF431" s="358"/>
      <c r="AG431" s="358"/>
      <c r="AH431" s="358"/>
      <c r="AI431" s="358"/>
      <c r="AJ431" s="358"/>
      <c r="AK431" s="358"/>
      <c r="AL431" s="358"/>
      <c r="AM431" s="358"/>
      <c r="AN431" s="358"/>
      <c r="AO431" s="358"/>
      <c r="AP431" s="358"/>
      <c r="AQ431" s="358"/>
      <c r="AR431" s="358"/>
      <c r="AS431" s="358"/>
      <c r="AT431" s="358"/>
      <c r="AU431" s="358"/>
      <c r="AV431" s="358"/>
      <c r="AW431" s="358"/>
      <c r="AX431" s="358"/>
      <c r="AY431" s="358"/>
      <c r="AZ431" s="358"/>
      <c r="BA431" s="358"/>
      <c r="BB431" s="358"/>
      <c r="BC431" s="358"/>
      <c r="BD431" s="358"/>
      <c r="BE431" s="358"/>
      <c r="BF431" s="358"/>
      <c r="BG431" s="358"/>
      <c r="BH431" s="358"/>
      <c r="BI431" s="358"/>
      <c r="BJ431" s="358"/>
      <c r="BK431" s="358"/>
      <c r="BL431" s="358"/>
      <c r="BM431" s="358"/>
      <c r="BN431" s="358"/>
      <c r="BO431" s="358"/>
      <c r="BP431" s="358"/>
      <c r="BQ431" s="358"/>
      <c r="BR431" s="358"/>
      <c r="BS431" s="358"/>
      <c r="BT431" s="358"/>
      <c r="BU431" s="358"/>
      <c r="BV431" s="358"/>
    </row>
    <row r="432" spans="2:74" x14ac:dyDescent="0.2">
      <c r="B432" s="358"/>
      <c r="D432" s="358"/>
      <c r="E432" s="358"/>
      <c r="F432" s="358"/>
      <c r="G432" s="358"/>
      <c r="H432" s="358"/>
      <c r="I432" s="358"/>
      <c r="J432" s="358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  <c r="AI432" s="358"/>
      <c r="AJ432" s="358"/>
      <c r="AK432" s="358"/>
      <c r="AL432" s="358"/>
      <c r="AM432" s="358"/>
      <c r="AN432" s="358"/>
      <c r="AO432" s="358"/>
      <c r="AP432" s="358"/>
      <c r="AQ432" s="358"/>
      <c r="AR432" s="358"/>
      <c r="AS432" s="358"/>
      <c r="AT432" s="358"/>
      <c r="AU432" s="358"/>
      <c r="AV432" s="358"/>
      <c r="AW432" s="358"/>
      <c r="AX432" s="358"/>
      <c r="AY432" s="358"/>
      <c r="AZ432" s="358"/>
      <c r="BA432" s="358"/>
      <c r="BB432" s="358"/>
      <c r="BC432" s="358"/>
      <c r="BD432" s="358"/>
      <c r="BE432" s="358"/>
      <c r="BF432" s="358"/>
      <c r="BG432" s="358"/>
      <c r="BH432" s="358"/>
      <c r="BI432" s="358"/>
      <c r="BJ432" s="358"/>
      <c r="BK432" s="358"/>
      <c r="BL432" s="358"/>
      <c r="BM432" s="358"/>
      <c r="BN432" s="358"/>
      <c r="BO432" s="358"/>
      <c r="BP432" s="358"/>
      <c r="BQ432" s="358"/>
      <c r="BR432" s="358"/>
      <c r="BS432" s="358"/>
      <c r="BT432" s="358"/>
      <c r="BU432" s="358"/>
      <c r="BV432" s="358"/>
    </row>
    <row r="433" spans="2:74" x14ac:dyDescent="0.2">
      <c r="B433" s="358"/>
      <c r="D433" s="358"/>
      <c r="E433" s="358"/>
      <c r="F433" s="358"/>
      <c r="G433" s="358"/>
      <c r="H433" s="358"/>
      <c r="I433" s="358"/>
      <c r="J433" s="358"/>
      <c r="K433" s="358"/>
      <c r="L433" s="358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  <c r="Y433" s="358"/>
      <c r="Z433" s="358"/>
      <c r="AA433" s="358"/>
      <c r="AB433" s="358"/>
      <c r="AC433" s="358"/>
      <c r="AD433" s="358"/>
      <c r="AE433" s="358"/>
      <c r="AF433" s="358"/>
      <c r="AG433" s="358"/>
      <c r="AH433" s="358"/>
      <c r="AI433" s="358"/>
      <c r="AJ433" s="358"/>
      <c r="AK433" s="358"/>
      <c r="AL433" s="358"/>
      <c r="AM433" s="358"/>
      <c r="AN433" s="358"/>
      <c r="AO433" s="358"/>
      <c r="AP433" s="358"/>
      <c r="AQ433" s="358"/>
      <c r="AR433" s="358"/>
      <c r="AS433" s="358"/>
      <c r="AT433" s="358"/>
      <c r="AU433" s="358"/>
      <c r="AV433" s="358"/>
      <c r="AW433" s="358"/>
      <c r="AX433" s="358"/>
      <c r="AY433" s="358"/>
      <c r="AZ433" s="358"/>
      <c r="BA433" s="358"/>
      <c r="BB433" s="358"/>
      <c r="BC433" s="358"/>
      <c r="BD433" s="358"/>
      <c r="BE433" s="358"/>
      <c r="BF433" s="358"/>
      <c r="BG433" s="358"/>
      <c r="BH433" s="358"/>
      <c r="BI433" s="358"/>
      <c r="BJ433" s="358"/>
      <c r="BK433" s="358"/>
      <c r="BL433" s="358"/>
      <c r="BM433" s="358"/>
      <c r="BN433" s="358"/>
      <c r="BO433" s="358"/>
      <c r="BP433" s="358"/>
      <c r="BQ433" s="358"/>
      <c r="BR433" s="358"/>
      <c r="BS433" s="358"/>
      <c r="BT433" s="358"/>
      <c r="BU433" s="358"/>
      <c r="BV433" s="358"/>
    </row>
    <row r="434" spans="2:74" x14ac:dyDescent="0.2">
      <c r="B434" s="358"/>
      <c r="D434" s="358"/>
      <c r="E434" s="358"/>
      <c r="F434" s="358"/>
      <c r="G434" s="358"/>
      <c r="H434" s="358"/>
      <c r="I434" s="358"/>
      <c r="J434" s="358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  <c r="AI434" s="358"/>
      <c r="AJ434" s="358"/>
      <c r="AK434" s="358"/>
      <c r="AL434" s="358"/>
      <c r="AM434" s="358"/>
      <c r="AN434" s="358"/>
      <c r="AO434" s="358"/>
      <c r="AP434" s="358"/>
      <c r="AQ434" s="358"/>
      <c r="AR434" s="358"/>
      <c r="AS434" s="358"/>
      <c r="AT434" s="358"/>
      <c r="AU434" s="358"/>
      <c r="AV434" s="358"/>
      <c r="AW434" s="358"/>
      <c r="AX434" s="358"/>
      <c r="AY434" s="358"/>
      <c r="AZ434" s="358"/>
      <c r="BA434" s="358"/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58"/>
      <c r="BR434" s="358"/>
      <c r="BS434" s="358"/>
      <c r="BT434" s="358"/>
      <c r="BU434" s="358"/>
      <c r="BV434" s="358"/>
    </row>
    <row r="435" spans="2:74" x14ac:dyDescent="0.2">
      <c r="B435" s="358"/>
      <c r="D435" s="358"/>
      <c r="E435" s="358"/>
      <c r="F435" s="358"/>
      <c r="G435" s="358"/>
      <c r="H435" s="358"/>
      <c r="I435" s="358"/>
      <c r="J435" s="358"/>
      <c r="K435" s="358"/>
      <c r="L435" s="358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  <c r="Y435" s="358"/>
      <c r="Z435" s="358"/>
      <c r="AA435" s="358"/>
      <c r="AB435" s="358"/>
      <c r="AC435" s="358"/>
      <c r="AD435" s="358"/>
      <c r="AE435" s="358"/>
      <c r="AF435" s="358"/>
      <c r="AG435" s="358"/>
      <c r="AH435" s="358"/>
      <c r="AI435" s="358"/>
      <c r="AJ435" s="358"/>
      <c r="AK435" s="358"/>
      <c r="AL435" s="358"/>
      <c r="AM435" s="358"/>
      <c r="AN435" s="358"/>
      <c r="AO435" s="358"/>
      <c r="AP435" s="358"/>
      <c r="AQ435" s="358"/>
      <c r="AR435" s="358"/>
      <c r="AS435" s="358"/>
      <c r="AT435" s="358"/>
      <c r="AU435" s="358"/>
      <c r="AV435" s="358"/>
      <c r="AW435" s="358"/>
      <c r="AX435" s="358"/>
      <c r="AY435" s="358"/>
      <c r="AZ435" s="358"/>
      <c r="BA435" s="358"/>
      <c r="BB435" s="358"/>
      <c r="BC435" s="358"/>
      <c r="BD435" s="358"/>
      <c r="BE435" s="358"/>
      <c r="BF435" s="358"/>
      <c r="BG435" s="358"/>
      <c r="BH435" s="358"/>
      <c r="BI435" s="358"/>
      <c r="BJ435" s="358"/>
      <c r="BK435" s="358"/>
      <c r="BL435" s="358"/>
      <c r="BM435" s="358"/>
      <c r="BN435" s="358"/>
      <c r="BO435" s="358"/>
      <c r="BP435" s="358"/>
      <c r="BQ435" s="358"/>
      <c r="BR435" s="358"/>
      <c r="BS435" s="358"/>
      <c r="BT435" s="358"/>
      <c r="BU435" s="358"/>
      <c r="BV435" s="358"/>
    </row>
    <row r="436" spans="2:74" x14ac:dyDescent="0.2">
      <c r="B436" s="358"/>
      <c r="D436" s="358"/>
      <c r="E436" s="358"/>
      <c r="F436" s="358"/>
      <c r="G436" s="358"/>
      <c r="H436" s="358"/>
      <c r="I436" s="358"/>
      <c r="J436" s="358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  <c r="AI436" s="358"/>
      <c r="AJ436" s="358"/>
      <c r="AK436" s="358"/>
      <c r="AL436" s="358"/>
      <c r="AM436" s="358"/>
      <c r="AN436" s="358"/>
      <c r="AO436" s="358"/>
      <c r="AP436" s="358"/>
      <c r="AQ436" s="358"/>
      <c r="AR436" s="358"/>
      <c r="AS436" s="358"/>
      <c r="AT436" s="358"/>
      <c r="AU436" s="358"/>
      <c r="AV436" s="358"/>
      <c r="AW436" s="358"/>
      <c r="AX436" s="358"/>
      <c r="AY436" s="358"/>
      <c r="AZ436" s="358"/>
      <c r="BA436" s="358"/>
      <c r="BB436" s="358"/>
      <c r="BC436" s="358"/>
      <c r="BD436" s="358"/>
      <c r="BE436" s="358"/>
      <c r="BF436" s="358"/>
      <c r="BG436" s="358"/>
      <c r="BH436" s="358"/>
      <c r="BI436" s="358"/>
      <c r="BJ436" s="358"/>
      <c r="BK436" s="358"/>
      <c r="BL436" s="358"/>
      <c r="BM436" s="358"/>
      <c r="BN436" s="358"/>
      <c r="BO436" s="358"/>
      <c r="BP436" s="358"/>
      <c r="BQ436" s="358"/>
      <c r="BR436" s="358"/>
      <c r="BS436" s="358"/>
      <c r="BT436" s="358"/>
      <c r="BU436" s="358"/>
      <c r="BV436" s="358"/>
    </row>
    <row r="437" spans="2:74" x14ac:dyDescent="0.2">
      <c r="B437" s="358"/>
      <c r="D437" s="358"/>
      <c r="E437" s="358"/>
      <c r="F437" s="358"/>
      <c r="G437" s="358"/>
      <c r="H437" s="358"/>
      <c r="I437" s="358"/>
      <c r="J437" s="358"/>
      <c r="K437" s="358"/>
      <c r="L437" s="358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  <c r="Y437" s="358"/>
      <c r="Z437" s="358"/>
      <c r="AA437" s="358"/>
      <c r="AB437" s="358"/>
      <c r="AC437" s="358"/>
      <c r="AD437" s="358"/>
      <c r="AE437" s="358"/>
      <c r="AF437" s="358"/>
      <c r="AG437" s="358"/>
      <c r="AH437" s="358"/>
      <c r="AI437" s="358"/>
      <c r="AJ437" s="358"/>
      <c r="AK437" s="358"/>
      <c r="AL437" s="358"/>
      <c r="AM437" s="358"/>
      <c r="AN437" s="358"/>
      <c r="AO437" s="358"/>
      <c r="AP437" s="358"/>
      <c r="AQ437" s="358"/>
      <c r="AR437" s="358"/>
      <c r="AS437" s="358"/>
      <c r="AT437" s="358"/>
      <c r="AU437" s="358"/>
      <c r="AV437" s="358"/>
      <c r="AW437" s="358"/>
      <c r="AX437" s="358"/>
      <c r="AY437" s="358"/>
      <c r="AZ437" s="358"/>
      <c r="BA437" s="358"/>
      <c r="BB437" s="358"/>
      <c r="BC437" s="358"/>
      <c r="BD437" s="358"/>
      <c r="BE437" s="358"/>
      <c r="BF437" s="358"/>
      <c r="BG437" s="358"/>
      <c r="BH437" s="358"/>
      <c r="BI437" s="358"/>
      <c r="BJ437" s="358"/>
      <c r="BK437" s="358"/>
      <c r="BL437" s="358"/>
      <c r="BM437" s="358"/>
      <c r="BN437" s="358"/>
      <c r="BO437" s="358"/>
      <c r="BP437" s="358"/>
      <c r="BQ437" s="358"/>
      <c r="BR437" s="358"/>
      <c r="BS437" s="358"/>
      <c r="BT437" s="358"/>
      <c r="BU437" s="358"/>
      <c r="BV437" s="358"/>
    </row>
    <row r="438" spans="2:74" x14ac:dyDescent="0.2">
      <c r="B438" s="358"/>
      <c r="D438" s="358"/>
      <c r="E438" s="358"/>
      <c r="F438" s="358"/>
      <c r="G438" s="358"/>
      <c r="H438" s="358"/>
      <c r="I438" s="358"/>
      <c r="J438" s="358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  <c r="AI438" s="358"/>
      <c r="AJ438" s="358"/>
      <c r="AK438" s="358"/>
      <c r="AL438" s="358"/>
      <c r="AM438" s="358"/>
      <c r="AN438" s="358"/>
      <c r="AO438" s="358"/>
      <c r="AP438" s="358"/>
      <c r="AQ438" s="358"/>
      <c r="AR438" s="358"/>
      <c r="AS438" s="358"/>
      <c r="AT438" s="358"/>
      <c r="AU438" s="358"/>
      <c r="AV438" s="358"/>
      <c r="AW438" s="358"/>
      <c r="AX438" s="358"/>
      <c r="AY438" s="358"/>
      <c r="AZ438" s="358"/>
      <c r="BA438" s="358"/>
      <c r="BB438" s="358"/>
      <c r="BC438" s="358"/>
      <c r="BD438" s="358"/>
      <c r="BE438" s="358"/>
      <c r="BF438" s="358"/>
      <c r="BG438" s="358"/>
      <c r="BH438" s="358"/>
      <c r="BI438" s="358"/>
      <c r="BJ438" s="358"/>
      <c r="BK438" s="358"/>
      <c r="BL438" s="358"/>
      <c r="BM438" s="358"/>
      <c r="BN438" s="358"/>
      <c r="BO438" s="358"/>
      <c r="BP438" s="358"/>
      <c r="BQ438" s="358"/>
      <c r="BR438" s="358"/>
      <c r="BS438" s="358"/>
      <c r="BT438" s="358"/>
      <c r="BU438" s="358"/>
      <c r="BV438" s="358"/>
    </row>
    <row r="439" spans="2:74" x14ac:dyDescent="0.2">
      <c r="B439" s="358"/>
      <c r="D439" s="358"/>
      <c r="E439" s="358"/>
      <c r="F439" s="358"/>
      <c r="G439" s="358"/>
      <c r="H439" s="358"/>
      <c r="I439" s="358"/>
      <c r="J439" s="358"/>
      <c r="K439" s="358"/>
      <c r="L439" s="358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  <c r="Y439" s="358"/>
      <c r="Z439" s="358"/>
      <c r="AA439" s="358"/>
      <c r="AB439" s="358"/>
      <c r="AC439" s="358"/>
      <c r="AD439" s="358"/>
      <c r="AE439" s="358"/>
      <c r="AF439" s="358"/>
      <c r="AG439" s="358"/>
      <c r="AH439" s="358"/>
      <c r="AI439" s="358"/>
      <c r="AJ439" s="358"/>
      <c r="AK439" s="358"/>
      <c r="AL439" s="358"/>
      <c r="AM439" s="358"/>
      <c r="AN439" s="358"/>
      <c r="AO439" s="358"/>
      <c r="AP439" s="358"/>
      <c r="AQ439" s="358"/>
      <c r="AR439" s="358"/>
      <c r="AS439" s="358"/>
      <c r="AT439" s="358"/>
      <c r="AU439" s="358"/>
      <c r="AV439" s="358"/>
      <c r="AW439" s="358"/>
      <c r="AX439" s="358"/>
      <c r="AY439" s="358"/>
      <c r="AZ439" s="358"/>
      <c r="BA439" s="358"/>
      <c r="BB439" s="358"/>
      <c r="BC439" s="358"/>
      <c r="BD439" s="358"/>
      <c r="BE439" s="358"/>
      <c r="BF439" s="358"/>
      <c r="BG439" s="358"/>
      <c r="BH439" s="358"/>
      <c r="BI439" s="358"/>
      <c r="BJ439" s="358"/>
      <c r="BK439" s="358"/>
      <c r="BL439" s="358"/>
      <c r="BM439" s="358"/>
      <c r="BN439" s="358"/>
      <c r="BO439" s="358"/>
      <c r="BP439" s="358"/>
      <c r="BQ439" s="358"/>
      <c r="BR439" s="358"/>
      <c r="BS439" s="358"/>
      <c r="BT439" s="358"/>
      <c r="BU439" s="358"/>
      <c r="BV439" s="358"/>
    </row>
    <row r="440" spans="2:74" x14ac:dyDescent="0.2">
      <c r="B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  <c r="AI440" s="358"/>
      <c r="AJ440" s="358"/>
      <c r="AK440" s="358"/>
      <c r="AL440" s="358"/>
      <c r="AM440" s="358"/>
      <c r="AN440" s="358"/>
      <c r="AO440" s="358"/>
      <c r="AP440" s="358"/>
      <c r="AQ440" s="358"/>
      <c r="AR440" s="358"/>
      <c r="AS440" s="358"/>
      <c r="AT440" s="358"/>
      <c r="AU440" s="358"/>
      <c r="AV440" s="358"/>
      <c r="AW440" s="358"/>
      <c r="AX440" s="358"/>
      <c r="AY440" s="358"/>
      <c r="AZ440" s="358"/>
      <c r="BA440" s="358"/>
      <c r="BB440" s="358"/>
      <c r="BC440" s="358"/>
      <c r="BD440" s="358"/>
      <c r="BE440" s="358"/>
      <c r="BF440" s="358"/>
      <c r="BG440" s="358"/>
      <c r="BH440" s="358"/>
      <c r="BI440" s="358"/>
      <c r="BJ440" s="358"/>
      <c r="BK440" s="358"/>
      <c r="BL440" s="358"/>
      <c r="BM440" s="358"/>
      <c r="BN440" s="358"/>
      <c r="BO440" s="358"/>
      <c r="BP440" s="358"/>
      <c r="BQ440" s="358"/>
      <c r="BR440" s="358"/>
      <c r="BS440" s="358"/>
      <c r="BT440" s="358"/>
      <c r="BU440" s="358"/>
      <c r="BV440" s="358"/>
    </row>
    <row r="441" spans="2:74" x14ac:dyDescent="0.2">
      <c r="B441" s="358"/>
      <c r="D441" s="358"/>
      <c r="E441" s="358"/>
      <c r="F441" s="358"/>
      <c r="G441" s="358"/>
      <c r="H441" s="358"/>
      <c r="I441" s="358"/>
      <c r="J441" s="358"/>
      <c r="K441" s="358"/>
      <c r="L441" s="358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  <c r="Y441" s="358"/>
      <c r="Z441" s="358"/>
      <c r="AA441" s="358"/>
      <c r="AB441" s="358"/>
      <c r="AC441" s="358"/>
      <c r="AD441" s="358"/>
      <c r="AE441" s="358"/>
      <c r="AF441" s="358"/>
      <c r="AG441" s="358"/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58"/>
      <c r="AX441" s="358"/>
      <c r="AY441" s="358"/>
      <c r="AZ441" s="358"/>
      <c r="BA441" s="358"/>
      <c r="BB441" s="358"/>
      <c r="BC441" s="358"/>
      <c r="BD441" s="358"/>
      <c r="BE441" s="358"/>
      <c r="BF441" s="358"/>
      <c r="BG441" s="358"/>
      <c r="BH441" s="358"/>
      <c r="BI441" s="358"/>
      <c r="BJ441" s="358"/>
      <c r="BK441" s="358"/>
      <c r="BL441" s="358"/>
      <c r="BM441" s="358"/>
      <c r="BN441" s="358"/>
      <c r="BO441" s="358"/>
      <c r="BP441" s="358"/>
      <c r="BQ441" s="358"/>
      <c r="BR441" s="358"/>
      <c r="BS441" s="358"/>
      <c r="BT441" s="358"/>
      <c r="BU441" s="358"/>
      <c r="BV441" s="358"/>
    </row>
    <row r="442" spans="2:74" x14ac:dyDescent="0.2">
      <c r="B442" s="358"/>
      <c r="D442" s="358"/>
      <c r="E442" s="358"/>
      <c r="F442" s="358"/>
      <c r="G442" s="358"/>
      <c r="H442" s="358"/>
      <c r="I442" s="358"/>
      <c r="J442" s="358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  <c r="AI442" s="358"/>
      <c r="AJ442" s="358"/>
      <c r="AK442" s="358"/>
      <c r="AL442" s="358"/>
      <c r="AM442" s="358"/>
      <c r="AN442" s="358"/>
      <c r="AO442" s="358"/>
      <c r="AP442" s="358"/>
      <c r="AQ442" s="358"/>
      <c r="AR442" s="358"/>
      <c r="AS442" s="358"/>
      <c r="AT442" s="358"/>
      <c r="AU442" s="358"/>
      <c r="AV442" s="358"/>
      <c r="AW442" s="358"/>
      <c r="AX442" s="358"/>
      <c r="AY442" s="358"/>
      <c r="AZ442" s="358"/>
      <c r="BA442" s="358"/>
      <c r="BB442" s="358"/>
      <c r="BC442" s="358"/>
      <c r="BD442" s="358"/>
      <c r="BE442" s="358"/>
      <c r="BF442" s="358"/>
      <c r="BG442" s="358"/>
      <c r="BH442" s="358"/>
      <c r="BI442" s="358"/>
      <c r="BJ442" s="358"/>
      <c r="BK442" s="358"/>
      <c r="BL442" s="358"/>
      <c r="BM442" s="358"/>
      <c r="BN442" s="358"/>
      <c r="BO442" s="358"/>
      <c r="BP442" s="358"/>
      <c r="BQ442" s="358"/>
      <c r="BR442" s="358"/>
      <c r="BS442" s="358"/>
      <c r="BT442" s="358"/>
      <c r="BU442" s="358"/>
      <c r="BV442" s="358"/>
    </row>
    <row r="443" spans="2:74" x14ac:dyDescent="0.2">
      <c r="B443" s="358"/>
      <c r="D443" s="358"/>
      <c r="E443" s="358"/>
      <c r="F443" s="358"/>
      <c r="G443" s="358"/>
      <c r="H443" s="358"/>
      <c r="I443" s="358"/>
      <c r="J443" s="358"/>
      <c r="K443" s="358"/>
      <c r="L443" s="358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  <c r="Y443" s="358"/>
      <c r="Z443" s="358"/>
      <c r="AA443" s="358"/>
      <c r="AB443" s="358"/>
      <c r="AC443" s="358"/>
      <c r="AD443" s="358"/>
      <c r="AE443" s="358"/>
      <c r="AF443" s="358"/>
      <c r="AG443" s="358"/>
      <c r="AH443" s="358"/>
      <c r="AI443" s="358"/>
      <c r="AJ443" s="358"/>
      <c r="AK443" s="358"/>
      <c r="AL443" s="358"/>
      <c r="AM443" s="358"/>
      <c r="AN443" s="358"/>
      <c r="AO443" s="358"/>
      <c r="AP443" s="358"/>
      <c r="AQ443" s="358"/>
      <c r="AR443" s="358"/>
      <c r="AS443" s="358"/>
      <c r="AT443" s="358"/>
      <c r="AU443" s="358"/>
      <c r="AV443" s="358"/>
      <c r="AW443" s="358"/>
      <c r="AX443" s="358"/>
      <c r="AY443" s="358"/>
      <c r="AZ443" s="358"/>
      <c r="BA443" s="358"/>
      <c r="BB443" s="358"/>
      <c r="BC443" s="358"/>
      <c r="BD443" s="358"/>
      <c r="BE443" s="358"/>
      <c r="BF443" s="358"/>
      <c r="BG443" s="358"/>
      <c r="BH443" s="358"/>
      <c r="BI443" s="358"/>
      <c r="BJ443" s="358"/>
      <c r="BK443" s="358"/>
      <c r="BL443" s="358"/>
      <c r="BM443" s="358"/>
      <c r="BN443" s="358"/>
      <c r="BO443" s="358"/>
      <c r="BP443" s="358"/>
      <c r="BQ443" s="358"/>
      <c r="BR443" s="358"/>
      <c r="BS443" s="358"/>
      <c r="BT443" s="358"/>
      <c r="BU443" s="358"/>
      <c r="BV443" s="358"/>
    </row>
    <row r="444" spans="2:74" x14ac:dyDescent="0.2">
      <c r="B444" s="358"/>
      <c r="D444" s="358"/>
      <c r="E444" s="358"/>
      <c r="F444" s="358"/>
      <c r="G444" s="358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  <c r="AI444" s="358"/>
      <c r="AJ444" s="358"/>
      <c r="AK444" s="358"/>
      <c r="AL444" s="358"/>
      <c r="AM444" s="358"/>
      <c r="AN444" s="358"/>
      <c r="AO444" s="358"/>
      <c r="AP444" s="358"/>
      <c r="AQ444" s="358"/>
      <c r="AR444" s="358"/>
      <c r="AS444" s="358"/>
      <c r="AT444" s="358"/>
      <c r="AU444" s="358"/>
      <c r="AV444" s="358"/>
      <c r="AW444" s="358"/>
      <c r="AX444" s="358"/>
      <c r="AY444" s="358"/>
      <c r="AZ444" s="358"/>
      <c r="BA444" s="358"/>
      <c r="BB444" s="358"/>
      <c r="BC444" s="358"/>
      <c r="BD444" s="358"/>
      <c r="BE444" s="358"/>
      <c r="BF444" s="358"/>
      <c r="BG444" s="358"/>
      <c r="BH444" s="358"/>
      <c r="BI444" s="358"/>
      <c r="BJ444" s="358"/>
      <c r="BK444" s="358"/>
      <c r="BL444" s="358"/>
      <c r="BM444" s="358"/>
      <c r="BN444" s="358"/>
      <c r="BO444" s="358"/>
      <c r="BP444" s="358"/>
      <c r="BQ444" s="358"/>
      <c r="BR444" s="358"/>
      <c r="BS444" s="358"/>
      <c r="BT444" s="358"/>
      <c r="BU444" s="358"/>
      <c r="BV444" s="358"/>
    </row>
    <row r="445" spans="2:74" x14ac:dyDescent="0.2">
      <c r="B445" s="358"/>
      <c r="D445" s="358"/>
      <c r="E445" s="358"/>
      <c r="F445" s="358"/>
      <c r="G445" s="358"/>
      <c r="H445" s="358"/>
      <c r="I445" s="358"/>
      <c r="J445" s="358"/>
      <c r="K445" s="358"/>
      <c r="L445" s="358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  <c r="Y445" s="358"/>
      <c r="Z445" s="358"/>
      <c r="AA445" s="358"/>
      <c r="AB445" s="358"/>
      <c r="AC445" s="358"/>
      <c r="AD445" s="358"/>
      <c r="AE445" s="358"/>
      <c r="AF445" s="358"/>
      <c r="AG445" s="358"/>
      <c r="AH445" s="358"/>
      <c r="AI445" s="358"/>
      <c r="AJ445" s="358"/>
      <c r="AK445" s="358"/>
      <c r="AL445" s="358"/>
      <c r="AM445" s="358"/>
      <c r="AN445" s="358"/>
      <c r="AO445" s="358"/>
      <c r="AP445" s="358"/>
      <c r="AQ445" s="358"/>
      <c r="AR445" s="358"/>
      <c r="AS445" s="358"/>
      <c r="AT445" s="358"/>
      <c r="AU445" s="358"/>
      <c r="AV445" s="358"/>
      <c r="AW445" s="358"/>
      <c r="AX445" s="358"/>
      <c r="AY445" s="358"/>
      <c r="AZ445" s="358"/>
      <c r="BA445" s="358"/>
      <c r="BB445" s="358"/>
      <c r="BC445" s="358"/>
      <c r="BD445" s="358"/>
      <c r="BE445" s="358"/>
      <c r="BF445" s="358"/>
      <c r="BG445" s="358"/>
      <c r="BH445" s="358"/>
      <c r="BI445" s="358"/>
      <c r="BJ445" s="358"/>
      <c r="BK445" s="358"/>
      <c r="BL445" s="358"/>
      <c r="BM445" s="358"/>
      <c r="BN445" s="358"/>
      <c r="BO445" s="358"/>
      <c r="BP445" s="358"/>
      <c r="BQ445" s="358"/>
      <c r="BR445" s="358"/>
      <c r="BS445" s="358"/>
      <c r="BT445" s="358"/>
      <c r="BU445" s="358"/>
      <c r="BV445" s="358"/>
    </row>
    <row r="446" spans="2:74" x14ac:dyDescent="0.2">
      <c r="B446" s="358"/>
      <c r="D446" s="358"/>
      <c r="E446" s="358"/>
      <c r="F446" s="358"/>
      <c r="G446" s="358"/>
      <c r="H446" s="358"/>
      <c r="I446" s="358"/>
      <c r="J446" s="358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  <c r="AI446" s="358"/>
      <c r="AJ446" s="358"/>
      <c r="AK446" s="358"/>
      <c r="AL446" s="358"/>
      <c r="AM446" s="358"/>
      <c r="AN446" s="358"/>
      <c r="AO446" s="358"/>
      <c r="AP446" s="358"/>
      <c r="AQ446" s="358"/>
      <c r="AR446" s="358"/>
      <c r="AS446" s="358"/>
      <c r="AT446" s="358"/>
      <c r="AU446" s="358"/>
      <c r="AV446" s="358"/>
      <c r="AW446" s="358"/>
      <c r="AX446" s="358"/>
      <c r="AY446" s="358"/>
      <c r="AZ446" s="358"/>
      <c r="BA446" s="358"/>
      <c r="BB446" s="358"/>
      <c r="BC446" s="358"/>
      <c r="BD446" s="358"/>
      <c r="BE446" s="358"/>
      <c r="BF446" s="358"/>
      <c r="BG446" s="358"/>
      <c r="BH446" s="358"/>
      <c r="BI446" s="358"/>
      <c r="BJ446" s="358"/>
      <c r="BK446" s="358"/>
      <c r="BL446" s="358"/>
      <c r="BM446" s="358"/>
      <c r="BN446" s="358"/>
      <c r="BO446" s="358"/>
      <c r="BP446" s="358"/>
      <c r="BQ446" s="358"/>
      <c r="BR446" s="358"/>
      <c r="BS446" s="358"/>
      <c r="BT446" s="358"/>
      <c r="BU446" s="358"/>
      <c r="BV446" s="358"/>
    </row>
    <row r="447" spans="2:74" x14ac:dyDescent="0.2">
      <c r="B447" s="358"/>
      <c r="D447" s="358"/>
      <c r="E447" s="358"/>
      <c r="F447" s="358"/>
      <c r="G447" s="358"/>
      <c r="H447" s="358"/>
      <c r="I447" s="358"/>
      <c r="J447" s="358"/>
      <c r="K447" s="358"/>
      <c r="L447" s="358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  <c r="Y447" s="358"/>
      <c r="Z447" s="358"/>
      <c r="AA447" s="358"/>
      <c r="AB447" s="358"/>
      <c r="AC447" s="358"/>
      <c r="AD447" s="358"/>
      <c r="AE447" s="358"/>
      <c r="AF447" s="358"/>
      <c r="AG447" s="358"/>
      <c r="AH447" s="358"/>
      <c r="AI447" s="358"/>
      <c r="AJ447" s="358"/>
      <c r="AK447" s="358"/>
      <c r="AL447" s="358"/>
      <c r="AM447" s="358"/>
      <c r="AN447" s="358"/>
      <c r="AO447" s="358"/>
      <c r="AP447" s="358"/>
      <c r="AQ447" s="358"/>
      <c r="AR447" s="358"/>
      <c r="AS447" s="358"/>
      <c r="AT447" s="358"/>
      <c r="AU447" s="358"/>
      <c r="AV447" s="358"/>
      <c r="AW447" s="358"/>
      <c r="AX447" s="358"/>
      <c r="AY447" s="358"/>
      <c r="AZ447" s="358"/>
      <c r="BA447" s="358"/>
      <c r="BB447" s="358"/>
      <c r="BC447" s="358"/>
      <c r="BD447" s="358"/>
      <c r="BE447" s="358"/>
      <c r="BF447" s="358"/>
      <c r="BG447" s="358"/>
      <c r="BH447" s="358"/>
      <c r="BI447" s="358"/>
      <c r="BJ447" s="358"/>
      <c r="BK447" s="358"/>
      <c r="BL447" s="358"/>
      <c r="BM447" s="358"/>
      <c r="BN447" s="358"/>
      <c r="BO447" s="358"/>
      <c r="BP447" s="358"/>
      <c r="BQ447" s="358"/>
      <c r="BR447" s="358"/>
      <c r="BS447" s="358"/>
      <c r="BT447" s="358"/>
      <c r="BU447" s="358"/>
      <c r="BV447" s="358"/>
    </row>
    <row r="448" spans="2:74" x14ac:dyDescent="0.2">
      <c r="B448" s="358"/>
      <c r="D448" s="358"/>
      <c r="E448" s="358"/>
      <c r="F448" s="358"/>
      <c r="G448" s="358"/>
      <c r="H448" s="358"/>
      <c r="I448" s="358"/>
      <c r="J448" s="358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  <c r="AI448" s="358"/>
      <c r="AJ448" s="358"/>
      <c r="AK448" s="358"/>
      <c r="AL448" s="358"/>
      <c r="AM448" s="358"/>
      <c r="AN448" s="358"/>
      <c r="AO448" s="358"/>
      <c r="AP448" s="358"/>
      <c r="AQ448" s="358"/>
      <c r="AR448" s="358"/>
      <c r="AS448" s="358"/>
      <c r="AT448" s="358"/>
      <c r="AU448" s="358"/>
      <c r="AV448" s="358"/>
      <c r="AW448" s="358"/>
      <c r="AX448" s="358"/>
      <c r="AY448" s="358"/>
      <c r="AZ448" s="358"/>
      <c r="BA448" s="358"/>
      <c r="BB448" s="358"/>
      <c r="BC448" s="358"/>
      <c r="BD448" s="358"/>
      <c r="BE448" s="358"/>
      <c r="BF448" s="358"/>
      <c r="BG448" s="358"/>
      <c r="BH448" s="358"/>
      <c r="BI448" s="358"/>
      <c r="BJ448" s="358"/>
      <c r="BK448" s="358"/>
      <c r="BL448" s="358"/>
      <c r="BM448" s="358"/>
      <c r="BN448" s="358"/>
      <c r="BO448" s="358"/>
      <c r="BP448" s="358"/>
      <c r="BQ448" s="358"/>
      <c r="BR448" s="358"/>
      <c r="BS448" s="358"/>
      <c r="BT448" s="358"/>
      <c r="BU448" s="358"/>
      <c r="BV448" s="358"/>
    </row>
    <row r="449" spans="2:74" x14ac:dyDescent="0.2">
      <c r="B449" s="358"/>
      <c r="D449" s="358"/>
      <c r="E449" s="358"/>
      <c r="F449" s="358"/>
      <c r="G449" s="358"/>
      <c r="H449" s="358"/>
      <c r="I449" s="358"/>
      <c r="J449" s="358"/>
      <c r="K449" s="358"/>
      <c r="L449" s="358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  <c r="Y449" s="358"/>
      <c r="Z449" s="358"/>
      <c r="AA449" s="358"/>
      <c r="AB449" s="358"/>
      <c r="AC449" s="358"/>
      <c r="AD449" s="358"/>
      <c r="AE449" s="358"/>
      <c r="AF449" s="358"/>
      <c r="AG449" s="358"/>
      <c r="AH449" s="358"/>
      <c r="AI449" s="358"/>
      <c r="AJ449" s="358"/>
      <c r="AK449" s="358"/>
      <c r="AL449" s="358"/>
      <c r="AM449" s="358"/>
      <c r="AN449" s="358"/>
      <c r="AO449" s="358"/>
      <c r="AP449" s="358"/>
      <c r="AQ449" s="358"/>
      <c r="AR449" s="358"/>
      <c r="AS449" s="358"/>
      <c r="AT449" s="358"/>
      <c r="AU449" s="358"/>
      <c r="AV449" s="358"/>
      <c r="AW449" s="358"/>
      <c r="AX449" s="358"/>
      <c r="AY449" s="358"/>
      <c r="AZ449" s="358"/>
      <c r="BA449" s="358"/>
      <c r="BB449" s="358"/>
      <c r="BC449" s="358"/>
      <c r="BD449" s="358"/>
      <c r="BE449" s="358"/>
      <c r="BF449" s="358"/>
      <c r="BG449" s="358"/>
      <c r="BH449" s="358"/>
      <c r="BI449" s="358"/>
      <c r="BJ449" s="358"/>
      <c r="BK449" s="358"/>
      <c r="BL449" s="358"/>
      <c r="BM449" s="358"/>
      <c r="BN449" s="358"/>
      <c r="BO449" s="358"/>
      <c r="BP449" s="358"/>
      <c r="BQ449" s="358"/>
      <c r="BR449" s="358"/>
      <c r="BS449" s="358"/>
      <c r="BT449" s="358"/>
      <c r="BU449" s="358"/>
      <c r="BV449" s="358"/>
    </row>
    <row r="450" spans="2:74" x14ac:dyDescent="0.2">
      <c r="B450" s="358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  <c r="AK450" s="358"/>
      <c r="AL450" s="358"/>
      <c r="AM450" s="358"/>
      <c r="AN450" s="358"/>
      <c r="AO450" s="358"/>
      <c r="AP450" s="358"/>
      <c r="AQ450" s="358"/>
      <c r="AR450" s="358"/>
      <c r="AS450" s="358"/>
      <c r="AT450" s="358"/>
      <c r="AU450" s="358"/>
      <c r="AV450" s="358"/>
      <c r="AW450" s="358"/>
      <c r="AX450" s="358"/>
      <c r="AY450" s="358"/>
      <c r="AZ450" s="358"/>
      <c r="BA450" s="358"/>
      <c r="BB450" s="358"/>
      <c r="BC450" s="358"/>
      <c r="BD450" s="358"/>
      <c r="BE450" s="358"/>
      <c r="BF450" s="358"/>
      <c r="BG450" s="358"/>
      <c r="BH450" s="358"/>
      <c r="BI450" s="358"/>
      <c r="BJ450" s="358"/>
      <c r="BK450" s="358"/>
      <c r="BL450" s="358"/>
      <c r="BM450" s="358"/>
      <c r="BN450" s="358"/>
      <c r="BO450" s="358"/>
      <c r="BP450" s="358"/>
      <c r="BQ450" s="358"/>
      <c r="BR450" s="358"/>
      <c r="BS450" s="358"/>
      <c r="BT450" s="358"/>
      <c r="BU450" s="358"/>
      <c r="BV450" s="358"/>
    </row>
    <row r="451" spans="2:74" x14ac:dyDescent="0.2">
      <c r="B451" s="358"/>
      <c r="D451" s="358"/>
      <c r="E451" s="358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  <c r="AA451" s="358"/>
      <c r="AB451" s="358"/>
      <c r="AC451" s="358"/>
      <c r="AD451" s="358"/>
      <c r="AE451" s="358"/>
      <c r="AF451" s="358"/>
      <c r="AG451" s="358"/>
      <c r="AH451" s="358"/>
      <c r="AI451" s="358"/>
      <c r="AJ451" s="358"/>
      <c r="AK451" s="358"/>
      <c r="AL451" s="358"/>
      <c r="AM451" s="358"/>
      <c r="AN451" s="358"/>
      <c r="AO451" s="358"/>
      <c r="AP451" s="358"/>
      <c r="AQ451" s="358"/>
      <c r="AR451" s="358"/>
      <c r="AS451" s="358"/>
      <c r="AT451" s="358"/>
      <c r="AU451" s="358"/>
      <c r="AV451" s="358"/>
      <c r="AW451" s="358"/>
      <c r="AX451" s="358"/>
      <c r="AY451" s="358"/>
      <c r="AZ451" s="358"/>
      <c r="BA451" s="358"/>
      <c r="BB451" s="358"/>
      <c r="BC451" s="358"/>
      <c r="BD451" s="358"/>
      <c r="BE451" s="358"/>
      <c r="BF451" s="358"/>
      <c r="BG451" s="358"/>
      <c r="BH451" s="358"/>
      <c r="BI451" s="358"/>
      <c r="BJ451" s="358"/>
      <c r="BK451" s="358"/>
      <c r="BL451" s="358"/>
      <c r="BM451" s="358"/>
      <c r="BN451" s="358"/>
      <c r="BO451" s="358"/>
      <c r="BP451" s="358"/>
      <c r="BQ451" s="358"/>
      <c r="BR451" s="358"/>
      <c r="BS451" s="358"/>
      <c r="BT451" s="358"/>
      <c r="BU451" s="358"/>
      <c r="BV451" s="358"/>
    </row>
    <row r="452" spans="2:74" x14ac:dyDescent="0.2">
      <c r="B452" s="358"/>
      <c r="D452" s="358"/>
      <c r="E452" s="358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  <c r="AI452" s="358"/>
      <c r="AJ452" s="358"/>
      <c r="AK452" s="358"/>
      <c r="AL452" s="358"/>
      <c r="AM452" s="358"/>
      <c r="AN452" s="358"/>
      <c r="AO452" s="358"/>
      <c r="AP452" s="358"/>
      <c r="AQ452" s="358"/>
      <c r="AR452" s="358"/>
      <c r="AS452" s="358"/>
      <c r="AT452" s="358"/>
      <c r="AU452" s="358"/>
      <c r="AV452" s="358"/>
      <c r="AW452" s="358"/>
      <c r="AX452" s="358"/>
      <c r="AY452" s="358"/>
      <c r="AZ452" s="358"/>
      <c r="BA452" s="358"/>
      <c r="BB452" s="358"/>
      <c r="BC452" s="358"/>
      <c r="BD452" s="358"/>
      <c r="BE452" s="358"/>
      <c r="BF452" s="358"/>
      <c r="BG452" s="358"/>
      <c r="BH452" s="358"/>
      <c r="BI452" s="358"/>
      <c r="BJ452" s="358"/>
      <c r="BK452" s="358"/>
      <c r="BL452" s="358"/>
      <c r="BM452" s="358"/>
      <c r="BN452" s="358"/>
      <c r="BO452" s="358"/>
      <c r="BP452" s="358"/>
      <c r="BQ452" s="358"/>
      <c r="BR452" s="358"/>
      <c r="BS452" s="358"/>
      <c r="BT452" s="358"/>
      <c r="BU452" s="358"/>
      <c r="BV452" s="358"/>
    </row>
    <row r="453" spans="2:74" x14ac:dyDescent="0.2">
      <c r="B453" s="358"/>
      <c r="D453" s="358"/>
      <c r="E453" s="358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  <c r="AA453" s="358"/>
      <c r="AB453" s="358"/>
      <c r="AC453" s="358"/>
      <c r="AD453" s="358"/>
      <c r="AE453" s="358"/>
      <c r="AF453" s="358"/>
      <c r="AG453" s="358"/>
      <c r="AH453" s="358"/>
      <c r="AI453" s="358"/>
      <c r="AJ453" s="358"/>
      <c r="AK453" s="358"/>
      <c r="AL453" s="358"/>
      <c r="AM453" s="358"/>
      <c r="AN453" s="358"/>
      <c r="AO453" s="358"/>
      <c r="AP453" s="358"/>
      <c r="AQ453" s="358"/>
      <c r="AR453" s="358"/>
      <c r="AS453" s="358"/>
      <c r="AT453" s="358"/>
      <c r="AU453" s="358"/>
      <c r="AV453" s="358"/>
      <c r="AW453" s="358"/>
      <c r="AX453" s="358"/>
      <c r="AY453" s="358"/>
      <c r="AZ453" s="358"/>
      <c r="BA453" s="358"/>
      <c r="BB453" s="358"/>
      <c r="BC453" s="358"/>
      <c r="BD453" s="358"/>
      <c r="BE453" s="358"/>
      <c r="BF453" s="358"/>
      <c r="BG453" s="358"/>
      <c r="BH453" s="358"/>
      <c r="BI453" s="358"/>
      <c r="BJ453" s="358"/>
      <c r="BK453" s="358"/>
      <c r="BL453" s="358"/>
      <c r="BM453" s="358"/>
      <c r="BN453" s="358"/>
      <c r="BO453" s="358"/>
      <c r="BP453" s="358"/>
      <c r="BQ453" s="358"/>
      <c r="BR453" s="358"/>
      <c r="BS453" s="358"/>
      <c r="BT453" s="358"/>
      <c r="BU453" s="358"/>
      <c r="BV453" s="358"/>
    </row>
    <row r="454" spans="2:74" x14ac:dyDescent="0.2">
      <c r="B454" s="358"/>
      <c r="D454" s="358"/>
      <c r="E454" s="358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  <c r="AI454" s="358"/>
      <c r="AJ454" s="358"/>
      <c r="AK454" s="358"/>
      <c r="AL454" s="358"/>
      <c r="AM454" s="358"/>
      <c r="AN454" s="358"/>
      <c r="AO454" s="358"/>
      <c r="AP454" s="358"/>
      <c r="AQ454" s="358"/>
      <c r="AR454" s="358"/>
      <c r="AS454" s="358"/>
      <c r="AT454" s="358"/>
      <c r="AU454" s="358"/>
      <c r="AV454" s="358"/>
      <c r="AW454" s="358"/>
      <c r="AX454" s="358"/>
      <c r="AY454" s="358"/>
      <c r="AZ454" s="358"/>
      <c r="BA454" s="358"/>
      <c r="BB454" s="358"/>
      <c r="BC454" s="358"/>
      <c r="BD454" s="358"/>
      <c r="BE454" s="358"/>
      <c r="BF454" s="358"/>
      <c r="BG454" s="358"/>
      <c r="BH454" s="358"/>
      <c r="BI454" s="358"/>
      <c r="BJ454" s="358"/>
      <c r="BK454" s="358"/>
      <c r="BL454" s="358"/>
      <c r="BM454" s="358"/>
      <c r="BN454" s="358"/>
      <c r="BO454" s="358"/>
      <c r="BP454" s="358"/>
      <c r="BQ454" s="358"/>
      <c r="BR454" s="358"/>
      <c r="BS454" s="358"/>
      <c r="BT454" s="358"/>
      <c r="BU454" s="358"/>
      <c r="BV454" s="358"/>
    </row>
    <row r="455" spans="2:74" x14ac:dyDescent="0.2">
      <c r="B455" s="358"/>
      <c r="D455" s="358"/>
      <c r="E455" s="358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  <c r="AA455" s="358"/>
      <c r="AB455" s="358"/>
      <c r="AC455" s="358"/>
      <c r="AD455" s="358"/>
      <c r="AE455" s="358"/>
      <c r="AF455" s="358"/>
      <c r="AG455" s="358"/>
      <c r="AH455" s="358"/>
      <c r="AI455" s="358"/>
      <c r="AJ455" s="358"/>
      <c r="AK455" s="358"/>
      <c r="AL455" s="358"/>
      <c r="AM455" s="358"/>
      <c r="AN455" s="358"/>
      <c r="AO455" s="358"/>
      <c r="AP455" s="358"/>
      <c r="AQ455" s="358"/>
      <c r="AR455" s="358"/>
      <c r="AS455" s="358"/>
      <c r="AT455" s="358"/>
      <c r="AU455" s="358"/>
      <c r="AV455" s="358"/>
      <c r="AW455" s="358"/>
      <c r="AX455" s="358"/>
      <c r="AY455" s="358"/>
      <c r="AZ455" s="358"/>
      <c r="BA455" s="358"/>
      <c r="BB455" s="358"/>
      <c r="BC455" s="358"/>
      <c r="BD455" s="358"/>
      <c r="BE455" s="358"/>
      <c r="BF455" s="358"/>
      <c r="BG455" s="358"/>
      <c r="BH455" s="358"/>
      <c r="BI455" s="358"/>
      <c r="BJ455" s="358"/>
      <c r="BK455" s="358"/>
      <c r="BL455" s="358"/>
      <c r="BM455" s="358"/>
      <c r="BN455" s="358"/>
      <c r="BO455" s="358"/>
      <c r="BP455" s="358"/>
      <c r="BQ455" s="358"/>
      <c r="BR455" s="358"/>
      <c r="BS455" s="358"/>
      <c r="BT455" s="358"/>
      <c r="BU455" s="358"/>
      <c r="BV455" s="358"/>
    </row>
    <row r="456" spans="2:74" x14ac:dyDescent="0.2">
      <c r="B456" s="358"/>
      <c r="D456" s="358"/>
      <c r="E456" s="358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  <c r="AI456" s="358"/>
      <c r="AJ456" s="358"/>
      <c r="AK456" s="358"/>
      <c r="AL456" s="358"/>
      <c r="AM456" s="358"/>
      <c r="AN456" s="358"/>
      <c r="AO456" s="358"/>
      <c r="AP456" s="358"/>
      <c r="AQ456" s="358"/>
      <c r="AR456" s="358"/>
      <c r="AS456" s="358"/>
      <c r="AT456" s="358"/>
      <c r="AU456" s="358"/>
      <c r="AV456" s="358"/>
      <c r="AW456" s="358"/>
      <c r="AX456" s="358"/>
      <c r="AY456" s="358"/>
      <c r="AZ456" s="358"/>
      <c r="BA456" s="358"/>
      <c r="BB456" s="358"/>
      <c r="BC456" s="358"/>
      <c r="BD456" s="358"/>
      <c r="BE456" s="358"/>
      <c r="BF456" s="358"/>
      <c r="BG456" s="358"/>
      <c r="BH456" s="358"/>
      <c r="BI456" s="358"/>
      <c r="BJ456" s="358"/>
      <c r="BK456" s="358"/>
      <c r="BL456" s="358"/>
      <c r="BM456" s="358"/>
      <c r="BN456" s="358"/>
      <c r="BO456" s="358"/>
      <c r="BP456" s="358"/>
      <c r="BQ456" s="358"/>
      <c r="BR456" s="358"/>
      <c r="BS456" s="358"/>
      <c r="BT456" s="358"/>
      <c r="BU456" s="358"/>
      <c r="BV456" s="358"/>
    </row>
    <row r="457" spans="2:74" x14ac:dyDescent="0.2">
      <c r="B457" s="358"/>
      <c r="D457" s="358"/>
      <c r="E457" s="358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  <c r="AA457" s="358"/>
      <c r="AB457" s="358"/>
      <c r="AC457" s="358"/>
      <c r="AD457" s="358"/>
      <c r="AE457" s="358"/>
      <c r="AF457" s="358"/>
      <c r="AG457" s="358"/>
      <c r="AH457" s="358"/>
      <c r="AI457" s="358"/>
      <c r="AJ457" s="358"/>
      <c r="AK457" s="358"/>
      <c r="AL457" s="358"/>
      <c r="AM457" s="358"/>
      <c r="AN457" s="358"/>
      <c r="AO457" s="358"/>
      <c r="AP457" s="358"/>
      <c r="AQ457" s="358"/>
      <c r="AR457" s="358"/>
      <c r="AS457" s="358"/>
      <c r="AT457" s="358"/>
      <c r="AU457" s="358"/>
      <c r="AV457" s="358"/>
      <c r="AW457" s="358"/>
      <c r="AX457" s="358"/>
      <c r="AY457" s="358"/>
      <c r="AZ457" s="358"/>
      <c r="BA457" s="358"/>
      <c r="BB457" s="358"/>
      <c r="BC457" s="358"/>
      <c r="BD457" s="358"/>
      <c r="BE457" s="358"/>
      <c r="BF457" s="358"/>
      <c r="BG457" s="358"/>
      <c r="BH457" s="358"/>
      <c r="BI457" s="358"/>
      <c r="BJ457" s="358"/>
      <c r="BK457" s="358"/>
      <c r="BL457" s="358"/>
      <c r="BM457" s="358"/>
      <c r="BN457" s="358"/>
      <c r="BO457" s="358"/>
      <c r="BP457" s="358"/>
      <c r="BQ457" s="358"/>
      <c r="BR457" s="358"/>
      <c r="BS457" s="358"/>
      <c r="BT457" s="358"/>
      <c r="BU457" s="358"/>
      <c r="BV457" s="358"/>
    </row>
    <row r="458" spans="2:74" x14ac:dyDescent="0.2">
      <c r="B458" s="358"/>
      <c r="D458" s="358"/>
      <c r="E458" s="358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  <c r="AI458" s="358"/>
      <c r="AJ458" s="358"/>
      <c r="AK458" s="358"/>
      <c r="AL458" s="358"/>
      <c r="AM458" s="358"/>
      <c r="AN458" s="358"/>
      <c r="AO458" s="358"/>
      <c r="AP458" s="358"/>
      <c r="AQ458" s="358"/>
      <c r="AR458" s="358"/>
      <c r="AS458" s="358"/>
      <c r="AT458" s="358"/>
      <c r="AU458" s="358"/>
      <c r="AV458" s="358"/>
      <c r="AW458" s="358"/>
      <c r="AX458" s="358"/>
      <c r="AY458" s="358"/>
      <c r="AZ458" s="358"/>
      <c r="BA458" s="358"/>
      <c r="BB458" s="358"/>
      <c r="BC458" s="358"/>
      <c r="BD458" s="358"/>
      <c r="BE458" s="358"/>
      <c r="BF458" s="358"/>
      <c r="BG458" s="358"/>
      <c r="BH458" s="358"/>
      <c r="BI458" s="358"/>
      <c r="BJ458" s="358"/>
      <c r="BK458" s="358"/>
      <c r="BL458" s="358"/>
      <c r="BM458" s="358"/>
      <c r="BN458" s="358"/>
      <c r="BO458" s="358"/>
      <c r="BP458" s="358"/>
      <c r="BQ458" s="358"/>
      <c r="BR458" s="358"/>
      <c r="BS458" s="358"/>
      <c r="BT458" s="358"/>
      <c r="BU458" s="358"/>
      <c r="BV458" s="358"/>
    </row>
    <row r="459" spans="2:74" x14ac:dyDescent="0.2">
      <c r="B459" s="358"/>
      <c r="D459" s="358"/>
      <c r="E459" s="358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  <c r="AA459" s="358"/>
      <c r="AB459" s="358"/>
      <c r="AC459" s="358"/>
      <c r="AD459" s="358"/>
      <c r="AE459" s="358"/>
      <c r="AF459" s="358"/>
      <c r="AG459" s="358"/>
      <c r="AH459" s="358"/>
      <c r="AI459" s="358"/>
      <c r="AJ459" s="358"/>
      <c r="AK459" s="358"/>
      <c r="AL459" s="358"/>
      <c r="AM459" s="358"/>
      <c r="AN459" s="358"/>
      <c r="AO459" s="358"/>
      <c r="AP459" s="358"/>
      <c r="AQ459" s="358"/>
      <c r="AR459" s="358"/>
      <c r="AS459" s="358"/>
      <c r="AT459" s="358"/>
      <c r="AU459" s="358"/>
      <c r="AV459" s="358"/>
      <c r="AW459" s="358"/>
      <c r="AX459" s="358"/>
      <c r="AY459" s="358"/>
      <c r="AZ459" s="358"/>
      <c r="BA459" s="358"/>
      <c r="BB459" s="358"/>
      <c r="BC459" s="358"/>
      <c r="BD459" s="358"/>
      <c r="BE459" s="358"/>
      <c r="BF459" s="358"/>
      <c r="BG459" s="358"/>
      <c r="BH459" s="358"/>
      <c r="BI459" s="358"/>
      <c r="BJ459" s="358"/>
      <c r="BK459" s="358"/>
      <c r="BL459" s="358"/>
      <c r="BM459" s="358"/>
      <c r="BN459" s="358"/>
      <c r="BO459" s="358"/>
      <c r="BP459" s="358"/>
      <c r="BQ459" s="358"/>
      <c r="BR459" s="358"/>
      <c r="BS459" s="358"/>
      <c r="BT459" s="358"/>
      <c r="BU459" s="358"/>
      <c r="BV459" s="358"/>
    </row>
    <row r="460" spans="2:74" x14ac:dyDescent="0.2">
      <c r="B460" s="358"/>
      <c r="D460" s="358"/>
      <c r="E460" s="358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  <c r="AI460" s="358"/>
      <c r="AJ460" s="358"/>
      <c r="AK460" s="358"/>
      <c r="AL460" s="358"/>
      <c r="AM460" s="358"/>
      <c r="AN460" s="358"/>
      <c r="AO460" s="358"/>
      <c r="AP460" s="358"/>
      <c r="AQ460" s="358"/>
      <c r="AR460" s="358"/>
      <c r="AS460" s="358"/>
      <c r="AT460" s="358"/>
      <c r="AU460" s="358"/>
      <c r="AV460" s="358"/>
      <c r="AW460" s="358"/>
      <c r="AX460" s="358"/>
      <c r="AY460" s="358"/>
      <c r="AZ460" s="358"/>
      <c r="BA460" s="358"/>
      <c r="BB460" s="358"/>
      <c r="BC460" s="358"/>
      <c r="BD460" s="358"/>
      <c r="BE460" s="358"/>
      <c r="BF460" s="358"/>
      <c r="BG460" s="358"/>
      <c r="BH460" s="358"/>
      <c r="BI460" s="358"/>
      <c r="BJ460" s="358"/>
      <c r="BK460" s="358"/>
      <c r="BL460" s="358"/>
      <c r="BM460" s="358"/>
      <c r="BN460" s="358"/>
      <c r="BO460" s="358"/>
      <c r="BP460" s="358"/>
      <c r="BQ460" s="358"/>
      <c r="BR460" s="358"/>
      <c r="BS460" s="358"/>
      <c r="BT460" s="358"/>
      <c r="BU460" s="358"/>
      <c r="BV460" s="358"/>
    </row>
    <row r="461" spans="2:74" x14ac:dyDescent="0.2">
      <c r="B461" s="358"/>
      <c r="D461" s="358"/>
      <c r="E461" s="358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  <c r="AA461" s="358"/>
      <c r="AB461" s="358"/>
      <c r="AC461" s="358"/>
      <c r="AD461" s="358"/>
      <c r="AE461" s="358"/>
      <c r="AF461" s="358"/>
      <c r="AG461" s="358"/>
      <c r="AH461" s="358"/>
      <c r="AI461" s="358"/>
      <c r="AJ461" s="358"/>
      <c r="AK461" s="358"/>
      <c r="AL461" s="358"/>
      <c r="AM461" s="358"/>
      <c r="AN461" s="358"/>
      <c r="AO461" s="358"/>
      <c r="AP461" s="358"/>
      <c r="AQ461" s="358"/>
      <c r="AR461" s="358"/>
      <c r="AS461" s="358"/>
      <c r="AT461" s="358"/>
      <c r="AU461" s="358"/>
      <c r="AV461" s="358"/>
      <c r="AW461" s="358"/>
      <c r="AX461" s="358"/>
      <c r="AY461" s="358"/>
      <c r="AZ461" s="358"/>
      <c r="BA461" s="358"/>
      <c r="BB461" s="358"/>
      <c r="BC461" s="358"/>
      <c r="BD461" s="358"/>
      <c r="BE461" s="358"/>
      <c r="BF461" s="358"/>
      <c r="BG461" s="358"/>
      <c r="BH461" s="358"/>
      <c r="BI461" s="358"/>
      <c r="BJ461" s="358"/>
      <c r="BK461" s="358"/>
      <c r="BL461" s="358"/>
      <c r="BM461" s="358"/>
      <c r="BN461" s="358"/>
      <c r="BO461" s="358"/>
      <c r="BP461" s="358"/>
      <c r="BQ461" s="358"/>
      <c r="BR461" s="358"/>
      <c r="BS461" s="358"/>
      <c r="BT461" s="358"/>
      <c r="BU461" s="358"/>
      <c r="BV461" s="358"/>
    </row>
    <row r="462" spans="2:74" x14ac:dyDescent="0.2">
      <c r="B462" s="358"/>
      <c r="D462" s="358"/>
      <c r="E462" s="358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  <c r="AK462" s="358"/>
      <c r="AL462" s="358"/>
      <c r="AM462" s="358"/>
      <c r="AN462" s="358"/>
      <c r="AO462" s="358"/>
      <c r="AP462" s="358"/>
      <c r="AQ462" s="358"/>
      <c r="AR462" s="358"/>
      <c r="AS462" s="358"/>
      <c r="AT462" s="358"/>
      <c r="AU462" s="358"/>
      <c r="AV462" s="358"/>
      <c r="AW462" s="358"/>
      <c r="AX462" s="358"/>
      <c r="AY462" s="358"/>
      <c r="AZ462" s="358"/>
      <c r="BA462" s="358"/>
      <c r="BB462" s="358"/>
      <c r="BC462" s="358"/>
      <c r="BD462" s="358"/>
      <c r="BE462" s="358"/>
      <c r="BF462" s="358"/>
      <c r="BG462" s="358"/>
      <c r="BH462" s="358"/>
      <c r="BI462" s="358"/>
      <c r="BJ462" s="358"/>
      <c r="BK462" s="358"/>
      <c r="BL462" s="358"/>
      <c r="BM462" s="358"/>
      <c r="BN462" s="358"/>
      <c r="BO462" s="358"/>
      <c r="BP462" s="358"/>
      <c r="BQ462" s="358"/>
      <c r="BR462" s="358"/>
      <c r="BS462" s="358"/>
      <c r="BT462" s="358"/>
      <c r="BU462" s="358"/>
      <c r="BV462" s="358"/>
    </row>
    <row r="463" spans="2:74" x14ac:dyDescent="0.2">
      <c r="B463" s="358"/>
      <c r="D463" s="358"/>
      <c r="E463" s="358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  <c r="AA463" s="358"/>
      <c r="AB463" s="358"/>
      <c r="AC463" s="358"/>
      <c r="AD463" s="358"/>
      <c r="AE463" s="358"/>
      <c r="AF463" s="358"/>
      <c r="AG463" s="358"/>
      <c r="AH463" s="358"/>
      <c r="AI463" s="358"/>
      <c r="AJ463" s="358"/>
      <c r="AK463" s="358"/>
      <c r="AL463" s="358"/>
      <c r="AM463" s="358"/>
      <c r="AN463" s="358"/>
      <c r="AO463" s="358"/>
      <c r="AP463" s="358"/>
      <c r="AQ463" s="358"/>
      <c r="AR463" s="358"/>
      <c r="AS463" s="358"/>
      <c r="AT463" s="358"/>
      <c r="AU463" s="358"/>
      <c r="AV463" s="358"/>
      <c r="AW463" s="358"/>
      <c r="AX463" s="358"/>
      <c r="AY463" s="358"/>
      <c r="AZ463" s="358"/>
      <c r="BA463" s="358"/>
      <c r="BB463" s="358"/>
      <c r="BC463" s="358"/>
      <c r="BD463" s="358"/>
      <c r="BE463" s="358"/>
      <c r="BF463" s="358"/>
      <c r="BG463" s="358"/>
      <c r="BH463" s="358"/>
      <c r="BI463" s="358"/>
      <c r="BJ463" s="358"/>
      <c r="BK463" s="358"/>
      <c r="BL463" s="358"/>
      <c r="BM463" s="358"/>
      <c r="BN463" s="358"/>
      <c r="BO463" s="358"/>
      <c r="BP463" s="358"/>
      <c r="BQ463" s="358"/>
      <c r="BR463" s="358"/>
      <c r="BS463" s="358"/>
      <c r="BT463" s="358"/>
      <c r="BU463" s="358"/>
      <c r="BV463" s="358"/>
    </row>
    <row r="464" spans="2:74" x14ac:dyDescent="0.2">
      <c r="B464" s="358"/>
      <c r="D464" s="358"/>
      <c r="E464" s="358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  <c r="AK464" s="358"/>
      <c r="AL464" s="358"/>
      <c r="AM464" s="358"/>
      <c r="AN464" s="358"/>
      <c r="AO464" s="358"/>
      <c r="AP464" s="358"/>
      <c r="AQ464" s="358"/>
      <c r="AR464" s="358"/>
      <c r="AS464" s="358"/>
      <c r="AT464" s="358"/>
      <c r="AU464" s="358"/>
      <c r="AV464" s="358"/>
      <c r="AW464" s="358"/>
      <c r="AX464" s="358"/>
      <c r="AY464" s="358"/>
      <c r="AZ464" s="358"/>
      <c r="BA464" s="358"/>
      <c r="BB464" s="358"/>
      <c r="BC464" s="358"/>
      <c r="BD464" s="358"/>
      <c r="BE464" s="358"/>
      <c r="BF464" s="358"/>
      <c r="BG464" s="358"/>
      <c r="BH464" s="358"/>
      <c r="BI464" s="358"/>
      <c r="BJ464" s="358"/>
      <c r="BK464" s="358"/>
      <c r="BL464" s="358"/>
      <c r="BM464" s="358"/>
      <c r="BN464" s="358"/>
      <c r="BO464" s="358"/>
      <c r="BP464" s="358"/>
      <c r="BQ464" s="358"/>
      <c r="BR464" s="358"/>
      <c r="BS464" s="358"/>
      <c r="BT464" s="358"/>
      <c r="BU464" s="358"/>
      <c r="BV464" s="358"/>
    </row>
    <row r="465" spans="2:74" x14ac:dyDescent="0.2">
      <c r="B465" s="358"/>
      <c r="D465" s="358"/>
      <c r="E465" s="358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  <c r="AA465" s="358"/>
      <c r="AB465" s="358"/>
      <c r="AC465" s="358"/>
      <c r="AD465" s="358"/>
      <c r="AE465" s="358"/>
      <c r="AF465" s="358"/>
      <c r="AG465" s="358"/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58"/>
      <c r="AX465" s="358"/>
      <c r="AY465" s="358"/>
      <c r="AZ465" s="358"/>
      <c r="BA465" s="358"/>
      <c r="BB465" s="358"/>
      <c r="BC465" s="358"/>
      <c r="BD465" s="358"/>
      <c r="BE465" s="358"/>
      <c r="BF465" s="358"/>
      <c r="BG465" s="358"/>
      <c r="BH465" s="358"/>
      <c r="BI465" s="358"/>
      <c r="BJ465" s="358"/>
      <c r="BK465" s="358"/>
      <c r="BL465" s="358"/>
      <c r="BM465" s="358"/>
      <c r="BN465" s="358"/>
      <c r="BO465" s="358"/>
      <c r="BP465" s="358"/>
      <c r="BQ465" s="358"/>
      <c r="BR465" s="358"/>
      <c r="BS465" s="358"/>
      <c r="BT465" s="358"/>
      <c r="BU465" s="358"/>
      <c r="BV465" s="358"/>
    </row>
    <row r="466" spans="2:74" x14ac:dyDescent="0.2">
      <c r="B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  <c r="AK466" s="358"/>
      <c r="AL466" s="358"/>
      <c r="AM466" s="358"/>
      <c r="AN466" s="358"/>
      <c r="AO466" s="358"/>
      <c r="AP466" s="358"/>
      <c r="AQ466" s="358"/>
      <c r="AR466" s="358"/>
      <c r="AS466" s="358"/>
      <c r="AT466" s="358"/>
      <c r="AU466" s="358"/>
      <c r="AV466" s="358"/>
      <c r="AW466" s="358"/>
      <c r="AX466" s="358"/>
      <c r="AY466" s="358"/>
      <c r="AZ466" s="358"/>
      <c r="BA466" s="358"/>
      <c r="BB466" s="358"/>
      <c r="BC466" s="358"/>
      <c r="BD466" s="358"/>
      <c r="BE466" s="358"/>
      <c r="BF466" s="358"/>
      <c r="BG466" s="358"/>
      <c r="BH466" s="358"/>
      <c r="BI466" s="358"/>
      <c r="BJ466" s="358"/>
      <c r="BK466" s="358"/>
      <c r="BL466" s="358"/>
      <c r="BM466" s="358"/>
      <c r="BN466" s="358"/>
      <c r="BO466" s="358"/>
      <c r="BP466" s="358"/>
      <c r="BQ466" s="358"/>
      <c r="BR466" s="358"/>
      <c r="BS466" s="358"/>
      <c r="BT466" s="358"/>
      <c r="BU466" s="358"/>
      <c r="BV466" s="358"/>
    </row>
    <row r="467" spans="2:74" x14ac:dyDescent="0.2">
      <c r="B467" s="358"/>
      <c r="D467" s="358"/>
      <c r="E467" s="358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  <c r="AA467" s="358"/>
      <c r="AB467" s="358"/>
      <c r="AC467" s="358"/>
      <c r="AD467" s="358"/>
      <c r="AE467" s="358"/>
      <c r="AF467" s="358"/>
      <c r="AG467" s="358"/>
      <c r="AH467" s="358"/>
      <c r="AI467" s="358"/>
      <c r="AJ467" s="358"/>
      <c r="AK467" s="358"/>
      <c r="AL467" s="358"/>
      <c r="AM467" s="358"/>
      <c r="AN467" s="358"/>
      <c r="AO467" s="358"/>
      <c r="AP467" s="358"/>
      <c r="AQ467" s="358"/>
      <c r="AR467" s="358"/>
      <c r="AS467" s="358"/>
      <c r="AT467" s="358"/>
      <c r="AU467" s="358"/>
      <c r="AV467" s="358"/>
      <c r="AW467" s="358"/>
      <c r="AX467" s="358"/>
      <c r="AY467" s="358"/>
      <c r="AZ467" s="358"/>
      <c r="BA467" s="358"/>
      <c r="BB467" s="358"/>
      <c r="BC467" s="358"/>
      <c r="BD467" s="358"/>
      <c r="BE467" s="358"/>
      <c r="BF467" s="358"/>
      <c r="BG467" s="358"/>
      <c r="BH467" s="358"/>
      <c r="BI467" s="358"/>
      <c r="BJ467" s="358"/>
      <c r="BK467" s="358"/>
      <c r="BL467" s="358"/>
      <c r="BM467" s="358"/>
      <c r="BN467" s="358"/>
      <c r="BO467" s="358"/>
      <c r="BP467" s="358"/>
      <c r="BQ467" s="358"/>
      <c r="BR467" s="358"/>
      <c r="BS467" s="358"/>
      <c r="BT467" s="358"/>
      <c r="BU467" s="358"/>
      <c r="BV467" s="358"/>
    </row>
    <row r="468" spans="2:74" x14ac:dyDescent="0.2">
      <c r="B468" s="358"/>
      <c r="D468" s="358"/>
      <c r="E468" s="358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  <c r="AI468" s="358"/>
      <c r="AJ468" s="358"/>
      <c r="AK468" s="358"/>
      <c r="AL468" s="358"/>
      <c r="AM468" s="358"/>
      <c r="AN468" s="358"/>
      <c r="AO468" s="358"/>
      <c r="AP468" s="358"/>
      <c r="AQ468" s="358"/>
      <c r="AR468" s="358"/>
      <c r="AS468" s="358"/>
      <c r="AT468" s="358"/>
      <c r="AU468" s="358"/>
      <c r="AV468" s="358"/>
      <c r="AW468" s="358"/>
      <c r="AX468" s="358"/>
      <c r="AY468" s="358"/>
      <c r="AZ468" s="358"/>
      <c r="BA468" s="358"/>
      <c r="BB468" s="358"/>
      <c r="BC468" s="358"/>
      <c r="BD468" s="358"/>
      <c r="BE468" s="358"/>
      <c r="BF468" s="358"/>
      <c r="BG468" s="358"/>
      <c r="BH468" s="358"/>
      <c r="BI468" s="358"/>
      <c r="BJ468" s="358"/>
      <c r="BK468" s="358"/>
      <c r="BL468" s="358"/>
      <c r="BM468" s="358"/>
      <c r="BN468" s="358"/>
      <c r="BO468" s="358"/>
      <c r="BP468" s="358"/>
      <c r="BQ468" s="358"/>
      <c r="BR468" s="358"/>
      <c r="BS468" s="358"/>
      <c r="BT468" s="358"/>
      <c r="BU468" s="358"/>
      <c r="BV468" s="358"/>
    </row>
    <row r="469" spans="2:74" x14ac:dyDescent="0.2">
      <c r="B469" s="358"/>
      <c r="D469" s="358"/>
      <c r="E469" s="358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  <c r="AA469" s="358"/>
      <c r="AB469" s="358"/>
      <c r="AC469" s="358"/>
      <c r="AD469" s="358"/>
      <c r="AE469" s="358"/>
      <c r="AF469" s="358"/>
      <c r="AG469" s="358"/>
      <c r="AH469" s="358"/>
      <c r="AI469" s="358"/>
      <c r="AJ469" s="358"/>
      <c r="AK469" s="358"/>
      <c r="AL469" s="358"/>
      <c r="AM469" s="358"/>
      <c r="AN469" s="358"/>
      <c r="AO469" s="358"/>
      <c r="AP469" s="358"/>
      <c r="AQ469" s="358"/>
      <c r="AR469" s="358"/>
      <c r="AS469" s="358"/>
      <c r="AT469" s="358"/>
      <c r="AU469" s="358"/>
      <c r="AV469" s="358"/>
      <c r="AW469" s="358"/>
      <c r="AX469" s="358"/>
      <c r="AY469" s="358"/>
      <c r="AZ469" s="358"/>
      <c r="BA469" s="358"/>
      <c r="BB469" s="358"/>
      <c r="BC469" s="358"/>
      <c r="BD469" s="358"/>
      <c r="BE469" s="358"/>
      <c r="BF469" s="358"/>
      <c r="BG469" s="358"/>
      <c r="BH469" s="358"/>
      <c r="BI469" s="358"/>
      <c r="BJ469" s="358"/>
      <c r="BK469" s="358"/>
      <c r="BL469" s="358"/>
      <c r="BM469" s="358"/>
      <c r="BN469" s="358"/>
      <c r="BO469" s="358"/>
      <c r="BP469" s="358"/>
      <c r="BQ469" s="358"/>
      <c r="BR469" s="358"/>
      <c r="BS469" s="358"/>
      <c r="BT469" s="358"/>
      <c r="BU469" s="358"/>
      <c r="BV469" s="358"/>
    </row>
    <row r="470" spans="2:74" x14ac:dyDescent="0.2">
      <c r="B470" s="358"/>
      <c r="D470" s="358"/>
      <c r="E470" s="358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  <c r="AI470" s="358"/>
      <c r="AJ470" s="358"/>
      <c r="AK470" s="358"/>
      <c r="AL470" s="358"/>
      <c r="AM470" s="358"/>
      <c r="AN470" s="358"/>
      <c r="AO470" s="358"/>
      <c r="AP470" s="358"/>
      <c r="AQ470" s="358"/>
      <c r="AR470" s="358"/>
      <c r="AS470" s="358"/>
      <c r="AT470" s="358"/>
      <c r="AU470" s="358"/>
      <c r="AV470" s="358"/>
      <c r="AW470" s="358"/>
      <c r="AX470" s="358"/>
      <c r="AY470" s="358"/>
      <c r="AZ470" s="358"/>
      <c r="BA470" s="358"/>
      <c r="BB470" s="358"/>
      <c r="BC470" s="358"/>
      <c r="BD470" s="358"/>
      <c r="BE470" s="358"/>
      <c r="BF470" s="358"/>
      <c r="BG470" s="358"/>
      <c r="BH470" s="358"/>
      <c r="BI470" s="358"/>
      <c r="BJ470" s="358"/>
      <c r="BK470" s="358"/>
      <c r="BL470" s="358"/>
      <c r="BM470" s="358"/>
      <c r="BN470" s="358"/>
      <c r="BO470" s="358"/>
      <c r="BP470" s="358"/>
      <c r="BQ470" s="358"/>
      <c r="BR470" s="358"/>
      <c r="BS470" s="358"/>
      <c r="BT470" s="358"/>
      <c r="BU470" s="358"/>
      <c r="BV470" s="358"/>
    </row>
    <row r="471" spans="2:74" x14ac:dyDescent="0.2">
      <c r="B471" s="358"/>
      <c r="D471" s="358"/>
      <c r="E471" s="358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  <c r="AA471" s="358"/>
      <c r="AB471" s="358"/>
      <c r="AC471" s="358"/>
      <c r="AD471" s="358"/>
      <c r="AE471" s="358"/>
      <c r="AF471" s="358"/>
      <c r="AG471" s="358"/>
      <c r="AH471" s="358"/>
      <c r="AI471" s="358"/>
      <c r="AJ471" s="358"/>
      <c r="AK471" s="358"/>
      <c r="AL471" s="358"/>
      <c r="AM471" s="358"/>
      <c r="AN471" s="358"/>
      <c r="AO471" s="358"/>
      <c r="AP471" s="358"/>
      <c r="AQ471" s="358"/>
      <c r="AR471" s="358"/>
      <c r="AS471" s="358"/>
      <c r="AT471" s="358"/>
      <c r="AU471" s="358"/>
      <c r="AV471" s="358"/>
      <c r="AW471" s="358"/>
      <c r="AX471" s="358"/>
      <c r="AY471" s="358"/>
      <c r="AZ471" s="358"/>
      <c r="BA471" s="358"/>
      <c r="BB471" s="358"/>
      <c r="BC471" s="358"/>
      <c r="BD471" s="358"/>
      <c r="BE471" s="358"/>
      <c r="BF471" s="358"/>
      <c r="BG471" s="358"/>
      <c r="BH471" s="358"/>
      <c r="BI471" s="358"/>
      <c r="BJ471" s="358"/>
      <c r="BK471" s="358"/>
      <c r="BL471" s="358"/>
      <c r="BM471" s="358"/>
      <c r="BN471" s="358"/>
      <c r="BO471" s="358"/>
      <c r="BP471" s="358"/>
      <c r="BQ471" s="358"/>
      <c r="BR471" s="358"/>
      <c r="BS471" s="358"/>
      <c r="BT471" s="358"/>
      <c r="BU471" s="358"/>
      <c r="BV471" s="358"/>
    </row>
    <row r="472" spans="2:74" x14ac:dyDescent="0.2">
      <c r="B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  <c r="AI472" s="358"/>
      <c r="AJ472" s="358"/>
      <c r="AK472" s="358"/>
      <c r="AL472" s="358"/>
      <c r="AM472" s="358"/>
      <c r="AN472" s="358"/>
      <c r="AO472" s="358"/>
      <c r="AP472" s="358"/>
      <c r="AQ472" s="358"/>
      <c r="AR472" s="358"/>
      <c r="AS472" s="358"/>
      <c r="AT472" s="358"/>
      <c r="AU472" s="358"/>
      <c r="AV472" s="358"/>
      <c r="AW472" s="358"/>
      <c r="AX472" s="358"/>
      <c r="AY472" s="358"/>
      <c r="AZ472" s="358"/>
      <c r="BA472" s="358"/>
      <c r="BB472" s="358"/>
      <c r="BC472" s="358"/>
      <c r="BD472" s="358"/>
      <c r="BE472" s="358"/>
      <c r="BF472" s="358"/>
      <c r="BG472" s="358"/>
      <c r="BH472" s="358"/>
      <c r="BI472" s="358"/>
      <c r="BJ472" s="358"/>
      <c r="BK472" s="358"/>
      <c r="BL472" s="358"/>
      <c r="BM472" s="358"/>
      <c r="BN472" s="358"/>
      <c r="BO472" s="358"/>
      <c r="BP472" s="358"/>
      <c r="BQ472" s="358"/>
      <c r="BR472" s="358"/>
      <c r="BS472" s="358"/>
      <c r="BT472" s="358"/>
      <c r="BU472" s="358"/>
      <c r="BV472" s="358"/>
    </row>
    <row r="473" spans="2:74" x14ac:dyDescent="0.2">
      <c r="B473" s="358"/>
      <c r="D473" s="358"/>
      <c r="E473" s="358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  <c r="AA473" s="358"/>
      <c r="AB473" s="358"/>
      <c r="AC473" s="358"/>
      <c r="AD473" s="358"/>
      <c r="AE473" s="358"/>
      <c r="AF473" s="358"/>
      <c r="AG473" s="358"/>
      <c r="AH473" s="358"/>
      <c r="AI473" s="358"/>
      <c r="AJ473" s="358"/>
      <c r="AK473" s="358"/>
      <c r="AL473" s="358"/>
      <c r="AM473" s="358"/>
      <c r="AN473" s="358"/>
      <c r="AO473" s="358"/>
      <c r="AP473" s="358"/>
      <c r="AQ473" s="358"/>
      <c r="AR473" s="358"/>
      <c r="AS473" s="358"/>
      <c r="AT473" s="358"/>
      <c r="AU473" s="358"/>
      <c r="AV473" s="358"/>
      <c r="AW473" s="358"/>
      <c r="AX473" s="358"/>
      <c r="AY473" s="358"/>
      <c r="AZ473" s="358"/>
      <c r="BA473" s="358"/>
      <c r="BB473" s="358"/>
      <c r="BC473" s="358"/>
      <c r="BD473" s="358"/>
      <c r="BE473" s="358"/>
      <c r="BF473" s="358"/>
      <c r="BG473" s="358"/>
      <c r="BH473" s="358"/>
      <c r="BI473" s="358"/>
      <c r="BJ473" s="358"/>
      <c r="BK473" s="358"/>
      <c r="BL473" s="358"/>
      <c r="BM473" s="358"/>
      <c r="BN473" s="358"/>
      <c r="BO473" s="358"/>
      <c r="BP473" s="358"/>
      <c r="BQ473" s="358"/>
      <c r="BR473" s="358"/>
      <c r="BS473" s="358"/>
      <c r="BT473" s="358"/>
      <c r="BU473" s="358"/>
      <c r="BV473" s="358"/>
    </row>
    <row r="474" spans="2:74" x14ac:dyDescent="0.2">
      <c r="B474" s="358"/>
      <c r="D474" s="358"/>
      <c r="E474" s="358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  <c r="AI474" s="358"/>
      <c r="AJ474" s="358"/>
      <c r="AK474" s="358"/>
      <c r="AL474" s="358"/>
      <c r="AM474" s="358"/>
      <c r="AN474" s="358"/>
      <c r="AO474" s="358"/>
      <c r="AP474" s="358"/>
      <c r="AQ474" s="358"/>
      <c r="AR474" s="358"/>
      <c r="AS474" s="358"/>
      <c r="AT474" s="358"/>
      <c r="AU474" s="358"/>
      <c r="AV474" s="358"/>
      <c r="AW474" s="358"/>
      <c r="AX474" s="358"/>
      <c r="AY474" s="358"/>
      <c r="AZ474" s="358"/>
      <c r="BA474" s="358"/>
      <c r="BB474" s="358"/>
      <c r="BC474" s="358"/>
      <c r="BD474" s="358"/>
      <c r="BE474" s="358"/>
      <c r="BF474" s="358"/>
      <c r="BG474" s="358"/>
      <c r="BH474" s="358"/>
      <c r="BI474" s="358"/>
      <c r="BJ474" s="358"/>
      <c r="BK474" s="358"/>
      <c r="BL474" s="358"/>
      <c r="BM474" s="358"/>
      <c r="BN474" s="358"/>
      <c r="BO474" s="358"/>
      <c r="BP474" s="358"/>
      <c r="BQ474" s="358"/>
      <c r="BR474" s="358"/>
      <c r="BS474" s="358"/>
      <c r="BT474" s="358"/>
      <c r="BU474" s="358"/>
      <c r="BV474" s="358"/>
    </row>
    <row r="475" spans="2:74" x14ac:dyDescent="0.2">
      <c r="B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  <c r="AA475" s="358"/>
      <c r="AB475" s="358"/>
      <c r="AC475" s="358"/>
      <c r="AD475" s="358"/>
      <c r="AE475" s="358"/>
      <c r="AF475" s="358"/>
      <c r="AG475" s="358"/>
      <c r="AH475" s="358"/>
      <c r="AI475" s="358"/>
      <c r="AJ475" s="358"/>
      <c r="AK475" s="358"/>
      <c r="AL475" s="358"/>
      <c r="AM475" s="358"/>
      <c r="AN475" s="358"/>
      <c r="AO475" s="358"/>
      <c r="AP475" s="358"/>
      <c r="AQ475" s="358"/>
      <c r="AR475" s="358"/>
      <c r="AS475" s="358"/>
      <c r="AT475" s="358"/>
      <c r="AU475" s="358"/>
      <c r="AV475" s="358"/>
      <c r="AW475" s="358"/>
      <c r="AX475" s="358"/>
      <c r="AY475" s="358"/>
      <c r="AZ475" s="358"/>
      <c r="BA475" s="358"/>
      <c r="BB475" s="358"/>
      <c r="BC475" s="358"/>
      <c r="BD475" s="358"/>
      <c r="BE475" s="358"/>
      <c r="BF475" s="358"/>
      <c r="BG475" s="358"/>
      <c r="BH475" s="358"/>
      <c r="BI475" s="358"/>
      <c r="BJ475" s="358"/>
      <c r="BK475" s="358"/>
      <c r="BL475" s="358"/>
      <c r="BM475" s="358"/>
      <c r="BN475" s="358"/>
      <c r="BO475" s="358"/>
      <c r="BP475" s="358"/>
      <c r="BQ475" s="358"/>
      <c r="BR475" s="358"/>
      <c r="BS475" s="358"/>
      <c r="BT475" s="358"/>
      <c r="BU475" s="358"/>
      <c r="BV475" s="358"/>
    </row>
    <row r="476" spans="2:74" x14ac:dyDescent="0.2">
      <c r="B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  <c r="AI476" s="358"/>
      <c r="AJ476" s="358"/>
      <c r="AK476" s="358"/>
      <c r="AL476" s="358"/>
      <c r="AM476" s="358"/>
      <c r="AN476" s="358"/>
      <c r="AO476" s="358"/>
      <c r="AP476" s="358"/>
      <c r="AQ476" s="358"/>
      <c r="AR476" s="358"/>
      <c r="AS476" s="358"/>
      <c r="AT476" s="358"/>
      <c r="AU476" s="358"/>
      <c r="AV476" s="358"/>
      <c r="AW476" s="358"/>
      <c r="AX476" s="358"/>
      <c r="AY476" s="358"/>
      <c r="AZ476" s="358"/>
      <c r="BA476" s="358"/>
      <c r="BB476" s="358"/>
      <c r="BC476" s="358"/>
      <c r="BD476" s="358"/>
      <c r="BE476" s="358"/>
      <c r="BF476" s="358"/>
      <c r="BG476" s="358"/>
      <c r="BH476" s="358"/>
      <c r="BI476" s="358"/>
      <c r="BJ476" s="358"/>
      <c r="BK476" s="358"/>
      <c r="BL476" s="358"/>
      <c r="BM476" s="358"/>
      <c r="BN476" s="358"/>
      <c r="BO476" s="358"/>
      <c r="BP476" s="358"/>
      <c r="BQ476" s="358"/>
      <c r="BR476" s="358"/>
      <c r="BS476" s="358"/>
      <c r="BT476" s="358"/>
      <c r="BU476" s="358"/>
      <c r="BV476" s="358"/>
    </row>
    <row r="477" spans="2:74" x14ac:dyDescent="0.2">
      <c r="B477" s="358"/>
      <c r="D477" s="358"/>
      <c r="E477" s="358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  <c r="AA477" s="358"/>
      <c r="AB477" s="358"/>
      <c r="AC477" s="358"/>
      <c r="AD477" s="358"/>
      <c r="AE477" s="358"/>
      <c r="AF477" s="358"/>
      <c r="AG477" s="358"/>
      <c r="AH477" s="358"/>
      <c r="AI477" s="358"/>
      <c r="AJ477" s="358"/>
      <c r="AK477" s="358"/>
      <c r="AL477" s="358"/>
      <c r="AM477" s="358"/>
      <c r="AN477" s="358"/>
      <c r="AO477" s="358"/>
      <c r="AP477" s="358"/>
      <c r="AQ477" s="358"/>
      <c r="AR477" s="358"/>
      <c r="AS477" s="358"/>
      <c r="AT477" s="358"/>
      <c r="AU477" s="358"/>
      <c r="AV477" s="358"/>
      <c r="AW477" s="358"/>
      <c r="AX477" s="358"/>
      <c r="AY477" s="358"/>
      <c r="AZ477" s="358"/>
      <c r="BA477" s="358"/>
      <c r="BB477" s="358"/>
      <c r="BC477" s="358"/>
      <c r="BD477" s="358"/>
      <c r="BE477" s="358"/>
      <c r="BF477" s="358"/>
      <c r="BG477" s="358"/>
      <c r="BH477" s="358"/>
      <c r="BI477" s="358"/>
      <c r="BJ477" s="358"/>
      <c r="BK477" s="358"/>
      <c r="BL477" s="358"/>
      <c r="BM477" s="358"/>
      <c r="BN477" s="358"/>
      <c r="BO477" s="358"/>
      <c r="BP477" s="358"/>
      <c r="BQ477" s="358"/>
      <c r="BR477" s="358"/>
      <c r="BS477" s="358"/>
      <c r="BT477" s="358"/>
      <c r="BU477" s="358"/>
      <c r="BV477" s="358"/>
    </row>
    <row r="478" spans="2:74" x14ac:dyDescent="0.2">
      <c r="B478" s="358"/>
      <c r="D478" s="358"/>
      <c r="E478" s="358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  <c r="AI478" s="358"/>
      <c r="AJ478" s="358"/>
      <c r="AK478" s="358"/>
      <c r="AL478" s="358"/>
      <c r="AM478" s="358"/>
      <c r="AN478" s="358"/>
      <c r="AO478" s="358"/>
      <c r="AP478" s="358"/>
      <c r="AQ478" s="358"/>
      <c r="AR478" s="358"/>
      <c r="AS478" s="358"/>
      <c r="AT478" s="358"/>
      <c r="AU478" s="358"/>
      <c r="AV478" s="358"/>
      <c r="AW478" s="358"/>
      <c r="AX478" s="358"/>
      <c r="AY478" s="358"/>
      <c r="AZ478" s="358"/>
      <c r="BA478" s="358"/>
      <c r="BB478" s="358"/>
      <c r="BC478" s="358"/>
      <c r="BD478" s="358"/>
      <c r="BE478" s="358"/>
      <c r="BF478" s="358"/>
      <c r="BG478" s="358"/>
      <c r="BH478" s="358"/>
      <c r="BI478" s="358"/>
      <c r="BJ478" s="358"/>
      <c r="BK478" s="358"/>
      <c r="BL478" s="358"/>
      <c r="BM478" s="358"/>
      <c r="BN478" s="358"/>
      <c r="BO478" s="358"/>
      <c r="BP478" s="358"/>
      <c r="BQ478" s="358"/>
      <c r="BR478" s="358"/>
      <c r="BS478" s="358"/>
      <c r="BT478" s="358"/>
      <c r="BU478" s="358"/>
      <c r="BV478" s="358"/>
    </row>
    <row r="479" spans="2:74" x14ac:dyDescent="0.2">
      <c r="B479" s="358"/>
      <c r="D479" s="358"/>
      <c r="E479" s="358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  <c r="AA479" s="358"/>
      <c r="AB479" s="358"/>
      <c r="AC479" s="358"/>
      <c r="AD479" s="358"/>
      <c r="AE479" s="358"/>
      <c r="AF479" s="358"/>
      <c r="AG479" s="358"/>
      <c r="AH479" s="358"/>
      <c r="AI479" s="358"/>
      <c r="AJ479" s="358"/>
      <c r="AK479" s="358"/>
      <c r="AL479" s="358"/>
      <c r="AM479" s="358"/>
      <c r="AN479" s="358"/>
      <c r="AO479" s="358"/>
      <c r="AP479" s="358"/>
      <c r="AQ479" s="358"/>
      <c r="AR479" s="358"/>
      <c r="AS479" s="358"/>
      <c r="AT479" s="358"/>
      <c r="AU479" s="358"/>
      <c r="AV479" s="358"/>
      <c r="AW479" s="358"/>
      <c r="AX479" s="358"/>
      <c r="AY479" s="358"/>
      <c r="AZ479" s="358"/>
      <c r="BA479" s="358"/>
      <c r="BB479" s="358"/>
      <c r="BC479" s="358"/>
      <c r="BD479" s="358"/>
      <c r="BE479" s="358"/>
      <c r="BF479" s="358"/>
      <c r="BG479" s="358"/>
      <c r="BH479" s="358"/>
      <c r="BI479" s="358"/>
      <c r="BJ479" s="358"/>
      <c r="BK479" s="358"/>
      <c r="BL479" s="358"/>
      <c r="BM479" s="358"/>
      <c r="BN479" s="358"/>
      <c r="BO479" s="358"/>
      <c r="BP479" s="358"/>
      <c r="BQ479" s="358"/>
      <c r="BR479" s="358"/>
      <c r="BS479" s="358"/>
      <c r="BT479" s="358"/>
      <c r="BU479" s="358"/>
      <c r="BV479" s="358"/>
    </row>
    <row r="480" spans="2:74" x14ac:dyDescent="0.2">
      <c r="B480" s="358"/>
      <c r="D480" s="358"/>
      <c r="E480" s="358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  <c r="AI480" s="358"/>
      <c r="AJ480" s="358"/>
      <c r="AK480" s="358"/>
      <c r="AL480" s="358"/>
      <c r="AM480" s="358"/>
      <c r="AN480" s="358"/>
      <c r="AO480" s="358"/>
      <c r="AP480" s="358"/>
      <c r="AQ480" s="358"/>
      <c r="AR480" s="358"/>
      <c r="AS480" s="358"/>
      <c r="AT480" s="358"/>
      <c r="AU480" s="358"/>
      <c r="AV480" s="358"/>
      <c r="AW480" s="358"/>
      <c r="AX480" s="358"/>
      <c r="AY480" s="358"/>
      <c r="AZ480" s="358"/>
      <c r="BA480" s="358"/>
      <c r="BB480" s="358"/>
      <c r="BC480" s="358"/>
      <c r="BD480" s="358"/>
      <c r="BE480" s="358"/>
      <c r="BF480" s="358"/>
      <c r="BG480" s="358"/>
      <c r="BH480" s="358"/>
      <c r="BI480" s="358"/>
      <c r="BJ480" s="358"/>
      <c r="BK480" s="358"/>
      <c r="BL480" s="358"/>
      <c r="BM480" s="358"/>
      <c r="BN480" s="358"/>
      <c r="BO480" s="358"/>
      <c r="BP480" s="358"/>
      <c r="BQ480" s="358"/>
      <c r="BR480" s="358"/>
      <c r="BS480" s="358"/>
      <c r="BT480" s="358"/>
      <c r="BU480" s="358"/>
      <c r="BV480" s="358"/>
    </row>
    <row r="481" spans="2:74" x14ac:dyDescent="0.2">
      <c r="B481" s="358"/>
      <c r="D481" s="358"/>
      <c r="E481" s="358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  <c r="AA481" s="358"/>
      <c r="AB481" s="358"/>
      <c r="AC481" s="358"/>
      <c r="AD481" s="358"/>
      <c r="AE481" s="358"/>
      <c r="AF481" s="358"/>
      <c r="AG481" s="358"/>
      <c r="AH481" s="358"/>
      <c r="AI481" s="358"/>
      <c r="AJ481" s="358"/>
      <c r="AK481" s="358"/>
      <c r="AL481" s="358"/>
      <c r="AM481" s="358"/>
      <c r="AN481" s="358"/>
      <c r="AO481" s="358"/>
      <c r="AP481" s="358"/>
      <c r="AQ481" s="358"/>
      <c r="AR481" s="358"/>
      <c r="AS481" s="358"/>
      <c r="AT481" s="358"/>
      <c r="AU481" s="358"/>
      <c r="AV481" s="358"/>
      <c r="AW481" s="358"/>
      <c r="AX481" s="358"/>
      <c r="AY481" s="358"/>
      <c r="AZ481" s="358"/>
      <c r="BA481" s="358"/>
      <c r="BB481" s="358"/>
      <c r="BC481" s="358"/>
      <c r="BD481" s="358"/>
      <c r="BE481" s="358"/>
      <c r="BF481" s="358"/>
      <c r="BG481" s="358"/>
      <c r="BH481" s="358"/>
      <c r="BI481" s="358"/>
      <c r="BJ481" s="358"/>
      <c r="BK481" s="358"/>
      <c r="BL481" s="358"/>
      <c r="BM481" s="358"/>
      <c r="BN481" s="358"/>
      <c r="BO481" s="358"/>
      <c r="BP481" s="358"/>
      <c r="BQ481" s="358"/>
      <c r="BR481" s="358"/>
      <c r="BS481" s="358"/>
      <c r="BT481" s="358"/>
      <c r="BU481" s="358"/>
      <c r="BV481" s="358"/>
    </row>
    <row r="482" spans="2:74" x14ac:dyDescent="0.2">
      <c r="B482" s="358"/>
      <c r="D482" s="358"/>
      <c r="E482" s="358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  <c r="AI482" s="358"/>
      <c r="AJ482" s="358"/>
      <c r="AK482" s="358"/>
      <c r="AL482" s="358"/>
      <c r="AM482" s="358"/>
      <c r="AN482" s="358"/>
      <c r="AO482" s="358"/>
      <c r="AP482" s="358"/>
      <c r="AQ482" s="358"/>
      <c r="AR482" s="358"/>
      <c r="AS482" s="358"/>
      <c r="AT482" s="358"/>
      <c r="AU482" s="358"/>
      <c r="AV482" s="358"/>
      <c r="AW482" s="358"/>
      <c r="AX482" s="358"/>
      <c r="AY482" s="358"/>
      <c r="AZ482" s="358"/>
      <c r="BA482" s="358"/>
      <c r="BB482" s="358"/>
      <c r="BC482" s="358"/>
      <c r="BD482" s="358"/>
      <c r="BE482" s="358"/>
      <c r="BF482" s="358"/>
      <c r="BG482" s="358"/>
      <c r="BH482" s="358"/>
      <c r="BI482" s="358"/>
      <c r="BJ482" s="358"/>
      <c r="BK482" s="358"/>
      <c r="BL482" s="358"/>
      <c r="BM482" s="358"/>
      <c r="BN482" s="358"/>
      <c r="BO482" s="358"/>
      <c r="BP482" s="358"/>
      <c r="BQ482" s="358"/>
      <c r="BR482" s="358"/>
      <c r="BS482" s="358"/>
      <c r="BT482" s="358"/>
      <c r="BU482" s="358"/>
      <c r="BV482" s="358"/>
    </row>
    <row r="483" spans="2:74" x14ac:dyDescent="0.2">
      <c r="B483" s="358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  <c r="AA483" s="358"/>
      <c r="AB483" s="358"/>
      <c r="AC483" s="358"/>
      <c r="AD483" s="358"/>
      <c r="AE483" s="358"/>
      <c r="AF483" s="358"/>
      <c r="AG483" s="358"/>
      <c r="AH483" s="358"/>
      <c r="AI483" s="358"/>
      <c r="AJ483" s="358"/>
      <c r="AK483" s="358"/>
      <c r="AL483" s="358"/>
      <c r="AM483" s="358"/>
      <c r="AN483" s="358"/>
      <c r="AO483" s="358"/>
      <c r="AP483" s="358"/>
      <c r="AQ483" s="358"/>
      <c r="AR483" s="358"/>
      <c r="AS483" s="358"/>
      <c r="AT483" s="358"/>
      <c r="AU483" s="358"/>
      <c r="AV483" s="358"/>
      <c r="AW483" s="358"/>
      <c r="AX483" s="358"/>
      <c r="AY483" s="358"/>
      <c r="AZ483" s="358"/>
      <c r="BA483" s="358"/>
      <c r="BB483" s="358"/>
      <c r="BC483" s="358"/>
      <c r="BD483" s="358"/>
      <c r="BE483" s="358"/>
      <c r="BF483" s="358"/>
      <c r="BG483" s="358"/>
      <c r="BH483" s="358"/>
      <c r="BI483" s="358"/>
      <c r="BJ483" s="358"/>
      <c r="BK483" s="358"/>
      <c r="BL483" s="358"/>
      <c r="BM483" s="358"/>
      <c r="BN483" s="358"/>
      <c r="BO483" s="358"/>
      <c r="BP483" s="358"/>
      <c r="BQ483" s="358"/>
      <c r="BR483" s="358"/>
      <c r="BS483" s="358"/>
      <c r="BT483" s="358"/>
      <c r="BU483" s="358"/>
      <c r="BV483" s="358"/>
    </row>
    <row r="484" spans="2:74" x14ac:dyDescent="0.2">
      <c r="B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  <c r="AI484" s="358"/>
      <c r="AJ484" s="358"/>
      <c r="AK484" s="358"/>
      <c r="AL484" s="358"/>
      <c r="AM484" s="358"/>
      <c r="AN484" s="358"/>
      <c r="AO484" s="358"/>
      <c r="AP484" s="358"/>
      <c r="AQ484" s="358"/>
      <c r="AR484" s="358"/>
      <c r="AS484" s="358"/>
      <c r="AT484" s="358"/>
      <c r="AU484" s="358"/>
      <c r="AV484" s="358"/>
      <c r="AW484" s="358"/>
      <c r="AX484" s="358"/>
      <c r="AY484" s="358"/>
      <c r="AZ484" s="358"/>
      <c r="BA484" s="358"/>
      <c r="BB484" s="358"/>
      <c r="BC484" s="358"/>
      <c r="BD484" s="358"/>
      <c r="BE484" s="358"/>
      <c r="BF484" s="358"/>
      <c r="BG484" s="358"/>
      <c r="BH484" s="358"/>
      <c r="BI484" s="358"/>
      <c r="BJ484" s="358"/>
      <c r="BK484" s="358"/>
      <c r="BL484" s="358"/>
      <c r="BM484" s="358"/>
      <c r="BN484" s="358"/>
      <c r="BO484" s="358"/>
      <c r="BP484" s="358"/>
      <c r="BQ484" s="358"/>
      <c r="BR484" s="358"/>
      <c r="BS484" s="358"/>
      <c r="BT484" s="358"/>
      <c r="BU484" s="358"/>
      <c r="BV484" s="358"/>
    </row>
    <row r="485" spans="2:74" x14ac:dyDescent="0.2">
      <c r="B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358"/>
      <c r="AB485" s="358"/>
      <c r="AC485" s="358"/>
      <c r="AD485" s="358"/>
      <c r="AE485" s="358"/>
      <c r="AF485" s="358"/>
      <c r="AG485" s="358"/>
      <c r="AH485" s="358"/>
      <c r="AI485" s="358"/>
      <c r="AJ485" s="358"/>
      <c r="AK485" s="358"/>
      <c r="AL485" s="358"/>
      <c r="AM485" s="358"/>
      <c r="AN485" s="358"/>
      <c r="AO485" s="358"/>
      <c r="AP485" s="358"/>
      <c r="AQ485" s="358"/>
      <c r="AR485" s="358"/>
      <c r="AS485" s="358"/>
      <c r="AT485" s="358"/>
      <c r="AU485" s="358"/>
      <c r="AV485" s="358"/>
      <c r="AW485" s="358"/>
      <c r="AX485" s="358"/>
      <c r="AY485" s="358"/>
      <c r="AZ485" s="358"/>
      <c r="BA485" s="358"/>
      <c r="BB485" s="358"/>
      <c r="BC485" s="358"/>
      <c r="BD485" s="358"/>
      <c r="BE485" s="358"/>
      <c r="BF485" s="358"/>
      <c r="BG485" s="358"/>
      <c r="BH485" s="358"/>
      <c r="BI485" s="358"/>
      <c r="BJ485" s="358"/>
      <c r="BK485" s="358"/>
      <c r="BL485" s="358"/>
      <c r="BM485" s="358"/>
      <c r="BN485" s="358"/>
      <c r="BO485" s="358"/>
      <c r="BP485" s="358"/>
      <c r="BQ485" s="358"/>
      <c r="BR485" s="358"/>
      <c r="BS485" s="358"/>
      <c r="BT485" s="358"/>
      <c r="BU485" s="358"/>
      <c r="BV485" s="358"/>
    </row>
    <row r="486" spans="2:74" x14ac:dyDescent="0.2">
      <c r="B486" s="358"/>
      <c r="D486" s="358"/>
      <c r="E486" s="358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  <c r="AI486" s="358"/>
      <c r="AJ486" s="358"/>
      <c r="AK486" s="358"/>
      <c r="AL486" s="358"/>
      <c r="AM486" s="358"/>
      <c r="AN486" s="358"/>
      <c r="AO486" s="358"/>
      <c r="AP486" s="358"/>
      <c r="AQ486" s="358"/>
      <c r="AR486" s="358"/>
      <c r="AS486" s="358"/>
      <c r="AT486" s="358"/>
      <c r="AU486" s="358"/>
      <c r="AV486" s="358"/>
      <c r="AW486" s="358"/>
      <c r="AX486" s="358"/>
      <c r="AY486" s="358"/>
      <c r="AZ486" s="358"/>
      <c r="BA486" s="358"/>
      <c r="BB486" s="358"/>
      <c r="BC486" s="358"/>
      <c r="BD486" s="358"/>
      <c r="BE486" s="358"/>
      <c r="BF486" s="358"/>
      <c r="BG486" s="358"/>
      <c r="BH486" s="358"/>
      <c r="BI486" s="358"/>
      <c r="BJ486" s="358"/>
      <c r="BK486" s="358"/>
      <c r="BL486" s="358"/>
      <c r="BM486" s="358"/>
      <c r="BN486" s="358"/>
      <c r="BO486" s="358"/>
      <c r="BP486" s="358"/>
      <c r="BQ486" s="358"/>
      <c r="BR486" s="358"/>
      <c r="BS486" s="358"/>
      <c r="BT486" s="358"/>
      <c r="BU486" s="358"/>
      <c r="BV486" s="358"/>
    </row>
    <row r="487" spans="2:74" x14ac:dyDescent="0.2">
      <c r="B487" s="358"/>
      <c r="D487" s="358"/>
      <c r="E487" s="358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  <c r="AA487" s="358"/>
      <c r="AB487" s="358"/>
      <c r="AC487" s="358"/>
      <c r="AD487" s="358"/>
      <c r="AE487" s="358"/>
      <c r="AF487" s="358"/>
      <c r="AG487" s="358"/>
      <c r="AH487" s="358"/>
      <c r="AI487" s="358"/>
      <c r="AJ487" s="358"/>
      <c r="AK487" s="358"/>
      <c r="AL487" s="358"/>
      <c r="AM487" s="358"/>
      <c r="AN487" s="358"/>
      <c r="AO487" s="358"/>
      <c r="AP487" s="358"/>
      <c r="AQ487" s="358"/>
      <c r="AR487" s="358"/>
      <c r="AS487" s="358"/>
      <c r="AT487" s="358"/>
      <c r="AU487" s="358"/>
      <c r="AV487" s="358"/>
      <c r="AW487" s="358"/>
      <c r="AX487" s="358"/>
      <c r="AY487" s="358"/>
      <c r="AZ487" s="358"/>
      <c r="BA487" s="358"/>
      <c r="BB487" s="358"/>
      <c r="BC487" s="358"/>
      <c r="BD487" s="358"/>
      <c r="BE487" s="358"/>
      <c r="BF487" s="358"/>
      <c r="BG487" s="358"/>
      <c r="BH487" s="358"/>
      <c r="BI487" s="358"/>
      <c r="BJ487" s="358"/>
      <c r="BK487" s="358"/>
      <c r="BL487" s="358"/>
      <c r="BM487" s="358"/>
      <c r="BN487" s="358"/>
      <c r="BO487" s="358"/>
      <c r="BP487" s="358"/>
      <c r="BQ487" s="358"/>
      <c r="BR487" s="358"/>
      <c r="BS487" s="358"/>
      <c r="BT487" s="358"/>
      <c r="BU487" s="358"/>
      <c r="BV487" s="358"/>
    </row>
    <row r="488" spans="2:74" x14ac:dyDescent="0.2">
      <c r="B488" s="358"/>
      <c r="D488" s="358"/>
      <c r="E488" s="358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  <c r="AA488" s="358"/>
      <c r="AB488" s="358"/>
      <c r="AC488" s="358"/>
      <c r="AD488" s="358"/>
      <c r="AE488" s="358"/>
      <c r="AF488" s="358"/>
      <c r="AG488" s="358"/>
      <c r="AH488" s="358"/>
      <c r="AI488" s="358"/>
      <c r="AJ488" s="358"/>
      <c r="AK488" s="358"/>
      <c r="AL488" s="358"/>
      <c r="AM488" s="358"/>
      <c r="AN488" s="358"/>
      <c r="AO488" s="358"/>
      <c r="AP488" s="358"/>
      <c r="AQ488" s="358"/>
      <c r="AR488" s="358"/>
      <c r="AS488" s="358"/>
      <c r="AT488" s="358"/>
      <c r="AU488" s="358"/>
      <c r="AV488" s="358"/>
      <c r="AW488" s="358"/>
      <c r="AX488" s="358"/>
      <c r="AY488" s="358"/>
      <c r="AZ488" s="358"/>
      <c r="BA488" s="358"/>
      <c r="BB488" s="358"/>
      <c r="BC488" s="358"/>
      <c r="BD488" s="358"/>
      <c r="BE488" s="358"/>
      <c r="BF488" s="358"/>
      <c r="BG488" s="358"/>
      <c r="BH488" s="358"/>
      <c r="BI488" s="358"/>
      <c r="BJ488" s="358"/>
      <c r="BK488" s="358"/>
      <c r="BL488" s="358"/>
      <c r="BM488" s="358"/>
      <c r="BN488" s="358"/>
      <c r="BO488" s="358"/>
      <c r="BP488" s="358"/>
      <c r="BQ488" s="358"/>
      <c r="BR488" s="358"/>
      <c r="BS488" s="358"/>
      <c r="BT488" s="358"/>
      <c r="BU488" s="358"/>
      <c r="BV488" s="358"/>
    </row>
    <row r="489" spans="2:74" x14ac:dyDescent="0.2">
      <c r="B489" s="358"/>
      <c r="D489" s="358"/>
      <c r="E489" s="358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8"/>
      <c r="AA489" s="358"/>
      <c r="AB489" s="358"/>
      <c r="AC489" s="358"/>
      <c r="AD489" s="358"/>
      <c r="AE489" s="358"/>
      <c r="AF489" s="358"/>
      <c r="AG489" s="358"/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58"/>
      <c r="AX489" s="358"/>
      <c r="AY489" s="358"/>
      <c r="AZ489" s="358"/>
      <c r="BA489" s="358"/>
      <c r="BB489" s="358"/>
      <c r="BC489" s="358"/>
      <c r="BD489" s="358"/>
      <c r="BE489" s="358"/>
      <c r="BF489" s="358"/>
      <c r="BG489" s="358"/>
      <c r="BH489" s="358"/>
      <c r="BI489" s="358"/>
      <c r="BJ489" s="358"/>
      <c r="BK489" s="358"/>
      <c r="BL489" s="358"/>
      <c r="BM489" s="358"/>
      <c r="BN489" s="358"/>
      <c r="BO489" s="358"/>
      <c r="BP489" s="358"/>
      <c r="BQ489" s="358"/>
      <c r="BR489" s="358"/>
      <c r="BS489" s="358"/>
      <c r="BT489" s="358"/>
      <c r="BU489" s="358"/>
      <c r="BV489" s="358"/>
    </row>
    <row r="490" spans="2:74" x14ac:dyDescent="0.2">
      <c r="B490" s="358"/>
      <c r="D490" s="358"/>
      <c r="E490" s="358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  <c r="AA490" s="358"/>
      <c r="AB490" s="358"/>
      <c r="AC490" s="358"/>
      <c r="AD490" s="358"/>
      <c r="AE490" s="358"/>
      <c r="AF490" s="358"/>
      <c r="AG490" s="358"/>
      <c r="AH490" s="358"/>
      <c r="AI490" s="358"/>
      <c r="AJ490" s="358"/>
      <c r="AK490" s="358"/>
      <c r="AL490" s="358"/>
      <c r="AM490" s="358"/>
      <c r="AN490" s="358"/>
      <c r="AO490" s="358"/>
      <c r="AP490" s="358"/>
      <c r="AQ490" s="358"/>
      <c r="AR490" s="358"/>
      <c r="AS490" s="358"/>
      <c r="AT490" s="358"/>
      <c r="AU490" s="358"/>
      <c r="AV490" s="358"/>
      <c r="AW490" s="358"/>
      <c r="AX490" s="358"/>
      <c r="AY490" s="358"/>
      <c r="AZ490" s="358"/>
      <c r="BA490" s="358"/>
      <c r="BB490" s="358"/>
      <c r="BC490" s="358"/>
      <c r="BD490" s="358"/>
      <c r="BE490" s="358"/>
      <c r="BF490" s="358"/>
      <c r="BG490" s="358"/>
      <c r="BH490" s="358"/>
      <c r="BI490" s="358"/>
      <c r="BJ490" s="358"/>
      <c r="BK490" s="358"/>
      <c r="BL490" s="358"/>
      <c r="BM490" s="358"/>
      <c r="BN490" s="358"/>
      <c r="BO490" s="358"/>
      <c r="BP490" s="358"/>
      <c r="BQ490" s="358"/>
      <c r="BR490" s="358"/>
      <c r="BS490" s="358"/>
      <c r="BT490" s="358"/>
      <c r="BU490" s="358"/>
      <c r="BV490" s="358"/>
    </row>
    <row r="491" spans="2:74" x14ac:dyDescent="0.2">
      <c r="B491" s="358"/>
      <c r="D491" s="358"/>
      <c r="E491" s="358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8"/>
      <c r="AA491" s="358"/>
      <c r="AB491" s="358"/>
      <c r="AC491" s="358"/>
      <c r="AD491" s="358"/>
      <c r="AE491" s="358"/>
      <c r="AF491" s="358"/>
      <c r="AG491" s="358"/>
      <c r="AH491" s="358"/>
      <c r="AI491" s="358"/>
      <c r="AJ491" s="358"/>
      <c r="AK491" s="358"/>
      <c r="AL491" s="358"/>
      <c r="AM491" s="358"/>
      <c r="AN491" s="358"/>
      <c r="AO491" s="358"/>
      <c r="AP491" s="358"/>
      <c r="AQ491" s="358"/>
      <c r="AR491" s="358"/>
      <c r="AS491" s="358"/>
      <c r="AT491" s="358"/>
      <c r="AU491" s="358"/>
      <c r="AV491" s="358"/>
      <c r="AW491" s="358"/>
      <c r="AX491" s="358"/>
      <c r="AY491" s="358"/>
      <c r="AZ491" s="358"/>
      <c r="BA491" s="358"/>
      <c r="BB491" s="358"/>
      <c r="BC491" s="358"/>
      <c r="BD491" s="358"/>
      <c r="BE491" s="358"/>
      <c r="BF491" s="358"/>
      <c r="BG491" s="358"/>
      <c r="BH491" s="358"/>
      <c r="BI491" s="358"/>
      <c r="BJ491" s="358"/>
      <c r="BK491" s="358"/>
      <c r="BL491" s="358"/>
      <c r="BM491" s="358"/>
      <c r="BN491" s="358"/>
      <c r="BO491" s="358"/>
      <c r="BP491" s="358"/>
      <c r="BQ491" s="358"/>
      <c r="BR491" s="358"/>
      <c r="BS491" s="358"/>
      <c r="BT491" s="358"/>
      <c r="BU491" s="358"/>
      <c r="BV491" s="358"/>
    </row>
    <row r="492" spans="2:74" x14ac:dyDescent="0.2">
      <c r="B492" s="358"/>
      <c r="D492" s="358"/>
      <c r="E492" s="358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  <c r="AA492" s="358"/>
      <c r="AB492" s="358"/>
      <c r="AC492" s="358"/>
      <c r="AD492" s="358"/>
      <c r="AE492" s="358"/>
      <c r="AF492" s="358"/>
      <c r="AG492" s="358"/>
      <c r="AH492" s="358"/>
      <c r="AI492" s="358"/>
      <c r="AJ492" s="358"/>
      <c r="AK492" s="358"/>
      <c r="AL492" s="358"/>
      <c r="AM492" s="358"/>
      <c r="AN492" s="358"/>
      <c r="AO492" s="358"/>
      <c r="AP492" s="358"/>
      <c r="AQ492" s="358"/>
      <c r="AR492" s="358"/>
      <c r="AS492" s="358"/>
      <c r="AT492" s="358"/>
      <c r="AU492" s="358"/>
      <c r="AV492" s="358"/>
      <c r="AW492" s="358"/>
      <c r="AX492" s="358"/>
      <c r="AY492" s="358"/>
      <c r="AZ492" s="358"/>
      <c r="BA492" s="358"/>
      <c r="BB492" s="358"/>
      <c r="BC492" s="358"/>
      <c r="BD492" s="358"/>
      <c r="BE492" s="358"/>
      <c r="BF492" s="358"/>
      <c r="BG492" s="358"/>
      <c r="BH492" s="358"/>
      <c r="BI492" s="358"/>
      <c r="BJ492" s="358"/>
      <c r="BK492" s="358"/>
      <c r="BL492" s="358"/>
      <c r="BM492" s="358"/>
      <c r="BN492" s="358"/>
      <c r="BO492" s="358"/>
      <c r="BP492" s="358"/>
      <c r="BQ492" s="358"/>
      <c r="BR492" s="358"/>
      <c r="BS492" s="358"/>
      <c r="BT492" s="358"/>
      <c r="BU492" s="358"/>
      <c r="BV492" s="358"/>
    </row>
    <row r="493" spans="2:74" x14ac:dyDescent="0.2">
      <c r="B493" s="358"/>
      <c r="D493" s="358"/>
      <c r="E493" s="358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8"/>
      <c r="AA493" s="358"/>
      <c r="AB493" s="358"/>
      <c r="AC493" s="358"/>
      <c r="AD493" s="358"/>
      <c r="AE493" s="358"/>
      <c r="AF493" s="358"/>
      <c r="AG493" s="358"/>
      <c r="AH493" s="358"/>
      <c r="AI493" s="358"/>
      <c r="AJ493" s="358"/>
      <c r="AK493" s="358"/>
      <c r="AL493" s="358"/>
      <c r="AM493" s="358"/>
      <c r="AN493" s="358"/>
      <c r="AO493" s="358"/>
      <c r="AP493" s="358"/>
      <c r="AQ493" s="358"/>
      <c r="AR493" s="358"/>
      <c r="AS493" s="358"/>
      <c r="AT493" s="358"/>
      <c r="AU493" s="358"/>
      <c r="AV493" s="358"/>
      <c r="AW493" s="358"/>
      <c r="AX493" s="358"/>
      <c r="AY493" s="358"/>
      <c r="AZ493" s="358"/>
      <c r="BA493" s="358"/>
      <c r="BB493" s="358"/>
      <c r="BC493" s="358"/>
      <c r="BD493" s="358"/>
      <c r="BE493" s="358"/>
      <c r="BF493" s="358"/>
      <c r="BG493" s="358"/>
      <c r="BH493" s="358"/>
      <c r="BI493" s="358"/>
      <c r="BJ493" s="358"/>
      <c r="BK493" s="358"/>
      <c r="BL493" s="358"/>
      <c r="BM493" s="358"/>
      <c r="BN493" s="358"/>
      <c r="BO493" s="358"/>
      <c r="BP493" s="358"/>
      <c r="BQ493" s="358"/>
      <c r="BR493" s="358"/>
      <c r="BS493" s="358"/>
      <c r="BT493" s="358"/>
      <c r="BU493" s="358"/>
      <c r="BV493" s="358"/>
    </row>
    <row r="494" spans="2:74" x14ac:dyDescent="0.2">
      <c r="B494" s="358"/>
      <c r="D494" s="358"/>
      <c r="E494" s="358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  <c r="AA494" s="358"/>
      <c r="AB494" s="358"/>
      <c r="AC494" s="358"/>
      <c r="AD494" s="358"/>
      <c r="AE494" s="358"/>
      <c r="AF494" s="358"/>
      <c r="AG494" s="358"/>
      <c r="AH494" s="358"/>
      <c r="AI494" s="358"/>
      <c r="AJ494" s="358"/>
      <c r="AK494" s="358"/>
      <c r="AL494" s="358"/>
      <c r="AM494" s="358"/>
      <c r="AN494" s="358"/>
      <c r="AO494" s="358"/>
      <c r="AP494" s="358"/>
      <c r="AQ494" s="358"/>
      <c r="AR494" s="358"/>
      <c r="AS494" s="358"/>
      <c r="AT494" s="358"/>
      <c r="AU494" s="358"/>
      <c r="AV494" s="358"/>
      <c r="AW494" s="358"/>
      <c r="AX494" s="358"/>
      <c r="AY494" s="358"/>
      <c r="AZ494" s="358"/>
      <c r="BA494" s="358"/>
      <c r="BB494" s="358"/>
      <c r="BC494" s="358"/>
      <c r="BD494" s="358"/>
      <c r="BE494" s="358"/>
      <c r="BF494" s="358"/>
      <c r="BG494" s="358"/>
      <c r="BH494" s="358"/>
      <c r="BI494" s="358"/>
      <c r="BJ494" s="358"/>
      <c r="BK494" s="358"/>
      <c r="BL494" s="358"/>
      <c r="BM494" s="358"/>
      <c r="BN494" s="358"/>
      <c r="BO494" s="358"/>
      <c r="BP494" s="358"/>
      <c r="BQ494" s="358"/>
      <c r="BR494" s="358"/>
      <c r="BS494" s="358"/>
      <c r="BT494" s="358"/>
      <c r="BU494" s="358"/>
      <c r="BV494" s="358"/>
    </row>
    <row r="495" spans="2:74" x14ac:dyDescent="0.2">
      <c r="B495" s="358"/>
      <c r="D495" s="358"/>
      <c r="E495" s="358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8"/>
      <c r="AA495" s="358"/>
      <c r="AB495" s="358"/>
      <c r="AC495" s="358"/>
      <c r="AD495" s="358"/>
      <c r="AE495" s="358"/>
      <c r="AF495" s="358"/>
      <c r="AG495" s="358"/>
      <c r="AH495" s="358"/>
      <c r="AI495" s="358"/>
      <c r="AJ495" s="358"/>
      <c r="AK495" s="358"/>
      <c r="AL495" s="358"/>
      <c r="AM495" s="358"/>
      <c r="AN495" s="358"/>
      <c r="AO495" s="358"/>
      <c r="AP495" s="358"/>
      <c r="AQ495" s="358"/>
      <c r="AR495" s="358"/>
      <c r="AS495" s="358"/>
      <c r="AT495" s="358"/>
      <c r="AU495" s="358"/>
      <c r="AV495" s="358"/>
      <c r="AW495" s="358"/>
      <c r="AX495" s="358"/>
      <c r="AY495" s="358"/>
      <c r="AZ495" s="358"/>
      <c r="BA495" s="358"/>
      <c r="BB495" s="358"/>
      <c r="BC495" s="358"/>
      <c r="BD495" s="358"/>
      <c r="BE495" s="358"/>
      <c r="BF495" s="358"/>
      <c r="BG495" s="358"/>
      <c r="BH495" s="358"/>
      <c r="BI495" s="358"/>
      <c r="BJ495" s="358"/>
      <c r="BK495" s="358"/>
      <c r="BL495" s="358"/>
      <c r="BM495" s="358"/>
      <c r="BN495" s="358"/>
      <c r="BO495" s="358"/>
      <c r="BP495" s="358"/>
      <c r="BQ495" s="358"/>
      <c r="BR495" s="358"/>
      <c r="BS495" s="358"/>
      <c r="BT495" s="358"/>
      <c r="BU495" s="358"/>
      <c r="BV495" s="358"/>
    </row>
    <row r="496" spans="2:74" x14ac:dyDescent="0.2">
      <c r="B496" s="358"/>
      <c r="D496" s="358"/>
      <c r="E496" s="358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  <c r="AA496" s="358"/>
      <c r="AB496" s="358"/>
      <c r="AC496" s="358"/>
      <c r="AD496" s="358"/>
      <c r="AE496" s="358"/>
      <c r="AF496" s="358"/>
      <c r="AG496" s="358"/>
      <c r="AH496" s="358"/>
      <c r="AI496" s="358"/>
      <c r="AJ496" s="358"/>
      <c r="AK496" s="358"/>
      <c r="AL496" s="358"/>
      <c r="AM496" s="358"/>
      <c r="AN496" s="358"/>
      <c r="AO496" s="358"/>
      <c r="AP496" s="358"/>
      <c r="AQ496" s="358"/>
      <c r="AR496" s="358"/>
      <c r="AS496" s="358"/>
      <c r="AT496" s="358"/>
      <c r="AU496" s="358"/>
      <c r="AV496" s="358"/>
      <c r="AW496" s="358"/>
      <c r="AX496" s="358"/>
      <c r="AY496" s="358"/>
      <c r="AZ496" s="358"/>
      <c r="BA496" s="358"/>
      <c r="BB496" s="358"/>
      <c r="BC496" s="358"/>
      <c r="BD496" s="358"/>
      <c r="BE496" s="358"/>
      <c r="BF496" s="358"/>
      <c r="BG496" s="358"/>
      <c r="BH496" s="358"/>
      <c r="BI496" s="358"/>
      <c r="BJ496" s="358"/>
      <c r="BK496" s="358"/>
      <c r="BL496" s="358"/>
      <c r="BM496" s="358"/>
      <c r="BN496" s="358"/>
      <c r="BO496" s="358"/>
      <c r="BP496" s="358"/>
      <c r="BQ496" s="358"/>
      <c r="BR496" s="358"/>
      <c r="BS496" s="358"/>
      <c r="BT496" s="358"/>
      <c r="BU496" s="358"/>
      <c r="BV496" s="358"/>
    </row>
    <row r="497" spans="2:74" x14ac:dyDescent="0.2">
      <c r="B497" s="358"/>
      <c r="D497" s="358"/>
      <c r="E497" s="358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8"/>
      <c r="AA497" s="358"/>
      <c r="AB497" s="358"/>
      <c r="AC497" s="358"/>
      <c r="AD497" s="358"/>
      <c r="AE497" s="358"/>
      <c r="AF497" s="358"/>
      <c r="AG497" s="358"/>
      <c r="AH497" s="358"/>
      <c r="AI497" s="358"/>
      <c r="AJ497" s="358"/>
      <c r="AK497" s="358"/>
      <c r="AL497" s="358"/>
      <c r="AM497" s="358"/>
      <c r="AN497" s="358"/>
      <c r="AO497" s="358"/>
      <c r="AP497" s="358"/>
      <c r="AQ497" s="358"/>
      <c r="AR497" s="358"/>
      <c r="AS497" s="358"/>
      <c r="AT497" s="358"/>
      <c r="AU497" s="358"/>
      <c r="AV497" s="358"/>
      <c r="AW497" s="358"/>
      <c r="AX497" s="358"/>
      <c r="AY497" s="358"/>
      <c r="AZ497" s="358"/>
      <c r="BA497" s="358"/>
      <c r="BB497" s="358"/>
      <c r="BC497" s="358"/>
      <c r="BD497" s="358"/>
      <c r="BE497" s="358"/>
      <c r="BF497" s="358"/>
      <c r="BG497" s="358"/>
      <c r="BH497" s="358"/>
      <c r="BI497" s="358"/>
      <c r="BJ497" s="358"/>
      <c r="BK497" s="358"/>
      <c r="BL497" s="358"/>
      <c r="BM497" s="358"/>
      <c r="BN497" s="358"/>
      <c r="BO497" s="358"/>
      <c r="BP497" s="358"/>
      <c r="BQ497" s="358"/>
      <c r="BR497" s="358"/>
      <c r="BS497" s="358"/>
      <c r="BT497" s="358"/>
      <c r="BU497" s="358"/>
      <c r="BV497" s="358"/>
    </row>
    <row r="498" spans="2:74" x14ac:dyDescent="0.2">
      <c r="B498" s="358"/>
      <c r="D498" s="358"/>
      <c r="E498" s="358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  <c r="AA498" s="358"/>
      <c r="AB498" s="358"/>
      <c r="AC498" s="358"/>
      <c r="AD498" s="358"/>
      <c r="AE498" s="358"/>
      <c r="AF498" s="358"/>
      <c r="AG498" s="358"/>
      <c r="AH498" s="358"/>
      <c r="AI498" s="358"/>
      <c r="AJ498" s="358"/>
      <c r="AK498" s="358"/>
      <c r="AL498" s="358"/>
      <c r="AM498" s="358"/>
      <c r="AN498" s="358"/>
      <c r="AO498" s="358"/>
      <c r="AP498" s="358"/>
      <c r="AQ498" s="358"/>
      <c r="AR498" s="358"/>
      <c r="AS498" s="358"/>
      <c r="AT498" s="358"/>
      <c r="AU498" s="358"/>
      <c r="AV498" s="358"/>
      <c r="AW498" s="358"/>
      <c r="AX498" s="358"/>
      <c r="AY498" s="358"/>
      <c r="AZ498" s="358"/>
      <c r="BA498" s="358"/>
      <c r="BB498" s="358"/>
      <c r="BC498" s="358"/>
      <c r="BD498" s="358"/>
      <c r="BE498" s="358"/>
      <c r="BF498" s="358"/>
      <c r="BG498" s="358"/>
      <c r="BH498" s="358"/>
      <c r="BI498" s="358"/>
      <c r="BJ498" s="358"/>
      <c r="BK498" s="358"/>
      <c r="BL498" s="358"/>
      <c r="BM498" s="358"/>
      <c r="BN498" s="358"/>
      <c r="BO498" s="358"/>
      <c r="BP498" s="358"/>
      <c r="BQ498" s="358"/>
      <c r="BR498" s="358"/>
      <c r="BS498" s="358"/>
      <c r="BT498" s="358"/>
      <c r="BU498" s="358"/>
      <c r="BV498" s="358"/>
    </row>
    <row r="499" spans="2:74" x14ac:dyDescent="0.2">
      <c r="B499" s="358"/>
      <c r="D499" s="358"/>
      <c r="E499" s="358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8"/>
      <c r="AA499" s="358"/>
      <c r="AB499" s="358"/>
      <c r="AC499" s="358"/>
      <c r="AD499" s="358"/>
      <c r="AE499" s="358"/>
      <c r="AF499" s="358"/>
      <c r="AG499" s="358"/>
      <c r="AH499" s="358"/>
      <c r="AI499" s="358"/>
      <c r="AJ499" s="358"/>
      <c r="AK499" s="358"/>
      <c r="AL499" s="358"/>
      <c r="AM499" s="358"/>
      <c r="AN499" s="358"/>
      <c r="AO499" s="358"/>
      <c r="AP499" s="358"/>
      <c r="AQ499" s="358"/>
      <c r="AR499" s="358"/>
      <c r="AS499" s="358"/>
      <c r="AT499" s="358"/>
      <c r="AU499" s="358"/>
      <c r="AV499" s="358"/>
      <c r="AW499" s="358"/>
      <c r="AX499" s="358"/>
      <c r="AY499" s="358"/>
      <c r="AZ499" s="358"/>
      <c r="BA499" s="358"/>
      <c r="BB499" s="358"/>
      <c r="BC499" s="358"/>
      <c r="BD499" s="358"/>
      <c r="BE499" s="358"/>
      <c r="BF499" s="358"/>
      <c r="BG499" s="358"/>
      <c r="BH499" s="358"/>
      <c r="BI499" s="358"/>
      <c r="BJ499" s="358"/>
      <c r="BK499" s="358"/>
      <c r="BL499" s="358"/>
      <c r="BM499" s="358"/>
      <c r="BN499" s="358"/>
      <c r="BO499" s="358"/>
      <c r="BP499" s="358"/>
      <c r="BQ499" s="358"/>
      <c r="BR499" s="358"/>
      <c r="BS499" s="358"/>
      <c r="BT499" s="358"/>
      <c r="BU499" s="358"/>
      <c r="BV499" s="358"/>
    </row>
    <row r="500" spans="2:74" x14ac:dyDescent="0.2">
      <c r="B500" s="358"/>
      <c r="D500" s="358"/>
      <c r="E500" s="358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  <c r="AA500" s="358"/>
      <c r="AB500" s="358"/>
      <c r="AC500" s="358"/>
      <c r="AD500" s="358"/>
      <c r="AE500" s="358"/>
      <c r="AF500" s="358"/>
      <c r="AG500" s="358"/>
      <c r="AH500" s="358"/>
      <c r="AI500" s="358"/>
      <c r="AJ500" s="358"/>
      <c r="AK500" s="358"/>
      <c r="AL500" s="358"/>
      <c r="AM500" s="358"/>
      <c r="AN500" s="358"/>
      <c r="AO500" s="358"/>
      <c r="AP500" s="358"/>
      <c r="AQ500" s="358"/>
      <c r="AR500" s="358"/>
      <c r="AS500" s="358"/>
      <c r="AT500" s="358"/>
      <c r="AU500" s="358"/>
      <c r="AV500" s="358"/>
      <c r="AW500" s="358"/>
      <c r="AX500" s="358"/>
      <c r="AY500" s="358"/>
      <c r="AZ500" s="358"/>
      <c r="BA500" s="358"/>
      <c r="BB500" s="358"/>
      <c r="BC500" s="358"/>
      <c r="BD500" s="358"/>
      <c r="BE500" s="358"/>
      <c r="BF500" s="358"/>
      <c r="BG500" s="358"/>
      <c r="BH500" s="358"/>
      <c r="BI500" s="358"/>
      <c r="BJ500" s="358"/>
      <c r="BK500" s="358"/>
      <c r="BL500" s="358"/>
      <c r="BM500" s="358"/>
      <c r="BN500" s="358"/>
      <c r="BO500" s="358"/>
      <c r="BP500" s="358"/>
      <c r="BQ500" s="358"/>
      <c r="BR500" s="358"/>
      <c r="BS500" s="358"/>
      <c r="BT500" s="358"/>
      <c r="BU500" s="358"/>
      <c r="BV500" s="358"/>
    </row>
    <row r="501" spans="2:74" x14ac:dyDescent="0.2">
      <c r="B501" s="358"/>
      <c r="D501" s="358"/>
      <c r="E501" s="358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8"/>
      <c r="AA501" s="358"/>
      <c r="AB501" s="358"/>
      <c r="AC501" s="358"/>
      <c r="AD501" s="358"/>
      <c r="AE501" s="358"/>
      <c r="AF501" s="358"/>
      <c r="AG501" s="358"/>
      <c r="AH501" s="358"/>
      <c r="AI501" s="358"/>
      <c r="AJ501" s="358"/>
      <c r="AK501" s="358"/>
      <c r="AL501" s="358"/>
      <c r="AM501" s="358"/>
      <c r="AN501" s="358"/>
      <c r="AO501" s="358"/>
      <c r="AP501" s="358"/>
      <c r="AQ501" s="358"/>
      <c r="AR501" s="358"/>
      <c r="AS501" s="358"/>
      <c r="AT501" s="358"/>
      <c r="AU501" s="358"/>
      <c r="AV501" s="358"/>
      <c r="AW501" s="358"/>
      <c r="AX501" s="358"/>
      <c r="AY501" s="358"/>
      <c r="AZ501" s="358"/>
      <c r="BA501" s="358"/>
      <c r="BB501" s="358"/>
      <c r="BC501" s="358"/>
      <c r="BD501" s="358"/>
      <c r="BE501" s="358"/>
      <c r="BF501" s="358"/>
      <c r="BG501" s="358"/>
      <c r="BH501" s="358"/>
      <c r="BI501" s="358"/>
      <c r="BJ501" s="358"/>
      <c r="BK501" s="358"/>
      <c r="BL501" s="358"/>
      <c r="BM501" s="358"/>
      <c r="BN501" s="358"/>
      <c r="BO501" s="358"/>
      <c r="BP501" s="358"/>
      <c r="BQ501" s="358"/>
      <c r="BR501" s="358"/>
      <c r="BS501" s="358"/>
      <c r="BT501" s="358"/>
      <c r="BU501" s="358"/>
      <c r="BV501" s="358"/>
    </row>
    <row r="502" spans="2:74" x14ac:dyDescent="0.2">
      <c r="B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  <c r="AA502" s="358"/>
      <c r="AB502" s="358"/>
      <c r="AC502" s="358"/>
      <c r="AD502" s="358"/>
      <c r="AE502" s="358"/>
      <c r="AF502" s="358"/>
      <c r="AG502" s="358"/>
      <c r="AH502" s="358"/>
      <c r="AI502" s="358"/>
      <c r="AJ502" s="358"/>
      <c r="AK502" s="358"/>
      <c r="AL502" s="358"/>
      <c r="AM502" s="358"/>
      <c r="AN502" s="358"/>
      <c r="AO502" s="358"/>
      <c r="AP502" s="358"/>
      <c r="AQ502" s="358"/>
      <c r="AR502" s="358"/>
      <c r="AS502" s="358"/>
      <c r="AT502" s="358"/>
      <c r="AU502" s="358"/>
      <c r="AV502" s="358"/>
      <c r="AW502" s="358"/>
      <c r="AX502" s="358"/>
      <c r="AY502" s="358"/>
      <c r="AZ502" s="358"/>
      <c r="BA502" s="358"/>
      <c r="BB502" s="358"/>
      <c r="BC502" s="358"/>
      <c r="BD502" s="358"/>
      <c r="BE502" s="358"/>
      <c r="BF502" s="358"/>
      <c r="BG502" s="358"/>
      <c r="BH502" s="358"/>
      <c r="BI502" s="358"/>
      <c r="BJ502" s="358"/>
      <c r="BK502" s="358"/>
      <c r="BL502" s="358"/>
      <c r="BM502" s="358"/>
      <c r="BN502" s="358"/>
      <c r="BO502" s="358"/>
      <c r="BP502" s="358"/>
      <c r="BQ502" s="358"/>
      <c r="BR502" s="358"/>
      <c r="BS502" s="358"/>
      <c r="BT502" s="358"/>
      <c r="BU502" s="358"/>
      <c r="BV502" s="358"/>
    </row>
    <row r="503" spans="2:74" x14ac:dyDescent="0.2">
      <c r="B503" s="358"/>
      <c r="D503" s="358"/>
      <c r="E503" s="358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8"/>
      <c r="AA503" s="358"/>
      <c r="AB503" s="358"/>
      <c r="AC503" s="358"/>
      <c r="AD503" s="358"/>
      <c r="AE503" s="358"/>
      <c r="AF503" s="358"/>
      <c r="AG503" s="358"/>
      <c r="AH503" s="358"/>
      <c r="AI503" s="358"/>
      <c r="AJ503" s="358"/>
      <c r="AK503" s="358"/>
      <c r="AL503" s="358"/>
      <c r="AM503" s="358"/>
      <c r="AN503" s="358"/>
      <c r="AO503" s="358"/>
      <c r="AP503" s="358"/>
      <c r="AQ503" s="358"/>
      <c r="AR503" s="358"/>
      <c r="AS503" s="358"/>
      <c r="AT503" s="358"/>
      <c r="AU503" s="358"/>
      <c r="AV503" s="358"/>
      <c r="AW503" s="358"/>
      <c r="AX503" s="358"/>
      <c r="AY503" s="358"/>
      <c r="AZ503" s="358"/>
      <c r="BA503" s="358"/>
      <c r="BB503" s="358"/>
      <c r="BC503" s="358"/>
      <c r="BD503" s="358"/>
      <c r="BE503" s="358"/>
      <c r="BF503" s="358"/>
      <c r="BG503" s="358"/>
      <c r="BH503" s="358"/>
      <c r="BI503" s="358"/>
      <c r="BJ503" s="358"/>
      <c r="BK503" s="358"/>
      <c r="BL503" s="358"/>
      <c r="BM503" s="358"/>
      <c r="BN503" s="358"/>
      <c r="BO503" s="358"/>
      <c r="BP503" s="358"/>
      <c r="BQ503" s="358"/>
      <c r="BR503" s="358"/>
      <c r="BS503" s="358"/>
      <c r="BT503" s="358"/>
      <c r="BU503" s="358"/>
      <c r="BV503" s="358"/>
    </row>
    <row r="504" spans="2:74" x14ac:dyDescent="0.2">
      <c r="B504" s="358"/>
      <c r="D504" s="358"/>
      <c r="E504" s="358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  <c r="AA504" s="358"/>
      <c r="AB504" s="358"/>
      <c r="AC504" s="358"/>
      <c r="AD504" s="358"/>
      <c r="AE504" s="358"/>
      <c r="AF504" s="358"/>
      <c r="AG504" s="358"/>
      <c r="AH504" s="358"/>
      <c r="AI504" s="358"/>
      <c r="AJ504" s="358"/>
      <c r="AK504" s="358"/>
      <c r="AL504" s="358"/>
      <c r="AM504" s="358"/>
      <c r="AN504" s="358"/>
      <c r="AO504" s="358"/>
      <c r="AP504" s="358"/>
      <c r="AQ504" s="358"/>
      <c r="AR504" s="358"/>
      <c r="AS504" s="358"/>
      <c r="AT504" s="358"/>
      <c r="AU504" s="358"/>
      <c r="AV504" s="358"/>
      <c r="AW504" s="358"/>
      <c r="AX504" s="358"/>
      <c r="AY504" s="358"/>
      <c r="AZ504" s="358"/>
      <c r="BA504" s="358"/>
      <c r="BB504" s="358"/>
      <c r="BC504" s="358"/>
      <c r="BD504" s="358"/>
      <c r="BE504" s="358"/>
      <c r="BF504" s="358"/>
      <c r="BG504" s="358"/>
      <c r="BH504" s="358"/>
      <c r="BI504" s="358"/>
      <c r="BJ504" s="358"/>
      <c r="BK504" s="358"/>
      <c r="BL504" s="358"/>
      <c r="BM504" s="358"/>
      <c r="BN504" s="358"/>
      <c r="BO504" s="358"/>
      <c r="BP504" s="358"/>
      <c r="BQ504" s="358"/>
      <c r="BR504" s="358"/>
      <c r="BS504" s="358"/>
      <c r="BT504" s="358"/>
      <c r="BU504" s="358"/>
      <c r="BV504" s="358"/>
    </row>
    <row r="505" spans="2:74" x14ac:dyDescent="0.2">
      <c r="B505" s="358"/>
      <c r="D505" s="358"/>
      <c r="E505" s="358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8"/>
      <c r="AA505" s="358"/>
      <c r="AB505" s="358"/>
      <c r="AC505" s="358"/>
      <c r="AD505" s="358"/>
      <c r="AE505" s="358"/>
      <c r="AF505" s="358"/>
      <c r="AG505" s="358"/>
      <c r="AH505" s="358"/>
      <c r="AI505" s="358"/>
      <c r="AJ505" s="358"/>
      <c r="AK505" s="358"/>
      <c r="AL505" s="358"/>
      <c r="AM505" s="358"/>
      <c r="AN505" s="358"/>
      <c r="AO505" s="358"/>
      <c r="AP505" s="358"/>
      <c r="AQ505" s="358"/>
      <c r="AR505" s="358"/>
      <c r="AS505" s="358"/>
      <c r="AT505" s="358"/>
      <c r="AU505" s="358"/>
      <c r="AV505" s="358"/>
      <c r="AW505" s="358"/>
      <c r="AX505" s="358"/>
      <c r="AY505" s="358"/>
      <c r="AZ505" s="358"/>
      <c r="BA505" s="358"/>
      <c r="BB505" s="358"/>
      <c r="BC505" s="358"/>
      <c r="BD505" s="358"/>
      <c r="BE505" s="358"/>
      <c r="BF505" s="358"/>
      <c r="BG505" s="358"/>
      <c r="BH505" s="358"/>
      <c r="BI505" s="358"/>
      <c r="BJ505" s="358"/>
      <c r="BK505" s="358"/>
      <c r="BL505" s="358"/>
      <c r="BM505" s="358"/>
      <c r="BN505" s="358"/>
      <c r="BO505" s="358"/>
      <c r="BP505" s="358"/>
      <c r="BQ505" s="358"/>
      <c r="BR505" s="358"/>
      <c r="BS505" s="358"/>
      <c r="BT505" s="358"/>
      <c r="BU505" s="358"/>
      <c r="BV505" s="358"/>
    </row>
    <row r="506" spans="2:74" x14ac:dyDescent="0.2">
      <c r="B506" s="358"/>
      <c r="D506" s="358"/>
      <c r="E506" s="358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  <c r="AA506" s="358"/>
      <c r="AB506" s="358"/>
      <c r="AC506" s="358"/>
      <c r="AD506" s="358"/>
      <c r="AE506" s="358"/>
      <c r="AF506" s="358"/>
      <c r="AG506" s="358"/>
      <c r="AH506" s="358"/>
      <c r="AI506" s="358"/>
      <c r="AJ506" s="358"/>
      <c r="AK506" s="358"/>
      <c r="AL506" s="358"/>
      <c r="AM506" s="358"/>
      <c r="AN506" s="358"/>
      <c r="AO506" s="358"/>
      <c r="AP506" s="358"/>
      <c r="AQ506" s="358"/>
      <c r="AR506" s="358"/>
      <c r="AS506" s="358"/>
      <c r="AT506" s="358"/>
      <c r="AU506" s="358"/>
      <c r="AV506" s="358"/>
      <c r="AW506" s="358"/>
      <c r="AX506" s="358"/>
      <c r="AY506" s="358"/>
      <c r="AZ506" s="358"/>
      <c r="BA506" s="358"/>
      <c r="BB506" s="358"/>
      <c r="BC506" s="358"/>
      <c r="BD506" s="358"/>
      <c r="BE506" s="358"/>
      <c r="BF506" s="358"/>
      <c r="BG506" s="358"/>
      <c r="BH506" s="358"/>
      <c r="BI506" s="358"/>
      <c r="BJ506" s="358"/>
      <c r="BK506" s="358"/>
      <c r="BL506" s="358"/>
      <c r="BM506" s="358"/>
      <c r="BN506" s="358"/>
      <c r="BO506" s="358"/>
      <c r="BP506" s="358"/>
      <c r="BQ506" s="358"/>
      <c r="BR506" s="358"/>
      <c r="BS506" s="358"/>
      <c r="BT506" s="358"/>
      <c r="BU506" s="358"/>
      <c r="BV506" s="358"/>
    </row>
    <row r="507" spans="2:74" x14ac:dyDescent="0.2">
      <c r="B507" s="358"/>
      <c r="D507" s="358"/>
      <c r="E507" s="358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8"/>
      <c r="AA507" s="358"/>
      <c r="AB507" s="358"/>
      <c r="AC507" s="358"/>
      <c r="AD507" s="358"/>
      <c r="AE507" s="358"/>
      <c r="AF507" s="358"/>
      <c r="AG507" s="358"/>
      <c r="AH507" s="358"/>
      <c r="AI507" s="358"/>
      <c r="AJ507" s="358"/>
      <c r="AK507" s="358"/>
      <c r="AL507" s="358"/>
      <c r="AM507" s="358"/>
      <c r="AN507" s="358"/>
      <c r="AO507" s="358"/>
      <c r="AP507" s="358"/>
      <c r="AQ507" s="358"/>
      <c r="AR507" s="358"/>
      <c r="AS507" s="358"/>
      <c r="AT507" s="358"/>
      <c r="AU507" s="358"/>
      <c r="AV507" s="358"/>
      <c r="AW507" s="358"/>
      <c r="AX507" s="358"/>
      <c r="AY507" s="358"/>
      <c r="AZ507" s="358"/>
      <c r="BA507" s="358"/>
      <c r="BB507" s="358"/>
      <c r="BC507" s="358"/>
      <c r="BD507" s="358"/>
      <c r="BE507" s="358"/>
      <c r="BF507" s="358"/>
      <c r="BG507" s="358"/>
      <c r="BH507" s="358"/>
      <c r="BI507" s="358"/>
      <c r="BJ507" s="358"/>
      <c r="BK507" s="358"/>
      <c r="BL507" s="358"/>
      <c r="BM507" s="358"/>
      <c r="BN507" s="358"/>
      <c r="BO507" s="358"/>
      <c r="BP507" s="358"/>
      <c r="BQ507" s="358"/>
      <c r="BR507" s="358"/>
      <c r="BS507" s="358"/>
      <c r="BT507" s="358"/>
      <c r="BU507" s="358"/>
      <c r="BV507" s="358"/>
    </row>
    <row r="508" spans="2:74" x14ac:dyDescent="0.2">
      <c r="B508" s="358"/>
      <c r="D508" s="358"/>
      <c r="E508" s="358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  <c r="AA508" s="358"/>
      <c r="AB508" s="358"/>
      <c r="AC508" s="358"/>
      <c r="AD508" s="358"/>
      <c r="AE508" s="358"/>
      <c r="AF508" s="358"/>
      <c r="AG508" s="358"/>
      <c r="AH508" s="358"/>
      <c r="AI508" s="358"/>
      <c r="AJ508" s="358"/>
      <c r="AK508" s="358"/>
      <c r="AL508" s="358"/>
      <c r="AM508" s="358"/>
      <c r="AN508" s="358"/>
      <c r="AO508" s="358"/>
      <c r="AP508" s="358"/>
      <c r="AQ508" s="358"/>
      <c r="AR508" s="358"/>
      <c r="AS508" s="358"/>
      <c r="AT508" s="358"/>
      <c r="AU508" s="358"/>
      <c r="AV508" s="358"/>
      <c r="AW508" s="358"/>
      <c r="AX508" s="358"/>
      <c r="AY508" s="358"/>
      <c r="AZ508" s="358"/>
      <c r="BA508" s="358"/>
      <c r="BB508" s="358"/>
      <c r="BC508" s="358"/>
      <c r="BD508" s="358"/>
      <c r="BE508" s="358"/>
      <c r="BF508" s="358"/>
      <c r="BG508" s="358"/>
      <c r="BH508" s="358"/>
      <c r="BI508" s="358"/>
      <c r="BJ508" s="358"/>
      <c r="BK508" s="358"/>
      <c r="BL508" s="358"/>
      <c r="BM508" s="358"/>
      <c r="BN508" s="358"/>
      <c r="BO508" s="358"/>
      <c r="BP508" s="358"/>
      <c r="BQ508" s="358"/>
      <c r="BR508" s="358"/>
      <c r="BS508" s="358"/>
      <c r="BT508" s="358"/>
      <c r="BU508" s="358"/>
      <c r="BV508" s="358"/>
    </row>
    <row r="509" spans="2:74" x14ac:dyDescent="0.2">
      <c r="B509" s="358"/>
      <c r="D509" s="358"/>
      <c r="E509" s="358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8"/>
      <c r="AA509" s="358"/>
      <c r="AB509" s="358"/>
      <c r="AC509" s="358"/>
      <c r="AD509" s="358"/>
      <c r="AE509" s="358"/>
      <c r="AF509" s="358"/>
      <c r="AG509" s="358"/>
      <c r="AH509" s="358"/>
      <c r="AI509" s="358"/>
      <c r="AJ509" s="358"/>
      <c r="AK509" s="358"/>
      <c r="AL509" s="358"/>
      <c r="AM509" s="358"/>
      <c r="AN509" s="358"/>
      <c r="AO509" s="358"/>
      <c r="AP509" s="358"/>
      <c r="AQ509" s="358"/>
      <c r="AR509" s="358"/>
      <c r="AS509" s="358"/>
      <c r="AT509" s="358"/>
      <c r="AU509" s="358"/>
      <c r="AV509" s="358"/>
      <c r="AW509" s="358"/>
      <c r="AX509" s="358"/>
      <c r="AY509" s="358"/>
      <c r="AZ509" s="358"/>
      <c r="BA509" s="358"/>
      <c r="BB509" s="358"/>
      <c r="BC509" s="358"/>
      <c r="BD509" s="358"/>
      <c r="BE509" s="358"/>
      <c r="BF509" s="358"/>
      <c r="BG509" s="358"/>
      <c r="BH509" s="358"/>
      <c r="BI509" s="358"/>
      <c r="BJ509" s="358"/>
      <c r="BK509" s="358"/>
      <c r="BL509" s="358"/>
      <c r="BM509" s="358"/>
      <c r="BN509" s="358"/>
      <c r="BO509" s="358"/>
      <c r="BP509" s="358"/>
      <c r="BQ509" s="358"/>
      <c r="BR509" s="358"/>
      <c r="BS509" s="358"/>
      <c r="BT509" s="358"/>
      <c r="BU509" s="358"/>
      <c r="BV509" s="358"/>
    </row>
    <row r="510" spans="2:74" x14ac:dyDescent="0.2">
      <c r="B510" s="358"/>
      <c r="D510" s="358"/>
      <c r="E510" s="358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  <c r="AI510" s="358"/>
      <c r="AJ510" s="358"/>
      <c r="AK510" s="358"/>
      <c r="AL510" s="358"/>
      <c r="AM510" s="358"/>
      <c r="AN510" s="358"/>
      <c r="AO510" s="358"/>
      <c r="AP510" s="358"/>
      <c r="AQ510" s="358"/>
      <c r="AR510" s="358"/>
      <c r="AS510" s="358"/>
      <c r="AT510" s="358"/>
      <c r="AU510" s="358"/>
      <c r="AV510" s="358"/>
      <c r="AW510" s="358"/>
      <c r="AX510" s="358"/>
      <c r="AY510" s="358"/>
      <c r="AZ510" s="358"/>
      <c r="BA510" s="358"/>
      <c r="BB510" s="358"/>
      <c r="BC510" s="358"/>
      <c r="BD510" s="358"/>
      <c r="BE510" s="358"/>
      <c r="BF510" s="358"/>
      <c r="BG510" s="358"/>
      <c r="BH510" s="358"/>
      <c r="BI510" s="358"/>
      <c r="BJ510" s="358"/>
      <c r="BK510" s="358"/>
      <c r="BL510" s="358"/>
      <c r="BM510" s="358"/>
      <c r="BN510" s="358"/>
      <c r="BO510" s="358"/>
      <c r="BP510" s="358"/>
      <c r="BQ510" s="358"/>
      <c r="BR510" s="358"/>
      <c r="BS510" s="358"/>
      <c r="BT510" s="358"/>
      <c r="BU510" s="358"/>
      <c r="BV510" s="358"/>
    </row>
    <row r="511" spans="2:74" x14ac:dyDescent="0.2">
      <c r="B511" s="358"/>
      <c r="D511" s="358"/>
      <c r="E511" s="358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8"/>
      <c r="AA511" s="358"/>
      <c r="AB511" s="358"/>
      <c r="AC511" s="358"/>
      <c r="AD511" s="358"/>
      <c r="AE511" s="358"/>
      <c r="AF511" s="358"/>
      <c r="AG511" s="358"/>
      <c r="AH511" s="358"/>
      <c r="AI511" s="358"/>
      <c r="AJ511" s="358"/>
      <c r="AK511" s="358"/>
      <c r="AL511" s="358"/>
      <c r="AM511" s="358"/>
      <c r="AN511" s="358"/>
      <c r="AO511" s="358"/>
      <c r="AP511" s="358"/>
      <c r="AQ511" s="358"/>
      <c r="AR511" s="358"/>
      <c r="AS511" s="358"/>
      <c r="AT511" s="358"/>
      <c r="AU511" s="358"/>
      <c r="AV511" s="358"/>
      <c r="AW511" s="358"/>
      <c r="AX511" s="358"/>
      <c r="AY511" s="358"/>
      <c r="AZ511" s="358"/>
      <c r="BA511" s="358"/>
      <c r="BB511" s="358"/>
      <c r="BC511" s="358"/>
      <c r="BD511" s="358"/>
      <c r="BE511" s="358"/>
      <c r="BF511" s="358"/>
      <c r="BG511" s="358"/>
      <c r="BH511" s="358"/>
      <c r="BI511" s="358"/>
      <c r="BJ511" s="358"/>
      <c r="BK511" s="358"/>
      <c r="BL511" s="358"/>
      <c r="BM511" s="358"/>
      <c r="BN511" s="358"/>
      <c r="BO511" s="358"/>
      <c r="BP511" s="358"/>
      <c r="BQ511" s="358"/>
      <c r="BR511" s="358"/>
      <c r="BS511" s="358"/>
      <c r="BT511" s="358"/>
      <c r="BU511" s="358"/>
      <c r="BV511" s="358"/>
    </row>
    <row r="512" spans="2:74" x14ac:dyDescent="0.2">
      <c r="B512" s="358"/>
      <c r="D512" s="358"/>
      <c r="E512" s="358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  <c r="AA512" s="358"/>
      <c r="AB512" s="358"/>
      <c r="AC512" s="358"/>
      <c r="AD512" s="358"/>
      <c r="AE512" s="358"/>
      <c r="AF512" s="358"/>
      <c r="AG512" s="358"/>
      <c r="AH512" s="358"/>
      <c r="AI512" s="358"/>
      <c r="AJ512" s="358"/>
      <c r="AK512" s="358"/>
      <c r="AL512" s="358"/>
      <c r="AM512" s="358"/>
      <c r="AN512" s="358"/>
      <c r="AO512" s="358"/>
      <c r="AP512" s="358"/>
      <c r="AQ512" s="358"/>
      <c r="AR512" s="358"/>
      <c r="AS512" s="358"/>
      <c r="AT512" s="358"/>
      <c r="AU512" s="358"/>
      <c r="AV512" s="358"/>
      <c r="AW512" s="358"/>
      <c r="AX512" s="358"/>
      <c r="AY512" s="358"/>
      <c r="AZ512" s="358"/>
      <c r="BA512" s="358"/>
      <c r="BB512" s="358"/>
      <c r="BC512" s="358"/>
      <c r="BD512" s="358"/>
      <c r="BE512" s="358"/>
      <c r="BF512" s="358"/>
      <c r="BG512" s="358"/>
      <c r="BH512" s="358"/>
      <c r="BI512" s="358"/>
      <c r="BJ512" s="358"/>
      <c r="BK512" s="358"/>
      <c r="BL512" s="358"/>
      <c r="BM512" s="358"/>
      <c r="BN512" s="358"/>
      <c r="BO512" s="358"/>
      <c r="BP512" s="358"/>
      <c r="BQ512" s="358"/>
      <c r="BR512" s="358"/>
      <c r="BS512" s="358"/>
      <c r="BT512" s="358"/>
      <c r="BU512" s="358"/>
      <c r="BV512" s="358"/>
    </row>
    <row r="513" spans="2:74" x14ac:dyDescent="0.2">
      <c r="B513" s="358"/>
      <c r="D513" s="358"/>
      <c r="E513" s="358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8"/>
      <c r="AA513" s="358"/>
      <c r="AB513" s="358"/>
      <c r="AC513" s="358"/>
      <c r="AD513" s="358"/>
      <c r="AE513" s="358"/>
      <c r="AF513" s="358"/>
      <c r="AG513" s="358"/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58"/>
      <c r="AX513" s="358"/>
      <c r="AY513" s="358"/>
      <c r="AZ513" s="358"/>
      <c r="BA513" s="358"/>
      <c r="BB513" s="358"/>
      <c r="BC513" s="358"/>
      <c r="BD513" s="358"/>
      <c r="BE513" s="358"/>
      <c r="BF513" s="358"/>
      <c r="BG513" s="358"/>
      <c r="BH513" s="358"/>
      <c r="BI513" s="358"/>
      <c r="BJ513" s="358"/>
      <c r="BK513" s="358"/>
      <c r="BL513" s="358"/>
      <c r="BM513" s="358"/>
      <c r="BN513" s="358"/>
      <c r="BO513" s="358"/>
      <c r="BP513" s="358"/>
      <c r="BQ513" s="358"/>
      <c r="BR513" s="358"/>
      <c r="BS513" s="358"/>
      <c r="BT513" s="358"/>
      <c r="BU513" s="358"/>
      <c r="BV513" s="358"/>
    </row>
    <row r="514" spans="2:74" x14ac:dyDescent="0.2">
      <c r="B514" s="358"/>
      <c r="D514" s="358"/>
      <c r="E514" s="358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  <c r="AA514" s="358"/>
      <c r="AB514" s="358"/>
      <c r="AC514" s="358"/>
      <c r="AD514" s="358"/>
      <c r="AE514" s="358"/>
      <c r="AF514" s="358"/>
      <c r="AG514" s="358"/>
      <c r="AH514" s="358"/>
      <c r="AI514" s="358"/>
      <c r="AJ514" s="358"/>
      <c r="AK514" s="358"/>
      <c r="AL514" s="358"/>
      <c r="AM514" s="358"/>
      <c r="AN514" s="358"/>
      <c r="AO514" s="358"/>
      <c r="AP514" s="358"/>
      <c r="AQ514" s="358"/>
      <c r="AR514" s="358"/>
      <c r="AS514" s="358"/>
      <c r="AT514" s="358"/>
      <c r="AU514" s="358"/>
      <c r="AV514" s="358"/>
      <c r="AW514" s="358"/>
      <c r="AX514" s="358"/>
      <c r="AY514" s="358"/>
      <c r="AZ514" s="358"/>
      <c r="BA514" s="358"/>
      <c r="BB514" s="358"/>
      <c r="BC514" s="358"/>
      <c r="BD514" s="358"/>
      <c r="BE514" s="358"/>
      <c r="BF514" s="358"/>
      <c r="BG514" s="358"/>
      <c r="BH514" s="358"/>
      <c r="BI514" s="358"/>
      <c r="BJ514" s="358"/>
      <c r="BK514" s="358"/>
      <c r="BL514" s="358"/>
      <c r="BM514" s="358"/>
      <c r="BN514" s="358"/>
      <c r="BO514" s="358"/>
      <c r="BP514" s="358"/>
      <c r="BQ514" s="358"/>
      <c r="BR514" s="358"/>
      <c r="BS514" s="358"/>
      <c r="BT514" s="358"/>
      <c r="BU514" s="358"/>
      <c r="BV514" s="358"/>
    </row>
    <row r="515" spans="2:74" x14ac:dyDescent="0.2">
      <c r="B515" s="358"/>
      <c r="D515" s="358"/>
      <c r="E515" s="358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8"/>
      <c r="AA515" s="358"/>
      <c r="AB515" s="358"/>
      <c r="AC515" s="358"/>
      <c r="AD515" s="358"/>
      <c r="AE515" s="358"/>
      <c r="AF515" s="358"/>
      <c r="AG515" s="358"/>
      <c r="AH515" s="358"/>
      <c r="AI515" s="358"/>
      <c r="AJ515" s="358"/>
      <c r="AK515" s="358"/>
      <c r="AL515" s="358"/>
      <c r="AM515" s="358"/>
      <c r="AN515" s="358"/>
      <c r="AO515" s="358"/>
      <c r="AP515" s="358"/>
      <c r="AQ515" s="358"/>
      <c r="AR515" s="358"/>
      <c r="AS515" s="358"/>
      <c r="AT515" s="358"/>
      <c r="AU515" s="358"/>
      <c r="AV515" s="358"/>
      <c r="AW515" s="358"/>
      <c r="AX515" s="358"/>
      <c r="AY515" s="358"/>
      <c r="AZ515" s="358"/>
      <c r="BA515" s="358"/>
      <c r="BB515" s="358"/>
      <c r="BC515" s="358"/>
      <c r="BD515" s="358"/>
      <c r="BE515" s="358"/>
      <c r="BF515" s="358"/>
      <c r="BG515" s="358"/>
      <c r="BH515" s="358"/>
      <c r="BI515" s="358"/>
      <c r="BJ515" s="358"/>
      <c r="BK515" s="358"/>
      <c r="BL515" s="358"/>
      <c r="BM515" s="358"/>
      <c r="BN515" s="358"/>
      <c r="BO515" s="358"/>
      <c r="BP515" s="358"/>
      <c r="BQ515" s="358"/>
      <c r="BR515" s="358"/>
      <c r="BS515" s="358"/>
      <c r="BT515" s="358"/>
      <c r="BU515" s="358"/>
      <c r="BV515" s="358"/>
    </row>
    <row r="516" spans="2:74" x14ac:dyDescent="0.2">
      <c r="B516" s="358"/>
      <c r="D516" s="358"/>
      <c r="E516" s="358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  <c r="AA516" s="358"/>
      <c r="AB516" s="358"/>
      <c r="AC516" s="358"/>
      <c r="AD516" s="358"/>
      <c r="AE516" s="358"/>
      <c r="AF516" s="358"/>
      <c r="AG516" s="358"/>
      <c r="AH516" s="358"/>
      <c r="AI516" s="358"/>
      <c r="AJ516" s="358"/>
      <c r="AK516" s="358"/>
      <c r="AL516" s="358"/>
      <c r="AM516" s="358"/>
      <c r="AN516" s="358"/>
      <c r="AO516" s="358"/>
      <c r="AP516" s="358"/>
      <c r="AQ516" s="358"/>
      <c r="AR516" s="358"/>
      <c r="AS516" s="358"/>
      <c r="AT516" s="358"/>
      <c r="AU516" s="358"/>
      <c r="AV516" s="358"/>
      <c r="AW516" s="358"/>
      <c r="AX516" s="358"/>
      <c r="AY516" s="358"/>
      <c r="AZ516" s="358"/>
      <c r="BA516" s="358"/>
      <c r="BB516" s="358"/>
      <c r="BC516" s="358"/>
      <c r="BD516" s="358"/>
      <c r="BE516" s="358"/>
      <c r="BF516" s="358"/>
      <c r="BG516" s="358"/>
      <c r="BH516" s="358"/>
      <c r="BI516" s="358"/>
      <c r="BJ516" s="358"/>
      <c r="BK516" s="358"/>
      <c r="BL516" s="358"/>
      <c r="BM516" s="358"/>
      <c r="BN516" s="358"/>
      <c r="BO516" s="358"/>
      <c r="BP516" s="358"/>
      <c r="BQ516" s="358"/>
      <c r="BR516" s="358"/>
      <c r="BS516" s="358"/>
      <c r="BT516" s="358"/>
      <c r="BU516" s="358"/>
      <c r="BV516" s="358"/>
    </row>
    <row r="517" spans="2:74" x14ac:dyDescent="0.2">
      <c r="B517" s="358"/>
      <c r="D517" s="358"/>
      <c r="E517" s="358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8"/>
      <c r="AA517" s="358"/>
      <c r="AB517" s="358"/>
      <c r="AC517" s="358"/>
      <c r="AD517" s="358"/>
      <c r="AE517" s="358"/>
      <c r="AF517" s="358"/>
      <c r="AG517" s="358"/>
      <c r="AH517" s="358"/>
      <c r="AI517" s="358"/>
      <c r="AJ517" s="358"/>
      <c r="AK517" s="358"/>
      <c r="AL517" s="358"/>
      <c r="AM517" s="358"/>
      <c r="AN517" s="358"/>
      <c r="AO517" s="358"/>
      <c r="AP517" s="358"/>
      <c r="AQ517" s="358"/>
      <c r="AR517" s="358"/>
      <c r="AS517" s="358"/>
      <c r="AT517" s="358"/>
      <c r="AU517" s="358"/>
      <c r="AV517" s="358"/>
      <c r="AW517" s="358"/>
      <c r="AX517" s="358"/>
      <c r="AY517" s="358"/>
      <c r="AZ517" s="358"/>
      <c r="BA517" s="358"/>
      <c r="BB517" s="358"/>
      <c r="BC517" s="358"/>
      <c r="BD517" s="358"/>
      <c r="BE517" s="358"/>
      <c r="BF517" s="358"/>
      <c r="BG517" s="358"/>
      <c r="BH517" s="358"/>
      <c r="BI517" s="358"/>
      <c r="BJ517" s="358"/>
      <c r="BK517" s="358"/>
      <c r="BL517" s="358"/>
      <c r="BM517" s="358"/>
      <c r="BN517" s="358"/>
      <c r="BO517" s="358"/>
      <c r="BP517" s="358"/>
      <c r="BQ517" s="358"/>
      <c r="BR517" s="358"/>
      <c r="BS517" s="358"/>
      <c r="BT517" s="358"/>
      <c r="BU517" s="358"/>
      <c r="BV517" s="358"/>
    </row>
    <row r="518" spans="2:74" x14ac:dyDescent="0.2">
      <c r="B518" s="358"/>
      <c r="D518" s="358"/>
      <c r="E518" s="358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  <c r="AA518" s="358"/>
      <c r="AB518" s="358"/>
      <c r="AC518" s="358"/>
      <c r="AD518" s="358"/>
      <c r="AE518" s="358"/>
      <c r="AF518" s="358"/>
      <c r="AG518" s="358"/>
      <c r="AH518" s="358"/>
      <c r="AI518" s="358"/>
      <c r="AJ518" s="358"/>
      <c r="AK518" s="358"/>
      <c r="AL518" s="358"/>
      <c r="AM518" s="358"/>
      <c r="AN518" s="358"/>
      <c r="AO518" s="358"/>
      <c r="AP518" s="358"/>
      <c r="AQ518" s="358"/>
      <c r="AR518" s="358"/>
      <c r="AS518" s="358"/>
      <c r="AT518" s="358"/>
      <c r="AU518" s="358"/>
      <c r="AV518" s="358"/>
      <c r="AW518" s="358"/>
      <c r="AX518" s="358"/>
      <c r="AY518" s="358"/>
      <c r="AZ518" s="358"/>
      <c r="BA518" s="358"/>
      <c r="BB518" s="358"/>
      <c r="BC518" s="358"/>
      <c r="BD518" s="358"/>
      <c r="BE518" s="358"/>
      <c r="BF518" s="358"/>
      <c r="BG518" s="358"/>
      <c r="BH518" s="358"/>
      <c r="BI518" s="358"/>
      <c r="BJ518" s="358"/>
      <c r="BK518" s="358"/>
      <c r="BL518" s="358"/>
      <c r="BM518" s="358"/>
      <c r="BN518" s="358"/>
      <c r="BO518" s="358"/>
      <c r="BP518" s="358"/>
      <c r="BQ518" s="358"/>
      <c r="BR518" s="358"/>
      <c r="BS518" s="358"/>
      <c r="BT518" s="358"/>
      <c r="BU518" s="358"/>
      <c r="BV518" s="358"/>
    </row>
    <row r="519" spans="2:74" x14ac:dyDescent="0.2">
      <c r="B519" s="358"/>
      <c r="D519" s="358"/>
      <c r="E519" s="358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8"/>
      <c r="AA519" s="358"/>
      <c r="AB519" s="358"/>
      <c r="AC519" s="358"/>
      <c r="AD519" s="358"/>
      <c r="AE519" s="358"/>
      <c r="AF519" s="358"/>
      <c r="AG519" s="358"/>
      <c r="AH519" s="358"/>
      <c r="AI519" s="358"/>
      <c r="AJ519" s="358"/>
      <c r="AK519" s="358"/>
      <c r="AL519" s="358"/>
      <c r="AM519" s="358"/>
      <c r="AN519" s="358"/>
      <c r="AO519" s="358"/>
      <c r="AP519" s="358"/>
      <c r="AQ519" s="358"/>
      <c r="AR519" s="358"/>
      <c r="AS519" s="358"/>
      <c r="AT519" s="358"/>
      <c r="AU519" s="358"/>
      <c r="AV519" s="358"/>
      <c r="AW519" s="358"/>
      <c r="AX519" s="358"/>
      <c r="AY519" s="358"/>
      <c r="AZ519" s="358"/>
      <c r="BA519" s="358"/>
      <c r="BB519" s="358"/>
      <c r="BC519" s="358"/>
      <c r="BD519" s="358"/>
      <c r="BE519" s="358"/>
      <c r="BF519" s="358"/>
      <c r="BG519" s="358"/>
      <c r="BH519" s="358"/>
      <c r="BI519" s="358"/>
      <c r="BJ519" s="358"/>
      <c r="BK519" s="358"/>
      <c r="BL519" s="358"/>
      <c r="BM519" s="358"/>
      <c r="BN519" s="358"/>
      <c r="BO519" s="358"/>
      <c r="BP519" s="358"/>
      <c r="BQ519" s="358"/>
      <c r="BR519" s="358"/>
      <c r="BS519" s="358"/>
      <c r="BT519" s="358"/>
      <c r="BU519" s="358"/>
      <c r="BV519" s="358"/>
    </row>
    <row r="520" spans="2:74" x14ac:dyDescent="0.2">
      <c r="B520" s="358"/>
      <c r="D520" s="358"/>
      <c r="E520" s="358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  <c r="AA520" s="358"/>
      <c r="AB520" s="358"/>
      <c r="AC520" s="358"/>
      <c r="AD520" s="358"/>
      <c r="AE520" s="358"/>
      <c r="AF520" s="358"/>
      <c r="AG520" s="358"/>
      <c r="AH520" s="358"/>
      <c r="AI520" s="358"/>
      <c r="AJ520" s="358"/>
      <c r="AK520" s="358"/>
      <c r="AL520" s="358"/>
      <c r="AM520" s="358"/>
      <c r="AN520" s="358"/>
      <c r="AO520" s="358"/>
      <c r="AP520" s="358"/>
      <c r="AQ520" s="358"/>
      <c r="AR520" s="358"/>
      <c r="AS520" s="358"/>
      <c r="AT520" s="358"/>
      <c r="AU520" s="358"/>
      <c r="AV520" s="358"/>
      <c r="AW520" s="358"/>
      <c r="AX520" s="358"/>
      <c r="AY520" s="358"/>
      <c r="AZ520" s="358"/>
      <c r="BA520" s="358"/>
      <c r="BB520" s="358"/>
      <c r="BC520" s="358"/>
      <c r="BD520" s="358"/>
      <c r="BE520" s="358"/>
      <c r="BF520" s="358"/>
      <c r="BG520" s="358"/>
      <c r="BH520" s="358"/>
      <c r="BI520" s="358"/>
      <c r="BJ520" s="358"/>
      <c r="BK520" s="358"/>
      <c r="BL520" s="358"/>
      <c r="BM520" s="358"/>
      <c r="BN520" s="358"/>
      <c r="BO520" s="358"/>
      <c r="BP520" s="358"/>
      <c r="BQ520" s="358"/>
      <c r="BR520" s="358"/>
      <c r="BS520" s="358"/>
      <c r="BT520" s="358"/>
      <c r="BU520" s="358"/>
      <c r="BV520" s="358"/>
    </row>
    <row r="521" spans="2:74" x14ac:dyDescent="0.2">
      <c r="B521" s="358"/>
      <c r="D521" s="358"/>
      <c r="E521" s="358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8"/>
      <c r="AA521" s="358"/>
      <c r="AB521" s="358"/>
      <c r="AC521" s="358"/>
      <c r="AD521" s="358"/>
      <c r="AE521" s="358"/>
      <c r="AF521" s="358"/>
      <c r="AG521" s="358"/>
      <c r="AH521" s="358"/>
      <c r="AI521" s="358"/>
      <c r="AJ521" s="358"/>
      <c r="AK521" s="358"/>
      <c r="AL521" s="358"/>
      <c r="AM521" s="358"/>
      <c r="AN521" s="358"/>
      <c r="AO521" s="358"/>
      <c r="AP521" s="358"/>
      <c r="AQ521" s="358"/>
      <c r="AR521" s="358"/>
      <c r="AS521" s="358"/>
      <c r="AT521" s="358"/>
      <c r="AU521" s="358"/>
      <c r="AV521" s="358"/>
      <c r="AW521" s="358"/>
      <c r="AX521" s="358"/>
      <c r="AY521" s="358"/>
      <c r="AZ521" s="358"/>
      <c r="BA521" s="358"/>
      <c r="BB521" s="358"/>
      <c r="BC521" s="358"/>
      <c r="BD521" s="358"/>
      <c r="BE521" s="358"/>
      <c r="BF521" s="358"/>
      <c r="BG521" s="358"/>
      <c r="BH521" s="358"/>
      <c r="BI521" s="358"/>
      <c r="BJ521" s="358"/>
      <c r="BK521" s="358"/>
      <c r="BL521" s="358"/>
      <c r="BM521" s="358"/>
      <c r="BN521" s="358"/>
      <c r="BO521" s="358"/>
      <c r="BP521" s="358"/>
      <c r="BQ521" s="358"/>
      <c r="BR521" s="358"/>
      <c r="BS521" s="358"/>
      <c r="BT521" s="358"/>
      <c r="BU521" s="358"/>
      <c r="BV521" s="358"/>
    </row>
    <row r="522" spans="2:74" x14ac:dyDescent="0.2">
      <c r="B522" s="358"/>
      <c r="D522" s="358"/>
      <c r="E522" s="358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  <c r="AA522" s="358"/>
      <c r="AB522" s="358"/>
      <c r="AC522" s="358"/>
      <c r="AD522" s="358"/>
      <c r="AE522" s="358"/>
      <c r="AF522" s="358"/>
      <c r="AG522" s="358"/>
      <c r="AH522" s="358"/>
      <c r="AI522" s="358"/>
      <c r="AJ522" s="358"/>
      <c r="AK522" s="358"/>
      <c r="AL522" s="358"/>
      <c r="AM522" s="358"/>
      <c r="AN522" s="358"/>
      <c r="AO522" s="358"/>
      <c r="AP522" s="358"/>
      <c r="AQ522" s="358"/>
      <c r="AR522" s="358"/>
      <c r="AS522" s="358"/>
      <c r="AT522" s="358"/>
      <c r="AU522" s="358"/>
      <c r="AV522" s="358"/>
      <c r="AW522" s="358"/>
      <c r="AX522" s="358"/>
      <c r="AY522" s="358"/>
      <c r="AZ522" s="358"/>
      <c r="BA522" s="358"/>
      <c r="BB522" s="358"/>
      <c r="BC522" s="358"/>
      <c r="BD522" s="358"/>
      <c r="BE522" s="358"/>
      <c r="BF522" s="358"/>
      <c r="BG522" s="358"/>
      <c r="BH522" s="358"/>
      <c r="BI522" s="358"/>
      <c r="BJ522" s="358"/>
      <c r="BK522" s="358"/>
      <c r="BL522" s="358"/>
      <c r="BM522" s="358"/>
      <c r="BN522" s="358"/>
      <c r="BO522" s="358"/>
      <c r="BP522" s="358"/>
      <c r="BQ522" s="358"/>
      <c r="BR522" s="358"/>
      <c r="BS522" s="358"/>
      <c r="BT522" s="358"/>
      <c r="BU522" s="358"/>
      <c r="BV522" s="358"/>
    </row>
    <row r="523" spans="2:74" x14ac:dyDescent="0.2">
      <c r="B523" s="358"/>
      <c r="D523" s="358"/>
      <c r="E523" s="358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8"/>
      <c r="AA523" s="358"/>
      <c r="AB523" s="358"/>
      <c r="AC523" s="358"/>
      <c r="AD523" s="358"/>
      <c r="AE523" s="358"/>
      <c r="AF523" s="358"/>
      <c r="AG523" s="358"/>
      <c r="AH523" s="358"/>
      <c r="AI523" s="358"/>
      <c r="AJ523" s="358"/>
      <c r="AK523" s="358"/>
      <c r="AL523" s="358"/>
      <c r="AM523" s="358"/>
      <c r="AN523" s="358"/>
      <c r="AO523" s="358"/>
      <c r="AP523" s="358"/>
      <c r="AQ523" s="358"/>
      <c r="AR523" s="358"/>
      <c r="AS523" s="358"/>
      <c r="AT523" s="358"/>
      <c r="AU523" s="358"/>
      <c r="AV523" s="358"/>
      <c r="AW523" s="358"/>
      <c r="AX523" s="358"/>
      <c r="AY523" s="358"/>
      <c r="AZ523" s="358"/>
      <c r="BA523" s="358"/>
      <c r="BB523" s="358"/>
      <c r="BC523" s="358"/>
      <c r="BD523" s="358"/>
      <c r="BE523" s="358"/>
      <c r="BF523" s="358"/>
      <c r="BG523" s="358"/>
      <c r="BH523" s="358"/>
      <c r="BI523" s="358"/>
      <c r="BJ523" s="358"/>
      <c r="BK523" s="358"/>
      <c r="BL523" s="358"/>
      <c r="BM523" s="358"/>
      <c r="BN523" s="358"/>
      <c r="BO523" s="358"/>
      <c r="BP523" s="358"/>
      <c r="BQ523" s="358"/>
      <c r="BR523" s="358"/>
      <c r="BS523" s="358"/>
      <c r="BT523" s="358"/>
      <c r="BU523" s="358"/>
      <c r="BV523" s="358"/>
    </row>
    <row r="524" spans="2:74" x14ac:dyDescent="0.2">
      <c r="B524" s="358"/>
      <c r="D524" s="358"/>
      <c r="E524" s="358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  <c r="AA524" s="358"/>
      <c r="AB524" s="358"/>
      <c r="AC524" s="358"/>
      <c r="AD524" s="358"/>
      <c r="AE524" s="358"/>
      <c r="AF524" s="358"/>
      <c r="AG524" s="358"/>
      <c r="AH524" s="358"/>
      <c r="AI524" s="358"/>
      <c r="AJ524" s="358"/>
      <c r="AK524" s="358"/>
      <c r="AL524" s="358"/>
      <c r="AM524" s="358"/>
      <c r="AN524" s="358"/>
      <c r="AO524" s="358"/>
      <c r="AP524" s="358"/>
      <c r="AQ524" s="358"/>
      <c r="AR524" s="358"/>
      <c r="AS524" s="358"/>
      <c r="AT524" s="358"/>
      <c r="AU524" s="358"/>
      <c r="AV524" s="358"/>
      <c r="AW524" s="358"/>
      <c r="AX524" s="358"/>
      <c r="AY524" s="358"/>
      <c r="AZ524" s="358"/>
      <c r="BA524" s="358"/>
      <c r="BB524" s="358"/>
      <c r="BC524" s="358"/>
      <c r="BD524" s="358"/>
      <c r="BE524" s="358"/>
      <c r="BF524" s="358"/>
      <c r="BG524" s="358"/>
      <c r="BH524" s="358"/>
      <c r="BI524" s="358"/>
      <c r="BJ524" s="358"/>
      <c r="BK524" s="358"/>
      <c r="BL524" s="358"/>
      <c r="BM524" s="358"/>
      <c r="BN524" s="358"/>
      <c r="BO524" s="358"/>
      <c r="BP524" s="358"/>
      <c r="BQ524" s="358"/>
      <c r="BR524" s="358"/>
      <c r="BS524" s="358"/>
      <c r="BT524" s="358"/>
      <c r="BU524" s="358"/>
      <c r="BV524" s="358"/>
    </row>
    <row r="525" spans="2:74" x14ac:dyDescent="0.2">
      <c r="B525" s="358"/>
      <c r="D525" s="358"/>
      <c r="E525" s="358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8"/>
      <c r="AA525" s="358"/>
      <c r="AB525" s="358"/>
      <c r="AC525" s="358"/>
      <c r="AD525" s="358"/>
      <c r="AE525" s="358"/>
      <c r="AF525" s="358"/>
      <c r="AG525" s="358"/>
      <c r="AH525" s="358"/>
      <c r="AI525" s="358"/>
      <c r="AJ525" s="358"/>
      <c r="AK525" s="358"/>
      <c r="AL525" s="358"/>
      <c r="AM525" s="358"/>
      <c r="AN525" s="358"/>
      <c r="AO525" s="358"/>
      <c r="AP525" s="358"/>
      <c r="AQ525" s="358"/>
      <c r="AR525" s="358"/>
      <c r="AS525" s="358"/>
      <c r="AT525" s="358"/>
      <c r="AU525" s="358"/>
      <c r="AV525" s="358"/>
      <c r="AW525" s="358"/>
      <c r="AX525" s="358"/>
      <c r="AY525" s="358"/>
      <c r="AZ525" s="358"/>
      <c r="BA525" s="358"/>
      <c r="BB525" s="358"/>
      <c r="BC525" s="358"/>
      <c r="BD525" s="358"/>
      <c r="BE525" s="358"/>
      <c r="BF525" s="358"/>
      <c r="BG525" s="358"/>
      <c r="BH525" s="358"/>
      <c r="BI525" s="358"/>
      <c r="BJ525" s="358"/>
      <c r="BK525" s="358"/>
      <c r="BL525" s="358"/>
      <c r="BM525" s="358"/>
      <c r="BN525" s="358"/>
      <c r="BO525" s="358"/>
      <c r="BP525" s="358"/>
      <c r="BQ525" s="358"/>
      <c r="BR525" s="358"/>
      <c r="BS525" s="358"/>
      <c r="BT525" s="358"/>
      <c r="BU525" s="358"/>
      <c r="BV525" s="358"/>
    </row>
    <row r="526" spans="2:74" x14ac:dyDescent="0.2">
      <c r="B526" s="358"/>
      <c r="D526" s="358"/>
      <c r="E526" s="358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  <c r="AA526" s="358"/>
      <c r="AB526" s="358"/>
      <c r="AC526" s="358"/>
      <c r="AD526" s="358"/>
      <c r="AE526" s="358"/>
      <c r="AF526" s="358"/>
      <c r="AG526" s="358"/>
      <c r="AH526" s="358"/>
      <c r="AI526" s="358"/>
      <c r="AJ526" s="358"/>
      <c r="AK526" s="358"/>
      <c r="AL526" s="358"/>
      <c r="AM526" s="358"/>
      <c r="AN526" s="358"/>
      <c r="AO526" s="358"/>
      <c r="AP526" s="358"/>
      <c r="AQ526" s="358"/>
      <c r="AR526" s="358"/>
      <c r="AS526" s="358"/>
      <c r="AT526" s="358"/>
      <c r="AU526" s="358"/>
      <c r="AV526" s="358"/>
      <c r="AW526" s="358"/>
      <c r="AX526" s="358"/>
      <c r="AY526" s="358"/>
      <c r="AZ526" s="358"/>
      <c r="BA526" s="358"/>
      <c r="BB526" s="358"/>
      <c r="BC526" s="358"/>
      <c r="BD526" s="358"/>
      <c r="BE526" s="358"/>
      <c r="BF526" s="358"/>
      <c r="BG526" s="358"/>
      <c r="BH526" s="358"/>
      <c r="BI526" s="358"/>
      <c r="BJ526" s="358"/>
      <c r="BK526" s="358"/>
      <c r="BL526" s="358"/>
      <c r="BM526" s="358"/>
      <c r="BN526" s="358"/>
      <c r="BO526" s="358"/>
      <c r="BP526" s="358"/>
      <c r="BQ526" s="358"/>
      <c r="BR526" s="358"/>
      <c r="BS526" s="358"/>
      <c r="BT526" s="358"/>
      <c r="BU526" s="358"/>
      <c r="BV526" s="358"/>
    </row>
    <row r="527" spans="2:74" x14ac:dyDescent="0.2">
      <c r="B527" s="358"/>
      <c r="D527" s="358"/>
      <c r="E527" s="358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8"/>
      <c r="AA527" s="358"/>
      <c r="AB527" s="358"/>
      <c r="AC527" s="358"/>
      <c r="AD527" s="358"/>
      <c r="AE527" s="358"/>
      <c r="AF527" s="358"/>
      <c r="AG527" s="358"/>
      <c r="AH527" s="358"/>
      <c r="AI527" s="358"/>
      <c r="AJ527" s="358"/>
      <c r="AK527" s="358"/>
      <c r="AL527" s="358"/>
      <c r="AM527" s="358"/>
      <c r="AN527" s="358"/>
      <c r="AO527" s="358"/>
      <c r="AP527" s="358"/>
      <c r="AQ527" s="358"/>
      <c r="AR527" s="358"/>
      <c r="AS527" s="358"/>
      <c r="AT527" s="358"/>
      <c r="AU527" s="358"/>
      <c r="AV527" s="358"/>
      <c r="AW527" s="358"/>
      <c r="AX527" s="358"/>
      <c r="AY527" s="358"/>
      <c r="AZ527" s="358"/>
      <c r="BA527" s="358"/>
      <c r="BB527" s="358"/>
      <c r="BC527" s="358"/>
      <c r="BD527" s="358"/>
      <c r="BE527" s="358"/>
      <c r="BF527" s="358"/>
      <c r="BG527" s="358"/>
      <c r="BH527" s="358"/>
      <c r="BI527" s="358"/>
      <c r="BJ527" s="358"/>
      <c r="BK527" s="358"/>
      <c r="BL527" s="358"/>
      <c r="BM527" s="358"/>
      <c r="BN527" s="358"/>
      <c r="BO527" s="358"/>
      <c r="BP527" s="358"/>
      <c r="BQ527" s="358"/>
      <c r="BR527" s="358"/>
      <c r="BS527" s="358"/>
      <c r="BT527" s="358"/>
      <c r="BU527" s="358"/>
      <c r="BV527" s="358"/>
    </row>
    <row r="528" spans="2:74" x14ac:dyDescent="0.2">
      <c r="B528" s="358"/>
      <c r="D528" s="358"/>
      <c r="E528" s="358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  <c r="AA528" s="358"/>
      <c r="AB528" s="358"/>
      <c r="AC528" s="358"/>
      <c r="AD528" s="358"/>
      <c r="AE528" s="358"/>
      <c r="AF528" s="358"/>
      <c r="AG528" s="358"/>
      <c r="AH528" s="358"/>
      <c r="AI528" s="358"/>
      <c r="AJ528" s="358"/>
      <c r="AK528" s="358"/>
      <c r="AL528" s="358"/>
      <c r="AM528" s="358"/>
      <c r="AN528" s="358"/>
      <c r="AO528" s="358"/>
      <c r="AP528" s="358"/>
      <c r="AQ528" s="358"/>
      <c r="AR528" s="358"/>
      <c r="AS528" s="358"/>
      <c r="AT528" s="358"/>
      <c r="AU528" s="358"/>
      <c r="AV528" s="358"/>
      <c r="AW528" s="358"/>
      <c r="AX528" s="358"/>
      <c r="AY528" s="358"/>
      <c r="AZ528" s="358"/>
      <c r="BA528" s="358"/>
      <c r="BB528" s="358"/>
      <c r="BC528" s="358"/>
      <c r="BD528" s="358"/>
      <c r="BE528" s="358"/>
      <c r="BF528" s="358"/>
      <c r="BG528" s="358"/>
      <c r="BH528" s="358"/>
      <c r="BI528" s="358"/>
      <c r="BJ528" s="358"/>
      <c r="BK528" s="358"/>
      <c r="BL528" s="358"/>
      <c r="BM528" s="358"/>
      <c r="BN528" s="358"/>
      <c r="BO528" s="358"/>
      <c r="BP528" s="358"/>
      <c r="BQ528" s="358"/>
      <c r="BR528" s="358"/>
      <c r="BS528" s="358"/>
      <c r="BT528" s="358"/>
      <c r="BU528" s="358"/>
      <c r="BV528" s="358"/>
    </row>
    <row r="529" spans="2:74" x14ac:dyDescent="0.2">
      <c r="B529" s="358"/>
      <c r="D529" s="358"/>
      <c r="E529" s="358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8"/>
      <c r="AA529" s="358"/>
      <c r="AB529" s="358"/>
      <c r="AC529" s="358"/>
      <c r="AD529" s="358"/>
      <c r="AE529" s="358"/>
      <c r="AF529" s="358"/>
      <c r="AG529" s="358"/>
      <c r="AH529" s="358"/>
      <c r="AI529" s="358"/>
      <c r="AJ529" s="358"/>
      <c r="AK529" s="358"/>
      <c r="AL529" s="358"/>
      <c r="AM529" s="358"/>
      <c r="AN529" s="358"/>
      <c r="AO529" s="358"/>
      <c r="AP529" s="358"/>
      <c r="AQ529" s="358"/>
      <c r="AR529" s="358"/>
      <c r="AS529" s="358"/>
      <c r="AT529" s="358"/>
      <c r="AU529" s="358"/>
      <c r="AV529" s="358"/>
      <c r="AW529" s="358"/>
      <c r="AX529" s="358"/>
      <c r="AY529" s="358"/>
      <c r="AZ529" s="358"/>
      <c r="BA529" s="358"/>
      <c r="BB529" s="358"/>
      <c r="BC529" s="358"/>
      <c r="BD529" s="358"/>
      <c r="BE529" s="358"/>
      <c r="BF529" s="358"/>
      <c r="BG529" s="358"/>
      <c r="BH529" s="358"/>
      <c r="BI529" s="358"/>
      <c r="BJ529" s="358"/>
      <c r="BK529" s="358"/>
      <c r="BL529" s="358"/>
      <c r="BM529" s="358"/>
      <c r="BN529" s="358"/>
      <c r="BO529" s="358"/>
      <c r="BP529" s="358"/>
      <c r="BQ529" s="358"/>
      <c r="BR529" s="358"/>
      <c r="BS529" s="358"/>
      <c r="BT529" s="358"/>
      <c r="BU529" s="358"/>
      <c r="BV529" s="358"/>
    </row>
    <row r="530" spans="2:74" x14ac:dyDescent="0.2">
      <c r="B530" s="358"/>
      <c r="D530" s="358"/>
      <c r="E530" s="358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  <c r="AA530" s="358"/>
      <c r="AB530" s="358"/>
      <c r="AC530" s="358"/>
      <c r="AD530" s="358"/>
      <c r="AE530" s="358"/>
      <c r="AF530" s="358"/>
      <c r="AG530" s="358"/>
      <c r="AH530" s="358"/>
      <c r="AI530" s="358"/>
      <c r="AJ530" s="358"/>
      <c r="AK530" s="358"/>
      <c r="AL530" s="358"/>
      <c r="AM530" s="358"/>
      <c r="AN530" s="358"/>
      <c r="AO530" s="358"/>
      <c r="AP530" s="358"/>
      <c r="AQ530" s="358"/>
      <c r="AR530" s="358"/>
      <c r="AS530" s="358"/>
      <c r="AT530" s="358"/>
      <c r="AU530" s="358"/>
      <c r="AV530" s="358"/>
      <c r="AW530" s="358"/>
      <c r="AX530" s="358"/>
      <c r="AY530" s="358"/>
      <c r="AZ530" s="358"/>
      <c r="BA530" s="358"/>
      <c r="BB530" s="358"/>
      <c r="BC530" s="358"/>
      <c r="BD530" s="358"/>
      <c r="BE530" s="358"/>
      <c r="BF530" s="358"/>
      <c r="BG530" s="358"/>
      <c r="BH530" s="358"/>
      <c r="BI530" s="358"/>
      <c r="BJ530" s="358"/>
      <c r="BK530" s="358"/>
      <c r="BL530" s="358"/>
      <c r="BM530" s="358"/>
      <c r="BN530" s="358"/>
      <c r="BO530" s="358"/>
      <c r="BP530" s="358"/>
      <c r="BQ530" s="358"/>
      <c r="BR530" s="358"/>
      <c r="BS530" s="358"/>
      <c r="BT530" s="358"/>
      <c r="BU530" s="358"/>
      <c r="BV530" s="358"/>
    </row>
    <row r="531" spans="2:74" x14ac:dyDescent="0.2">
      <c r="B531" s="358"/>
      <c r="D531" s="358"/>
      <c r="E531" s="358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8"/>
      <c r="AA531" s="358"/>
      <c r="AB531" s="358"/>
      <c r="AC531" s="358"/>
      <c r="AD531" s="358"/>
      <c r="AE531" s="358"/>
      <c r="AF531" s="358"/>
      <c r="AG531" s="358"/>
      <c r="AH531" s="358"/>
      <c r="AI531" s="358"/>
      <c r="AJ531" s="358"/>
      <c r="AK531" s="358"/>
      <c r="AL531" s="358"/>
      <c r="AM531" s="358"/>
      <c r="AN531" s="358"/>
      <c r="AO531" s="358"/>
      <c r="AP531" s="358"/>
      <c r="AQ531" s="358"/>
      <c r="AR531" s="358"/>
      <c r="AS531" s="358"/>
      <c r="AT531" s="358"/>
      <c r="AU531" s="358"/>
      <c r="AV531" s="358"/>
      <c r="AW531" s="358"/>
      <c r="AX531" s="358"/>
      <c r="AY531" s="358"/>
      <c r="AZ531" s="358"/>
      <c r="BA531" s="358"/>
      <c r="BB531" s="358"/>
      <c r="BC531" s="358"/>
      <c r="BD531" s="358"/>
      <c r="BE531" s="358"/>
      <c r="BF531" s="358"/>
      <c r="BG531" s="358"/>
      <c r="BH531" s="358"/>
      <c r="BI531" s="358"/>
      <c r="BJ531" s="358"/>
      <c r="BK531" s="358"/>
      <c r="BL531" s="358"/>
      <c r="BM531" s="358"/>
      <c r="BN531" s="358"/>
      <c r="BO531" s="358"/>
      <c r="BP531" s="358"/>
      <c r="BQ531" s="358"/>
      <c r="BR531" s="358"/>
      <c r="BS531" s="358"/>
      <c r="BT531" s="358"/>
      <c r="BU531" s="358"/>
      <c r="BV531" s="358"/>
    </row>
    <row r="532" spans="2:74" x14ac:dyDescent="0.2">
      <c r="B532" s="358"/>
      <c r="D532" s="358"/>
      <c r="E532" s="358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  <c r="AA532" s="358"/>
      <c r="AB532" s="358"/>
      <c r="AC532" s="358"/>
      <c r="AD532" s="358"/>
      <c r="AE532" s="358"/>
      <c r="AF532" s="358"/>
      <c r="AG532" s="358"/>
      <c r="AH532" s="358"/>
      <c r="AI532" s="358"/>
      <c r="AJ532" s="358"/>
      <c r="AK532" s="358"/>
      <c r="AL532" s="358"/>
      <c r="AM532" s="358"/>
      <c r="AN532" s="358"/>
      <c r="AO532" s="358"/>
      <c r="AP532" s="358"/>
      <c r="AQ532" s="358"/>
      <c r="AR532" s="358"/>
      <c r="AS532" s="358"/>
      <c r="AT532" s="358"/>
      <c r="AU532" s="358"/>
      <c r="AV532" s="358"/>
      <c r="AW532" s="358"/>
      <c r="AX532" s="358"/>
      <c r="AY532" s="358"/>
      <c r="AZ532" s="358"/>
      <c r="BA532" s="358"/>
      <c r="BB532" s="358"/>
      <c r="BC532" s="358"/>
      <c r="BD532" s="358"/>
      <c r="BE532" s="358"/>
      <c r="BF532" s="358"/>
      <c r="BG532" s="358"/>
      <c r="BH532" s="358"/>
      <c r="BI532" s="358"/>
      <c r="BJ532" s="358"/>
      <c r="BK532" s="358"/>
      <c r="BL532" s="358"/>
      <c r="BM532" s="358"/>
      <c r="BN532" s="358"/>
      <c r="BO532" s="358"/>
      <c r="BP532" s="358"/>
      <c r="BQ532" s="358"/>
      <c r="BR532" s="358"/>
      <c r="BS532" s="358"/>
      <c r="BT532" s="358"/>
      <c r="BU532" s="358"/>
      <c r="BV532" s="358"/>
    </row>
    <row r="533" spans="2:74" x14ac:dyDescent="0.2">
      <c r="B533" s="358"/>
      <c r="D533" s="358"/>
      <c r="E533" s="358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8"/>
      <c r="AA533" s="358"/>
      <c r="AB533" s="358"/>
      <c r="AC533" s="358"/>
      <c r="AD533" s="358"/>
      <c r="AE533" s="358"/>
      <c r="AF533" s="358"/>
      <c r="AG533" s="358"/>
      <c r="AH533" s="358"/>
      <c r="AI533" s="358"/>
      <c r="AJ533" s="358"/>
      <c r="AK533" s="358"/>
      <c r="AL533" s="358"/>
      <c r="AM533" s="358"/>
      <c r="AN533" s="358"/>
      <c r="AO533" s="358"/>
      <c r="AP533" s="358"/>
      <c r="AQ533" s="358"/>
      <c r="AR533" s="358"/>
      <c r="AS533" s="358"/>
      <c r="AT533" s="358"/>
      <c r="AU533" s="358"/>
      <c r="AV533" s="358"/>
      <c r="AW533" s="358"/>
      <c r="AX533" s="358"/>
      <c r="AY533" s="358"/>
      <c r="AZ533" s="358"/>
      <c r="BA533" s="358"/>
      <c r="BB533" s="358"/>
      <c r="BC533" s="358"/>
      <c r="BD533" s="358"/>
      <c r="BE533" s="358"/>
      <c r="BF533" s="358"/>
      <c r="BG533" s="358"/>
      <c r="BH533" s="358"/>
      <c r="BI533" s="358"/>
      <c r="BJ533" s="358"/>
      <c r="BK533" s="358"/>
      <c r="BL533" s="358"/>
      <c r="BM533" s="358"/>
      <c r="BN533" s="358"/>
      <c r="BO533" s="358"/>
      <c r="BP533" s="358"/>
      <c r="BQ533" s="358"/>
      <c r="BR533" s="358"/>
      <c r="BS533" s="358"/>
      <c r="BT533" s="358"/>
      <c r="BU533" s="358"/>
      <c r="BV533" s="358"/>
    </row>
    <row r="534" spans="2:74" x14ac:dyDescent="0.2">
      <c r="B534" s="358"/>
      <c r="D534" s="358"/>
      <c r="E534" s="358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  <c r="AA534" s="358"/>
      <c r="AB534" s="358"/>
      <c r="AC534" s="358"/>
      <c r="AD534" s="358"/>
      <c r="AE534" s="358"/>
      <c r="AF534" s="358"/>
      <c r="AG534" s="358"/>
      <c r="AH534" s="358"/>
      <c r="AI534" s="358"/>
      <c r="AJ534" s="358"/>
      <c r="AK534" s="358"/>
      <c r="AL534" s="358"/>
      <c r="AM534" s="358"/>
      <c r="AN534" s="358"/>
      <c r="AO534" s="358"/>
      <c r="AP534" s="358"/>
      <c r="AQ534" s="358"/>
      <c r="AR534" s="358"/>
      <c r="AS534" s="358"/>
      <c r="AT534" s="358"/>
      <c r="AU534" s="358"/>
      <c r="AV534" s="358"/>
      <c r="AW534" s="358"/>
      <c r="AX534" s="358"/>
      <c r="AY534" s="358"/>
      <c r="AZ534" s="358"/>
      <c r="BA534" s="358"/>
      <c r="BB534" s="358"/>
      <c r="BC534" s="358"/>
      <c r="BD534" s="358"/>
      <c r="BE534" s="358"/>
      <c r="BF534" s="358"/>
      <c r="BG534" s="358"/>
      <c r="BH534" s="358"/>
      <c r="BI534" s="358"/>
      <c r="BJ534" s="358"/>
      <c r="BK534" s="358"/>
      <c r="BL534" s="358"/>
      <c r="BM534" s="358"/>
      <c r="BN534" s="358"/>
      <c r="BO534" s="358"/>
      <c r="BP534" s="358"/>
      <c r="BQ534" s="358"/>
      <c r="BR534" s="358"/>
      <c r="BS534" s="358"/>
      <c r="BT534" s="358"/>
      <c r="BU534" s="358"/>
      <c r="BV534" s="358"/>
    </row>
    <row r="535" spans="2:74" x14ac:dyDescent="0.2">
      <c r="B535" s="358"/>
      <c r="D535" s="358"/>
      <c r="E535" s="358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8"/>
      <c r="AA535" s="358"/>
      <c r="AB535" s="358"/>
      <c r="AC535" s="358"/>
      <c r="AD535" s="358"/>
      <c r="AE535" s="358"/>
      <c r="AF535" s="358"/>
      <c r="AG535" s="358"/>
      <c r="AH535" s="358"/>
      <c r="AI535" s="358"/>
      <c r="AJ535" s="358"/>
      <c r="AK535" s="358"/>
      <c r="AL535" s="358"/>
      <c r="AM535" s="358"/>
      <c r="AN535" s="358"/>
      <c r="AO535" s="358"/>
      <c r="AP535" s="358"/>
      <c r="AQ535" s="358"/>
      <c r="AR535" s="358"/>
      <c r="AS535" s="358"/>
      <c r="AT535" s="358"/>
      <c r="AU535" s="358"/>
      <c r="AV535" s="358"/>
      <c r="AW535" s="358"/>
      <c r="AX535" s="358"/>
      <c r="AY535" s="358"/>
      <c r="AZ535" s="358"/>
      <c r="BA535" s="358"/>
      <c r="BB535" s="358"/>
      <c r="BC535" s="358"/>
      <c r="BD535" s="358"/>
      <c r="BE535" s="358"/>
      <c r="BF535" s="358"/>
      <c r="BG535" s="358"/>
      <c r="BH535" s="358"/>
      <c r="BI535" s="358"/>
      <c r="BJ535" s="358"/>
      <c r="BK535" s="358"/>
      <c r="BL535" s="358"/>
      <c r="BM535" s="358"/>
      <c r="BN535" s="358"/>
      <c r="BO535" s="358"/>
      <c r="BP535" s="358"/>
      <c r="BQ535" s="358"/>
      <c r="BR535" s="358"/>
      <c r="BS535" s="358"/>
      <c r="BT535" s="358"/>
      <c r="BU535" s="358"/>
      <c r="BV535" s="358"/>
    </row>
    <row r="536" spans="2:74" x14ac:dyDescent="0.2">
      <c r="B536" s="358"/>
      <c r="D536" s="358"/>
      <c r="E536" s="358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  <c r="AA536" s="358"/>
      <c r="AB536" s="358"/>
      <c r="AC536" s="358"/>
      <c r="AD536" s="358"/>
      <c r="AE536" s="358"/>
      <c r="AF536" s="358"/>
      <c r="AG536" s="358"/>
      <c r="AH536" s="358"/>
      <c r="AI536" s="358"/>
      <c r="AJ536" s="358"/>
      <c r="AK536" s="358"/>
      <c r="AL536" s="358"/>
      <c r="AM536" s="358"/>
      <c r="AN536" s="358"/>
      <c r="AO536" s="358"/>
      <c r="AP536" s="358"/>
      <c r="AQ536" s="358"/>
      <c r="AR536" s="358"/>
      <c r="AS536" s="358"/>
      <c r="AT536" s="358"/>
      <c r="AU536" s="358"/>
      <c r="AV536" s="358"/>
      <c r="AW536" s="358"/>
      <c r="AX536" s="358"/>
      <c r="AY536" s="358"/>
      <c r="AZ536" s="358"/>
      <c r="BA536" s="358"/>
      <c r="BB536" s="358"/>
      <c r="BC536" s="358"/>
      <c r="BD536" s="358"/>
      <c r="BE536" s="358"/>
      <c r="BF536" s="358"/>
      <c r="BG536" s="358"/>
      <c r="BH536" s="358"/>
      <c r="BI536" s="358"/>
      <c r="BJ536" s="358"/>
      <c r="BK536" s="358"/>
      <c r="BL536" s="358"/>
      <c r="BM536" s="358"/>
      <c r="BN536" s="358"/>
      <c r="BO536" s="358"/>
      <c r="BP536" s="358"/>
      <c r="BQ536" s="358"/>
      <c r="BR536" s="358"/>
      <c r="BS536" s="358"/>
      <c r="BT536" s="358"/>
      <c r="BU536" s="358"/>
      <c r="BV536" s="358"/>
    </row>
    <row r="537" spans="2:74" x14ac:dyDescent="0.2">
      <c r="B537" s="358"/>
      <c r="D537" s="358"/>
      <c r="E537" s="358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8"/>
      <c r="AA537" s="358"/>
      <c r="AB537" s="358"/>
      <c r="AC537" s="358"/>
      <c r="AD537" s="358"/>
      <c r="AE537" s="358"/>
      <c r="AF537" s="358"/>
      <c r="AG537" s="358"/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58"/>
      <c r="AX537" s="358"/>
      <c r="AY537" s="358"/>
      <c r="AZ537" s="358"/>
      <c r="BA537" s="358"/>
      <c r="BB537" s="358"/>
      <c r="BC537" s="358"/>
      <c r="BD537" s="358"/>
      <c r="BE537" s="358"/>
      <c r="BF537" s="358"/>
      <c r="BG537" s="358"/>
      <c r="BH537" s="358"/>
      <c r="BI537" s="358"/>
      <c r="BJ537" s="358"/>
      <c r="BK537" s="358"/>
      <c r="BL537" s="358"/>
      <c r="BM537" s="358"/>
      <c r="BN537" s="358"/>
      <c r="BO537" s="358"/>
      <c r="BP537" s="358"/>
      <c r="BQ537" s="358"/>
      <c r="BR537" s="358"/>
      <c r="BS537" s="358"/>
      <c r="BT537" s="358"/>
      <c r="BU537" s="358"/>
      <c r="BV537" s="358"/>
    </row>
    <row r="538" spans="2:74" x14ac:dyDescent="0.2">
      <c r="B538" s="358"/>
      <c r="D538" s="358"/>
      <c r="E538" s="358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  <c r="AA538" s="358"/>
      <c r="AB538" s="358"/>
      <c r="AC538" s="358"/>
      <c r="AD538" s="358"/>
      <c r="AE538" s="358"/>
      <c r="AF538" s="358"/>
      <c r="AG538" s="358"/>
      <c r="AH538" s="358"/>
      <c r="AI538" s="358"/>
      <c r="AJ538" s="358"/>
      <c r="AK538" s="358"/>
      <c r="AL538" s="358"/>
      <c r="AM538" s="358"/>
      <c r="AN538" s="358"/>
      <c r="AO538" s="358"/>
      <c r="AP538" s="358"/>
      <c r="AQ538" s="358"/>
      <c r="AR538" s="358"/>
      <c r="AS538" s="358"/>
      <c r="AT538" s="358"/>
      <c r="AU538" s="358"/>
      <c r="AV538" s="358"/>
      <c r="AW538" s="358"/>
      <c r="AX538" s="358"/>
      <c r="AY538" s="358"/>
      <c r="AZ538" s="358"/>
      <c r="BA538" s="358"/>
      <c r="BB538" s="358"/>
      <c r="BC538" s="358"/>
      <c r="BD538" s="358"/>
      <c r="BE538" s="358"/>
      <c r="BF538" s="358"/>
      <c r="BG538" s="358"/>
      <c r="BH538" s="358"/>
      <c r="BI538" s="358"/>
      <c r="BJ538" s="358"/>
      <c r="BK538" s="358"/>
      <c r="BL538" s="358"/>
      <c r="BM538" s="358"/>
      <c r="BN538" s="358"/>
      <c r="BO538" s="358"/>
      <c r="BP538" s="358"/>
      <c r="BQ538" s="358"/>
      <c r="BR538" s="358"/>
      <c r="BS538" s="358"/>
      <c r="BT538" s="358"/>
      <c r="BU538" s="358"/>
      <c r="BV538" s="358"/>
    </row>
    <row r="539" spans="2:74" x14ac:dyDescent="0.2">
      <c r="B539" s="358"/>
      <c r="D539" s="358"/>
      <c r="E539" s="358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8"/>
      <c r="AA539" s="358"/>
      <c r="AB539" s="358"/>
      <c r="AC539" s="358"/>
      <c r="AD539" s="358"/>
      <c r="AE539" s="358"/>
      <c r="AF539" s="358"/>
      <c r="AG539" s="358"/>
      <c r="AH539" s="358"/>
      <c r="AI539" s="358"/>
      <c r="AJ539" s="358"/>
      <c r="AK539" s="358"/>
      <c r="AL539" s="358"/>
      <c r="AM539" s="358"/>
      <c r="AN539" s="358"/>
      <c r="AO539" s="358"/>
      <c r="AP539" s="358"/>
      <c r="AQ539" s="358"/>
      <c r="AR539" s="358"/>
      <c r="AS539" s="358"/>
      <c r="AT539" s="358"/>
      <c r="AU539" s="358"/>
      <c r="AV539" s="358"/>
      <c r="AW539" s="358"/>
      <c r="AX539" s="358"/>
      <c r="AY539" s="358"/>
      <c r="AZ539" s="358"/>
      <c r="BA539" s="358"/>
      <c r="BB539" s="358"/>
      <c r="BC539" s="358"/>
      <c r="BD539" s="358"/>
      <c r="BE539" s="358"/>
      <c r="BF539" s="358"/>
      <c r="BG539" s="358"/>
      <c r="BH539" s="358"/>
      <c r="BI539" s="358"/>
      <c r="BJ539" s="358"/>
      <c r="BK539" s="358"/>
      <c r="BL539" s="358"/>
      <c r="BM539" s="358"/>
      <c r="BN539" s="358"/>
      <c r="BO539" s="358"/>
      <c r="BP539" s="358"/>
      <c r="BQ539" s="358"/>
      <c r="BR539" s="358"/>
      <c r="BS539" s="358"/>
      <c r="BT539" s="358"/>
      <c r="BU539" s="358"/>
      <c r="BV539" s="358"/>
    </row>
    <row r="540" spans="2:74" x14ac:dyDescent="0.2">
      <c r="B540" s="358"/>
      <c r="D540" s="358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358"/>
      <c r="AB540" s="358"/>
      <c r="AC540" s="358"/>
      <c r="AD540" s="358"/>
      <c r="AE540" s="358"/>
      <c r="AF540" s="358"/>
      <c r="AG540" s="358"/>
      <c r="AH540" s="358"/>
      <c r="AI540" s="358"/>
      <c r="AJ540" s="358"/>
      <c r="AK540" s="358"/>
      <c r="AL540" s="358"/>
      <c r="AM540" s="358"/>
      <c r="AN540" s="358"/>
      <c r="AO540" s="358"/>
      <c r="AP540" s="358"/>
      <c r="AQ540" s="358"/>
      <c r="AR540" s="358"/>
      <c r="AS540" s="358"/>
      <c r="AT540" s="358"/>
      <c r="AU540" s="358"/>
      <c r="AV540" s="358"/>
      <c r="AW540" s="358"/>
      <c r="AX540" s="358"/>
      <c r="AY540" s="358"/>
      <c r="AZ540" s="358"/>
      <c r="BA540" s="358"/>
      <c r="BB540" s="358"/>
      <c r="BC540" s="358"/>
      <c r="BD540" s="358"/>
      <c r="BE540" s="358"/>
      <c r="BF540" s="358"/>
      <c r="BG540" s="358"/>
      <c r="BH540" s="358"/>
      <c r="BI540" s="358"/>
      <c r="BJ540" s="358"/>
      <c r="BK540" s="358"/>
      <c r="BL540" s="358"/>
      <c r="BM540" s="358"/>
      <c r="BN540" s="358"/>
      <c r="BO540" s="358"/>
      <c r="BP540" s="358"/>
      <c r="BQ540" s="358"/>
      <c r="BR540" s="358"/>
      <c r="BS540" s="358"/>
      <c r="BT540" s="358"/>
      <c r="BU540" s="358"/>
      <c r="BV540" s="358"/>
    </row>
    <row r="541" spans="2:74" x14ac:dyDescent="0.2">
      <c r="B541" s="358"/>
      <c r="D541" s="358"/>
      <c r="E541" s="358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358"/>
      <c r="AN541" s="358"/>
      <c r="AO541" s="358"/>
      <c r="AP541" s="358"/>
      <c r="AQ541" s="358"/>
      <c r="AR541" s="358"/>
      <c r="AS541" s="358"/>
      <c r="AT541" s="358"/>
      <c r="AU541" s="358"/>
      <c r="AV541" s="358"/>
      <c r="AW541" s="358"/>
      <c r="AX541" s="358"/>
      <c r="AY541" s="358"/>
      <c r="AZ541" s="358"/>
      <c r="BA541" s="358"/>
      <c r="BB541" s="358"/>
      <c r="BC541" s="358"/>
      <c r="BD541" s="358"/>
      <c r="BE541" s="358"/>
      <c r="BF541" s="358"/>
      <c r="BG541" s="358"/>
      <c r="BH541" s="358"/>
      <c r="BI541" s="358"/>
      <c r="BJ541" s="358"/>
      <c r="BK541" s="358"/>
      <c r="BL541" s="358"/>
      <c r="BM541" s="358"/>
      <c r="BN541" s="358"/>
      <c r="BO541" s="358"/>
      <c r="BP541" s="358"/>
      <c r="BQ541" s="358"/>
      <c r="BR541" s="358"/>
      <c r="BS541" s="358"/>
      <c r="BT541" s="358"/>
      <c r="BU541" s="358"/>
      <c r="BV541" s="358"/>
    </row>
    <row r="542" spans="2:74" x14ac:dyDescent="0.2">
      <c r="B542" s="358"/>
      <c r="D542" s="358"/>
      <c r="E542" s="358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  <c r="AI542" s="358"/>
      <c r="AJ542" s="358"/>
      <c r="AK542" s="358"/>
      <c r="AL542" s="358"/>
      <c r="AM542" s="358"/>
      <c r="AN542" s="358"/>
      <c r="AO542" s="358"/>
      <c r="AP542" s="358"/>
      <c r="AQ542" s="358"/>
      <c r="AR542" s="358"/>
      <c r="AS542" s="358"/>
      <c r="AT542" s="358"/>
      <c r="AU542" s="358"/>
      <c r="AV542" s="358"/>
      <c r="AW542" s="358"/>
      <c r="AX542" s="358"/>
      <c r="AY542" s="358"/>
      <c r="AZ542" s="358"/>
      <c r="BA542" s="358"/>
      <c r="BB542" s="358"/>
      <c r="BC542" s="358"/>
      <c r="BD542" s="358"/>
      <c r="BE542" s="358"/>
      <c r="BF542" s="358"/>
      <c r="BG542" s="358"/>
      <c r="BH542" s="358"/>
      <c r="BI542" s="358"/>
      <c r="BJ542" s="358"/>
      <c r="BK542" s="358"/>
      <c r="BL542" s="358"/>
      <c r="BM542" s="358"/>
      <c r="BN542" s="358"/>
      <c r="BO542" s="358"/>
      <c r="BP542" s="358"/>
      <c r="BQ542" s="358"/>
      <c r="BR542" s="358"/>
      <c r="BS542" s="358"/>
      <c r="BT542" s="358"/>
      <c r="BU542" s="358"/>
      <c r="BV542" s="358"/>
    </row>
    <row r="543" spans="2:74" x14ac:dyDescent="0.2">
      <c r="B543" s="358"/>
      <c r="D543" s="358"/>
      <c r="E543" s="358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8"/>
      <c r="AA543" s="358"/>
      <c r="AB543" s="358"/>
      <c r="AC543" s="358"/>
      <c r="AD543" s="358"/>
      <c r="AE543" s="358"/>
      <c r="AF543" s="358"/>
      <c r="AG543" s="358"/>
      <c r="AH543" s="358"/>
      <c r="AI543" s="358"/>
      <c r="AJ543" s="358"/>
      <c r="AK543" s="358"/>
      <c r="AL543" s="358"/>
      <c r="AM543" s="358"/>
      <c r="AN543" s="358"/>
      <c r="AO543" s="358"/>
      <c r="AP543" s="358"/>
      <c r="AQ543" s="358"/>
      <c r="AR543" s="358"/>
      <c r="AS543" s="358"/>
      <c r="AT543" s="358"/>
      <c r="AU543" s="358"/>
      <c r="AV543" s="358"/>
      <c r="AW543" s="358"/>
      <c r="AX543" s="358"/>
      <c r="AY543" s="358"/>
      <c r="AZ543" s="358"/>
      <c r="BA543" s="358"/>
      <c r="BB543" s="358"/>
      <c r="BC543" s="358"/>
      <c r="BD543" s="358"/>
      <c r="BE543" s="358"/>
      <c r="BF543" s="358"/>
      <c r="BG543" s="358"/>
      <c r="BH543" s="358"/>
      <c r="BI543" s="358"/>
      <c r="BJ543" s="358"/>
      <c r="BK543" s="358"/>
      <c r="BL543" s="358"/>
      <c r="BM543" s="358"/>
      <c r="BN543" s="358"/>
      <c r="BO543" s="358"/>
      <c r="BP543" s="358"/>
      <c r="BQ543" s="358"/>
      <c r="BR543" s="358"/>
      <c r="BS543" s="358"/>
      <c r="BT543" s="358"/>
      <c r="BU543" s="358"/>
      <c r="BV543" s="358"/>
    </row>
    <row r="544" spans="2:74" x14ac:dyDescent="0.2">
      <c r="B544" s="358"/>
      <c r="D544" s="358"/>
      <c r="E544" s="358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  <c r="AA544" s="358"/>
      <c r="AB544" s="358"/>
      <c r="AC544" s="358"/>
      <c r="AD544" s="358"/>
      <c r="AE544" s="358"/>
      <c r="AF544" s="358"/>
      <c r="AG544" s="358"/>
      <c r="AH544" s="358"/>
      <c r="AI544" s="358"/>
      <c r="AJ544" s="358"/>
      <c r="AK544" s="358"/>
      <c r="AL544" s="358"/>
      <c r="AM544" s="358"/>
      <c r="AN544" s="358"/>
      <c r="AO544" s="358"/>
      <c r="AP544" s="358"/>
      <c r="AQ544" s="358"/>
      <c r="AR544" s="358"/>
      <c r="AS544" s="358"/>
      <c r="AT544" s="358"/>
      <c r="AU544" s="358"/>
      <c r="AV544" s="358"/>
      <c r="AW544" s="358"/>
      <c r="AX544" s="358"/>
      <c r="AY544" s="358"/>
      <c r="AZ544" s="358"/>
      <c r="BA544" s="358"/>
      <c r="BB544" s="358"/>
      <c r="BC544" s="358"/>
      <c r="BD544" s="358"/>
      <c r="BE544" s="358"/>
      <c r="BF544" s="358"/>
      <c r="BG544" s="358"/>
      <c r="BH544" s="358"/>
      <c r="BI544" s="358"/>
      <c r="BJ544" s="358"/>
      <c r="BK544" s="358"/>
      <c r="BL544" s="358"/>
      <c r="BM544" s="358"/>
      <c r="BN544" s="358"/>
      <c r="BO544" s="358"/>
      <c r="BP544" s="358"/>
      <c r="BQ544" s="358"/>
      <c r="BR544" s="358"/>
      <c r="BS544" s="358"/>
      <c r="BT544" s="358"/>
      <c r="BU544" s="358"/>
      <c r="BV544" s="358"/>
    </row>
    <row r="545" spans="2:74" x14ac:dyDescent="0.2">
      <c r="B545" s="358"/>
      <c r="D545" s="358"/>
      <c r="E545" s="358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8"/>
      <c r="AA545" s="358"/>
      <c r="AB545" s="358"/>
      <c r="AC545" s="358"/>
      <c r="AD545" s="358"/>
      <c r="AE545" s="358"/>
      <c r="AF545" s="358"/>
      <c r="AG545" s="358"/>
      <c r="AH545" s="358"/>
      <c r="AI545" s="358"/>
      <c r="AJ545" s="358"/>
      <c r="AK545" s="358"/>
      <c r="AL545" s="358"/>
      <c r="AM545" s="358"/>
      <c r="AN545" s="358"/>
      <c r="AO545" s="358"/>
      <c r="AP545" s="358"/>
      <c r="AQ545" s="358"/>
      <c r="AR545" s="358"/>
      <c r="AS545" s="358"/>
      <c r="AT545" s="358"/>
      <c r="AU545" s="358"/>
      <c r="AV545" s="358"/>
      <c r="AW545" s="358"/>
      <c r="AX545" s="358"/>
      <c r="AY545" s="358"/>
      <c r="AZ545" s="358"/>
      <c r="BA545" s="358"/>
      <c r="BB545" s="358"/>
      <c r="BC545" s="358"/>
      <c r="BD545" s="358"/>
      <c r="BE545" s="358"/>
      <c r="BF545" s="358"/>
      <c r="BG545" s="358"/>
      <c r="BH545" s="358"/>
      <c r="BI545" s="358"/>
      <c r="BJ545" s="358"/>
      <c r="BK545" s="358"/>
      <c r="BL545" s="358"/>
      <c r="BM545" s="358"/>
      <c r="BN545" s="358"/>
      <c r="BO545" s="358"/>
      <c r="BP545" s="358"/>
      <c r="BQ545" s="358"/>
      <c r="BR545" s="358"/>
      <c r="BS545" s="358"/>
      <c r="BT545" s="358"/>
      <c r="BU545" s="358"/>
      <c r="BV545" s="358"/>
    </row>
    <row r="546" spans="2:74" x14ac:dyDescent="0.2">
      <c r="B546" s="358"/>
      <c r="D546" s="358"/>
      <c r="E546" s="358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  <c r="AI546" s="358"/>
      <c r="AJ546" s="358"/>
      <c r="AK546" s="358"/>
      <c r="AL546" s="358"/>
      <c r="AM546" s="358"/>
      <c r="AN546" s="358"/>
      <c r="AO546" s="358"/>
      <c r="AP546" s="358"/>
      <c r="AQ546" s="358"/>
      <c r="AR546" s="358"/>
      <c r="AS546" s="358"/>
      <c r="AT546" s="358"/>
      <c r="AU546" s="358"/>
      <c r="AV546" s="358"/>
      <c r="AW546" s="358"/>
      <c r="AX546" s="358"/>
      <c r="AY546" s="358"/>
      <c r="AZ546" s="358"/>
      <c r="BA546" s="358"/>
      <c r="BB546" s="358"/>
      <c r="BC546" s="358"/>
      <c r="BD546" s="358"/>
      <c r="BE546" s="358"/>
      <c r="BF546" s="358"/>
      <c r="BG546" s="358"/>
      <c r="BH546" s="358"/>
      <c r="BI546" s="358"/>
      <c r="BJ546" s="358"/>
      <c r="BK546" s="358"/>
      <c r="BL546" s="358"/>
      <c r="BM546" s="358"/>
      <c r="BN546" s="358"/>
      <c r="BO546" s="358"/>
      <c r="BP546" s="358"/>
      <c r="BQ546" s="358"/>
      <c r="BR546" s="358"/>
      <c r="BS546" s="358"/>
      <c r="BT546" s="358"/>
      <c r="BU546" s="358"/>
      <c r="BV546" s="358"/>
    </row>
    <row r="547" spans="2:74" x14ac:dyDescent="0.2">
      <c r="B547" s="358"/>
      <c r="D547" s="358"/>
      <c r="E547" s="358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8"/>
      <c r="AA547" s="358"/>
      <c r="AB547" s="358"/>
      <c r="AC547" s="358"/>
      <c r="AD547" s="358"/>
      <c r="AE547" s="358"/>
      <c r="AF547" s="358"/>
      <c r="AG547" s="358"/>
      <c r="AH547" s="358"/>
      <c r="AI547" s="358"/>
      <c r="AJ547" s="358"/>
      <c r="AK547" s="358"/>
      <c r="AL547" s="358"/>
      <c r="AM547" s="358"/>
      <c r="AN547" s="358"/>
      <c r="AO547" s="358"/>
      <c r="AP547" s="358"/>
      <c r="AQ547" s="358"/>
      <c r="AR547" s="358"/>
      <c r="AS547" s="358"/>
      <c r="AT547" s="358"/>
      <c r="AU547" s="358"/>
      <c r="AV547" s="358"/>
      <c r="AW547" s="358"/>
      <c r="AX547" s="358"/>
      <c r="AY547" s="358"/>
      <c r="AZ547" s="358"/>
      <c r="BA547" s="358"/>
      <c r="BB547" s="358"/>
      <c r="BC547" s="358"/>
      <c r="BD547" s="358"/>
      <c r="BE547" s="358"/>
      <c r="BF547" s="358"/>
      <c r="BG547" s="358"/>
      <c r="BH547" s="358"/>
      <c r="BI547" s="358"/>
      <c r="BJ547" s="358"/>
      <c r="BK547" s="358"/>
      <c r="BL547" s="358"/>
      <c r="BM547" s="358"/>
      <c r="BN547" s="358"/>
      <c r="BO547" s="358"/>
      <c r="BP547" s="358"/>
      <c r="BQ547" s="358"/>
      <c r="BR547" s="358"/>
      <c r="BS547" s="358"/>
      <c r="BT547" s="358"/>
      <c r="BU547" s="358"/>
      <c r="BV547" s="358"/>
    </row>
    <row r="548" spans="2:74" x14ac:dyDescent="0.2">
      <c r="B548" s="358"/>
      <c r="D548" s="358"/>
      <c r="E548" s="358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  <c r="AA548" s="358"/>
      <c r="AB548" s="358"/>
      <c r="AC548" s="358"/>
      <c r="AD548" s="358"/>
      <c r="AE548" s="358"/>
      <c r="AF548" s="358"/>
      <c r="AG548" s="358"/>
      <c r="AH548" s="358"/>
      <c r="AI548" s="358"/>
      <c r="AJ548" s="358"/>
      <c r="AK548" s="358"/>
      <c r="AL548" s="358"/>
      <c r="AM548" s="358"/>
      <c r="AN548" s="358"/>
      <c r="AO548" s="358"/>
      <c r="AP548" s="358"/>
      <c r="AQ548" s="358"/>
      <c r="AR548" s="358"/>
      <c r="AS548" s="358"/>
      <c r="AT548" s="358"/>
      <c r="AU548" s="358"/>
      <c r="AV548" s="358"/>
      <c r="AW548" s="358"/>
      <c r="AX548" s="358"/>
      <c r="AY548" s="358"/>
      <c r="AZ548" s="358"/>
      <c r="BA548" s="358"/>
      <c r="BB548" s="358"/>
      <c r="BC548" s="358"/>
      <c r="BD548" s="358"/>
      <c r="BE548" s="358"/>
      <c r="BF548" s="358"/>
      <c r="BG548" s="358"/>
      <c r="BH548" s="358"/>
      <c r="BI548" s="358"/>
      <c r="BJ548" s="358"/>
      <c r="BK548" s="358"/>
      <c r="BL548" s="358"/>
      <c r="BM548" s="358"/>
      <c r="BN548" s="358"/>
      <c r="BO548" s="358"/>
      <c r="BP548" s="358"/>
      <c r="BQ548" s="358"/>
      <c r="BR548" s="358"/>
      <c r="BS548" s="358"/>
      <c r="BT548" s="358"/>
      <c r="BU548" s="358"/>
      <c r="BV548" s="358"/>
    </row>
    <row r="549" spans="2:74" x14ac:dyDescent="0.2">
      <c r="B549" s="358"/>
      <c r="D549" s="358"/>
      <c r="E549" s="358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8"/>
      <c r="AA549" s="358"/>
      <c r="AB549" s="358"/>
      <c r="AC549" s="358"/>
      <c r="AD549" s="358"/>
      <c r="AE549" s="358"/>
      <c r="AF549" s="358"/>
      <c r="AG549" s="358"/>
      <c r="AH549" s="358"/>
      <c r="AI549" s="358"/>
      <c r="AJ549" s="358"/>
      <c r="AK549" s="358"/>
      <c r="AL549" s="358"/>
      <c r="AM549" s="358"/>
      <c r="AN549" s="358"/>
      <c r="AO549" s="358"/>
      <c r="AP549" s="358"/>
      <c r="AQ549" s="358"/>
      <c r="AR549" s="358"/>
      <c r="AS549" s="358"/>
      <c r="AT549" s="358"/>
      <c r="AU549" s="358"/>
      <c r="AV549" s="358"/>
      <c r="AW549" s="358"/>
      <c r="AX549" s="358"/>
      <c r="AY549" s="358"/>
      <c r="AZ549" s="358"/>
      <c r="BA549" s="358"/>
      <c r="BB549" s="358"/>
      <c r="BC549" s="358"/>
      <c r="BD549" s="358"/>
      <c r="BE549" s="358"/>
      <c r="BF549" s="358"/>
      <c r="BG549" s="358"/>
      <c r="BH549" s="358"/>
      <c r="BI549" s="358"/>
      <c r="BJ549" s="358"/>
      <c r="BK549" s="358"/>
      <c r="BL549" s="358"/>
      <c r="BM549" s="358"/>
      <c r="BN549" s="358"/>
      <c r="BO549" s="358"/>
      <c r="BP549" s="358"/>
      <c r="BQ549" s="358"/>
      <c r="BR549" s="358"/>
      <c r="BS549" s="358"/>
      <c r="BT549" s="358"/>
      <c r="BU549" s="358"/>
      <c r="BV549" s="358"/>
    </row>
    <row r="550" spans="2:74" x14ac:dyDescent="0.2">
      <c r="B550" s="358"/>
      <c r="D550" s="358"/>
      <c r="E550" s="358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  <c r="AA550" s="358"/>
      <c r="AB550" s="358"/>
      <c r="AC550" s="358"/>
      <c r="AD550" s="358"/>
      <c r="AE550" s="358"/>
      <c r="AF550" s="358"/>
      <c r="AG550" s="358"/>
      <c r="AH550" s="358"/>
      <c r="AI550" s="358"/>
      <c r="AJ550" s="358"/>
      <c r="AK550" s="358"/>
      <c r="AL550" s="358"/>
      <c r="AM550" s="358"/>
      <c r="AN550" s="358"/>
      <c r="AO550" s="358"/>
      <c r="AP550" s="358"/>
      <c r="AQ550" s="358"/>
      <c r="AR550" s="358"/>
      <c r="AS550" s="358"/>
      <c r="AT550" s="358"/>
      <c r="AU550" s="358"/>
      <c r="AV550" s="358"/>
      <c r="AW550" s="358"/>
      <c r="AX550" s="358"/>
      <c r="AY550" s="358"/>
      <c r="AZ550" s="358"/>
      <c r="BA550" s="358"/>
      <c r="BB550" s="358"/>
      <c r="BC550" s="358"/>
      <c r="BD550" s="358"/>
      <c r="BE550" s="358"/>
      <c r="BF550" s="358"/>
      <c r="BG550" s="358"/>
      <c r="BH550" s="358"/>
      <c r="BI550" s="358"/>
      <c r="BJ550" s="358"/>
      <c r="BK550" s="358"/>
      <c r="BL550" s="358"/>
      <c r="BM550" s="358"/>
      <c r="BN550" s="358"/>
      <c r="BO550" s="358"/>
      <c r="BP550" s="358"/>
      <c r="BQ550" s="358"/>
      <c r="BR550" s="358"/>
      <c r="BS550" s="358"/>
      <c r="BT550" s="358"/>
      <c r="BU550" s="358"/>
      <c r="BV550" s="358"/>
    </row>
    <row r="551" spans="2:74" x14ac:dyDescent="0.2">
      <c r="B551" s="358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8"/>
      <c r="AA551" s="358"/>
      <c r="AB551" s="358"/>
      <c r="AC551" s="358"/>
      <c r="AD551" s="358"/>
      <c r="AE551" s="358"/>
      <c r="AF551" s="358"/>
      <c r="AG551" s="358"/>
      <c r="AH551" s="358"/>
      <c r="AI551" s="358"/>
      <c r="AJ551" s="358"/>
      <c r="AK551" s="358"/>
      <c r="AL551" s="358"/>
      <c r="AM551" s="358"/>
      <c r="AN551" s="358"/>
      <c r="AO551" s="358"/>
      <c r="AP551" s="358"/>
      <c r="AQ551" s="358"/>
      <c r="AR551" s="358"/>
      <c r="AS551" s="358"/>
      <c r="AT551" s="358"/>
      <c r="AU551" s="358"/>
      <c r="AV551" s="358"/>
      <c r="AW551" s="358"/>
      <c r="AX551" s="358"/>
      <c r="AY551" s="358"/>
      <c r="AZ551" s="358"/>
      <c r="BA551" s="358"/>
      <c r="BB551" s="358"/>
      <c r="BC551" s="358"/>
      <c r="BD551" s="358"/>
      <c r="BE551" s="358"/>
      <c r="BF551" s="358"/>
      <c r="BG551" s="358"/>
      <c r="BH551" s="358"/>
      <c r="BI551" s="358"/>
      <c r="BJ551" s="358"/>
      <c r="BK551" s="358"/>
      <c r="BL551" s="358"/>
      <c r="BM551" s="358"/>
      <c r="BN551" s="358"/>
      <c r="BO551" s="358"/>
      <c r="BP551" s="358"/>
      <c r="BQ551" s="358"/>
      <c r="BR551" s="358"/>
      <c r="BS551" s="358"/>
      <c r="BT551" s="358"/>
      <c r="BU551" s="358"/>
      <c r="BV551" s="358"/>
    </row>
    <row r="552" spans="2:74" x14ac:dyDescent="0.2">
      <c r="B552" s="358"/>
      <c r="D552" s="358"/>
      <c r="E552" s="358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  <c r="AA552" s="358"/>
      <c r="AB552" s="358"/>
      <c r="AC552" s="358"/>
      <c r="AD552" s="358"/>
      <c r="AE552" s="358"/>
      <c r="AF552" s="358"/>
      <c r="AG552" s="358"/>
      <c r="AH552" s="358"/>
      <c r="AI552" s="358"/>
      <c r="AJ552" s="358"/>
      <c r="AK552" s="358"/>
      <c r="AL552" s="358"/>
      <c r="AM552" s="358"/>
      <c r="AN552" s="358"/>
      <c r="AO552" s="358"/>
      <c r="AP552" s="358"/>
      <c r="AQ552" s="358"/>
      <c r="AR552" s="358"/>
      <c r="AS552" s="358"/>
      <c r="AT552" s="358"/>
      <c r="AU552" s="358"/>
      <c r="AV552" s="358"/>
      <c r="AW552" s="358"/>
      <c r="AX552" s="358"/>
      <c r="AY552" s="358"/>
      <c r="AZ552" s="358"/>
      <c r="BA552" s="358"/>
      <c r="BB552" s="358"/>
      <c r="BC552" s="358"/>
      <c r="BD552" s="358"/>
      <c r="BE552" s="358"/>
      <c r="BF552" s="358"/>
      <c r="BG552" s="358"/>
      <c r="BH552" s="358"/>
      <c r="BI552" s="358"/>
      <c r="BJ552" s="358"/>
      <c r="BK552" s="358"/>
      <c r="BL552" s="358"/>
      <c r="BM552" s="358"/>
      <c r="BN552" s="358"/>
      <c r="BO552" s="358"/>
      <c r="BP552" s="358"/>
      <c r="BQ552" s="358"/>
      <c r="BR552" s="358"/>
      <c r="BS552" s="358"/>
      <c r="BT552" s="358"/>
      <c r="BU552" s="358"/>
      <c r="BV552" s="358"/>
    </row>
    <row r="553" spans="2:74" x14ac:dyDescent="0.2">
      <c r="B553" s="358"/>
      <c r="D553" s="358"/>
      <c r="E553" s="358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8"/>
      <c r="AA553" s="358"/>
      <c r="AB553" s="358"/>
      <c r="AC553" s="358"/>
      <c r="AD553" s="358"/>
      <c r="AE553" s="358"/>
      <c r="AF553" s="358"/>
      <c r="AG553" s="358"/>
      <c r="AH553" s="358"/>
      <c r="AI553" s="358"/>
      <c r="AJ553" s="358"/>
      <c r="AK553" s="358"/>
      <c r="AL553" s="358"/>
      <c r="AM553" s="358"/>
      <c r="AN553" s="358"/>
      <c r="AO553" s="358"/>
      <c r="AP553" s="358"/>
      <c r="AQ553" s="358"/>
      <c r="AR553" s="358"/>
      <c r="AS553" s="358"/>
      <c r="AT553" s="358"/>
      <c r="AU553" s="358"/>
      <c r="AV553" s="358"/>
      <c r="AW553" s="358"/>
      <c r="AX553" s="358"/>
      <c r="AY553" s="358"/>
      <c r="AZ553" s="358"/>
      <c r="BA553" s="358"/>
      <c r="BB553" s="358"/>
      <c r="BC553" s="358"/>
      <c r="BD553" s="358"/>
      <c r="BE553" s="358"/>
      <c r="BF553" s="358"/>
      <c r="BG553" s="358"/>
      <c r="BH553" s="358"/>
      <c r="BI553" s="358"/>
      <c r="BJ553" s="358"/>
      <c r="BK553" s="358"/>
      <c r="BL553" s="358"/>
      <c r="BM553" s="358"/>
      <c r="BN553" s="358"/>
      <c r="BO553" s="358"/>
      <c r="BP553" s="358"/>
      <c r="BQ553" s="358"/>
      <c r="BR553" s="358"/>
      <c r="BS553" s="358"/>
      <c r="BT553" s="358"/>
      <c r="BU553" s="358"/>
      <c r="BV553" s="358"/>
    </row>
    <row r="554" spans="2:74" x14ac:dyDescent="0.2">
      <c r="B554" s="358"/>
      <c r="D554" s="358"/>
      <c r="E554" s="358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  <c r="AA554" s="358"/>
      <c r="AB554" s="358"/>
      <c r="AC554" s="358"/>
      <c r="AD554" s="358"/>
      <c r="AE554" s="358"/>
      <c r="AF554" s="358"/>
      <c r="AG554" s="358"/>
      <c r="AH554" s="358"/>
      <c r="AI554" s="358"/>
      <c r="AJ554" s="358"/>
      <c r="AK554" s="358"/>
      <c r="AL554" s="358"/>
      <c r="AM554" s="358"/>
      <c r="AN554" s="358"/>
      <c r="AO554" s="358"/>
      <c r="AP554" s="358"/>
      <c r="AQ554" s="358"/>
      <c r="AR554" s="358"/>
      <c r="AS554" s="358"/>
      <c r="AT554" s="358"/>
      <c r="AU554" s="358"/>
      <c r="AV554" s="358"/>
      <c r="AW554" s="358"/>
      <c r="AX554" s="358"/>
      <c r="AY554" s="358"/>
      <c r="AZ554" s="358"/>
      <c r="BA554" s="358"/>
      <c r="BB554" s="358"/>
      <c r="BC554" s="358"/>
      <c r="BD554" s="358"/>
      <c r="BE554" s="358"/>
      <c r="BF554" s="358"/>
      <c r="BG554" s="358"/>
      <c r="BH554" s="358"/>
      <c r="BI554" s="358"/>
      <c r="BJ554" s="358"/>
      <c r="BK554" s="358"/>
      <c r="BL554" s="358"/>
      <c r="BM554" s="358"/>
      <c r="BN554" s="358"/>
      <c r="BO554" s="358"/>
      <c r="BP554" s="358"/>
      <c r="BQ554" s="358"/>
      <c r="BR554" s="358"/>
      <c r="BS554" s="358"/>
      <c r="BT554" s="358"/>
      <c r="BU554" s="358"/>
      <c r="BV554" s="358"/>
    </row>
    <row r="555" spans="2:74" x14ac:dyDescent="0.2">
      <c r="B555" s="358"/>
      <c r="D555" s="358"/>
      <c r="E555" s="358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8"/>
      <c r="AA555" s="358"/>
      <c r="AB555" s="358"/>
      <c r="AC555" s="358"/>
      <c r="AD555" s="358"/>
      <c r="AE555" s="358"/>
      <c r="AF555" s="358"/>
      <c r="AG555" s="358"/>
      <c r="AH555" s="358"/>
      <c r="AI555" s="358"/>
      <c r="AJ555" s="358"/>
      <c r="AK555" s="358"/>
      <c r="AL555" s="358"/>
      <c r="AM555" s="358"/>
      <c r="AN555" s="358"/>
      <c r="AO555" s="358"/>
      <c r="AP555" s="358"/>
      <c r="AQ555" s="358"/>
      <c r="AR555" s="358"/>
      <c r="AS555" s="358"/>
      <c r="AT555" s="358"/>
      <c r="AU555" s="358"/>
      <c r="AV555" s="358"/>
      <c r="AW555" s="358"/>
      <c r="AX555" s="358"/>
      <c r="AY555" s="358"/>
      <c r="AZ555" s="358"/>
      <c r="BA555" s="358"/>
      <c r="BB555" s="358"/>
      <c r="BC555" s="358"/>
      <c r="BD555" s="358"/>
      <c r="BE555" s="358"/>
      <c r="BF555" s="358"/>
      <c r="BG555" s="358"/>
      <c r="BH555" s="358"/>
      <c r="BI555" s="358"/>
      <c r="BJ555" s="358"/>
      <c r="BK555" s="358"/>
      <c r="BL555" s="358"/>
      <c r="BM555" s="358"/>
      <c r="BN555" s="358"/>
      <c r="BO555" s="358"/>
      <c r="BP555" s="358"/>
      <c r="BQ555" s="358"/>
      <c r="BR555" s="358"/>
      <c r="BS555" s="358"/>
      <c r="BT555" s="358"/>
      <c r="BU555" s="358"/>
      <c r="BV555" s="358"/>
    </row>
    <row r="556" spans="2:74" x14ac:dyDescent="0.2">
      <c r="B556" s="358"/>
      <c r="D556" s="358"/>
      <c r="E556" s="358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  <c r="AA556" s="358"/>
      <c r="AB556" s="358"/>
      <c r="AC556" s="358"/>
      <c r="AD556" s="358"/>
      <c r="AE556" s="358"/>
      <c r="AF556" s="358"/>
      <c r="AG556" s="358"/>
      <c r="AH556" s="358"/>
      <c r="AI556" s="358"/>
      <c r="AJ556" s="358"/>
      <c r="AK556" s="358"/>
      <c r="AL556" s="358"/>
      <c r="AM556" s="358"/>
      <c r="AN556" s="358"/>
      <c r="AO556" s="358"/>
      <c r="AP556" s="358"/>
      <c r="AQ556" s="358"/>
      <c r="AR556" s="358"/>
      <c r="AS556" s="358"/>
      <c r="AT556" s="358"/>
      <c r="AU556" s="358"/>
      <c r="AV556" s="358"/>
      <c r="AW556" s="358"/>
      <c r="AX556" s="358"/>
      <c r="AY556" s="358"/>
      <c r="AZ556" s="358"/>
      <c r="BA556" s="358"/>
      <c r="BB556" s="358"/>
      <c r="BC556" s="358"/>
      <c r="BD556" s="358"/>
      <c r="BE556" s="358"/>
      <c r="BF556" s="358"/>
      <c r="BG556" s="358"/>
      <c r="BH556" s="358"/>
      <c r="BI556" s="358"/>
      <c r="BJ556" s="358"/>
      <c r="BK556" s="358"/>
      <c r="BL556" s="358"/>
      <c r="BM556" s="358"/>
      <c r="BN556" s="358"/>
      <c r="BO556" s="358"/>
      <c r="BP556" s="358"/>
      <c r="BQ556" s="358"/>
      <c r="BR556" s="358"/>
      <c r="BS556" s="358"/>
      <c r="BT556" s="358"/>
      <c r="BU556" s="358"/>
      <c r="BV556" s="358"/>
    </row>
    <row r="557" spans="2:74" x14ac:dyDescent="0.2">
      <c r="B557" s="358"/>
      <c r="D557" s="358"/>
      <c r="E557" s="358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8"/>
      <c r="AA557" s="358"/>
      <c r="AB557" s="358"/>
      <c r="AC557" s="358"/>
      <c r="AD557" s="358"/>
      <c r="AE557" s="358"/>
      <c r="AF557" s="358"/>
      <c r="AG557" s="358"/>
      <c r="AH557" s="358"/>
      <c r="AI557" s="358"/>
      <c r="AJ557" s="358"/>
      <c r="AK557" s="358"/>
      <c r="AL557" s="358"/>
      <c r="AM557" s="358"/>
      <c r="AN557" s="358"/>
      <c r="AO557" s="358"/>
      <c r="AP557" s="358"/>
      <c r="AQ557" s="358"/>
      <c r="AR557" s="358"/>
      <c r="AS557" s="358"/>
      <c r="AT557" s="358"/>
      <c r="AU557" s="358"/>
      <c r="AV557" s="358"/>
      <c r="AW557" s="358"/>
      <c r="AX557" s="358"/>
      <c r="AY557" s="358"/>
      <c r="AZ557" s="358"/>
      <c r="BA557" s="358"/>
      <c r="BB557" s="358"/>
      <c r="BC557" s="358"/>
      <c r="BD557" s="358"/>
      <c r="BE557" s="358"/>
      <c r="BF557" s="358"/>
      <c r="BG557" s="358"/>
      <c r="BH557" s="358"/>
      <c r="BI557" s="358"/>
      <c r="BJ557" s="358"/>
      <c r="BK557" s="358"/>
      <c r="BL557" s="358"/>
      <c r="BM557" s="358"/>
      <c r="BN557" s="358"/>
      <c r="BO557" s="358"/>
      <c r="BP557" s="358"/>
      <c r="BQ557" s="358"/>
      <c r="BR557" s="358"/>
      <c r="BS557" s="358"/>
      <c r="BT557" s="358"/>
      <c r="BU557" s="358"/>
      <c r="BV557" s="358"/>
    </row>
    <row r="558" spans="2:74" x14ac:dyDescent="0.2">
      <c r="B558" s="358"/>
      <c r="D558" s="358"/>
      <c r="E558" s="358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  <c r="AA558" s="358"/>
      <c r="AB558" s="358"/>
      <c r="AC558" s="358"/>
      <c r="AD558" s="358"/>
      <c r="AE558" s="358"/>
      <c r="AF558" s="358"/>
      <c r="AG558" s="358"/>
      <c r="AH558" s="358"/>
      <c r="AI558" s="358"/>
      <c r="AJ558" s="358"/>
      <c r="AK558" s="358"/>
      <c r="AL558" s="358"/>
      <c r="AM558" s="358"/>
      <c r="AN558" s="358"/>
      <c r="AO558" s="358"/>
      <c r="AP558" s="358"/>
      <c r="AQ558" s="358"/>
      <c r="AR558" s="358"/>
      <c r="AS558" s="358"/>
      <c r="AT558" s="358"/>
      <c r="AU558" s="358"/>
      <c r="AV558" s="358"/>
      <c r="AW558" s="358"/>
      <c r="AX558" s="358"/>
      <c r="AY558" s="358"/>
      <c r="AZ558" s="358"/>
      <c r="BA558" s="358"/>
      <c r="BB558" s="358"/>
      <c r="BC558" s="358"/>
      <c r="BD558" s="358"/>
      <c r="BE558" s="358"/>
      <c r="BF558" s="358"/>
      <c r="BG558" s="358"/>
      <c r="BH558" s="358"/>
      <c r="BI558" s="358"/>
      <c r="BJ558" s="358"/>
      <c r="BK558" s="358"/>
      <c r="BL558" s="358"/>
      <c r="BM558" s="358"/>
      <c r="BN558" s="358"/>
      <c r="BO558" s="358"/>
      <c r="BP558" s="358"/>
      <c r="BQ558" s="358"/>
      <c r="BR558" s="358"/>
      <c r="BS558" s="358"/>
      <c r="BT558" s="358"/>
      <c r="BU558" s="358"/>
      <c r="BV558" s="358"/>
    </row>
    <row r="559" spans="2:74" x14ac:dyDescent="0.2">
      <c r="B559" s="358"/>
      <c r="D559" s="358"/>
      <c r="E559" s="358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8"/>
      <c r="AA559" s="358"/>
      <c r="AB559" s="358"/>
      <c r="AC559" s="358"/>
      <c r="AD559" s="358"/>
      <c r="AE559" s="358"/>
      <c r="AF559" s="358"/>
      <c r="AG559" s="358"/>
      <c r="AH559" s="358"/>
      <c r="AI559" s="358"/>
      <c r="AJ559" s="358"/>
      <c r="AK559" s="358"/>
      <c r="AL559" s="358"/>
      <c r="AM559" s="358"/>
      <c r="AN559" s="358"/>
      <c r="AO559" s="358"/>
      <c r="AP559" s="358"/>
      <c r="AQ559" s="358"/>
      <c r="AR559" s="358"/>
      <c r="AS559" s="358"/>
      <c r="AT559" s="358"/>
      <c r="AU559" s="358"/>
      <c r="AV559" s="358"/>
      <c r="AW559" s="358"/>
      <c r="AX559" s="358"/>
      <c r="AY559" s="358"/>
      <c r="AZ559" s="358"/>
      <c r="BA559" s="358"/>
      <c r="BB559" s="358"/>
      <c r="BC559" s="358"/>
      <c r="BD559" s="358"/>
      <c r="BE559" s="358"/>
      <c r="BF559" s="358"/>
      <c r="BG559" s="358"/>
      <c r="BH559" s="358"/>
      <c r="BI559" s="358"/>
      <c r="BJ559" s="358"/>
      <c r="BK559" s="358"/>
      <c r="BL559" s="358"/>
      <c r="BM559" s="358"/>
      <c r="BN559" s="358"/>
      <c r="BO559" s="358"/>
      <c r="BP559" s="358"/>
      <c r="BQ559" s="358"/>
      <c r="BR559" s="358"/>
      <c r="BS559" s="358"/>
      <c r="BT559" s="358"/>
      <c r="BU559" s="358"/>
      <c r="BV559" s="358"/>
    </row>
    <row r="560" spans="2:74" x14ac:dyDescent="0.2">
      <c r="B560" s="358"/>
      <c r="D560" s="358"/>
      <c r="E560" s="358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  <c r="AA560" s="358"/>
      <c r="AB560" s="358"/>
      <c r="AC560" s="358"/>
      <c r="AD560" s="358"/>
      <c r="AE560" s="358"/>
      <c r="AF560" s="358"/>
      <c r="AG560" s="358"/>
      <c r="AH560" s="358"/>
      <c r="AI560" s="358"/>
      <c r="AJ560" s="358"/>
      <c r="AK560" s="358"/>
      <c r="AL560" s="358"/>
      <c r="AM560" s="358"/>
      <c r="AN560" s="358"/>
      <c r="AO560" s="358"/>
      <c r="AP560" s="358"/>
      <c r="AQ560" s="358"/>
      <c r="AR560" s="358"/>
      <c r="AS560" s="358"/>
      <c r="AT560" s="358"/>
      <c r="AU560" s="358"/>
      <c r="AV560" s="358"/>
      <c r="AW560" s="358"/>
      <c r="AX560" s="358"/>
      <c r="AY560" s="358"/>
      <c r="AZ560" s="358"/>
      <c r="BA560" s="358"/>
      <c r="BB560" s="358"/>
      <c r="BC560" s="358"/>
      <c r="BD560" s="358"/>
      <c r="BE560" s="358"/>
      <c r="BF560" s="358"/>
      <c r="BG560" s="358"/>
      <c r="BH560" s="358"/>
      <c r="BI560" s="358"/>
      <c r="BJ560" s="358"/>
      <c r="BK560" s="358"/>
      <c r="BL560" s="358"/>
      <c r="BM560" s="358"/>
      <c r="BN560" s="358"/>
      <c r="BO560" s="358"/>
      <c r="BP560" s="358"/>
      <c r="BQ560" s="358"/>
      <c r="BR560" s="358"/>
      <c r="BS560" s="358"/>
      <c r="BT560" s="358"/>
      <c r="BU560" s="358"/>
      <c r="BV560" s="358"/>
    </row>
    <row r="561" spans="2:74" x14ac:dyDescent="0.2">
      <c r="B561" s="358"/>
      <c r="D561" s="358"/>
      <c r="E561" s="358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8"/>
      <c r="AA561" s="358"/>
      <c r="AB561" s="358"/>
      <c r="AC561" s="358"/>
      <c r="AD561" s="358"/>
      <c r="AE561" s="358"/>
      <c r="AF561" s="358"/>
      <c r="AG561" s="358"/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58"/>
      <c r="AX561" s="358"/>
      <c r="AY561" s="358"/>
      <c r="AZ561" s="358"/>
      <c r="BA561" s="358"/>
      <c r="BB561" s="358"/>
      <c r="BC561" s="358"/>
      <c r="BD561" s="358"/>
      <c r="BE561" s="358"/>
      <c r="BF561" s="358"/>
      <c r="BG561" s="358"/>
      <c r="BH561" s="358"/>
      <c r="BI561" s="358"/>
      <c r="BJ561" s="358"/>
      <c r="BK561" s="358"/>
      <c r="BL561" s="358"/>
      <c r="BM561" s="358"/>
      <c r="BN561" s="358"/>
      <c r="BO561" s="358"/>
      <c r="BP561" s="358"/>
      <c r="BQ561" s="358"/>
      <c r="BR561" s="358"/>
      <c r="BS561" s="358"/>
      <c r="BT561" s="358"/>
      <c r="BU561" s="358"/>
      <c r="BV561" s="358"/>
    </row>
    <row r="562" spans="2:74" x14ac:dyDescent="0.2">
      <c r="B562" s="358"/>
      <c r="D562" s="358"/>
      <c r="E562" s="358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  <c r="AI562" s="358"/>
      <c r="AJ562" s="358"/>
      <c r="AK562" s="358"/>
      <c r="AL562" s="358"/>
      <c r="AM562" s="358"/>
      <c r="AN562" s="358"/>
      <c r="AO562" s="358"/>
      <c r="AP562" s="358"/>
      <c r="AQ562" s="358"/>
      <c r="AR562" s="358"/>
      <c r="AS562" s="358"/>
      <c r="AT562" s="358"/>
      <c r="AU562" s="358"/>
      <c r="AV562" s="358"/>
      <c r="AW562" s="358"/>
      <c r="AX562" s="358"/>
      <c r="AY562" s="358"/>
      <c r="AZ562" s="358"/>
      <c r="BA562" s="358"/>
      <c r="BB562" s="358"/>
      <c r="BC562" s="358"/>
      <c r="BD562" s="358"/>
      <c r="BE562" s="358"/>
      <c r="BF562" s="358"/>
      <c r="BG562" s="358"/>
      <c r="BH562" s="358"/>
      <c r="BI562" s="358"/>
      <c r="BJ562" s="358"/>
      <c r="BK562" s="358"/>
      <c r="BL562" s="358"/>
      <c r="BM562" s="358"/>
      <c r="BN562" s="358"/>
      <c r="BO562" s="358"/>
      <c r="BP562" s="358"/>
      <c r="BQ562" s="358"/>
      <c r="BR562" s="358"/>
      <c r="BS562" s="358"/>
      <c r="BT562" s="358"/>
      <c r="BU562" s="358"/>
      <c r="BV562" s="358"/>
    </row>
    <row r="563" spans="2:74" x14ac:dyDescent="0.2">
      <c r="B563" s="358"/>
      <c r="D563" s="358"/>
      <c r="E563" s="358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8"/>
      <c r="AA563" s="358"/>
      <c r="AB563" s="358"/>
      <c r="AC563" s="358"/>
      <c r="AD563" s="358"/>
      <c r="AE563" s="358"/>
      <c r="AF563" s="358"/>
      <c r="AG563" s="358"/>
      <c r="AH563" s="358"/>
      <c r="AI563" s="358"/>
      <c r="AJ563" s="358"/>
      <c r="AK563" s="358"/>
      <c r="AL563" s="358"/>
      <c r="AM563" s="358"/>
      <c r="AN563" s="358"/>
      <c r="AO563" s="358"/>
      <c r="AP563" s="358"/>
      <c r="AQ563" s="358"/>
      <c r="AR563" s="358"/>
      <c r="AS563" s="358"/>
      <c r="AT563" s="358"/>
      <c r="AU563" s="358"/>
      <c r="AV563" s="358"/>
      <c r="AW563" s="358"/>
      <c r="AX563" s="358"/>
      <c r="AY563" s="358"/>
      <c r="AZ563" s="358"/>
      <c r="BA563" s="358"/>
      <c r="BB563" s="358"/>
      <c r="BC563" s="358"/>
      <c r="BD563" s="358"/>
      <c r="BE563" s="358"/>
      <c r="BF563" s="358"/>
      <c r="BG563" s="358"/>
      <c r="BH563" s="358"/>
      <c r="BI563" s="358"/>
      <c r="BJ563" s="358"/>
      <c r="BK563" s="358"/>
      <c r="BL563" s="358"/>
      <c r="BM563" s="358"/>
      <c r="BN563" s="358"/>
      <c r="BO563" s="358"/>
      <c r="BP563" s="358"/>
      <c r="BQ563" s="358"/>
      <c r="BR563" s="358"/>
      <c r="BS563" s="358"/>
      <c r="BT563" s="358"/>
      <c r="BU563" s="358"/>
      <c r="BV563" s="358"/>
    </row>
    <row r="564" spans="2:74" x14ac:dyDescent="0.2">
      <c r="B564" s="358"/>
      <c r="D564" s="358"/>
      <c r="E564" s="358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  <c r="AA564" s="358"/>
      <c r="AB564" s="358"/>
      <c r="AC564" s="358"/>
      <c r="AD564" s="358"/>
      <c r="AE564" s="358"/>
      <c r="AF564" s="358"/>
      <c r="AG564" s="358"/>
      <c r="AH564" s="358"/>
      <c r="AI564" s="358"/>
      <c r="AJ564" s="358"/>
      <c r="AK564" s="358"/>
      <c r="AL564" s="358"/>
      <c r="AM564" s="358"/>
      <c r="AN564" s="358"/>
      <c r="AO564" s="358"/>
      <c r="AP564" s="358"/>
      <c r="AQ564" s="358"/>
      <c r="AR564" s="358"/>
      <c r="AS564" s="358"/>
      <c r="AT564" s="358"/>
      <c r="AU564" s="358"/>
      <c r="AV564" s="358"/>
      <c r="AW564" s="358"/>
      <c r="AX564" s="358"/>
      <c r="AY564" s="358"/>
      <c r="AZ564" s="358"/>
      <c r="BA564" s="358"/>
      <c r="BB564" s="358"/>
      <c r="BC564" s="358"/>
      <c r="BD564" s="358"/>
      <c r="BE564" s="358"/>
      <c r="BF564" s="358"/>
      <c r="BG564" s="358"/>
      <c r="BH564" s="358"/>
      <c r="BI564" s="358"/>
      <c r="BJ564" s="358"/>
      <c r="BK564" s="358"/>
      <c r="BL564" s="358"/>
      <c r="BM564" s="358"/>
      <c r="BN564" s="358"/>
      <c r="BO564" s="358"/>
      <c r="BP564" s="358"/>
      <c r="BQ564" s="358"/>
      <c r="BR564" s="358"/>
      <c r="BS564" s="358"/>
      <c r="BT564" s="358"/>
      <c r="BU564" s="358"/>
      <c r="BV564" s="358"/>
    </row>
    <row r="565" spans="2:74" x14ac:dyDescent="0.2">
      <c r="B565" s="358"/>
      <c r="D565" s="358"/>
      <c r="E565" s="358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8"/>
      <c r="AA565" s="358"/>
      <c r="AB565" s="358"/>
      <c r="AC565" s="358"/>
      <c r="AD565" s="358"/>
      <c r="AE565" s="358"/>
      <c r="AF565" s="358"/>
      <c r="AG565" s="358"/>
      <c r="AH565" s="358"/>
      <c r="AI565" s="358"/>
      <c r="AJ565" s="358"/>
      <c r="AK565" s="358"/>
      <c r="AL565" s="358"/>
      <c r="AM565" s="358"/>
      <c r="AN565" s="358"/>
      <c r="AO565" s="358"/>
      <c r="AP565" s="358"/>
      <c r="AQ565" s="358"/>
      <c r="AR565" s="358"/>
      <c r="AS565" s="358"/>
      <c r="AT565" s="358"/>
      <c r="AU565" s="358"/>
      <c r="AV565" s="358"/>
      <c r="AW565" s="358"/>
      <c r="AX565" s="358"/>
      <c r="AY565" s="358"/>
      <c r="AZ565" s="358"/>
      <c r="BA565" s="358"/>
      <c r="BB565" s="358"/>
      <c r="BC565" s="358"/>
      <c r="BD565" s="358"/>
      <c r="BE565" s="358"/>
      <c r="BF565" s="358"/>
      <c r="BG565" s="358"/>
      <c r="BH565" s="358"/>
      <c r="BI565" s="358"/>
      <c r="BJ565" s="358"/>
      <c r="BK565" s="358"/>
      <c r="BL565" s="358"/>
      <c r="BM565" s="358"/>
      <c r="BN565" s="358"/>
      <c r="BO565" s="358"/>
      <c r="BP565" s="358"/>
      <c r="BQ565" s="358"/>
      <c r="BR565" s="358"/>
      <c r="BS565" s="358"/>
      <c r="BT565" s="358"/>
      <c r="BU565" s="358"/>
      <c r="BV565" s="358"/>
    </row>
    <row r="566" spans="2:74" x14ac:dyDescent="0.2">
      <c r="B566" s="358"/>
      <c r="D566" s="358"/>
      <c r="E566" s="358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  <c r="AA566" s="358"/>
      <c r="AB566" s="358"/>
      <c r="AC566" s="358"/>
      <c r="AD566" s="358"/>
      <c r="AE566" s="358"/>
      <c r="AF566" s="358"/>
      <c r="AG566" s="358"/>
      <c r="AH566" s="358"/>
      <c r="AI566" s="358"/>
      <c r="AJ566" s="358"/>
      <c r="AK566" s="358"/>
      <c r="AL566" s="358"/>
      <c r="AM566" s="358"/>
      <c r="AN566" s="358"/>
      <c r="AO566" s="358"/>
      <c r="AP566" s="358"/>
      <c r="AQ566" s="358"/>
      <c r="AR566" s="358"/>
      <c r="AS566" s="358"/>
      <c r="AT566" s="358"/>
      <c r="AU566" s="358"/>
      <c r="AV566" s="358"/>
      <c r="AW566" s="358"/>
      <c r="AX566" s="358"/>
      <c r="AY566" s="358"/>
      <c r="AZ566" s="358"/>
      <c r="BA566" s="358"/>
      <c r="BB566" s="358"/>
      <c r="BC566" s="358"/>
      <c r="BD566" s="358"/>
      <c r="BE566" s="358"/>
      <c r="BF566" s="358"/>
      <c r="BG566" s="358"/>
      <c r="BH566" s="358"/>
      <c r="BI566" s="358"/>
      <c r="BJ566" s="358"/>
      <c r="BK566" s="358"/>
      <c r="BL566" s="358"/>
      <c r="BM566" s="358"/>
      <c r="BN566" s="358"/>
      <c r="BO566" s="358"/>
      <c r="BP566" s="358"/>
      <c r="BQ566" s="358"/>
      <c r="BR566" s="358"/>
      <c r="BS566" s="358"/>
      <c r="BT566" s="358"/>
      <c r="BU566" s="358"/>
      <c r="BV566" s="358"/>
    </row>
    <row r="567" spans="2:74" x14ac:dyDescent="0.2">
      <c r="B567" s="358"/>
      <c r="D567" s="358"/>
      <c r="E567" s="358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8"/>
      <c r="AA567" s="358"/>
      <c r="AB567" s="358"/>
      <c r="AC567" s="358"/>
      <c r="AD567" s="358"/>
      <c r="AE567" s="358"/>
      <c r="AF567" s="358"/>
      <c r="AG567" s="358"/>
      <c r="AH567" s="358"/>
      <c r="AI567" s="358"/>
      <c r="AJ567" s="358"/>
      <c r="AK567" s="358"/>
      <c r="AL567" s="358"/>
      <c r="AM567" s="358"/>
      <c r="AN567" s="358"/>
      <c r="AO567" s="358"/>
      <c r="AP567" s="358"/>
      <c r="AQ567" s="358"/>
      <c r="AR567" s="358"/>
      <c r="AS567" s="358"/>
      <c r="AT567" s="358"/>
      <c r="AU567" s="358"/>
      <c r="AV567" s="358"/>
      <c r="AW567" s="358"/>
      <c r="AX567" s="358"/>
      <c r="AY567" s="358"/>
      <c r="AZ567" s="358"/>
      <c r="BA567" s="358"/>
      <c r="BB567" s="358"/>
      <c r="BC567" s="358"/>
      <c r="BD567" s="358"/>
      <c r="BE567" s="358"/>
      <c r="BF567" s="358"/>
      <c r="BG567" s="358"/>
      <c r="BH567" s="358"/>
      <c r="BI567" s="358"/>
      <c r="BJ567" s="358"/>
      <c r="BK567" s="358"/>
      <c r="BL567" s="358"/>
      <c r="BM567" s="358"/>
      <c r="BN567" s="358"/>
      <c r="BO567" s="358"/>
      <c r="BP567" s="358"/>
      <c r="BQ567" s="358"/>
      <c r="BR567" s="358"/>
      <c r="BS567" s="358"/>
      <c r="BT567" s="358"/>
      <c r="BU567" s="358"/>
      <c r="BV567" s="358"/>
    </row>
    <row r="568" spans="2:74" x14ac:dyDescent="0.2">
      <c r="B568" s="358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  <c r="AC568" s="358"/>
      <c r="AD568" s="358"/>
      <c r="AE568" s="358"/>
      <c r="AF568" s="358"/>
      <c r="AG568" s="358"/>
      <c r="AH568" s="358"/>
      <c r="AI568" s="358"/>
      <c r="AJ568" s="358"/>
      <c r="AK568" s="358"/>
      <c r="AL568" s="358"/>
      <c r="AM568" s="358"/>
      <c r="AN568" s="358"/>
      <c r="AO568" s="358"/>
      <c r="AP568" s="358"/>
      <c r="AQ568" s="358"/>
      <c r="AR568" s="358"/>
      <c r="AS568" s="358"/>
      <c r="AT568" s="358"/>
      <c r="AU568" s="358"/>
      <c r="AV568" s="358"/>
      <c r="AW568" s="358"/>
      <c r="AX568" s="358"/>
      <c r="AY568" s="358"/>
      <c r="AZ568" s="358"/>
      <c r="BA568" s="358"/>
      <c r="BB568" s="358"/>
      <c r="BC568" s="358"/>
      <c r="BD568" s="358"/>
      <c r="BE568" s="358"/>
      <c r="BF568" s="358"/>
      <c r="BG568" s="358"/>
      <c r="BH568" s="358"/>
      <c r="BI568" s="358"/>
      <c r="BJ568" s="358"/>
      <c r="BK568" s="358"/>
      <c r="BL568" s="358"/>
      <c r="BM568" s="358"/>
      <c r="BN568" s="358"/>
      <c r="BO568" s="358"/>
      <c r="BP568" s="358"/>
      <c r="BQ568" s="358"/>
      <c r="BR568" s="358"/>
      <c r="BS568" s="358"/>
      <c r="BT568" s="358"/>
      <c r="BU568" s="358"/>
      <c r="BV568" s="358"/>
    </row>
    <row r="569" spans="2:74" x14ac:dyDescent="0.2">
      <c r="B569" s="358"/>
      <c r="D569" s="358"/>
      <c r="E569" s="358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8"/>
      <c r="AA569" s="358"/>
      <c r="AB569" s="358"/>
      <c r="AC569" s="358"/>
      <c r="AD569" s="358"/>
      <c r="AE569" s="358"/>
      <c r="AF569" s="358"/>
      <c r="AG569" s="358"/>
      <c r="AH569" s="358"/>
      <c r="AI569" s="358"/>
      <c r="AJ569" s="358"/>
      <c r="AK569" s="358"/>
      <c r="AL569" s="358"/>
      <c r="AM569" s="358"/>
      <c r="AN569" s="358"/>
      <c r="AO569" s="358"/>
      <c r="AP569" s="358"/>
      <c r="AQ569" s="358"/>
      <c r="AR569" s="358"/>
      <c r="AS569" s="358"/>
      <c r="AT569" s="358"/>
      <c r="AU569" s="358"/>
      <c r="AV569" s="358"/>
      <c r="AW569" s="358"/>
      <c r="AX569" s="358"/>
      <c r="AY569" s="358"/>
      <c r="AZ569" s="358"/>
      <c r="BA569" s="358"/>
      <c r="BB569" s="358"/>
      <c r="BC569" s="358"/>
      <c r="BD569" s="358"/>
      <c r="BE569" s="358"/>
      <c r="BF569" s="358"/>
      <c r="BG569" s="358"/>
      <c r="BH569" s="358"/>
      <c r="BI569" s="358"/>
      <c r="BJ569" s="358"/>
      <c r="BK569" s="358"/>
      <c r="BL569" s="358"/>
      <c r="BM569" s="358"/>
      <c r="BN569" s="358"/>
      <c r="BO569" s="358"/>
      <c r="BP569" s="358"/>
      <c r="BQ569" s="358"/>
      <c r="BR569" s="358"/>
      <c r="BS569" s="358"/>
      <c r="BT569" s="358"/>
      <c r="BU569" s="358"/>
      <c r="BV569" s="358"/>
    </row>
    <row r="570" spans="2:74" x14ac:dyDescent="0.2">
      <c r="B570" s="358"/>
      <c r="D570" s="358"/>
      <c r="E570" s="358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  <c r="AA570" s="358"/>
      <c r="AB570" s="358"/>
      <c r="AC570" s="358"/>
      <c r="AD570" s="358"/>
      <c r="AE570" s="358"/>
      <c r="AF570" s="358"/>
      <c r="AG570" s="358"/>
      <c r="AH570" s="358"/>
      <c r="AI570" s="358"/>
      <c r="AJ570" s="358"/>
      <c r="AK570" s="358"/>
      <c r="AL570" s="358"/>
      <c r="AM570" s="358"/>
      <c r="AN570" s="358"/>
      <c r="AO570" s="358"/>
      <c r="AP570" s="358"/>
      <c r="AQ570" s="358"/>
      <c r="AR570" s="358"/>
      <c r="AS570" s="358"/>
      <c r="AT570" s="358"/>
      <c r="AU570" s="358"/>
      <c r="AV570" s="358"/>
      <c r="AW570" s="358"/>
      <c r="AX570" s="358"/>
      <c r="AY570" s="358"/>
      <c r="AZ570" s="358"/>
      <c r="BA570" s="358"/>
      <c r="BB570" s="358"/>
      <c r="BC570" s="358"/>
      <c r="BD570" s="358"/>
      <c r="BE570" s="358"/>
      <c r="BF570" s="358"/>
      <c r="BG570" s="358"/>
      <c r="BH570" s="358"/>
      <c r="BI570" s="358"/>
      <c r="BJ570" s="358"/>
      <c r="BK570" s="358"/>
      <c r="BL570" s="358"/>
      <c r="BM570" s="358"/>
      <c r="BN570" s="358"/>
      <c r="BO570" s="358"/>
      <c r="BP570" s="358"/>
      <c r="BQ570" s="358"/>
      <c r="BR570" s="358"/>
      <c r="BS570" s="358"/>
      <c r="BT570" s="358"/>
      <c r="BU570" s="358"/>
      <c r="BV570" s="358"/>
    </row>
    <row r="571" spans="2:74" x14ac:dyDescent="0.2">
      <c r="B571" s="358"/>
      <c r="D571" s="358"/>
      <c r="E571" s="358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8"/>
      <c r="AA571" s="358"/>
      <c r="AB571" s="358"/>
      <c r="AC571" s="358"/>
      <c r="AD571" s="358"/>
      <c r="AE571" s="358"/>
      <c r="AF571" s="358"/>
      <c r="AG571" s="358"/>
      <c r="AH571" s="358"/>
      <c r="AI571" s="358"/>
      <c r="AJ571" s="358"/>
      <c r="AK571" s="358"/>
      <c r="AL571" s="358"/>
      <c r="AM571" s="358"/>
      <c r="AN571" s="358"/>
      <c r="AO571" s="358"/>
      <c r="AP571" s="358"/>
      <c r="AQ571" s="358"/>
      <c r="AR571" s="358"/>
      <c r="AS571" s="358"/>
      <c r="AT571" s="358"/>
      <c r="AU571" s="358"/>
      <c r="AV571" s="358"/>
      <c r="AW571" s="358"/>
      <c r="AX571" s="358"/>
      <c r="AY571" s="358"/>
      <c r="AZ571" s="358"/>
      <c r="BA571" s="358"/>
      <c r="BB571" s="358"/>
      <c r="BC571" s="358"/>
      <c r="BD571" s="358"/>
      <c r="BE571" s="358"/>
      <c r="BF571" s="358"/>
      <c r="BG571" s="358"/>
      <c r="BH571" s="358"/>
      <c r="BI571" s="358"/>
      <c r="BJ571" s="358"/>
      <c r="BK571" s="358"/>
      <c r="BL571" s="358"/>
      <c r="BM571" s="358"/>
      <c r="BN571" s="358"/>
      <c r="BO571" s="358"/>
      <c r="BP571" s="358"/>
      <c r="BQ571" s="358"/>
      <c r="BR571" s="358"/>
      <c r="BS571" s="358"/>
      <c r="BT571" s="358"/>
      <c r="BU571" s="358"/>
      <c r="BV571" s="358"/>
    </row>
    <row r="572" spans="2:74" x14ac:dyDescent="0.2">
      <c r="B572" s="358"/>
      <c r="D572" s="358"/>
      <c r="E572" s="358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  <c r="AA572" s="358"/>
      <c r="AB572" s="358"/>
      <c r="AC572" s="358"/>
      <c r="AD572" s="358"/>
      <c r="AE572" s="358"/>
      <c r="AF572" s="358"/>
      <c r="AG572" s="358"/>
      <c r="AH572" s="358"/>
      <c r="AI572" s="358"/>
      <c r="AJ572" s="358"/>
      <c r="AK572" s="358"/>
      <c r="AL572" s="358"/>
      <c r="AM572" s="358"/>
      <c r="AN572" s="358"/>
      <c r="AO572" s="358"/>
      <c r="AP572" s="358"/>
      <c r="AQ572" s="358"/>
      <c r="AR572" s="358"/>
      <c r="AS572" s="358"/>
      <c r="AT572" s="358"/>
      <c r="AU572" s="358"/>
      <c r="AV572" s="358"/>
      <c r="AW572" s="358"/>
      <c r="AX572" s="358"/>
      <c r="AY572" s="358"/>
      <c r="AZ572" s="358"/>
      <c r="BA572" s="358"/>
      <c r="BB572" s="358"/>
      <c r="BC572" s="358"/>
      <c r="BD572" s="358"/>
      <c r="BE572" s="358"/>
      <c r="BF572" s="358"/>
      <c r="BG572" s="358"/>
      <c r="BH572" s="358"/>
      <c r="BI572" s="358"/>
      <c r="BJ572" s="358"/>
      <c r="BK572" s="358"/>
      <c r="BL572" s="358"/>
      <c r="BM572" s="358"/>
      <c r="BN572" s="358"/>
      <c r="BO572" s="358"/>
      <c r="BP572" s="358"/>
      <c r="BQ572" s="358"/>
      <c r="BR572" s="358"/>
      <c r="BS572" s="358"/>
      <c r="BT572" s="358"/>
      <c r="BU572" s="358"/>
      <c r="BV572" s="358"/>
    </row>
    <row r="573" spans="2:74" x14ac:dyDescent="0.2">
      <c r="B573" s="358"/>
      <c r="D573" s="358"/>
      <c r="E573" s="358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8"/>
      <c r="AA573" s="358"/>
      <c r="AB573" s="358"/>
      <c r="AC573" s="358"/>
      <c r="AD573" s="358"/>
      <c r="AE573" s="358"/>
      <c r="AF573" s="358"/>
      <c r="AG573" s="358"/>
      <c r="AH573" s="358"/>
      <c r="AI573" s="358"/>
      <c r="AJ573" s="358"/>
      <c r="AK573" s="358"/>
      <c r="AL573" s="358"/>
      <c r="AM573" s="358"/>
      <c r="AN573" s="358"/>
      <c r="AO573" s="358"/>
      <c r="AP573" s="358"/>
      <c r="AQ573" s="358"/>
      <c r="AR573" s="358"/>
      <c r="AS573" s="358"/>
      <c r="AT573" s="358"/>
      <c r="AU573" s="358"/>
      <c r="AV573" s="358"/>
      <c r="AW573" s="358"/>
      <c r="AX573" s="358"/>
      <c r="AY573" s="358"/>
      <c r="AZ573" s="358"/>
      <c r="BA573" s="358"/>
      <c r="BB573" s="358"/>
      <c r="BC573" s="358"/>
      <c r="BD573" s="358"/>
      <c r="BE573" s="358"/>
      <c r="BF573" s="358"/>
      <c r="BG573" s="358"/>
      <c r="BH573" s="358"/>
      <c r="BI573" s="358"/>
      <c r="BJ573" s="358"/>
      <c r="BK573" s="358"/>
      <c r="BL573" s="358"/>
      <c r="BM573" s="358"/>
      <c r="BN573" s="358"/>
      <c r="BO573" s="358"/>
      <c r="BP573" s="358"/>
      <c r="BQ573" s="358"/>
      <c r="BR573" s="358"/>
      <c r="BS573" s="358"/>
      <c r="BT573" s="358"/>
      <c r="BU573" s="358"/>
      <c r="BV573" s="358"/>
    </row>
    <row r="574" spans="2:74" x14ac:dyDescent="0.2">
      <c r="B574" s="358"/>
      <c r="D574" s="358"/>
      <c r="E574" s="358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  <c r="AA574" s="358"/>
      <c r="AB574" s="358"/>
      <c r="AC574" s="358"/>
      <c r="AD574" s="358"/>
      <c r="AE574" s="358"/>
      <c r="AF574" s="358"/>
      <c r="AG574" s="358"/>
      <c r="AH574" s="358"/>
      <c r="AI574" s="358"/>
      <c r="AJ574" s="358"/>
      <c r="AK574" s="358"/>
      <c r="AL574" s="358"/>
      <c r="AM574" s="358"/>
      <c r="AN574" s="358"/>
      <c r="AO574" s="358"/>
      <c r="AP574" s="358"/>
      <c r="AQ574" s="358"/>
      <c r="AR574" s="358"/>
      <c r="AS574" s="358"/>
      <c r="AT574" s="358"/>
      <c r="AU574" s="358"/>
      <c r="AV574" s="358"/>
      <c r="AW574" s="358"/>
      <c r="AX574" s="358"/>
      <c r="AY574" s="358"/>
      <c r="AZ574" s="358"/>
      <c r="BA574" s="358"/>
      <c r="BB574" s="358"/>
      <c r="BC574" s="358"/>
      <c r="BD574" s="358"/>
      <c r="BE574" s="358"/>
      <c r="BF574" s="358"/>
      <c r="BG574" s="358"/>
      <c r="BH574" s="358"/>
      <c r="BI574" s="358"/>
      <c r="BJ574" s="358"/>
      <c r="BK574" s="358"/>
      <c r="BL574" s="358"/>
      <c r="BM574" s="358"/>
      <c r="BN574" s="358"/>
      <c r="BO574" s="358"/>
      <c r="BP574" s="358"/>
      <c r="BQ574" s="358"/>
      <c r="BR574" s="358"/>
      <c r="BS574" s="358"/>
      <c r="BT574" s="358"/>
      <c r="BU574" s="358"/>
      <c r="BV574" s="358"/>
    </row>
    <row r="575" spans="2:74" x14ac:dyDescent="0.2">
      <c r="B575" s="358"/>
      <c r="D575" s="358"/>
      <c r="E575" s="358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8"/>
      <c r="AA575" s="358"/>
      <c r="AB575" s="358"/>
      <c r="AC575" s="358"/>
      <c r="AD575" s="358"/>
      <c r="AE575" s="358"/>
      <c r="AF575" s="358"/>
      <c r="AG575" s="358"/>
      <c r="AH575" s="358"/>
      <c r="AI575" s="358"/>
      <c r="AJ575" s="358"/>
      <c r="AK575" s="358"/>
      <c r="AL575" s="358"/>
      <c r="AM575" s="358"/>
      <c r="AN575" s="358"/>
      <c r="AO575" s="358"/>
      <c r="AP575" s="358"/>
      <c r="AQ575" s="358"/>
      <c r="AR575" s="358"/>
      <c r="AS575" s="358"/>
      <c r="AT575" s="358"/>
      <c r="AU575" s="358"/>
      <c r="AV575" s="358"/>
      <c r="AW575" s="358"/>
      <c r="AX575" s="358"/>
      <c r="AY575" s="358"/>
      <c r="AZ575" s="358"/>
      <c r="BA575" s="358"/>
      <c r="BB575" s="358"/>
      <c r="BC575" s="358"/>
      <c r="BD575" s="358"/>
      <c r="BE575" s="358"/>
      <c r="BF575" s="358"/>
      <c r="BG575" s="358"/>
      <c r="BH575" s="358"/>
      <c r="BI575" s="358"/>
      <c r="BJ575" s="358"/>
      <c r="BK575" s="358"/>
      <c r="BL575" s="358"/>
      <c r="BM575" s="358"/>
      <c r="BN575" s="358"/>
      <c r="BO575" s="358"/>
      <c r="BP575" s="358"/>
      <c r="BQ575" s="358"/>
      <c r="BR575" s="358"/>
      <c r="BS575" s="358"/>
      <c r="BT575" s="358"/>
      <c r="BU575" s="358"/>
      <c r="BV575" s="358"/>
    </row>
    <row r="576" spans="2:74" x14ac:dyDescent="0.2">
      <c r="B576" s="358"/>
      <c r="D576" s="358"/>
      <c r="E576" s="358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  <c r="AA576" s="358"/>
      <c r="AB576" s="358"/>
      <c r="AC576" s="358"/>
      <c r="AD576" s="358"/>
      <c r="AE576" s="358"/>
      <c r="AF576" s="358"/>
      <c r="AG576" s="358"/>
      <c r="AH576" s="358"/>
      <c r="AI576" s="358"/>
      <c r="AJ576" s="358"/>
      <c r="AK576" s="358"/>
      <c r="AL576" s="358"/>
      <c r="AM576" s="358"/>
      <c r="AN576" s="358"/>
      <c r="AO576" s="358"/>
      <c r="AP576" s="358"/>
      <c r="AQ576" s="358"/>
      <c r="AR576" s="358"/>
      <c r="AS576" s="358"/>
      <c r="AT576" s="358"/>
      <c r="AU576" s="358"/>
      <c r="AV576" s="358"/>
      <c r="AW576" s="358"/>
      <c r="AX576" s="358"/>
      <c r="AY576" s="358"/>
      <c r="AZ576" s="358"/>
      <c r="BA576" s="358"/>
      <c r="BB576" s="358"/>
      <c r="BC576" s="358"/>
      <c r="BD576" s="358"/>
      <c r="BE576" s="358"/>
      <c r="BF576" s="358"/>
      <c r="BG576" s="358"/>
      <c r="BH576" s="358"/>
      <c r="BI576" s="358"/>
      <c r="BJ576" s="358"/>
      <c r="BK576" s="358"/>
      <c r="BL576" s="358"/>
      <c r="BM576" s="358"/>
      <c r="BN576" s="358"/>
      <c r="BO576" s="358"/>
      <c r="BP576" s="358"/>
      <c r="BQ576" s="358"/>
      <c r="BR576" s="358"/>
      <c r="BS576" s="358"/>
      <c r="BT576" s="358"/>
      <c r="BU576" s="358"/>
      <c r="BV576" s="358"/>
    </row>
    <row r="577" spans="2:74" x14ac:dyDescent="0.2">
      <c r="B577" s="358"/>
      <c r="D577" s="358"/>
      <c r="E577" s="358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8"/>
      <c r="AA577" s="358"/>
      <c r="AB577" s="358"/>
      <c r="AC577" s="358"/>
      <c r="AD577" s="358"/>
      <c r="AE577" s="358"/>
      <c r="AF577" s="358"/>
      <c r="AG577" s="358"/>
      <c r="AH577" s="358"/>
      <c r="AI577" s="358"/>
      <c r="AJ577" s="358"/>
      <c r="AK577" s="358"/>
      <c r="AL577" s="358"/>
      <c r="AM577" s="358"/>
      <c r="AN577" s="358"/>
      <c r="AO577" s="358"/>
      <c r="AP577" s="358"/>
      <c r="AQ577" s="358"/>
      <c r="AR577" s="358"/>
      <c r="AS577" s="358"/>
      <c r="AT577" s="358"/>
      <c r="AU577" s="358"/>
      <c r="AV577" s="358"/>
      <c r="AW577" s="358"/>
      <c r="AX577" s="358"/>
      <c r="AY577" s="358"/>
      <c r="AZ577" s="358"/>
      <c r="BA577" s="358"/>
      <c r="BB577" s="358"/>
      <c r="BC577" s="358"/>
      <c r="BD577" s="358"/>
      <c r="BE577" s="358"/>
      <c r="BF577" s="358"/>
      <c r="BG577" s="358"/>
      <c r="BH577" s="358"/>
      <c r="BI577" s="358"/>
      <c r="BJ577" s="358"/>
      <c r="BK577" s="358"/>
      <c r="BL577" s="358"/>
      <c r="BM577" s="358"/>
      <c r="BN577" s="358"/>
      <c r="BO577" s="358"/>
      <c r="BP577" s="358"/>
      <c r="BQ577" s="358"/>
      <c r="BR577" s="358"/>
      <c r="BS577" s="358"/>
      <c r="BT577" s="358"/>
      <c r="BU577" s="358"/>
      <c r="BV577" s="358"/>
    </row>
    <row r="578" spans="2:74" x14ac:dyDescent="0.2">
      <c r="B578" s="358"/>
      <c r="D578" s="358"/>
      <c r="E578" s="358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  <c r="AA578" s="358"/>
      <c r="AB578" s="358"/>
      <c r="AC578" s="358"/>
      <c r="AD578" s="358"/>
      <c r="AE578" s="358"/>
      <c r="AF578" s="358"/>
      <c r="AG578" s="358"/>
      <c r="AH578" s="358"/>
      <c r="AI578" s="358"/>
      <c r="AJ578" s="358"/>
      <c r="AK578" s="358"/>
      <c r="AL578" s="358"/>
      <c r="AM578" s="358"/>
      <c r="AN578" s="358"/>
      <c r="AO578" s="358"/>
      <c r="AP578" s="358"/>
      <c r="AQ578" s="358"/>
      <c r="AR578" s="358"/>
      <c r="AS578" s="358"/>
      <c r="AT578" s="358"/>
      <c r="AU578" s="358"/>
      <c r="AV578" s="358"/>
      <c r="AW578" s="358"/>
      <c r="AX578" s="358"/>
      <c r="AY578" s="358"/>
      <c r="AZ578" s="358"/>
      <c r="BA578" s="358"/>
      <c r="BB578" s="358"/>
      <c r="BC578" s="358"/>
      <c r="BD578" s="358"/>
      <c r="BE578" s="358"/>
      <c r="BF578" s="358"/>
      <c r="BG578" s="358"/>
      <c r="BH578" s="358"/>
      <c r="BI578" s="358"/>
      <c r="BJ578" s="358"/>
      <c r="BK578" s="358"/>
      <c r="BL578" s="358"/>
      <c r="BM578" s="358"/>
      <c r="BN578" s="358"/>
      <c r="BO578" s="358"/>
      <c r="BP578" s="358"/>
      <c r="BQ578" s="358"/>
      <c r="BR578" s="358"/>
      <c r="BS578" s="358"/>
      <c r="BT578" s="358"/>
      <c r="BU578" s="358"/>
      <c r="BV578" s="358"/>
    </row>
    <row r="579" spans="2:74" x14ac:dyDescent="0.2">
      <c r="B579" s="358"/>
      <c r="D579" s="358"/>
      <c r="E579" s="358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8"/>
      <c r="AA579" s="358"/>
      <c r="AB579" s="358"/>
      <c r="AC579" s="358"/>
      <c r="AD579" s="358"/>
      <c r="AE579" s="358"/>
      <c r="AF579" s="358"/>
      <c r="AG579" s="358"/>
      <c r="AH579" s="358"/>
      <c r="AI579" s="358"/>
      <c r="AJ579" s="358"/>
      <c r="AK579" s="358"/>
      <c r="AL579" s="358"/>
      <c r="AM579" s="358"/>
      <c r="AN579" s="358"/>
      <c r="AO579" s="358"/>
      <c r="AP579" s="358"/>
      <c r="AQ579" s="358"/>
      <c r="AR579" s="358"/>
      <c r="AS579" s="358"/>
      <c r="AT579" s="358"/>
      <c r="AU579" s="358"/>
      <c r="AV579" s="358"/>
      <c r="AW579" s="358"/>
      <c r="AX579" s="358"/>
      <c r="AY579" s="358"/>
      <c r="AZ579" s="358"/>
      <c r="BA579" s="358"/>
      <c r="BB579" s="358"/>
      <c r="BC579" s="358"/>
      <c r="BD579" s="358"/>
      <c r="BE579" s="358"/>
      <c r="BF579" s="358"/>
      <c r="BG579" s="358"/>
      <c r="BH579" s="358"/>
      <c r="BI579" s="358"/>
      <c r="BJ579" s="358"/>
      <c r="BK579" s="358"/>
      <c r="BL579" s="358"/>
      <c r="BM579" s="358"/>
      <c r="BN579" s="358"/>
      <c r="BO579" s="358"/>
      <c r="BP579" s="358"/>
      <c r="BQ579" s="358"/>
      <c r="BR579" s="358"/>
      <c r="BS579" s="358"/>
      <c r="BT579" s="358"/>
      <c r="BU579" s="358"/>
      <c r="BV579" s="358"/>
    </row>
    <row r="580" spans="2:74" x14ac:dyDescent="0.2">
      <c r="B580" s="358"/>
      <c r="D580" s="358"/>
      <c r="E580" s="358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  <c r="AA580" s="358"/>
      <c r="AB580" s="358"/>
      <c r="AC580" s="358"/>
      <c r="AD580" s="358"/>
      <c r="AE580" s="358"/>
      <c r="AF580" s="358"/>
      <c r="AG580" s="358"/>
      <c r="AH580" s="358"/>
      <c r="AI580" s="358"/>
      <c r="AJ580" s="358"/>
      <c r="AK580" s="358"/>
      <c r="AL580" s="358"/>
      <c r="AM580" s="358"/>
      <c r="AN580" s="358"/>
      <c r="AO580" s="358"/>
      <c r="AP580" s="358"/>
      <c r="AQ580" s="358"/>
      <c r="AR580" s="358"/>
      <c r="AS580" s="358"/>
      <c r="AT580" s="358"/>
      <c r="AU580" s="358"/>
      <c r="AV580" s="358"/>
      <c r="AW580" s="358"/>
      <c r="AX580" s="358"/>
      <c r="AY580" s="358"/>
      <c r="AZ580" s="358"/>
      <c r="BA580" s="358"/>
      <c r="BB580" s="358"/>
      <c r="BC580" s="358"/>
      <c r="BD580" s="358"/>
      <c r="BE580" s="358"/>
      <c r="BF580" s="358"/>
      <c r="BG580" s="358"/>
      <c r="BH580" s="358"/>
      <c r="BI580" s="358"/>
      <c r="BJ580" s="358"/>
      <c r="BK580" s="358"/>
      <c r="BL580" s="358"/>
      <c r="BM580" s="358"/>
      <c r="BN580" s="358"/>
      <c r="BO580" s="358"/>
      <c r="BP580" s="358"/>
      <c r="BQ580" s="358"/>
      <c r="BR580" s="358"/>
      <c r="BS580" s="358"/>
      <c r="BT580" s="358"/>
      <c r="BU580" s="358"/>
      <c r="BV580" s="358"/>
    </row>
    <row r="581" spans="2:74" x14ac:dyDescent="0.2">
      <c r="B581" s="358"/>
      <c r="D581" s="358"/>
      <c r="E581" s="358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8"/>
      <c r="AA581" s="358"/>
      <c r="AB581" s="358"/>
      <c r="AC581" s="358"/>
      <c r="AD581" s="358"/>
      <c r="AE581" s="358"/>
      <c r="AF581" s="358"/>
      <c r="AG581" s="358"/>
      <c r="AH581" s="358"/>
      <c r="AI581" s="358"/>
      <c r="AJ581" s="358"/>
      <c r="AK581" s="358"/>
      <c r="AL581" s="358"/>
      <c r="AM581" s="358"/>
      <c r="AN581" s="358"/>
      <c r="AO581" s="358"/>
      <c r="AP581" s="358"/>
      <c r="AQ581" s="358"/>
      <c r="AR581" s="358"/>
      <c r="AS581" s="358"/>
      <c r="AT581" s="358"/>
      <c r="AU581" s="358"/>
      <c r="AV581" s="358"/>
      <c r="AW581" s="358"/>
      <c r="AX581" s="358"/>
      <c r="AY581" s="358"/>
      <c r="AZ581" s="358"/>
      <c r="BA581" s="358"/>
      <c r="BB581" s="358"/>
      <c r="BC581" s="358"/>
      <c r="BD581" s="358"/>
      <c r="BE581" s="358"/>
      <c r="BF581" s="358"/>
      <c r="BG581" s="358"/>
      <c r="BH581" s="358"/>
      <c r="BI581" s="358"/>
      <c r="BJ581" s="358"/>
      <c r="BK581" s="358"/>
      <c r="BL581" s="358"/>
      <c r="BM581" s="358"/>
      <c r="BN581" s="358"/>
      <c r="BO581" s="358"/>
      <c r="BP581" s="358"/>
      <c r="BQ581" s="358"/>
      <c r="BR581" s="358"/>
      <c r="BS581" s="358"/>
      <c r="BT581" s="358"/>
      <c r="BU581" s="358"/>
      <c r="BV581" s="358"/>
    </row>
    <row r="582" spans="2:74" x14ac:dyDescent="0.2">
      <c r="B582" s="358"/>
      <c r="D582" s="358"/>
      <c r="E582" s="358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  <c r="AA582" s="358"/>
      <c r="AB582" s="358"/>
      <c r="AC582" s="358"/>
      <c r="AD582" s="358"/>
      <c r="AE582" s="358"/>
      <c r="AF582" s="358"/>
      <c r="AG582" s="358"/>
      <c r="AH582" s="358"/>
      <c r="AI582" s="358"/>
      <c r="AJ582" s="358"/>
      <c r="AK582" s="358"/>
      <c r="AL582" s="358"/>
      <c r="AM582" s="358"/>
      <c r="AN582" s="358"/>
      <c r="AO582" s="358"/>
      <c r="AP582" s="358"/>
      <c r="AQ582" s="358"/>
      <c r="AR582" s="358"/>
      <c r="AS582" s="358"/>
      <c r="AT582" s="358"/>
      <c r="AU582" s="358"/>
      <c r="AV582" s="358"/>
      <c r="AW582" s="358"/>
      <c r="AX582" s="358"/>
      <c r="AY582" s="358"/>
      <c r="AZ582" s="358"/>
      <c r="BA582" s="358"/>
      <c r="BB582" s="358"/>
      <c r="BC582" s="358"/>
      <c r="BD582" s="358"/>
      <c r="BE582" s="358"/>
      <c r="BF582" s="358"/>
      <c r="BG582" s="358"/>
      <c r="BH582" s="358"/>
      <c r="BI582" s="358"/>
      <c r="BJ582" s="358"/>
      <c r="BK582" s="358"/>
      <c r="BL582" s="358"/>
      <c r="BM582" s="358"/>
      <c r="BN582" s="358"/>
      <c r="BO582" s="358"/>
      <c r="BP582" s="358"/>
      <c r="BQ582" s="358"/>
      <c r="BR582" s="358"/>
      <c r="BS582" s="358"/>
      <c r="BT582" s="358"/>
      <c r="BU582" s="358"/>
      <c r="BV582" s="358"/>
    </row>
    <row r="583" spans="2:74" x14ac:dyDescent="0.2">
      <c r="B583" s="358"/>
      <c r="D583" s="358"/>
      <c r="E583" s="358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8"/>
      <c r="AA583" s="358"/>
      <c r="AB583" s="358"/>
      <c r="AC583" s="358"/>
      <c r="AD583" s="358"/>
      <c r="AE583" s="358"/>
      <c r="AF583" s="358"/>
      <c r="AG583" s="358"/>
      <c r="AH583" s="358"/>
      <c r="AI583" s="358"/>
      <c r="AJ583" s="358"/>
      <c r="AK583" s="358"/>
      <c r="AL583" s="358"/>
      <c r="AM583" s="358"/>
      <c r="AN583" s="358"/>
      <c r="AO583" s="358"/>
      <c r="AP583" s="358"/>
      <c r="AQ583" s="358"/>
      <c r="AR583" s="358"/>
      <c r="AS583" s="358"/>
      <c r="AT583" s="358"/>
      <c r="AU583" s="358"/>
      <c r="AV583" s="358"/>
      <c r="AW583" s="358"/>
      <c r="AX583" s="358"/>
      <c r="AY583" s="358"/>
      <c r="AZ583" s="358"/>
      <c r="BA583" s="358"/>
      <c r="BB583" s="358"/>
      <c r="BC583" s="358"/>
      <c r="BD583" s="358"/>
      <c r="BE583" s="358"/>
      <c r="BF583" s="358"/>
      <c r="BG583" s="358"/>
      <c r="BH583" s="358"/>
      <c r="BI583" s="358"/>
      <c r="BJ583" s="358"/>
      <c r="BK583" s="358"/>
      <c r="BL583" s="358"/>
      <c r="BM583" s="358"/>
      <c r="BN583" s="358"/>
      <c r="BO583" s="358"/>
      <c r="BP583" s="358"/>
      <c r="BQ583" s="358"/>
      <c r="BR583" s="358"/>
      <c r="BS583" s="358"/>
      <c r="BT583" s="358"/>
      <c r="BU583" s="358"/>
      <c r="BV583" s="358"/>
    </row>
    <row r="584" spans="2:74" x14ac:dyDescent="0.2">
      <c r="B584" s="358"/>
      <c r="D584" s="358"/>
      <c r="E584" s="358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  <c r="AA584" s="358"/>
      <c r="AB584" s="358"/>
      <c r="AC584" s="358"/>
      <c r="AD584" s="358"/>
      <c r="AE584" s="358"/>
      <c r="AF584" s="358"/>
      <c r="AG584" s="358"/>
      <c r="AH584" s="358"/>
      <c r="AI584" s="358"/>
      <c r="AJ584" s="358"/>
      <c r="AK584" s="358"/>
      <c r="AL584" s="358"/>
      <c r="AM584" s="358"/>
      <c r="AN584" s="358"/>
      <c r="AO584" s="358"/>
      <c r="AP584" s="358"/>
      <c r="AQ584" s="358"/>
      <c r="AR584" s="358"/>
      <c r="AS584" s="358"/>
      <c r="AT584" s="358"/>
      <c r="AU584" s="358"/>
      <c r="AV584" s="358"/>
      <c r="AW584" s="358"/>
      <c r="AX584" s="358"/>
      <c r="AY584" s="358"/>
      <c r="AZ584" s="358"/>
      <c r="BA584" s="358"/>
      <c r="BB584" s="358"/>
      <c r="BC584" s="358"/>
      <c r="BD584" s="358"/>
      <c r="BE584" s="358"/>
      <c r="BF584" s="358"/>
      <c r="BG584" s="358"/>
      <c r="BH584" s="358"/>
      <c r="BI584" s="358"/>
      <c r="BJ584" s="358"/>
      <c r="BK584" s="358"/>
      <c r="BL584" s="358"/>
      <c r="BM584" s="358"/>
      <c r="BN584" s="358"/>
      <c r="BO584" s="358"/>
      <c r="BP584" s="358"/>
      <c r="BQ584" s="358"/>
      <c r="BR584" s="358"/>
      <c r="BS584" s="358"/>
      <c r="BT584" s="358"/>
      <c r="BU584" s="358"/>
      <c r="BV584" s="358"/>
    </row>
    <row r="585" spans="2:74" x14ac:dyDescent="0.2">
      <c r="B585" s="358"/>
      <c r="D585" s="358"/>
      <c r="E585" s="358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8"/>
      <c r="AA585" s="358"/>
      <c r="AB585" s="358"/>
      <c r="AC585" s="358"/>
      <c r="AD585" s="358"/>
      <c r="AE585" s="358"/>
      <c r="AF585" s="358"/>
      <c r="AG585" s="358"/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58"/>
      <c r="AX585" s="358"/>
      <c r="AY585" s="358"/>
      <c r="AZ585" s="358"/>
      <c r="BA585" s="358"/>
      <c r="BB585" s="358"/>
      <c r="BC585" s="358"/>
      <c r="BD585" s="358"/>
      <c r="BE585" s="358"/>
      <c r="BF585" s="358"/>
      <c r="BG585" s="358"/>
      <c r="BH585" s="358"/>
      <c r="BI585" s="358"/>
      <c r="BJ585" s="358"/>
      <c r="BK585" s="358"/>
      <c r="BL585" s="358"/>
      <c r="BM585" s="358"/>
      <c r="BN585" s="358"/>
      <c r="BO585" s="358"/>
      <c r="BP585" s="358"/>
      <c r="BQ585" s="358"/>
      <c r="BR585" s="358"/>
      <c r="BS585" s="358"/>
      <c r="BT585" s="358"/>
      <c r="BU585" s="358"/>
      <c r="BV585" s="358"/>
    </row>
    <row r="586" spans="2:74" x14ac:dyDescent="0.2">
      <c r="B586" s="358"/>
      <c r="D586" s="358"/>
      <c r="E586" s="358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  <c r="AA586" s="358"/>
      <c r="AB586" s="358"/>
      <c r="AC586" s="358"/>
      <c r="AD586" s="358"/>
      <c r="AE586" s="358"/>
      <c r="AF586" s="358"/>
      <c r="AG586" s="358"/>
      <c r="AH586" s="358"/>
      <c r="AI586" s="358"/>
      <c r="AJ586" s="358"/>
      <c r="AK586" s="358"/>
      <c r="AL586" s="358"/>
      <c r="AM586" s="358"/>
      <c r="AN586" s="358"/>
      <c r="AO586" s="358"/>
      <c r="AP586" s="358"/>
      <c r="AQ586" s="358"/>
      <c r="AR586" s="358"/>
      <c r="AS586" s="358"/>
      <c r="AT586" s="358"/>
      <c r="AU586" s="358"/>
      <c r="AV586" s="358"/>
      <c r="AW586" s="358"/>
      <c r="AX586" s="358"/>
      <c r="AY586" s="358"/>
      <c r="AZ586" s="358"/>
      <c r="BA586" s="358"/>
      <c r="BB586" s="358"/>
      <c r="BC586" s="358"/>
      <c r="BD586" s="358"/>
      <c r="BE586" s="358"/>
      <c r="BF586" s="358"/>
      <c r="BG586" s="358"/>
      <c r="BH586" s="358"/>
      <c r="BI586" s="358"/>
      <c r="BJ586" s="358"/>
      <c r="BK586" s="358"/>
      <c r="BL586" s="358"/>
      <c r="BM586" s="358"/>
      <c r="BN586" s="358"/>
      <c r="BO586" s="358"/>
      <c r="BP586" s="358"/>
      <c r="BQ586" s="358"/>
      <c r="BR586" s="358"/>
      <c r="BS586" s="358"/>
      <c r="BT586" s="358"/>
      <c r="BU586" s="358"/>
      <c r="BV586" s="358"/>
    </row>
    <row r="587" spans="2:74" x14ac:dyDescent="0.2">
      <c r="B587" s="358"/>
      <c r="D587" s="358"/>
      <c r="E587" s="358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8"/>
      <c r="AA587" s="358"/>
      <c r="AB587" s="358"/>
      <c r="AC587" s="358"/>
      <c r="AD587" s="358"/>
      <c r="AE587" s="358"/>
      <c r="AF587" s="358"/>
      <c r="AG587" s="358"/>
      <c r="AH587" s="358"/>
      <c r="AI587" s="358"/>
      <c r="AJ587" s="358"/>
      <c r="AK587" s="358"/>
      <c r="AL587" s="358"/>
      <c r="AM587" s="358"/>
      <c r="AN587" s="358"/>
      <c r="AO587" s="358"/>
      <c r="AP587" s="358"/>
      <c r="AQ587" s="358"/>
      <c r="AR587" s="358"/>
      <c r="AS587" s="358"/>
      <c r="AT587" s="358"/>
      <c r="AU587" s="358"/>
      <c r="AV587" s="358"/>
      <c r="AW587" s="358"/>
      <c r="AX587" s="358"/>
      <c r="AY587" s="358"/>
      <c r="AZ587" s="358"/>
      <c r="BA587" s="358"/>
      <c r="BB587" s="358"/>
      <c r="BC587" s="358"/>
      <c r="BD587" s="358"/>
      <c r="BE587" s="358"/>
      <c r="BF587" s="358"/>
      <c r="BG587" s="358"/>
      <c r="BH587" s="358"/>
      <c r="BI587" s="358"/>
      <c r="BJ587" s="358"/>
      <c r="BK587" s="358"/>
      <c r="BL587" s="358"/>
      <c r="BM587" s="358"/>
      <c r="BN587" s="358"/>
      <c r="BO587" s="358"/>
      <c r="BP587" s="358"/>
      <c r="BQ587" s="358"/>
      <c r="BR587" s="358"/>
      <c r="BS587" s="358"/>
      <c r="BT587" s="358"/>
      <c r="BU587" s="358"/>
      <c r="BV587" s="358"/>
    </row>
    <row r="588" spans="2:74" x14ac:dyDescent="0.2">
      <c r="B588" s="358"/>
      <c r="D588" s="358"/>
      <c r="E588" s="358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358"/>
      <c r="AB588" s="358"/>
      <c r="AC588" s="358"/>
      <c r="AD588" s="358"/>
      <c r="AE588" s="358"/>
      <c r="AF588" s="358"/>
      <c r="AG588" s="358"/>
      <c r="AH588" s="358"/>
      <c r="AI588" s="358"/>
      <c r="AJ588" s="358"/>
      <c r="AK588" s="358"/>
      <c r="AL588" s="358"/>
      <c r="AM588" s="358"/>
      <c r="AN588" s="358"/>
      <c r="AO588" s="358"/>
      <c r="AP588" s="358"/>
      <c r="AQ588" s="358"/>
      <c r="AR588" s="358"/>
      <c r="AS588" s="358"/>
      <c r="AT588" s="358"/>
      <c r="AU588" s="358"/>
      <c r="AV588" s="358"/>
      <c r="AW588" s="358"/>
      <c r="AX588" s="358"/>
      <c r="AY588" s="358"/>
      <c r="AZ588" s="358"/>
      <c r="BA588" s="358"/>
      <c r="BB588" s="358"/>
      <c r="BC588" s="358"/>
      <c r="BD588" s="358"/>
      <c r="BE588" s="358"/>
      <c r="BF588" s="358"/>
      <c r="BG588" s="358"/>
      <c r="BH588" s="358"/>
      <c r="BI588" s="358"/>
      <c r="BJ588" s="358"/>
      <c r="BK588" s="358"/>
      <c r="BL588" s="358"/>
      <c r="BM588" s="358"/>
      <c r="BN588" s="358"/>
      <c r="BO588" s="358"/>
      <c r="BP588" s="358"/>
      <c r="BQ588" s="358"/>
      <c r="BR588" s="358"/>
      <c r="BS588" s="358"/>
      <c r="BT588" s="358"/>
      <c r="BU588" s="358"/>
      <c r="BV588" s="358"/>
    </row>
    <row r="589" spans="2:74" x14ac:dyDescent="0.2">
      <c r="B589" s="358"/>
      <c r="D589" s="358"/>
      <c r="E589" s="358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8"/>
      <c r="AA589" s="358"/>
      <c r="AB589" s="358"/>
      <c r="AC589" s="358"/>
      <c r="AD589" s="358"/>
      <c r="AE589" s="358"/>
      <c r="AF589" s="358"/>
      <c r="AG589" s="358"/>
      <c r="AH589" s="358"/>
      <c r="AI589" s="358"/>
      <c r="AJ589" s="358"/>
      <c r="AK589" s="358"/>
      <c r="AL589" s="358"/>
      <c r="AM589" s="358"/>
      <c r="AN589" s="358"/>
      <c r="AO589" s="358"/>
      <c r="AP589" s="358"/>
      <c r="AQ589" s="358"/>
      <c r="AR589" s="358"/>
      <c r="AS589" s="358"/>
      <c r="AT589" s="358"/>
      <c r="AU589" s="358"/>
      <c r="AV589" s="358"/>
      <c r="AW589" s="358"/>
      <c r="AX589" s="358"/>
      <c r="AY589" s="358"/>
      <c r="AZ589" s="358"/>
      <c r="BA589" s="358"/>
      <c r="BB589" s="358"/>
      <c r="BC589" s="358"/>
      <c r="BD589" s="358"/>
      <c r="BE589" s="358"/>
      <c r="BF589" s="358"/>
      <c r="BG589" s="358"/>
      <c r="BH589" s="358"/>
      <c r="BI589" s="358"/>
      <c r="BJ589" s="358"/>
      <c r="BK589" s="358"/>
      <c r="BL589" s="358"/>
      <c r="BM589" s="358"/>
      <c r="BN589" s="358"/>
      <c r="BO589" s="358"/>
      <c r="BP589" s="358"/>
      <c r="BQ589" s="358"/>
      <c r="BR589" s="358"/>
      <c r="BS589" s="358"/>
      <c r="BT589" s="358"/>
      <c r="BU589" s="358"/>
      <c r="BV589" s="358"/>
    </row>
    <row r="590" spans="2:74" x14ac:dyDescent="0.2">
      <c r="B590" s="358"/>
      <c r="D590" s="358"/>
      <c r="E590" s="358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  <c r="AA590" s="358"/>
      <c r="AB590" s="358"/>
      <c r="AC590" s="358"/>
      <c r="AD590" s="358"/>
      <c r="AE590" s="358"/>
      <c r="AF590" s="358"/>
      <c r="AG590" s="358"/>
      <c r="AH590" s="358"/>
      <c r="AI590" s="358"/>
      <c r="AJ590" s="358"/>
      <c r="AK590" s="358"/>
      <c r="AL590" s="358"/>
      <c r="AM590" s="358"/>
      <c r="AN590" s="358"/>
      <c r="AO590" s="358"/>
      <c r="AP590" s="358"/>
      <c r="AQ590" s="358"/>
      <c r="AR590" s="358"/>
      <c r="AS590" s="358"/>
      <c r="AT590" s="358"/>
      <c r="AU590" s="358"/>
      <c r="AV590" s="358"/>
      <c r="AW590" s="358"/>
      <c r="AX590" s="358"/>
      <c r="AY590" s="358"/>
      <c r="AZ590" s="358"/>
      <c r="BA590" s="358"/>
      <c r="BB590" s="358"/>
      <c r="BC590" s="358"/>
      <c r="BD590" s="358"/>
      <c r="BE590" s="358"/>
      <c r="BF590" s="358"/>
      <c r="BG590" s="358"/>
      <c r="BH590" s="358"/>
      <c r="BI590" s="358"/>
      <c r="BJ590" s="358"/>
      <c r="BK590" s="358"/>
      <c r="BL590" s="358"/>
      <c r="BM590" s="358"/>
      <c r="BN590" s="358"/>
      <c r="BO590" s="358"/>
      <c r="BP590" s="358"/>
      <c r="BQ590" s="358"/>
      <c r="BR590" s="358"/>
      <c r="BS590" s="358"/>
      <c r="BT590" s="358"/>
      <c r="BU590" s="358"/>
      <c r="BV590" s="358"/>
    </row>
    <row r="591" spans="2:74" x14ac:dyDescent="0.2">
      <c r="B591" s="358"/>
      <c r="D591" s="358"/>
      <c r="E591" s="358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8"/>
      <c r="AA591" s="358"/>
      <c r="AB591" s="358"/>
      <c r="AC591" s="358"/>
      <c r="AD591" s="358"/>
      <c r="AE591" s="358"/>
      <c r="AF591" s="358"/>
      <c r="AG591" s="358"/>
      <c r="AH591" s="358"/>
      <c r="AI591" s="358"/>
      <c r="AJ591" s="358"/>
      <c r="AK591" s="358"/>
      <c r="AL591" s="358"/>
      <c r="AM591" s="358"/>
      <c r="AN591" s="358"/>
      <c r="AO591" s="358"/>
      <c r="AP591" s="358"/>
      <c r="AQ591" s="358"/>
      <c r="AR591" s="358"/>
      <c r="AS591" s="358"/>
      <c r="AT591" s="358"/>
      <c r="AU591" s="358"/>
      <c r="AV591" s="358"/>
      <c r="AW591" s="358"/>
      <c r="AX591" s="358"/>
      <c r="AY591" s="358"/>
      <c r="AZ591" s="358"/>
      <c r="BA591" s="358"/>
      <c r="BB591" s="358"/>
      <c r="BC591" s="358"/>
      <c r="BD591" s="358"/>
      <c r="BE591" s="358"/>
      <c r="BF591" s="358"/>
      <c r="BG591" s="358"/>
      <c r="BH591" s="358"/>
      <c r="BI591" s="358"/>
      <c r="BJ591" s="358"/>
      <c r="BK591" s="358"/>
      <c r="BL591" s="358"/>
      <c r="BM591" s="358"/>
      <c r="BN591" s="358"/>
      <c r="BO591" s="358"/>
      <c r="BP591" s="358"/>
      <c r="BQ591" s="358"/>
      <c r="BR591" s="358"/>
      <c r="BS591" s="358"/>
      <c r="BT591" s="358"/>
      <c r="BU591" s="358"/>
      <c r="BV591" s="358"/>
    </row>
    <row r="592" spans="2:74" x14ac:dyDescent="0.2">
      <c r="B592" s="358"/>
      <c r="D592" s="358"/>
      <c r="E592" s="358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  <c r="AA592" s="358"/>
      <c r="AB592" s="358"/>
      <c r="AC592" s="358"/>
      <c r="AD592" s="358"/>
      <c r="AE592" s="358"/>
      <c r="AF592" s="358"/>
      <c r="AG592" s="358"/>
      <c r="AH592" s="358"/>
      <c r="AI592" s="358"/>
      <c r="AJ592" s="358"/>
      <c r="AK592" s="358"/>
      <c r="AL592" s="358"/>
      <c r="AM592" s="358"/>
      <c r="AN592" s="358"/>
      <c r="AO592" s="358"/>
      <c r="AP592" s="358"/>
      <c r="AQ592" s="358"/>
      <c r="AR592" s="358"/>
      <c r="AS592" s="358"/>
      <c r="AT592" s="358"/>
      <c r="AU592" s="358"/>
      <c r="AV592" s="358"/>
      <c r="AW592" s="358"/>
      <c r="AX592" s="358"/>
      <c r="AY592" s="358"/>
      <c r="AZ592" s="358"/>
      <c r="BA592" s="358"/>
      <c r="BB592" s="358"/>
      <c r="BC592" s="358"/>
      <c r="BD592" s="358"/>
      <c r="BE592" s="358"/>
      <c r="BF592" s="358"/>
      <c r="BG592" s="358"/>
      <c r="BH592" s="358"/>
      <c r="BI592" s="358"/>
      <c r="BJ592" s="358"/>
      <c r="BK592" s="358"/>
      <c r="BL592" s="358"/>
      <c r="BM592" s="358"/>
      <c r="BN592" s="358"/>
      <c r="BO592" s="358"/>
      <c r="BP592" s="358"/>
      <c r="BQ592" s="358"/>
      <c r="BR592" s="358"/>
      <c r="BS592" s="358"/>
      <c r="BT592" s="358"/>
      <c r="BU592" s="358"/>
      <c r="BV592" s="358"/>
    </row>
    <row r="593" spans="2:74" x14ac:dyDescent="0.2">
      <c r="B593" s="358"/>
      <c r="D593" s="358"/>
      <c r="E593" s="358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8"/>
      <c r="AA593" s="358"/>
      <c r="AB593" s="358"/>
      <c r="AC593" s="358"/>
      <c r="AD593" s="358"/>
      <c r="AE593" s="358"/>
      <c r="AF593" s="358"/>
      <c r="AG593" s="358"/>
      <c r="AH593" s="358"/>
      <c r="AI593" s="358"/>
      <c r="AJ593" s="358"/>
      <c r="AK593" s="358"/>
      <c r="AL593" s="358"/>
      <c r="AM593" s="358"/>
      <c r="AN593" s="358"/>
      <c r="AO593" s="358"/>
      <c r="AP593" s="358"/>
      <c r="AQ593" s="358"/>
      <c r="AR593" s="358"/>
      <c r="AS593" s="358"/>
      <c r="AT593" s="358"/>
      <c r="AU593" s="358"/>
      <c r="AV593" s="358"/>
      <c r="AW593" s="358"/>
      <c r="AX593" s="358"/>
      <c r="AY593" s="358"/>
      <c r="AZ593" s="358"/>
      <c r="BA593" s="358"/>
      <c r="BB593" s="358"/>
      <c r="BC593" s="358"/>
      <c r="BD593" s="358"/>
      <c r="BE593" s="358"/>
      <c r="BF593" s="358"/>
      <c r="BG593" s="358"/>
      <c r="BH593" s="358"/>
      <c r="BI593" s="358"/>
      <c r="BJ593" s="358"/>
      <c r="BK593" s="358"/>
      <c r="BL593" s="358"/>
      <c r="BM593" s="358"/>
      <c r="BN593" s="358"/>
      <c r="BO593" s="358"/>
      <c r="BP593" s="358"/>
      <c r="BQ593" s="358"/>
      <c r="BR593" s="358"/>
      <c r="BS593" s="358"/>
      <c r="BT593" s="358"/>
      <c r="BU593" s="358"/>
      <c r="BV593" s="358"/>
    </row>
    <row r="594" spans="2:74" x14ac:dyDescent="0.2">
      <c r="B594" s="358"/>
      <c r="D594" s="358"/>
      <c r="E594" s="358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  <c r="AA594" s="358"/>
      <c r="AB594" s="358"/>
      <c r="AC594" s="358"/>
      <c r="AD594" s="358"/>
      <c r="AE594" s="358"/>
      <c r="AF594" s="358"/>
      <c r="AG594" s="358"/>
      <c r="AH594" s="358"/>
      <c r="AI594" s="358"/>
      <c r="AJ594" s="358"/>
      <c r="AK594" s="358"/>
      <c r="AL594" s="358"/>
      <c r="AM594" s="358"/>
      <c r="AN594" s="358"/>
      <c r="AO594" s="358"/>
      <c r="AP594" s="358"/>
      <c r="AQ594" s="358"/>
      <c r="AR594" s="358"/>
      <c r="AS594" s="358"/>
      <c r="AT594" s="358"/>
      <c r="AU594" s="358"/>
      <c r="AV594" s="358"/>
      <c r="AW594" s="358"/>
      <c r="AX594" s="358"/>
      <c r="AY594" s="358"/>
      <c r="AZ594" s="358"/>
      <c r="BA594" s="358"/>
      <c r="BB594" s="358"/>
      <c r="BC594" s="358"/>
      <c r="BD594" s="358"/>
      <c r="BE594" s="358"/>
      <c r="BF594" s="358"/>
      <c r="BG594" s="358"/>
      <c r="BH594" s="358"/>
      <c r="BI594" s="358"/>
      <c r="BJ594" s="358"/>
      <c r="BK594" s="358"/>
      <c r="BL594" s="358"/>
      <c r="BM594" s="358"/>
      <c r="BN594" s="358"/>
      <c r="BO594" s="358"/>
      <c r="BP594" s="358"/>
      <c r="BQ594" s="358"/>
      <c r="BR594" s="358"/>
      <c r="BS594" s="358"/>
      <c r="BT594" s="358"/>
      <c r="BU594" s="358"/>
      <c r="BV594" s="358"/>
    </row>
    <row r="595" spans="2:74" x14ac:dyDescent="0.2">
      <c r="B595" s="358"/>
      <c r="D595" s="358"/>
      <c r="E595" s="358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8"/>
      <c r="AA595" s="358"/>
      <c r="AB595" s="358"/>
      <c r="AC595" s="358"/>
      <c r="AD595" s="358"/>
      <c r="AE595" s="358"/>
      <c r="AF595" s="358"/>
      <c r="AG595" s="358"/>
      <c r="AH595" s="358"/>
      <c r="AI595" s="358"/>
      <c r="AJ595" s="358"/>
      <c r="AK595" s="358"/>
      <c r="AL595" s="358"/>
      <c r="AM595" s="358"/>
      <c r="AN595" s="358"/>
      <c r="AO595" s="358"/>
      <c r="AP595" s="358"/>
      <c r="AQ595" s="358"/>
      <c r="AR595" s="358"/>
      <c r="AS595" s="358"/>
      <c r="AT595" s="358"/>
      <c r="AU595" s="358"/>
      <c r="AV595" s="358"/>
      <c r="AW595" s="358"/>
      <c r="AX595" s="358"/>
      <c r="AY595" s="358"/>
      <c r="AZ595" s="358"/>
      <c r="BA595" s="358"/>
      <c r="BB595" s="358"/>
      <c r="BC595" s="358"/>
      <c r="BD595" s="358"/>
      <c r="BE595" s="358"/>
      <c r="BF595" s="358"/>
      <c r="BG595" s="358"/>
      <c r="BH595" s="358"/>
      <c r="BI595" s="358"/>
      <c r="BJ595" s="358"/>
      <c r="BK595" s="358"/>
      <c r="BL595" s="358"/>
      <c r="BM595" s="358"/>
      <c r="BN595" s="358"/>
      <c r="BO595" s="358"/>
      <c r="BP595" s="358"/>
      <c r="BQ595" s="358"/>
      <c r="BR595" s="358"/>
      <c r="BS595" s="358"/>
      <c r="BT595" s="358"/>
      <c r="BU595" s="358"/>
      <c r="BV595" s="358"/>
    </row>
    <row r="596" spans="2:74" x14ac:dyDescent="0.2">
      <c r="B596" s="358"/>
      <c r="D596" s="358"/>
      <c r="E596" s="358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  <c r="AA596" s="358"/>
      <c r="AB596" s="358"/>
      <c r="AC596" s="358"/>
      <c r="AD596" s="358"/>
      <c r="AE596" s="358"/>
      <c r="AF596" s="358"/>
      <c r="AG596" s="358"/>
      <c r="AH596" s="358"/>
      <c r="AI596" s="358"/>
      <c r="AJ596" s="358"/>
      <c r="AK596" s="358"/>
      <c r="AL596" s="358"/>
      <c r="AM596" s="358"/>
      <c r="AN596" s="358"/>
      <c r="AO596" s="358"/>
      <c r="AP596" s="358"/>
      <c r="AQ596" s="358"/>
      <c r="AR596" s="358"/>
      <c r="AS596" s="358"/>
      <c r="AT596" s="358"/>
      <c r="AU596" s="358"/>
      <c r="AV596" s="358"/>
      <c r="AW596" s="358"/>
      <c r="AX596" s="358"/>
      <c r="AY596" s="358"/>
      <c r="AZ596" s="358"/>
      <c r="BA596" s="358"/>
      <c r="BB596" s="358"/>
      <c r="BC596" s="358"/>
      <c r="BD596" s="358"/>
      <c r="BE596" s="358"/>
      <c r="BF596" s="358"/>
      <c r="BG596" s="358"/>
      <c r="BH596" s="358"/>
      <c r="BI596" s="358"/>
      <c r="BJ596" s="358"/>
      <c r="BK596" s="358"/>
      <c r="BL596" s="358"/>
      <c r="BM596" s="358"/>
      <c r="BN596" s="358"/>
      <c r="BO596" s="358"/>
      <c r="BP596" s="358"/>
      <c r="BQ596" s="358"/>
      <c r="BR596" s="358"/>
      <c r="BS596" s="358"/>
      <c r="BT596" s="358"/>
      <c r="BU596" s="358"/>
      <c r="BV596" s="358"/>
    </row>
    <row r="597" spans="2:74" x14ac:dyDescent="0.2">
      <c r="B597" s="358"/>
      <c r="D597" s="358"/>
      <c r="E597" s="358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8"/>
      <c r="AA597" s="358"/>
      <c r="AB597" s="358"/>
      <c r="AC597" s="358"/>
      <c r="AD597" s="358"/>
      <c r="AE597" s="358"/>
      <c r="AF597" s="358"/>
      <c r="AG597" s="358"/>
      <c r="AH597" s="358"/>
      <c r="AI597" s="358"/>
      <c r="AJ597" s="358"/>
      <c r="AK597" s="358"/>
      <c r="AL597" s="358"/>
      <c r="AM597" s="358"/>
      <c r="AN597" s="358"/>
      <c r="AO597" s="358"/>
      <c r="AP597" s="358"/>
      <c r="AQ597" s="358"/>
      <c r="AR597" s="358"/>
      <c r="AS597" s="358"/>
      <c r="AT597" s="358"/>
      <c r="AU597" s="358"/>
      <c r="AV597" s="358"/>
      <c r="AW597" s="358"/>
      <c r="AX597" s="358"/>
      <c r="AY597" s="358"/>
      <c r="AZ597" s="358"/>
      <c r="BA597" s="358"/>
      <c r="BB597" s="358"/>
      <c r="BC597" s="358"/>
      <c r="BD597" s="358"/>
      <c r="BE597" s="358"/>
      <c r="BF597" s="358"/>
      <c r="BG597" s="358"/>
      <c r="BH597" s="358"/>
      <c r="BI597" s="358"/>
      <c r="BJ597" s="358"/>
      <c r="BK597" s="358"/>
      <c r="BL597" s="358"/>
      <c r="BM597" s="358"/>
      <c r="BN597" s="358"/>
      <c r="BO597" s="358"/>
      <c r="BP597" s="358"/>
      <c r="BQ597" s="358"/>
      <c r="BR597" s="358"/>
      <c r="BS597" s="358"/>
      <c r="BT597" s="358"/>
      <c r="BU597" s="358"/>
      <c r="BV597" s="358"/>
    </row>
    <row r="598" spans="2:74" x14ac:dyDescent="0.2">
      <c r="B598" s="358"/>
      <c r="D598" s="358"/>
      <c r="E598" s="358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358"/>
      <c r="AB598" s="358"/>
      <c r="AC598" s="358"/>
      <c r="AD598" s="358"/>
      <c r="AE598" s="358"/>
      <c r="AF598" s="358"/>
      <c r="AG598" s="358"/>
      <c r="AH598" s="358"/>
      <c r="AI598" s="358"/>
      <c r="AJ598" s="358"/>
      <c r="AK598" s="358"/>
      <c r="AL598" s="358"/>
      <c r="AM598" s="358"/>
      <c r="AN598" s="358"/>
      <c r="AO598" s="358"/>
      <c r="AP598" s="358"/>
      <c r="AQ598" s="358"/>
      <c r="AR598" s="358"/>
      <c r="AS598" s="358"/>
      <c r="AT598" s="358"/>
      <c r="AU598" s="358"/>
      <c r="AV598" s="358"/>
      <c r="AW598" s="358"/>
      <c r="AX598" s="358"/>
      <c r="AY598" s="358"/>
      <c r="AZ598" s="358"/>
      <c r="BA598" s="358"/>
      <c r="BB598" s="358"/>
      <c r="BC598" s="358"/>
      <c r="BD598" s="358"/>
      <c r="BE598" s="358"/>
      <c r="BF598" s="358"/>
      <c r="BG598" s="358"/>
      <c r="BH598" s="358"/>
      <c r="BI598" s="358"/>
      <c r="BJ598" s="358"/>
      <c r="BK598" s="358"/>
      <c r="BL598" s="358"/>
      <c r="BM598" s="358"/>
      <c r="BN598" s="358"/>
      <c r="BO598" s="358"/>
      <c r="BP598" s="358"/>
      <c r="BQ598" s="358"/>
      <c r="BR598" s="358"/>
      <c r="BS598" s="358"/>
      <c r="BT598" s="358"/>
      <c r="BU598" s="358"/>
      <c r="BV598" s="358"/>
    </row>
    <row r="599" spans="2:74" x14ac:dyDescent="0.2">
      <c r="B599" s="358"/>
      <c r="D599" s="358"/>
      <c r="E599" s="358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  <c r="AA599" s="358"/>
      <c r="AB599" s="358"/>
      <c r="AC599" s="358"/>
      <c r="AD599" s="358"/>
      <c r="AE599" s="358"/>
      <c r="AF599" s="358"/>
      <c r="AG599" s="358"/>
      <c r="AH599" s="358"/>
      <c r="AI599" s="358"/>
      <c r="AJ599" s="358"/>
      <c r="AK599" s="358"/>
      <c r="AL599" s="358"/>
      <c r="AM599" s="358"/>
      <c r="AN599" s="358"/>
      <c r="AO599" s="358"/>
      <c r="AP599" s="358"/>
      <c r="AQ599" s="358"/>
      <c r="AR599" s="358"/>
      <c r="AS599" s="358"/>
      <c r="AT599" s="358"/>
      <c r="AU599" s="358"/>
      <c r="AV599" s="358"/>
      <c r="AW599" s="358"/>
      <c r="AX599" s="358"/>
      <c r="AY599" s="358"/>
      <c r="AZ599" s="358"/>
      <c r="BA599" s="358"/>
      <c r="BB599" s="358"/>
      <c r="BC599" s="358"/>
      <c r="BD599" s="358"/>
      <c r="BE599" s="358"/>
      <c r="BF599" s="358"/>
      <c r="BG599" s="358"/>
      <c r="BH599" s="358"/>
      <c r="BI599" s="358"/>
      <c r="BJ599" s="358"/>
      <c r="BK599" s="358"/>
      <c r="BL599" s="358"/>
      <c r="BM599" s="358"/>
      <c r="BN599" s="358"/>
      <c r="BO599" s="358"/>
      <c r="BP599" s="358"/>
      <c r="BQ599" s="358"/>
      <c r="BR599" s="358"/>
      <c r="BS599" s="358"/>
      <c r="BT599" s="358"/>
      <c r="BU599" s="358"/>
      <c r="BV599" s="358"/>
    </row>
    <row r="600" spans="2:74" x14ac:dyDescent="0.2">
      <c r="B600" s="358"/>
      <c r="D600" s="358"/>
      <c r="E600" s="358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  <c r="AI600" s="358"/>
      <c r="AJ600" s="358"/>
      <c r="AK600" s="358"/>
      <c r="AL600" s="358"/>
      <c r="AM600" s="358"/>
      <c r="AN600" s="358"/>
      <c r="AO600" s="358"/>
      <c r="AP600" s="358"/>
      <c r="AQ600" s="358"/>
      <c r="AR600" s="358"/>
      <c r="AS600" s="358"/>
      <c r="AT600" s="358"/>
      <c r="AU600" s="358"/>
      <c r="AV600" s="358"/>
      <c r="AW600" s="358"/>
      <c r="AX600" s="358"/>
      <c r="AY600" s="358"/>
      <c r="AZ600" s="358"/>
      <c r="BA600" s="358"/>
      <c r="BB600" s="358"/>
      <c r="BC600" s="358"/>
      <c r="BD600" s="358"/>
      <c r="BE600" s="358"/>
      <c r="BF600" s="358"/>
      <c r="BG600" s="358"/>
      <c r="BH600" s="358"/>
      <c r="BI600" s="358"/>
      <c r="BJ600" s="358"/>
      <c r="BK600" s="358"/>
      <c r="BL600" s="358"/>
      <c r="BM600" s="358"/>
      <c r="BN600" s="358"/>
      <c r="BO600" s="358"/>
      <c r="BP600" s="358"/>
      <c r="BQ600" s="358"/>
      <c r="BR600" s="358"/>
      <c r="BS600" s="358"/>
      <c r="BT600" s="358"/>
      <c r="BU600" s="358"/>
      <c r="BV600" s="358"/>
    </row>
    <row r="601" spans="2:74" x14ac:dyDescent="0.2">
      <c r="B601" s="358"/>
      <c r="D601" s="358"/>
      <c r="E601" s="358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8"/>
      <c r="AA601" s="358"/>
      <c r="AB601" s="358"/>
      <c r="AC601" s="358"/>
      <c r="AD601" s="358"/>
      <c r="AE601" s="358"/>
      <c r="AF601" s="358"/>
      <c r="AG601" s="358"/>
      <c r="AH601" s="358"/>
      <c r="AI601" s="358"/>
      <c r="AJ601" s="358"/>
      <c r="AK601" s="358"/>
      <c r="AL601" s="358"/>
      <c r="AM601" s="358"/>
      <c r="AN601" s="358"/>
      <c r="AO601" s="358"/>
      <c r="AP601" s="358"/>
      <c r="AQ601" s="358"/>
      <c r="AR601" s="358"/>
      <c r="AS601" s="358"/>
      <c r="AT601" s="358"/>
      <c r="AU601" s="358"/>
      <c r="AV601" s="358"/>
      <c r="AW601" s="358"/>
      <c r="AX601" s="358"/>
      <c r="AY601" s="358"/>
      <c r="AZ601" s="358"/>
      <c r="BA601" s="358"/>
      <c r="BB601" s="358"/>
      <c r="BC601" s="358"/>
      <c r="BD601" s="358"/>
      <c r="BE601" s="358"/>
      <c r="BF601" s="358"/>
      <c r="BG601" s="358"/>
      <c r="BH601" s="358"/>
      <c r="BI601" s="358"/>
      <c r="BJ601" s="358"/>
      <c r="BK601" s="358"/>
      <c r="BL601" s="358"/>
      <c r="BM601" s="358"/>
      <c r="BN601" s="358"/>
      <c r="BO601" s="358"/>
      <c r="BP601" s="358"/>
      <c r="BQ601" s="358"/>
      <c r="BR601" s="358"/>
      <c r="BS601" s="358"/>
      <c r="BT601" s="358"/>
      <c r="BU601" s="358"/>
      <c r="BV601" s="358"/>
    </row>
    <row r="602" spans="2:74" x14ac:dyDescent="0.2">
      <c r="B602" s="358"/>
      <c r="D602" s="358"/>
      <c r="E602" s="358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  <c r="AA602" s="358"/>
      <c r="AB602" s="358"/>
      <c r="AC602" s="358"/>
      <c r="AD602" s="358"/>
      <c r="AE602" s="358"/>
      <c r="AF602" s="358"/>
      <c r="AG602" s="358"/>
      <c r="AH602" s="358"/>
      <c r="AI602" s="358"/>
      <c r="AJ602" s="358"/>
      <c r="AK602" s="358"/>
      <c r="AL602" s="358"/>
      <c r="AM602" s="358"/>
      <c r="AN602" s="358"/>
      <c r="AO602" s="358"/>
      <c r="AP602" s="358"/>
      <c r="AQ602" s="358"/>
      <c r="AR602" s="358"/>
      <c r="AS602" s="358"/>
      <c r="AT602" s="358"/>
      <c r="AU602" s="358"/>
      <c r="AV602" s="358"/>
      <c r="AW602" s="358"/>
      <c r="AX602" s="358"/>
      <c r="AY602" s="358"/>
      <c r="AZ602" s="358"/>
      <c r="BA602" s="358"/>
      <c r="BB602" s="358"/>
      <c r="BC602" s="358"/>
      <c r="BD602" s="358"/>
      <c r="BE602" s="358"/>
      <c r="BF602" s="358"/>
      <c r="BG602" s="358"/>
      <c r="BH602" s="358"/>
      <c r="BI602" s="358"/>
      <c r="BJ602" s="358"/>
      <c r="BK602" s="358"/>
      <c r="BL602" s="358"/>
      <c r="BM602" s="358"/>
      <c r="BN602" s="358"/>
      <c r="BO602" s="358"/>
      <c r="BP602" s="358"/>
      <c r="BQ602" s="358"/>
      <c r="BR602" s="358"/>
      <c r="BS602" s="358"/>
      <c r="BT602" s="358"/>
      <c r="BU602" s="358"/>
      <c r="BV602" s="358"/>
    </row>
    <row r="603" spans="2:74" x14ac:dyDescent="0.2">
      <c r="B603" s="358"/>
      <c r="D603" s="358"/>
      <c r="E603" s="358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8"/>
      <c r="AA603" s="358"/>
      <c r="AB603" s="358"/>
      <c r="AC603" s="358"/>
      <c r="AD603" s="358"/>
      <c r="AE603" s="358"/>
      <c r="AF603" s="358"/>
      <c r="AG603" s="358"/>
      <c r="AH603" s="358"/>
      <c r="AI603" s="358"/>
      <c r="AJ603" s="358"/>
      <c r="AK603" s="358"/>
      <c r="AL603" s="358"/>
      <c r="AM603" s="358"/>
      <c r="AN603" s="358"/>
      <c r="AO603" s="358"/>
      <c r="AP603" s="358"/>
      <c r="AQ603" s="358"/>
      <c r="AR603" s="358"/>
      <c r="AS603" s="358"/>
      <c r="AT603" s="358"/>
      <c r="AU603" s="358"/>
      <c r="AV603" s="358"/>
      <c r="AW603" s="358"/>
      <c r="AX603" s="358"/>
      <c r="AY603" s="358"/>
      <c r="AZ603" s="358"/>
      <c r="BA603" s="358"/>
      <c r="BB603" s="358"/>
      <c r="BC603" s="358"/>
      <c r="BD603" s="358"/>
      <c r="BE603" s="358"/>
      <c r="BF603" s="358"/>
      <c r="BG603" s="358"/>
      <c r="BH603" s="358"/>
      <c r="BI603" s="358"/>
      <c r="BJ603" s="358"/>
      <c r="BK603" s="358"/>
      <c r="BL603" s="358"/>
      <c r="BM603" s="358"/>
      <c r="BN603" s="358"/>
      <c r="BO603" s="358"/>
      <c r="BP603" s="358"/>
      <c r="BQ603" s="358"/>
      <c r="BR603" s="358"/>
      <c r="BS603" s="358"/>
      <c r="BT603" s="358"/>
      <c r="BU603" s="358"/>
      <c r="BV603" s="358"/>
    </row>
    <row r="604" spans="2:74" x14ac:dyDescent="0.2">
      <c r="B604" s="358"/>
      <c r="D604" s="358"/>
      <c r="E604" s="358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  <c r="AA604" s="358"/>
      <c r="AB604" s="358"/>
      <c r="AC604" s="358"/>
      <c r="AD604" s="358"/>
      <c r="AE604" s="358"/>
      <c r="AF604" s="358"/>
      <c r="AG604" s="358"/>
      <c r="AH604" s="358"/>
      <c r="AI604" s="358"/>
      <c r="AJ604" s="358"/>
      <c r="AK604" s="358"/>
      <c r="AL604" s="358"/>
      <c r="AM604" s="358"/>
      <c r="AN604" s="358"/>
      <c r="AO604" s="358"/>
      <c r="AP604" s="358"/>
      <c r="AQ604" s="358"/>
      <c r="AR604" s="358"/>
      <c r="AS604" s="358"/>
      <c r="AT604" s="358"/>
      <c r="AU604" s="358"/>
      <c r="AV604" s="358"/>
      <c r="AW604" s="358"/>
      <c r="AX604" s="358"/>
      <c r="AY604" s="358"/>
      <c r="AZ604" s="358"/>
      <c r="BA604" s="358"/>
      <c r="BB604" s="358"/>
      <c r="BC604" s="358"/>
      <c r="BD604" s="358"/>
      <c r="BE604" s="358"/>
      <c r="BF604" s="358"/>
      <c r="BG604" s="358"/>
      <c r="BH604" s="358"/>
      <c r="BI604" s="358"/>
      <c r="BJ604" s="358"/>
      <c r="BK604" s="358"/>
      <c r="BL604" s="358"/>
      <c r="BM604" s="358"/>
      <c r="BN604" s="358"/>
      <c r="BO604" s="358"/>
      <c r="BP604" s="358"/>
      <c r="BQ604" s="358"/>
      <c r="BR604" s="358"/>
      <c r="BS604" s="358"/>
      <c r="BT604" s="358"/>
      <c r="BU604" s="358"/>
      <c r="BV604" s="358"/>
    </row>
    <row r="605" spans="2:74" x14ac:dyDescent="0.2">
      <c r="B605" s="358"/>
      <c r="D605" s="358"/>
      <c r="E605" s="358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8"/>
      <c r="AA605" s="358"/>
      <c r="AB605" s="358"/>
      <c r="AC605" s="358"/>
      <c r="AD605" s="358"/>
      <c r="AE605" s="358"/>
      <c r="AF605" s="358"/>
      <c r="AG605" s="358"/>
      <c r="AH605" s="358"/>
      <c r="AI605" s="358"/>
      <c r="AJ605" s="358"/>
      <c r="AK605" s="358"/>
      <c r="AL605" s="358"/>
      <c r="AM605" s="358"/>
      <c r="AN605" s="358"/>
      <c r="AO605" s="358"/>
      <c r="AP605" s="358"/>
      <c r="AQ605" s="358"/>
      <c r="AR605" s="358"/>
      <c r="AS605" s="358"/>
      <c r="AT605" s="358"/>
      <c r="AU605" s="358"/>
      <c r="AV605" s="358"/>
      <c r="AW605" s="358"/>
      <c r="AX605" s="358"/>
      <c r="AY605" s="358"/>
      <c r="AZ605" s="358"/>
      <c r="BA605" s="358"/>
      <c r="BB605" s="358"/>
      <c r="BC605" s="358"/>
      <c r="BD605" s="358"/>
      <c r="BE605" s="358"/>
      <c r="BF605" s="358"/>
      <c r="BG605" s="358"/>
      <c r="BH605" s="358"/>
      <c r="BI605" s="358"/>
      <c r="BJ605" s="358"/>
      <c r="BK605" s="358"/>
      <c r="BL605" s="358"/>
      <c r="BM605" s="358"/>
      <c r="BN605" s="358"/>
      <c r="BO605" s="358"/>
      <c r="BP605" s="358"/>
      <c r="BQ605" s="358"/>
      <c r="BR605" s="358"/>
      <c r="BS605" s="358"/>
      <c r="BT605" s="358"/>
      <c r="BU605" s="358"/>
      <c r="BV605" s="358"/>
    </row>
    <row r="606" spans="2:74" x14ac:dyDescent="0.2">
      <c r="B606" s="358"/>
      <c r="D606" s="358"/>
      <c r="E606" s="358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  <c r="AA606" s="358"/>
      <c r="AB606" s="358"/>
      <c r="AC606" s="358"/>
      <c r="AD606" s="358"/>
      <c r="AE606" s="358"/>
      <c r="AF606" s="358"/>
      <c r="AG606" s="358"/>
      <c r="AH606" s="358"/>
      <c r="AI606" s="358"/>
      <c r="AJ606" s="358"/>
      <c r="AK606" s="358"/>
      <c r="AL606" s="358"/>
      <c r="AM606" s="358"/>
      <c r="AN606" s="358"/>
      <c r="AO606" s="358"/>
      <c r="AP606" s="358"/>
      <c r="AQ606" s="358"/>
      <c r="AR606" s="358"/>
      <c r="AS606" s="358"/>
      <c r="AT606" s="358"/>
      <c r="AU606" s="358"/>
      <c r="AV606" s="358"/>
      <c r="AW606" s="358"/>
      <c r="AX606" s="358"/>
      <c r="AY606" s="358"/>
      <c r="AZ606" s="358"/>
      <c r="BA606" s="358"/>
      <c r="BB606" s="358"/>
      <c r="BC606" s="358"/>
      <c r="BD606" s="358"/>
      <c r="BE606" s="358"/>
      <c r="BF606" s="358"/>
      <c r="BG606" s="358"/>
      <c r="BH606" s="358"/>
      <c r="BI606" s="358"/>
      <c r="BJ606" s="358"/>
      <c r="BK606" s="358"/>
      <c r="BL606" s="358"/>
      <c r="BM606" s="358"/>
      <c r="BN606" s="358"/>
      <c r="BO606" s="358"/>
      <c r="BP606" s="358"/>
      <c r="BQ606" s="358"/>
      <c r="BR606" s="358"/>
      <c r="BS606" s="358"/>
      <c r="BT606" s="358"/>
      <c r="BU606" s="358"/>
      <c r="BV606" s="358"/>
    </row>
    <row r="607" spans="2:74" x14ac:dyDescent="0.2">
      <c r="B607" s="358"/>
      <c r="D607" s="358"/>
      <c r="E607" s="358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8"/>
      <c r="AA607" s="358"/>
      <c r="AB607" s="358"/>
      <c r="AC607" s="358"/>
      <c r="AD607" s="358"/>
      <c r="AE607" s="358"/>
      <c r="AF607" s="358"/>
      <c r="AG607" s="358"/>
      <c r="AH607" s="358"/>
      <c r="AI607" s="358"/>
      <c r="AJ607" s="358"/>
      <c r="AK607" s="358"/>
      <c r="AL607" s="358"/>
      <c r="AM607" s="358"/>
      <c r="AN607" s="358"/>
      <c r="AO607" s="358"/>
      <c r="AP607" s="358"/>
      <c r="AQ607" s="358"/>
      <c r="AR607" s="358"/>
      <c r="AS607" s="358"/>
      <c r="AT607" s="358"/>
      <c r="AU607" s="358"/>
      <c r="AV607" s="358"/>
      <c r="AW607" s="358"/>
      <c r="AX607" s="358"/>
      <c r="AY607" s="358"/>
      <c r="AZ607" s="358"/>
      <c r="BA607" s="358"/>
      <c r="BB607" s="358"/>
      <c r="BC607" s="358"/>
      <c r="BD607" s="358"/>
      <c r="BE607" s="358"/>
      <c r="BF607" s="358"/>
      <c r="BG607" s="358"/>
      <c r="BH607" s="358"/>
      <c r="BI607" s="358"/>
      <c r="BJ607" s="358"/>
      <c r="BK607" s="358"/>
      <c r="BL607" s="358"/>
      <c r="BM607" s="358"/>
      <c r="BN607" s="358"/>
      <c r="BO607" s="358"/>
      <c r="BP607" s="358"/>
      <c r="BQ607" s="358"/>
      <c r="BR607" s="358"/>
      <c r="BS607" s="358"/>
      <c r="BT607" s="358"/>
      <c r="BU607" s="358"/>
      <c r="BV607" s="358"/>
    </row>
    <row r="608" spans="2:74" x14ac:dyDescent="0.2">
      <c r="B608" s="358"/>
      <c r="D608" s="358"/>
      <c r="E608" s="358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  <c r="AA608" s="358"/>
      <c r="AB608" s="358"/>
      <c r="AC608" s="358"/>
      <c r="AD608" s="358"/>
      <c r="AE608" s="358"/>
      <c r="AF608" s="358"/>
      <c r="AG608" s="358"/>
      <c r="AH608" s="358"/>
      <c r="AI608" s="358"/>
      <c r="AJ608" s="358"/>
      <c r="AK608" s="358"/>
      <c r="AL608" s="358"/>
      <c r="AM608" s="358"/>
      <c r="AN608" s="358"/>
      <c r="AO608" s="358"/>
      <c r="AP608" s="358"/>
      <c r="AQ608" s="358"/>
      <c r="AR608" s="358"/>
      <c r="AS608" s="358"/>
      <c r="AT608" s="358"/>
      <c r="AU608" s="358"/>
      <c r="AV608" s="358"/>
      <c r="AW608" s="358"/>
      <c r="AX608" s="358"/>
      <c r="AY608" s="358"/>
      <c r="AZ608" s="358"/>
      <c r="BA608" s="358"/>
      <c r="BB608" s="358"/>
      <c r="BC608" s="358"/>
      <c r="BD608" s="358"/>
      <c r="BE608" s="358"/>
      <c r="BF608" s="358"/>
      <c r="BG608" s="358"/>
      <c r="BH608" s="358"/>
      <c r="BI608" s="358"/>
      <c r="BJ608" s="358"/>
      <c r="BK608" s="358"/>
      <c r="BL608" s="358"/>
      <c r="BM608" s="358"/>
      <c r="BN608" s="358"/>
      <c r="BO608" s="358"/>
      <c r="BP608" s="358"/>
      <c r="BQ608" s="358"/>
      <c r="BR608" s="358"/>
      <c r="BS608" s="358"/>
      <c r="BT608" s="358"/>
      <c r="BU608" s="358"/>
      <c r="BV608" s="358"/>
    </row>
    <row r="609" spans="2:74" x14ac:dyDescent="0.2">
      <c r="B609" s="358"/>
      <c r="D609" s="358"/>
      <c r="E609" s="358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8"/>
      <c r="AA609" s="358"/>
      <c r="AB609" s="358"/>
      <c r="AC609" s="358"/>
      <c r="AD609" s="358"/>
      <c r="AE609" s="358"/>
      <c r="AF609" s="358"/>
      <c r="AG609" s="358"/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58"/>
      <c r="AX609" s="358"/>
      <c r="AY609" s="358"/>
      <c r="AZ609" s="358"/>
      <c r="BA609" s="358"/>
      <c r="BB609" s="358"/>
      <c r="BC609" s="358"/>
      <c r="BD609" s="358"/>
      <c r="BE609" s="358"/>
      <c r="BF609" s="358"/>
      <c r="BG609" s="358"/>
      <c r="BH609" s="358"/>
      <c r="BI609" s="358"/>
      <c r="BJ609" s="358"/>
      <c r="BK609" s="358"/>
      <c r="BL609" s="358"/>
      <c r="BM609" s="358"/>
      <c r="BN609" s="358"/>
      <c r="BO609" s="358"/>
      <c r="BP609" s="358"/>
      <c r="BQ609" s="358"/>
      <c r="BR609" s="358"/>
      <c r="BS609" s="358"/>
      <c r="BT609" s="358"/>
      <c r="BU609" s="358"/>
      <c r="BV609" s="358"/>
    </row>
    <row r="610" spans="2:74" x14ac:dyDescent="0.2">
      <c r="B610" s="358"/>
      <c r="D610" s="358"/>
      <c r="E610" s="358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  <c r="AA610" s="358"/>
      <c r="AB610" s="358"/>
      <c r="AC610" s="358"/>
      <c r="AD610" s="358"/>
      <c r="AE610" s="358"/>
      <c r="AF610" s="358"/>
      <c r="AG610" s="358"/>
      <c r="AH610" s="358"/>
      <c r="AI610" s="358"/>
      <c r="AJ610" s="358"/>
      <c r="AK610" s="358"/>
      <c r="AL610" s="358"/>
      <c r="AM610" s="358"/>
      <c r="AN610" s="358"/>
      <c r="AO610" s="358"/>
      <c r="AP610" s="358"/>
      <c r="AQ610" s="358"/>
      <c r="AR610" s="358"/>
      <c r="AS610" s="358"/>
      <c r="AT610" s="358"/>
      <c r="AU610" s="358"/>
      <c r="AV610" s="358"/>
      <c r="AW610" s="358"/>
      <c r="AX610" s="358"/>
      <c r="AY610" s="358"/>
      <c r="AZ610" s="358"/>
      <c r="BA610" s="358"/>
      <c r="BB610" s="358"/>
      <c r="BC610" s="358"/>
      <c r="BD610" s="358"/>
      <c r="BE610" s="358"/>
      <c r="BF610" s="358"/>
      <c r="BG610" s="358"/>
      <c r="BH610" s="358"/>
      <c r="BI610" s="358"/>
      <c r="BJ610" s="358"/>
      <c r="BK610" s="358"/>
      <c r="BL610" s="358"/>
      <c r="BM610" s="358"/>
      <c r="BN610" s="358"/>
      <c r="BO610" s="358"/>
      <c r="BP610" s="358"/>
      <c r="BQ610" s="358"/>
      <c r="BR610" s="358"/>
      <c r="BS610" s="358"/>
      <c r="BT610" s="358"/>
      <c r="BU610" s="358"/>
      <c r="BV610" s="358"/>
    </row>
    <row r="611" spans="2:74" x14ac:dyDescent="0.2">
      <c r="B611" s="358"/>
      <c r="D611" s="358"/>
      <c r="E611" s="358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8"/>
      <c r="AA611" s="358"/>
      <c r="AB611" s="358"/>
      <c r="AC611" s="358"/>
      <c r="AD611" s="358"/>
      <c r="AE611" s="358"/>
      <c r="AF611" s="358"/>
      <c r="AG611" s="358"/>
      <c r="AH611" s="358"/>
      <c r="AI611" s="358"/>
      <c r="AJ611" s="358"/>
      <c r="AK611" s="358"/>
      <c r="AL611" s="358"/>
      <c r="AM611" s="358"/>
      <c r="AN611" s="358"/>
      <c r="AO611" s="358"/>
      <c r="AP611" s="358"/>
      <c r="AQ611" s="358"/>
      <c r="AR611" s="358"/>
      <c r="AS611" s="358"/>
      <c r="AT611" s="358"/>
      <c r="AU611" s="358"/>
      <c r="AV611" s="358"/>
      <c r="AW611" s="358"/>
      <c r="AX611" s="358"/>
      <c r="AY611" s="358"/>
      <c r="AZ611" s="358"/>
      <c r="BA611" s="358"/>
      <c r="BB611" s="358"/>
      <c r="BC611" s="358"/>
      <c r="BD611" s="358"/>
      <c r="BE611" s="358"/>
      <c r="BF611" s="358"/>
      <c r="BG611" s="358"/>
      <c r="BH611" s="358"/>
      <c r="BI611" s="358"/>
      <c r="BJ611" s="358"/>
      <c r="BK611" s="358"/>
      <c r="BL611" s="358"/>
      <c r="BM611" s="358"/>
      <c r="BN611" s="358"/>
      <c r="BO611" s="358"/>
      <c r="BP611" s="358"/>
      <c r="BQ611" s="358"/>
      <c r="BR611" s="358"/>
      <c r="BS611" s="358"/>
      <c r="BT611" s="358"/>
      <c r="BU611" s="358"/>
      <c r="BV611" s="358"/>
    </row>
    <row r="612" spans="2:74" x14ac:dyDescent="0.2">
      <c r="B612" s="358"/>
      <c r="D612" s="358"/>
      <c r="E612" s="358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  <c r="AA612" s="358"/>
      <c r="AB612" s="358"/>
      <c r="AC612" s="358"/>
      <c r="AD612" s="358"/>
      <c r="AE612" s="358"/>
      <c r="AF612" s="358"/>
      <c r="AG612" s="358"/>
      <c r="AH612" s="358"/>
      <c r="AI612" s="358"/>
      <c r="AJ612" s="358"/>
      <c r="AK612" s="358"/>
      <c r="AL612" s="358"/>
      <c r="AM612" s="358"/>
      <c r="AN612" s="358"/>
      <c r="AO612" s="358"/>
      <c r="AP612" s="358"/>
      <c r="AQ612" s="358"/>
      <c r="AR612" s="358"/>
      <c r="AS612" s="358"/>
      <c r="AT612" s="358"/>
      <c r="AU612" s="358"/>
      <c r="AV612" s="358"/>
      <c r="AW612" s="358"/>
      <c r="AX612" s="358"/>
      <c r="AY612" s="358"/>
      <c r="AZ612" s="358"/>
      <c r="BA612" s="358"/>
      <c r="BB612" s="358"/>
      <c r="BC612" s="358"/>
      <c r="BD612" s="358"/>
      <c r="BE612" s="358"/>
      <c r="BF612" s="358"/>
      <c r="BG612" s="358"/>
      <c r="BH612" s="358"/>
      <c r="BI612" s="358"/>
      <c r="BJ612" s="358"/>
      <c r="BK612" s="358"/>
      <c r="BL612" s="358"/>
      <c r="BM612" s="358"/>
      <c r="BN612" s="358"/>
      <c r="BO612" s="358"/>
      <c r="BP612" s="358"/>
      <c r="BQ612" s="358"/>
      <c r="BR612" s="358"/>
      <c r="BS612" s="358"/>
      <c r="BT612" s="358"/>
      <c r="BU612" s="358"/>
      <c r="BV612" s="358"/>
    </row>
    <row r="613" spans="2:74" x14ac:dyDescent="0.2">
      <c r="B613" s="358"/>
      <c r="D613" s="358"/>
      <c r="E613" s="358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8"/>
      <c r="AA613" s="358"/>
      <c r="AB613" s="358"/>
      <c r="AC613" s="358"/>
      <c r="AD613" s="358"/>
      <c r="AE613" s="358"/>
      <c r="AF613" s="358"/>
      <c r="AG613" s="358"/>
      <c r="AH613" s="358"/>
      <c r="AI613" s="358"/>
      <c r="AJ613" s="358"/>
      <c r="AK613" s="358"/>
      <c r="AL613" s="358"/>
      <c r="AM613" s="358"/>
      <c r="AN613" s="358"/>
      <c r="AO613" s="358"/>
      <c r="AP613" s="358"/>
      <c r="AQ613" s="358"/>
      <c r="AR613" s="358"/>
      <c r="AS613" s="358"/>
      <c r="AT613" s="358"/>
      <c r="AU613" s="358"/>
      <c r="AV613" s="358"/>
      <c r="AW613" s="358"/>
      <c r="AX613" s="358"/>
      <c r="AY613" s="358"/>
      <c r="AZ613" s="358"/>
      <c r="BA613" s="358"/>
      <c r="BB613" s="358"/>
      <c r="BC613" s="358"/>
      <c r="BD613" s="358"/>
      <c r="BE613" s="358"/>
      <c r="BF613" s="358"/>
      <c r="BG613" s="358"/>
      <c r="BH613" s="358"/>
      <c r="BI613" s="358"/>
      <c r="BJ613" s="358"/>
      <c r="BK613" s="358"/>
      <c r="BL613" s="358"/>
      <c r="BM613" s="358"/>
      <c r="BN613" s="358"/>
      <c r="BO613" s="358"/>
      <c r="BP613" s="358"/>
      <c r="BQ613" s="358"/>
      <c r="BR613" s="358"/>
      <c r="BS613" s="358"/>
      <c r="BT613" s="358"/>
      <c r="BU613" s="358"/>
      <c r="BV613" s="358"/>
    </row>
    <row r="614" spans="2:74" x14ac:dyDescent="0.2">
      <c r="B614" s="358"/>
      <c r="D614" s="358"/>
      <c r="E614" s="358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  <c r="AI614" s="358"/>
      <c r="AJ614" s="358"/>
      <c r="AK614" s="358"/>
      <c r="AL614" s="358"/>
      <c r="AM614" s="358"/>
      <c r="AN614" s="358"/>
      <c r="AO614" s="358"/>
      <c r="AP614" s="358"/>
      <c r="AQ614" s="358"/>
      <c r="AR614" s="358"/>
      <c r="AS614" s="358"/>
      <c r="AT614" s="358"/>
      <c r="AU614" s="358"/>
      <c r="AV614" s="358"/>
      <c r="AW614" s="358"/>
      <c r="AX614" s="358"/>
      <c r="AY614" s="358"/>
      <c r="AZ614" s="358"/>
      <c r="BA614" s="358"/>
      <c r="BB614" s="358"/>
      <c r="BC614" s="358"/>
      <c r="BD614" s="358"/>
      <c r="BE614" s="358"/>
      <c r="BF614" s="358"/>
      <c r="BG614" s="358"/>
      <c r="BH614" s="358"/>
      <c r="BI614" s="358"/>
      <c r="BJ614" s="358"/>
      <c r="BK614" s="358"/>
      <c r="BL614" s="358"/>
      <c r="BM614" s="358"/>
      <c r="BN614" s="358"/>
      <c r="BO614" s="358"/>
      <c r="BP614" s="358"/>
      <c r="BQ614" s="358"/>
      <c r="BR614" s="358"/>
      <c r="BS614" s="358"/>
      <c r="BT614" s="358"/>
      <c r="BU614" s="358"/>
      <c r="BV614" s="358"/>
    </row>
    <row r="615" spans="2:74" x14ac:dyDescent="0.2">
      <c r="B615" s="358"/>
      <c r="D615" s="358"/>
      <c r="E615" s="358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  <c r="AA615" s="358"/>
      <c r="AB615" s="358"/>
      <c r="AC615" s="358"/>
      <c r="AD615" s="358"/>
      <c r="AE615" s="358"/>
      <c r="AF615" s="358"/>
      <c r="AG615" s="358"/>
      <c r="AH615" s="358"/>
      <c r="AI615" s="358"/>
      <c r="AJ615" s="358"/>
      <c r="AK615" s="358"/>
      <c r="AL615" s="358"/>
      <c r="AM615" s="358"/>
      <c r="AN615" s="358"/>
      <c r="AO615" s="358"/>
      <c r="AP615" s="358"/>
      <c r="AQ615" s="358"/>
      <c r="AR615" s="358"/>
      <c r="AS615" s="358"/>
      <c r="AT615" s="358"/>
      <c r="AU615" s="358"/>
      <c r="AV615" s="358"/>
      <c r="AW615" s="358"/>
      <c r="AX615" s="358"/>
      <c r="AY615" s="358"/>
      <c r="AZ615" s="358"/>
      <c r="BA615" s="358"/>
      <c r="BB615" s="358"/>
      <c r="BC615" s="358"/>
      <c r="BD615" s="358"/>
      <c r="BE615" s="358"/>
      <c r="BF615" s="358"/>
      <c r="BG615" s="358"/>
      <c r="BH615" s="358"/>
      <c r="BI615" s="358"/>
      <c r="BJ615" s="358"/>
      <c r="BK615" s="358"/>
      <c r="BL615" s="358"/>
      <c r="BM615" s="358"/>
      <c r="BN615" s="358"/>
      <c r="BO615" s="358"/>
      <c r="BP615" s="358"/>
      <c r="BQ615" s="358"/>
      <c r="BR615" s="358"/>
      <c r="BS615" s="358"/>
      <c r="BT615" s="358"/>
      <c r="BU615" s="358"/>
      <c r="BV615" s="358"/>
    </row>
    <row r="616" spans="2:74" x14ac:dyDescent="0.2">
      <c r="B616" s="358"/>
      <c r="D616" s="358"/>
      <c r="E616" s="358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  <c r="AA616" s="358"/>
      <c r="AB616" s="358"/>
      <c r="AC616" s="358"/>
      <c r="AD616" s="358"/>
      <c r="AE616" s="358"/>
      <c r="AF616" s="358"/>
      <c r="AG616" s="358"/>
      <c r="AH616" s="358"/>
      <c r="AI616" s="358"/>
      <c r="AJ616" s="358"/>
      <c r="AK616" s="358"/>
      <c r="AL616" s="358"/>
      <c r="AM616" s="358"/>
      <c r="AN616" s="358"/>
      <c r="AO616" s="358"/>
      <c r="AP616" s="358"/>
      <c r="AQ616" s="358"/>
      <c r="AR616" s="358"/>
      <c r="AS616" s="358"/>
      <c r="AT616" s="358"/>
      <c r="AU616" s="358"/>
      <c r="AV616" s="358"/>
      <c r="AW616" s="358"/>
      <c r="AX616" s="358"/>
      <c r="AY616" s="358"/>
      <c r="AZ616" s="358"/>
      <c r="BA616" s="358"/>
      <c r="BB616" s="358"/>
      <c r="BC616" s="358"/>
      <c r="BD616" s="358"/>
      <c r="BE616" s="358"/>
      <c r="BF616" s="358"/>
      <c r="BG616" s="358"/>
      <c r="BH616" s="358"/>
      <c r="BI616" s="358"/>
      <c r="BJ616" s="358"/>
      <c r="BK616" s="358"/>
      <c r="BL616" s="358"/>
      <c r="BM616" s="358"/>
      <c r="BN616" s="358"/>
      <c r="BO616" s="358"/>
      <c r="BP616" s="358"/>
      <c r="BQ616" s="358"/>
      <c r="BR616" s="358"/>
      <c r="BS616" s="358"/>
      <c r="BT616" s="358"/>
      <c r="BU616" s="358"/>
      <c r="BV616" s="358"/>
    </row>
    <row r="617" spans="2:74" x14ac:dyDescent="0.2">
      <c r="B617" s="358"/>
      <c r="D617" s="358"/>
      <c r="E617" s="358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8"/>
      <c r="AA617" s="358"/>
      <c r="AB617" s="358"/>
      <c r="AC617" s="358"/>
      <c r="AD617" s="358"/>
      <c r="AE617" s="358"/>
      <c r="AF617" s="358"/>
      <c r="AG617" s="358"/>
      <c r="AH617" s="358"/>
      <c r="AI617" s="358"/>
      <c r="AJ617" s="358"/>
      <c r="AK617" s="358"/>
      <c r="AL617" s="358"/>
      <c r="AM617" s="358"/>
      <c r="AN617" s="358"/>
      <c r="AO617" s="358"/>
      <c r="AP617" s="358"/>
      <c r="AQ617" s="358"/>
      <c r="AR617" s="358"/>
      <c r="AS617" s="358"/>
      <c r="AT617" s="358"/>
      <c r="AU617" s="358"/>
      <c r="AV617" s="358"/>
      <c r="AW617" s="358"/>
      <c r="AX617" s="358"/>
      <c r="AY617" s="358"/>
      <c r="AZ617" s="358"/>
      <c r="BA617" s="358"/>
      <c r="BB617" s="358"/>
      <c r="BC617" s="358"/>
      <c r="BD617" s="358"/>
      <c r="BE617" s="358"/>
      <c r="BF617" s="358"/>
      <c r="BG617" s="358"/>
      <c r="BH617" s="358"/>
      <c r="BI617" s="358"/>
      <c r="BJ617" s="358"/>
      <c r="BK617" s="358"/>
      <c r="BL617" s="358"/>
      <c r="BM617" s="358"/>
      <c r="BN617" s="358"/>
      <c r="BO617" s="358"/>
      <c r="BP617" s="358"/>
      <c r="BQ617" s="358"/>
      <c r="BR617" s="358"/>
      <c r="BS617" s="358"/>
      <c r="BT617" s="358"/>
      <c r="BU617" s="358"/>
      <c r="BV617" s="358"/>
    </row>
    <row r="618" spans="2:74" x14ac:dyDescent="0.2">
      <c r="B618" s="358"/>
      <c r="D618" s="358"/>
      <c r="E618" s="358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  <c r="AA618" s="358"/>
      <c r="AB618" s="358"/>
      <c r="AC618" s="358"/>
      <c r="AD618" s="358"/>
      <c r="AE618" s="358"/>
      <c r="AF618" s="358"/>
      <c r="AG618" s="358"/>
      <c r="AH618" s="358"/>
      <c r="AI618" s="358"/>
      <c r="AJ618" s="358"/>
      <c r="AK618" s="358"/>
      <c r="AL618" s="358"/>
      <c r="AM618" s="358"/>
      <c r="AN618" s="358"/>
      <c r="AO618" s="358"/>
      <c r="AP618" s="358"/>
      <c r="AQ618" s="358"/>
      <c r="AR618" s="358"/>
      <c r="AS618" s="358"/>
      <c r="AT618" s="358"/>
      <c r="AU618" s="358"/>
      <c r="AV618" s="358"/>
      <c r="AW618" s="358"/>
      <c r="AX618" s="358"/>
      <c r="AY618" s="358"/>
      <c r="AZ618" s="358"/>
      <c r="BA618" s="358"/>
      <c r="BB618" s="358"/>
      <c r="BC618" s="358"/>
      <c r="BD618" s="358"/>
      <c r="BE618" s="358"/>
      <c r="BF618" s="358"/>
      <c r="BG618" s="358"/>
      <c r="BH618" s="358"/>
      <c r="BI618" s="358"/>
      <c r="BJ618" s="358"/>
      <c r="BK618" s="358"/>
      <c r="BL618" s="358"/>
      <c r="BM618" s="358"/>
      <c r="BN618" s="358"/>
      <c r="BO618" s="358"/>
      <c r="BP618" s="358"/>
      <c r="BQ618" s="358"/>
      <c r="BR618" s="358"/>
      <c r="BS618" s="358"/>
      <c r="BT618" s="358"/>
      <c r="BU618" s="358"/>
      <c r="BV618" s="358"/>
    </row>
    <row r="619" spans="2:74" x14ac:dyDescent="0.2">
      <c r="B619" s="358"/>
      <c r="D619" s="358"/>
      <c r="E619" s="358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8"/>
      <c r="AA619" s="358"/>
      <c r="AB619" s="358"/>
      <c r="AC619" s="358"/>
      <c r="AD619" s="358"/>
      <c r="AE619" s="358"/>
      <c r="AF619" s="358"/>
      <c r="AG619" s="358"/>
      <c r="AH619" s="358"/>
      <c r="AI619" s="358"/>
      <c r="AJ619" s="358"/>
      <c r="AK619" s="358"/>
      <c r="AL619" s="358"/>
      <c r="AM619" s="358"/>
      <c r="AN619" s="358"/>
      <c r="AO619" s="358"/>
      <c r="AP619" s="358"/>
      <c r="AQ619" s="358"/>
      <c r="AR619" s="358"/>
      <c r="AS619" s="358"/>
      <c r="AT619" s="358"/>
      <c r="AU619" s="358"/>
      <c r="AV619" s="358"/>
      <c r="AW619" s="358"/>
      <c r="AX619" s="358"/>
      <c r="AY619" s="358"/>
      <c r="AZ619" s="358"/>
      <c r="BA619" s="358"/>
      <c r="BB619" s="358"/>
      <c r="BC619" s="358"/>
      <c r="BD619" s="358"/>
      <c r="BE619" s="358"/>
      <c r="BF619" s="358"/>
      <c r="BG619" s="358"/>
      <c r="BH619" s="358"/>
      <c r="BI619" s="358"/>
      <c r="BJ619" s="358"/>
      <c r="BK619" s="358"/>
      <c r="BL619" s="358"/>
      <c r="BM619" s="358"/>
      <c r="BN619" s="358"/>
      <c r="BO619" s="358"/>
      <c r="BP619" s="358"/>
      <c r="BQ619" s="358"/>
      <c r="BR619" s="358"/>
      <c r="BS619" s="358"/>
      <c r="BT619" s="358"/>
      <c r="BU619" s="358"/>
      <c r="BV619" s="358"/>
    </row>
    <row r="620" spans="2:74" x14ac:dyDescent="0.2">
      <c r="B620" s="358"/>
      <c r="D620" s="358"/>
      <c r="E620" s="358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  <c r="AA620" s="358"/>
      <c r="AB620" s="358"/>
      <c r="AC620" s="358"/>
      <c r="AD620" s="358"/>
      <c r="AE620" s="358"/>
      <c r="AF620" s="358"/>
      <c r="AG620" s="358"/>
      <c r="AH620" s="358"/>
      <c r="AI620" s="358"/>
      <c r="AJ620" s="358"/>
      <c r="AK620" s="358"/>
      <c r="AL620" s="358"/>
      <c r="AM620" s="358"/>
      <c r="AN620" s="358"/>
      <c r="AO620" s="358"/>
      <c r="AP620" s="358"/>
      <c r="AQ620" s="358"/>
      <c r="AR620" s="358"/>
      <c r="AS620" s="358"/>
      <c r="AT620" s="358"/>
      <c r="AU620" s="358"/>
      <c r="AV620" s="358"/>
      <c r="AW620" s="358"/>
      <c r="AX620" s="358"/>
      <c r="AY620" s="358"/>
      <c r="AZ620" s="358"/>
      <c r="BA620" s="358"/>
      <c r="BB620" s="358"/>
      <c r="BC620" s="358"/>
      <c r="BD620" s="358"/>
      <c r="BE620" s="358"/>
      <c r="BF620" s="358"/>
      <c r="BG620" s="358"/>
      <c r="BH620" s="358"/>
      <c r="BI620" s="358"/>
      <c r="BJ620" s="358"/>
      <c r="BK620" s="358"/>
      <c r="BL620" s="358"/>
      <c r="BM620" s="358"/>
      <c r="BN620" s="358"/>
      <c r="BO620" s="358"/>
      <c r="BP620" s="358"/>
      <c r="BQ620" s="358"/>
      <c r="BR620" s="358"/>
      <c r="BS620" s="358"/>
      <c r="BT620" s="358"/>
      <c r="BU620" s="358"/>
      <c r="BV620" s="358"/>
    </row>
    <row r="621" spans="2:74" x14ac:dyDescent="0.2">
      <c r="B621" s="358"/>
      <c r="D621" s="358"/>
      <c r="E621" s="358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8"/>
      <c r="AA621" s="358"/>
      <c r="AB621" s="358"/>
      <c r="AC621" s="358"/>
      <c r="AD621" s="358"/>
      <c r="AE621" s="358"/>
      <c r="AF621" s="358"/>
      <c r="AG621" s="358"/>
      <c r="AH621" s="358"/>
      <c r="AI621" s="358"/>
      <c r="AJ621" s="358"/>
      <c r="AK621" s="358"/>
      <c r="AL621" s="358"/>
      <c r="AM621" s="358"/>
      <c r="AN621" s="358"/>
      <c r="AO621" s="358"/>
      <c r="AP621" s="358"/>
      <c r="AQ621" s="358"/>
      <c r="AR621" s="358"/>
      <c r="AS621" s="358"/>
      <c r="AT621" s="358"/>
      <c r="AU621" s="358"/>
      <c r="AV621" s="358"/>
      <c r="AW621" s="358"/>
      <c r="AX621" s="358"/>
      <c r="AY621" s="358"/>
      <c r="AZ621" s="358"/>
      <c r="BA621" s="358"/>
      <c r="BB621" s="358"/>
      <c r="BC621" s="358"/>
      <c r="BD621" s="358"/>
      <c r="BE621" s="358"/>
      <c r="BF621" s="358"/>
      <c r="BG621" s="358"/>
      <c r="BH621" s="358"/>
      <c r="BI621" s="358"/>
      <c r="BJ621" s="358"/>
      <c r="BK621" s="358"/>
      <c r="BL621" s="358"/>
      <c r="BM621" s="358"/>
      <c r="BN621" s="358"/>
      <c r="BO621" s="358"/>
      <c r="BP621" s="358"/>
      <c r="BQ621" s="358"/>
      <c r="BR621" s="358"/>
      <c r="BS621" s="358"/>
      <c r="BT621" s="358"/>
      <c r="BU621" s="358"/>
      <c r="BV621" s="358"/>
    </row>
    <row r="622" spans="2:74" x14ac:dyDescent="0.2">
      <c r="B622" s="358"/>
      <c r="D622" s="358"/>
      <c r="E622" s="358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  <c r="AA622" s="358"/>
      <c r="AB622" s="358"/>
      <c r="AC622" s="358"/>
      <c r="AD622" s="358"/>
      <c r="AE622" s="358"/>
      <c r="AF622" s="358"/>
      <c r="AG622" s="358"/>
      <c r="AH622" s="358"/>
      <c r="AI622" s="358"/>
      <c r="AJ622" s="358"/>
      <c r="AK622" s="358"/>
      <c r="AL622" s="358"/>
      <c r="AM622" s="358"/>
      <c r="AN622" s="358"/>
      <c r="AO622" s="358"/>
      <c r="AP622" s="358"/>
      <c r="AQ622" s="358"/>
      <c r="AR622" s="358"/>
      <c r="AS622" s="358"/>
      <c r="AT622" s="358"/>
      <c r="AU622" s="358"/>
      <c r="AV622" s="358"/>
      <c r="AW622" s="358"/>
      <c r="AX622" s="358"/>
      <c r="AY622" s="358"/>
      <c r="AZ622" s="358"/>
      <c r="BA622" s="358"/>
      <c r="BB622" s="358"/>
      <c r="BC622" s="358"/>
      <c r="BD622" s="358"/>
      <c r="BE622" s="358"/>
      <c r="BF622" s="358"/>
      <c r="BG622" s="358"/>
      <c r="BH622" s="358"/>
      <c r="BI622" s="358"/>
      <c r="BJ622" s="358"/>
      <c r="BK622" s="358"/>
      <c r="BL622" s="358"/>
      <c r="BM622" s="358"/>
      <c r="BN622" s="358"/>
      <c r="BO622" s="358"/>
      <c r="BP622" s="358"/>
      <c r="BQ622" s="358"/>
      <c r="BR622" s="358"/>
      <c r="BS622" s="358"/>
      <c r="BT622" s="358"/>
      <c r="BU622" s="358"/>
      <c r="BV622" s="358"/>
    </row>
    <row r="623" spans="2:74" x14ac:dyDescent="0.2">
      <c r="B623" s="358"/>
      <c r="D623" s="358"/>
      <c r="E623" s="358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8"/>
      <c r="AA623" s="358"/>
      <c r="AB623" s="358"/>
      <c r="AC623" s="358"/>
      <c r="AD623" s="358"/>
      <c r="AE623" s="358"/>
      <c r="AF623" s="358"/>
      <c r="AG623" s="358"/>
      <c r="AH623" s="358"/>
      <c r="AI623" s="358"/>
      <c r="AJ623" s="358"/>
      <c r="AK623" s="358"/>
      <c r="AL623" s="358"/>
      <c r="AM623" s="358"/>
      <c r="AN623" s="358"/>
      <c r="AO623" s="358"/>
      <c r="AP623" s="358"/>
      <c r="AQ623" s="358"/>
      <c r="AR623" s="358"/>
      <c r="AS623" s="358"/>
      <c r="AT623" s="358"/>
      <c r="AU623" s="358"/>
      <c r="AV623" s="358"/>
      <c r="AW623" s="358"/>
      <c r="AX623" s="358"/>
      <c r="AY623" s="358"/>
      <c r="AZ623" s="358"/>
      <c r="BA623" s="358"/>
      <c r="BB623" s="358"/>
      <c r="BC623" s="358"/>
      <c r="BD623" s="358"/>
      <c r="BE623" s="358"/>
      <c r="BF623" s="358"/>
      <c r="BG623" s="358"/>
      <c r="BH623" s="358"/>
      <c r="BI623" s="358"/>
      <c r="BJ623" s="358"/>
      <c r="BK623" s="358"/>
      <c r="BL623" s="358"/>
      <c r="BM623" s="358"/>
      <c r="BN623" s="358"/>
      <c r="BO623" s="358"/>
      <c r="BP623" s="358"/>
      <c r="BQ623" s="358"/>
      <c r="BR623" s="358"/>
      <c r="BS623" s="358"/>
      <c r="BT623" s="358"/>
      <c r="BU623" s="358"/>
      <c r="BV623" s="358"/>
    </row>
    <row r="624" spans="2:74" x14ac:dyDescent="0.2">
      <c r="B624" s="358"/>
      <c r="D624" s="358"/>
      <c r="E624" s="358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  <c r="AA624" s="358"/>
      <c r="AB624" s="358"/>
      <c r="AC624" s="358"/>
      <c r="AD624" s="358"/>
      <c r="AE624" s="358"/>
      <c r="AF624" s="358"/>
      <c r="AG624" s="358"/>
      <c r="AH624" s="358"/>
      <c r="AI624" s="358"/>
      <c r="AJ624" s="358"/>
      <c r="AK624" s="358"/>
      <c r="AL624" s="358"/>
      <c r="AM624" s="358"/>
      <c r="AN624" s="358"/>
      <c r="AO624" s="358"/>
      <c r="AP624" s="358"/>
      <c r="AQ624" s="358"/>
      <c r="AR624" s="358"/>
      <c r="AS624" s="358"/>
      <c r="AT624" s="358"/>
      <c r="AU624" s="358"/>
      <c r="AV624" s="358"/>
      <c r="AW624" s="358"/>
      <c r="AX624" s="358"/>
      <c r="AY624" s="358"/>
      <c r="AZ624" s="358"/>
      <c r="BA624" s="358"/>
      <c r="BB624" s="358"/>
      <c r="BC624" s="358"/>
      <c r="BD624" s="358"/>
      <c r="BE624" s="358"/>
      <c r="BF624" s="358"/>
      <c r="BG624" s="358"/>
      <c r="BH624" s="358"/>
      <c r="BI624" s="358"/>
      <c r="BJ624" s="358"/>
      <c r="BK624" s="358"/>
      <c r="BL624" s="358"/>
      <c r="BM624" s="358"/>
      <c r="BN624" s="358"/>
      <c r="BO624" s="358"/>
      <c r="BP624" s="358"/>
      <c r="BQ624" s="358"/>
      <c r="BR624" s="358"/>
      <c r="BS624" s="358"/>
      <c r="BT624" s="358"/>
      <c r="BU624" s="358"/>
      <c r="BV624" s="358"/>
    </row>
    <row r="625" spans="2:74" x14ac:dyDescent="0.2">
      <c r="B625" s="358"/>
      <c r="D625" s="358"/>
      <c r="E625" s="358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8"/>
      <c r="AA625" s="358"/>
      <c r="AB625" s="358"/>
      <c r="AC625" s="358"/>
      <c r="AD625" s="358"/>
      <c r="AE625" s="358"/>
      <c r="AF625" s="358"/>
      <c r="AG625" s="358"/>
      <c r="AH625" s="358"/>
      <c r="AI625" s="358"/>
      <c r="AJ625" s="358"/>
      <c r="AK625" s="358"/>
      <c r="AL625" s="358"/>
      <c r="AM625" s="358"/>
      <c r="AN625" s="358"/>
      <c r="AO625" s="358"/>
      <c r="AP625" s="358"/>
      <c r="AQ625" s="358"/>
      <c r="AR625" s="358"/>
      <c r="AS625" s="358"/>
      <c r="AT625" s="358"/>
      <c r="AU625" s="358"/>
      <c r="AV625" s="358"/>
      <c r="AW625" s="358"/>
      <c r="AX625" s="358"/>
      <c r="AY625" s="358"/>
      <c r="AZ625" s="358"/>
      <c r="BA625" s="358"/>
      <c r="BB625" s="358"/>
      <c r="BC625" s="358"/>
      <c r="BD625" s="358"/>
      <c r="BE625" s="358"/>
      <c r="BF625" s="358"/>
      <c r="BG625" s="358"/>
      <c r="BH625" s="358"/>
      <c r="BI625" s="358"/>
      <c r="BJ625" s="358"/>
      <c r="BK625" s="358"/>
      <c r="BL625" s="358"/>
      <c r="BM625" s="358"/>
      <c r="BN625" s="358"/>
      <c r="BO625" s="358"/>
      <c r="BP625" s="358"/>
      <c r="BQ625" s="358"/>
      <c r="BR625" s="358"/>
      <c r="BS625" s="358"/>
      <c r="BT625" s="358"/>
      <c r="BU625" s="358"/>
      <c r="BV625" s="358"/>
    </row>
    <row r="626" spans="2:74" x14ac:dyDescent="0.2">
      <c r="B626" s="358"/>
      <c r="D626" s="358"/>
      <c r="E626" s="358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  <c r="AA626" s="358"/>
      <c r="AB626" s="358"/>
      <c r="AC626" s="358"/>
      <c r="AD626" s="358"/>
      <c r="AE626" s="358"/>
      <c r="AF626" s="358"/>
      <c r="AG626" s="358"/>
      <c r="AH626" s="358"/>
      <c r="AI626" s="358"/>
      <c r="AJ626" s="358"/>
      <c r="AK626" s="358"/>
      <c r="AL626" s="358"/>
      <c r="AM626" s="358"/>
      <c r="AN626" s="358"/>
      <c r="AO626" s="358"/>
      <c r="AP626" s="358"/>
      <c r="AQ626" s="358"/>
      <c r="AR626" s="358"/>
      <c r="AS626" s="358"/>
      <c r="AT626" s="358"/>
      <c r="AU626" s="358"/>
      <c r="AV626" s="358"/>
      <c r="AW626" s="358"/>
      <c r="AX626" s="358"/>
      <c r="AY626" s="358"/>
      <c r="AZ626" s="358"/>
      <c r="BA626" s="358"/>
      <c r="BB626" s="358"/>
      <c r="BC626" s="358"/>
      <c r="BD626" s="358"/>
      <c r="BE626" s="358"/>
      <c r="BF626" s="358"/>
      <c r="BG626" s="358"/>
      <c r="BH626" s="358"/>
      <c r="BI626" s="358"/>
      <c r="BJ626" s="358"/>
      <c r="BK626" s="358"/>
      <c r="BL626" s="358"/>
      <c r="BM626" s="358"/>
      <c r="BN626" s="358"/>
      <c r="BO626" s="358"/>
      <c r="BP626" s="358"/>
      <c r="BQ626" s="358"/>
      <c r="BR626" s="358"/>
      <c r="BS626" s="358"/>
      <c r="BT626" s="358"/>
      <c r="BU626" s="358"/>
      <c r="BV626" s="358"/>
    </row>
    <row r="627" spans="2:74" x14ac:dyDescent="0.2">
      <c r="B627" s="358"/>
      <c r="D627" s="358"/>
      <c r="E627" s="358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8"/>
      <c r="AA627" s="358"/>
      <c r="AB627" s="358"/>
      <c r="AC627" s="358"/>
      <c r="AD627" s="358"/>
      <c r="AE627" s="358"/>
      <c r="AF627" s="358"/>
      <c r="AG627" s="358"/>
      <c r="AH627" s="358"/>
      <c r="AI627" s="358"/>
      <c r="AJ627" s="358"/>
      <c r="AK627" s="358"/>
      <c r="AL627" s="358"/>
      <c r="AM627" s="358"/>
      <c r="AN627" s="358"/>
      <c r="AO627" s="358"/>
      <c r="AP627" s="358"/>
      <c r="AQ627" s="358"/>
      <c r="AR627" s="358"/>
      <c r="AS627" s="358"/>
      <c r="AT627" s="358"/>
      <c r="AU627" s="358"/>
      <c r="AV627" s="358"/>
      <c r="AW627" s="358"/>
      <c r="AX627" s="358"/>
      <c r="AY627" s="358"/>
      <c r="AZ627" s="358"/>
      <c r="BA627" s="358"/>
      <c r="BB627" s="358"/>
      <c r="BC627" s="358"/>
      <c r="BD627" s="358"/>
      <c r="BE627" s="358"/>
      <c r="BF627" s="358"/>
      <c r="BG627" s="358"/>
      <c r="BH627" s="358"/>
      <c r="BI627" s="358"/>
      <c r="BJ627" s="358"/>
      <c r="BK627" s="358"/>
      <c r="BL627" s="358"/>
      <c r="BM627" s="358"/>
      <c r="BN627" s="358"/>
      <c r="BO627" s="358"/>
      <c r="BP627" s="358"/>
      <c r="BQ627" s="358"/>
      <c r="BR627" s="358"/>
      <c r="BS627" s="358"/>
      <c r="BT627" s="358"/>
      <c r="BU627" s="358"/>
      <c r="BV627" s="358"/>
    </row>
    <row r="628" spans="2:74" x14ac:dyDescent="0.2">
      <c r="B628" s="358"/>
      <c r="D628" s="358"/>
      <c r="E628" s="358"/>
      <c r="F628" s="358"/>
      <c r="G628" s="358"/>
      <c r="H628" s="358"/>
      <c r="I628" s="358"/>
      <c r="J628" s="358"/>
      <c r="K628" s="358"/>
      <c r="L628" s="358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  <c r="Y628" s="358"/>
      <c r="Z628" s="358"/>
      <c r="AA628" s="358"/>
      <c r="AB628" s="358"/>
      <c r="AC628" s="358"/>
      <c r="AD628" s="358"/>
      <c r="AE628" s="358"/>
      <c r="AF628" s="358"/>
      <c r="AG628" s="358"/>
      <c r="AH628" s="358"/>
      <c r="AI628" s="358"/>
      <c r="AJ628" s="358"/>
      <c r="AK628" s="358"/>
      <c r="AL628" s="358"/>
      <c r="AM628" s="358"/>
      <c r="AN628" s="358"/>
      <c r="AO628" s="358"/>
      <c r="AP628" s="358"/>
      <c r="AQ628" s="358"/>
      <c r="AR628" s="358"/>
      <c r="AS628" s="358"/>
      <c r="AT628" s="358"/>
      <c r="AU628" s="358"/>
      <c r="AV628" s="358"/>
      <c r="AW628" s="358"/>
      <c r="AX628" s="358"/>
      <c r="AY628" s="358"/>
      <c r="AZ628" s="358"/>
      <c r="BA628" s="358"/>
      <c r="BB628" s="358"/>
      <c r="BC628" s="358"/>
      <c r="BD628" s="358"/>
      <c r="BE628" s="358"/>
      <c r="BF628" s="358"/>
      <c r="BG628" s="358"/>
      <c r="BH628" s="358"/>
      <c r="BI628" s="358"/>
      <c r="BJ628" s="358"/>
      <c r="BK628" s="358"/>
      <c r="BL628" s="358"/>
      <c r="BM628" s="358"/>
      <c r="BN628" s="358"/>
      <c r="BO628" s="358"/>
      <c r="BP628" s="358"/>
      <c r="BQ628" s="358"/>
      <c r="BR628" s="358"/>
      <c r="BS628" s="358"/>
      <c r="BT628" s="358"/>
      <c r="BU628" s="358"/>
      <c r="BV628" s="358"/>
    </row>
    <row r="629" spans="2:74" x14ac:dyDescent="0.2">
      <c r="B629" s="358"/>
      <c r="D629" s="358"/>
      <c r="E629" s="358"/>
      <c r="F629" s="358"/>
      <c r="G629" s="358"/>
      <c r="H629" s="358"/>
      <c r="I629" s="358"/>
      <c r="J629" s="358"/>
      <c r="K629" s="358"/>
      <c r="L629" s="358"/>
      <c r="M629" s="358"/>
      <c r="N629" s="358"/>
      <c r="O629" s="358"/>
      <c r="P629" s="358"/>
      <c r="Q629" s="358"/>
      <c r="R629" s="358"/>
      <c r="S629" s="358"/>
      <c r="T629" s="358"/>
      <c r="U629" s="358"/>
      <c r="V629" s="358"/>
      <c r="W629" s="358"/>
      <c r="X629" s="358"/>
      <c r="Y629" s="358"/>
      <c r="Z629" s="358"/>
      <c r="AA629" s="358"/>
      <c r="AB629" s="358"/>
      <c r="AC629" s="358"/>
      <c r="AD629" s="358"/>
      <c r="AE629" s="358"/>
      <c r="AF629" s="358"/>
      <c r="AG629" s="358"/>
      <c r="AH629" s="358"/>
      <c r="AI629" s="358"/>
      <c r="AJ629" s="358"/>
      <c r="AK629" s="358"/>
      <c r="AL629" s="358"/>
      <c r="AM629" s="358"/>
      <c r="AN629" s="358"/>
      <c r="AO629" s="358"/>
      <c r="AP629" s="358"/>
      <c r="AQ629" s="358"/>
      <c r="AR629" s="358"/>
      <c r="AS629" s="358"/>
      <c r="AT629" s="358"/>
      <c r="AU629" s="358"/>
      <c r="AV629" s="358"/>
      <c r="AW629" s="358"/>
      <c r="AX629" s="358"/>
      <c r="AY629" s="358"/>
      <c r="AZ629" s="358"/>
      <c r="BA629" s="358"/>
      <c r="BB629" s="358"/>
      <c r="BC629" s="358"/>
      <c r="BD629" s="358"/>
      <c r="BE629" s="358"/>
      <c r="BF629" s="358"/>
      <c r="BG629" s="358"/>
      <c r="BH629" s="358"/>
      <c r="BI629" s="358"/>
      <c r="BJ629" s="358"/>
      <c r="BK629" s="358"/>
      <c r="BL629" s="358"/>
      <c r="BM629" s="358"/>
      <c r="BN629" s="358"/>
      <c r="BO629" s="358"/>
      <c r="BP629" s="358"/>
      <c r="BQ629" s="358"/>
      <c r="BR629" s="358"/>
      <c r="BS629" s="358"/>
      <c r="BT629" s="358"/>
      <c r="BU629" s="358"/>
      <c r="BV629" s="358"/>
    </row>
    <row r="630" spans="2:74" x14ac:dyDescent="0.2">
      <c r="B630" s="358"/>
      <c r="D630" s="358"/>
      <c r="E630" s="358"/>
      <c r="F630" s="358"/>
      <c r="G630" s="358"/>
      <c r="H630" s="358"/>
      <c r="I630" s="358"/>
      <c r="J630" s="358"/>
      <c r="K630" s="358"/>
      <c r="L630" s="358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  <c r="Y630" s="358"/>
      <c r="Z630" s="358"/>
      <c r="AA630" s="358"/>
      <c r="AB630" s="358"/>
      <c r="AC630" s="358"/>
      <c r="AD630" s="358"/>
      <c r="AE630" s="358"/>
      <c r="AF630" s="358"/>
      <c r="AG630" s="358"/>
      <c r="AH630" s="358"/>
      <c r="AI630" s="358"/>
      <c r="AJ630" s="358"/>
      <c r="AK630" s="358"/>
      <c r="AL630" s="358"/>
      <c r="AM630" s="358"/>
      <c r="AN630" s="358"/>
      <c r="AO630" s="358"/>
      <c r="AP630" s="358"/>
      <c r="AQ630" s="358"/>
      <c r="AR630" s="358"/>
      <c r="AS630" s="358"/>
      <c r="AT630" s="358"/>
      <c r="AU630" s="358"/>
      <c r="AV630" s="358"/>
      <c r="AW630" s="358"/>
      <c r="AX630" s="358"/>
      <c r="AY630" s="358"/>
      <c r="AZ630" s="358"/>
      <c r="BA630" s="358"/>
      <c r="BB630" s="358"/>
      <c r="BC630" s="358"/>
      <c r="BD630" s="358"/>
      <c r="BE630" s="358"/>
      <c r="BF630" s="358"/>
      <c r="BG630" s="358"/>
      <c r="BH630" s="358"/>
      <c r="BI630" s="358"/>
      <c r="BJ630" s="358"/>
      <c r="BK630" s="358"/>
      <c r="BL630" s="358"/>
      <c r="BM630" s="358"/>
      <c r="BN630" s="358"/>
      <c r="BO630" s="358"/>
      <c r="BP630" s="358"/>
      <c r="BQ630" s="358"/>
      <c r="BR630" s="358"/>
      <c r="BS630" s="358"/>
      <c r="BT630" s="358"/>
      <c r="BU630" s="358"/>
      <c r="BV630" s="358"/>
    </row>
    <row r="631" spans="2:74" x14ac:dyDescent="0.2">
      <c r="B631" s="358"/>
      <c r="D631" s="358"/>
      <c r="E631" s="358"/>
      <c r="F631" s="358"/>
      <c r="G631" s="358"/>
      <c r="H631" s="358"/>
      <c r="I631" s="358"/>
      <c r="J631" s="358"/>
      <c r="K631" s="358"/>
      <c r="L631" s="358"/>
      <c r="M631" s="358"/>
      <c r="N631" s="358"/>
      <c r="O631" s="358"/>
      <c r="P631" s="358"/>
      <c r="Q631" s="358"/>
      <c r="R631" s="358"/>
      <c r="S631" s="358"/>
      <c r="T631" s="358"/>
      <c r="U631" s="358"/>
      <c r="V631" s="358"/>
      <c r="W631" s="358"/>
      <c r="X631" s="358"/>
      <c r="Y631" s="358"/>
      <c r="Z631" s="358"/>
      <c r="AA631" s="358"/>
      <c r="AB631" s="358"/>
      <c r="AC631" s="358"/>
      <c r="AD631" s="358"/>
      <c r="AE631" s="358"/>
      <c r="AF631" s="358"/>
      <c r="AG631" s="358"/>
      <c r="AH631" s="358"/>
      <c r="AI631" s="358"/>
      <c r="AJ631" s="358"/>
      <c r="AK631" s="358"/>
      <c r="AL631" s="358"/>
      <c r="AM631" s="358"/>
      <c r="AN631" s="358"/>
      <c r="AO631" s="358"/>
      <c r="AP631" s="358"/>
      <c r="AQ631" s="358"/>
      <c r="AR631" s="358"/>
      <c r="AS631" s="358"/>
      <c r="AT631" s="358"/>
      <c r="AU631" s="358"/>
      <c r="AV631" s="358"/>
      <c r="AW631" s="358"/>
      <c r="AX631" s="358"/>
      <c r="AY631" s="358"/>
      <c r="AZ631" s="358"/>
      <c r="BA631" s="358"/>
      <c r="BB631" s="358"/>
      <c r="BC631" s="358"/>
      <c r="BD631" s="358"/>
      <c r="BE631" s="358"/>
      <c r="BF631" s="358"/>
      <c r="BG631" s="358"/>
      <c r="BH631" s="358"/>
      <c r="BI631" s="358"/>
      <c r="BJ631" s="358"/>
      <c r="BK631" s="358"/>
      <c r="BL631" s="358"/>
      <c r="BM631" s="358"/>
      <c r="BN631" s="358"/>
      <c r="BO631" s="358"/>
      <c r="BP631" s="358"/>
      <c r="BQ631" s="358"/>
      <c r="BR631" s="358"/>
      <c r="BS631" s="358"/>
      <c r="BT631" s="358"/>
      <c r="BU631" s="358"/>
      <c r="BV631" s="358"/>
    </row>
  </sheetData>
  <mergeCells count="15">
    <mergeCell ref="AX3:BB3"/>
    <mergeCell ref="BC3:BG3"/>
    <mergeCell ref="BH3:BL3"/>
    <mergeCell ref="BM3:BQ3"/>
    <mergeCell ref="BR3:BV3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scale="4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148"/>
  <sheetViews>
    <sheetView view="pageBreakPreview" zoomScaleNormal="100" zoomScaleSheetLayoutView="100" workbookViewId="0">
      <selection activeCell="H150" sqref="H150"/>
    </sheetView>
  </sheetViews>
  <sheetFormatPr defaultColWidth="10" defaultRowHeight="12.75" x14ac:dyDescent="0.2"/>
  <cols>
    <col min="1" max="1" width="1.5703125" style="53" customWidth="1"/>
    <col min="2" max="2" width="1.42578125" style="53" customWidth="1"/>
    <col min="3" max="3" width="57.5703125" style="53" customWidth="1"/>
    <col min="4" max="4" width="2.7109375" style="53" customWidth="1"/>
    <col min="5" max="5" width="8.7109375" style="53" hidden="1" customWidth="1"/>
    <col min="6" max="7" width="1" style="53" customWidth="1"/>
    <col min="8" max="8" width="19.7109375" style="53" customWidth="1"/>
    <col min="9" max="10" width="1" style="53" customWidth="1"/>
    <col min="11" max="11" width="2" style="53" hidden="1" customWidth="1"/>
    <col min="12" max="12" width="1" style="53" hidden="1" customWidth="1"/>
    <col min="13" max="13" width="17.85546875" style="53" hidden="1" customWidth="1"/>
    <col min="14" max="15" width="1" style="53" hidden="1" customWidth="1"/>
    <col min="16" max="17" width="1" style="53" customWidth="1"/>
    <col min="18" max="18" width="17.85546875" style="53" customWidth="1"/>
    <col min="19" max="20" width="1" style="53" customWidth="1"/>
    <col min="21" max="22" width="1" style="53" hidden="1" customWidth="1"/>
    <col min="23" max="23" width="17.85546875" style="53" hidden="1" customWidth="1"/>
    <col min="24" max="27" width="1" style="53" hidden="1" customWidth="1"/>
    <col min="28" max="28" width="17.85546875" style="53" hidden="1" customWidth="1"/>
    <col min="29" max="32" width="1" style="53" hidden="1" customWidth="1"/>
    <col min="33" max="33" width="17.85546875" style="53" hidden="1" customWidth="1"/>
    <col min="34" max="37" width="1" style="53" hidden="1" customWidth="1"/>
    <col min="38" max="38" width="17.85546875" style="53" hidden="1" customWidth="1"/>
    <col min="39" max="42" width="1" style="53" hidden="1" customWidth="1"/>
    <col min="43" max="43" width="17.85546875" style="53" hidden="1" customWidth="1"/>
    <col min="44" max="47" width="1" style="53" hidden="1" customWidth="1"/>
    <col min="48" max="48" width="17.85546875" style="53" hidden="1" customWidth="1"/>
    <col min="49" max="52" width="1" style="53" hidden="1" customWidth="1"/>
    <col min="53" max="53" width="17.85546875" style="53" hidden="1" customWidth="1"/>
    <col min="54" max="57" width="1" style="53" hidden="1" customWidth="1"/>
    <col min="58" max="58" width="17.85546875" style="53" hidden="1" customWidth="1"/>
    <col min="59" max="62" width="1" style="53" hidden="1" customWidth="1"/>
    <col min="63" max="63" width="17.85546875" style="53" hidden="1" customWidth="1"/>
    <col min="64" max="67" width="1" style="53" hidden="1" customWidth="1"/>
    <col min="68" max="68" width="17.85546875" style="53" hidden="1" customWidth="1"/>
    <col min="69" max="70" width="1" style="53" hidden="1" customWidth="1"/>
    <col min="71" max="72" width="1" style="53" customWidth="1"/>
    <col min="73" max="73" width="17.85546875" style="53" customWidth="1"/>
    <col min="74" max="77" width="1" style="53" customWidth="1"/>
    <col min="78" max="78" width="17.85546875" style="53" customWidth="1"/>
    <col min="79" max="80" width="1" style="53" customWidth="1"/>
    <col min="81" max="81" width="1.28515625" style="53" hidden="1" customWidth="1"/>
    <col min="82" max="82" width="1" style="53" hidden="1" customWidth="1"/>
    <col min="83" max="83" width="17.85546875" style="53" hidden="1" customWidth="1"/>
    <col min="84" max="85" width="1" style="53" hidden="1" customWidth="1"/>
    <col min="86" max="87" width="1" style="53" customWidth="1"/>
    <col min="88" max="88" width="17.85546875" style="53" customWidth="1"/>
    <col min="89" max="90" width="1" style="53" customWidth="1"/>
    <col min="91" max="92" width="1" style="53" hidden="1" customWidth="1"/>
    <col min="93" max="93" width="17.85546875" style="53" hidden="1" customWidth="1"/>
    <col min="94" max="97" width="1" style="53" hidden="1" customWidth="1"/>
    <col min="98" max="98" width="17.85546875" style="53" hidden="1" customWidth="1"/>
    <col min="99" max="102" width="1" style="53" hidden="1" customWidth="1"/>
    <col min="103" max="103" width="17.85546875" style="53" hidden="1" customWidth="1"/>
    <col min="104" max="107" width="1" style="53" hidden="1" customWidth="1"/>
    <col min="108" max="108" width="17.85546875" style="53" hidden="1" customWidth="1"/>
    <col min="109" max="112" width="1" style="53" hidden="1" customWidth="1"/>
    <col min="113" max="113" width="17.85546875" style="53" hidden="1" customWidth="1"/>
    <col min="114" max="117" width="1" style="53" hidden="1" customWidth="1"/>
    <col min="118" max="118" width="17.85546875" style="53" hidden="1" customWidth="1"/>
    <col min="119" max="122" width="1" style="53" hidden="1" customWidth="1"/>
    <col min="123" max="123" width="17.85546875" style="53" hidden="1" customWidth="1"/>
    <col min="124" max="127" width="1" style="53" hidden="1" customWidth="1"/>
    <col min="128" max="128" width="17.85546875" style="53" hidden="1" customWidth="1"/>
    <col min="129" max="132" width="1" style="53" hidden="1" customWidth="1"/>
    <col min="133" max="133" width="17.85546875" style="53" hidden="1" customWidth="1"/>
    <col min="134" max="137" width="1" style="53" hidden="1" customWidth="1"/>
    <col min="138" max="138" width="17.85546875" style="53" hidden="1" customWidth="1"/>
    <col min="139" max="140" width="1" style="53" hidden="1" customWidth="1"/>
    <col min="141" max="142" width="1" style="53" customWidth="1"/>
    <col min="143" max="143" width="17.85546875" style="53" customWidth="1"/>
    <col min="144" max="145" width="1" style="53" customWidth="1"/>
    <col min="146" max="146" width="1.5703125" style="53" customWidth="1"/>
    <col min="147" max="147" width="0.7109375" style="442" customWidth="1"/>
    <col min="148" max="148" width="1.85546875" style="53" customWidth="1"/>
    <col min="149" max="149" width="10.7109375" style="53" customWidth="1"/>
    <col min="150" max="150" width="13" style="53" hidden="1" customWidth="1"/>
    <col min="151" max="256" width="10" style="53"/>
    <col min="257" max="257" width="1.5703125" style="53" customWidth="1"/>
    <col min="258" max="258" width="1.42578125" style="53" customWidth="1"/>
    <col min="259" max="259" width="57.5703125" style="53" customWidth="1"/>
    <col min="260" max="260" width="2.7109375" style="53" customWidth="1"/>
    <col min="261" max="261" width="0" style="53" hidden="1" customWidth="1"/>
    <col min="262" max="263" width="1" style="53" customWidth="1"/>
    <col min="264" max="264" width="19.7109375" style="53" customWidth="1"/>
    <col min="265" max="266" width="1" style="53" customWidth="1"/>
    <col min="267" max="271" width="0" style="53" hidden="1" customWidth="1"/>
    <col min="272" max="273" width="1" style="53" customWidth="1"/>
    <col min="274" max="274" width="17.85546875" style="53" customWidth="1"/>
    <col min="275" max="276" width="1" style="53" customWidth="1"/>
    <col min="277" max="326" width="0" style="53" hidden="1" customWidth="1"/>
    <col min="327" max="328" width="1" style="53" customWidth="1"/>
    <col min="329" max="329" width="17.85546875" style="53" customWidth="1"/>
    <col min="330" max="333" width="1" style="53" customWidth="1"/>
    <col min="334" max="334" width="17.85546875" style="53" customWidth="1"/>
    <col min="335" max="336" width="1" style="53" customWidth="1"/>
    <col min="337" max="341" width="0" style="53" hidden="1" customWidth="1"/>
    <col min="342" max="343" width="1" style="53" customWidth="1"/>
    <col min="344" max="344" width="17.85546875" style="53" customWidth="1"/>
    <col min="345" max="346" width="1" style="53" customWidth="1"/>
    <col min="347" max="396" width="0" style="53" hidden="1" customWidth="1"/>
    <col min="397" max="398" width="1" style="53" customWidth="1"/>
    <col min="399" max="399" width="17.85546875" style="53" customWidth="1"/>
    <col min="400" max="401" width="1" style="53" customWidth="1"/>
    <col min="402" max="402" width="1.5703125" style="53" customWidth="1"/>
    <col min="403" max="403" width="0.7109375" style="53" customWidth="1"/>
    <col min="404" max="404" width="1.85546875" style="53" customWidth="1"/>
    <col min="405" max="405" width="10.7109375" style="53" customWidth="1"/>
    <col min="406" max="406" width="0" style="53" hidden="1" customWidth="1"/>
    <col min="407" max="512" width="10" style="53"/>
    <col min="513" max="513" width="1.5703125" style="53" customWidth="1"/>
    <col min="514" max="514" width="1.42578125" style="53" customWidth="1"/>
    <col min="515" max="515" width="57.5703125" style="53" customWidth="1"/>
    <col min="516" max="516" width="2.7109375" style="53" customWidth="1"/>
    <col min="517" max="517" width="0" style="53" hidden="1" customWidth="1"/>
    <col min="518" max="519" width="1" style="53" customWidth="1"/>
    <col min="520" max="520" width="19.7109375" style="53" customWidth="1"/>
    <col min="521" max="522" width="1" style="53" customWidth="1"/>
    <col min="523" max="527" width="0" style="53" hidden="1" customWidth="1"/>
    <col min="528" max="529" width="1" style="53" customWidth="1"/>
    <col min="530" max="530" width="17.85546875" style="53" customWidth="1"/>
    <col min="531" max="532" width="1" style="53" customWidth="1"/>
    <col min="533" max="582" width="0" style="53" hidden="1" customWidth="1"/>
    <col min="583" max="584" width="1" style="53" customWidth="1"/>
    <col min="585" max="585" width="17.85546875" style="53" customWidth="1"/>
    <col min="586" max="589" width="1" style="53" customWidth="1"/>
    <col min="590" max="590" width="17.85546875" style="53" customWidth="1"/>
    <col min="591" max="592" width="1" style="53" customWidth="1"/>
    <col min="593" max="597" width="0" style="53" hidden="1" customWidth="1"/>
    <col min="598" max="599" width="1" style="53" customWidth="1"/>
    <col min="600" max="600" width="17.85546875" style="53" customWidth="1"/>
    <col min="601" max="602" width="1" style="53" customWidth="1"/>
    <col min="603" max="652" width="0" style="53" hidden="1" customWidth="1"/>
    <col min="653" max="654" width="1" style="53" customWidth="1"/>
    <col min="655" max="655" width="17.85546875" style="53" customWidth="1"/>
    <col min="656" max="657" width="1" style="53" customWidth="1"/>
    <col min="658" max="658" width="1.5703125" style="53" customWidth="1"/>
    <col min="659" max="659" width="0.7109375" style="53" customWidth="1"/>
    <col min="660" max="660" width="1.85546875" style="53" customWidth="1"/>
    <col min="661" max="661" width="10.7109375" style="53" customWidth="1"/>
    <col min="662" max="662" width="0" style="53" hidden="1" customWidth="1"/>
    <col min="663" max="768" width="10" style="53"/>
    <col min="769" max="769" width="1.5703125" style="53" customWidth="1"/>
    <col min="770" max="770" width="1.42578125" style="53" customWidth="1"/>
    <col min="771" max="771" width="57.5703125" style="53" customWidth="1"/>
    <col min="772" max="772" width="2.7109375" style="53" customWidth="1"/>
    <col min="773" max="773" width="0" style="53" hidden="1" customWidth="1"/>
    <col min="774" max="775" width="1" style="53" customWidth="1"/>
    <col min="776" max="776" width="19.7109375" style="53" customWidth="1"/>
    <col min="777" max="778" width="1" style="53" customWidth="1"/>
    <col min="779" max="783" width="0" style="53" hidden="1" customWidth="1"/>
    <col min="784" max="785" width="1" style="53" customWidth="1"/>
    <col min="786" max="786" width="17.85546875" style="53" customWidth="1"/>
    <col min="787" max="788" width="1" style="53" customWidth="1"/>
    <col min="789" max="838" width="0" style="53" hidden="1" customWidth="1"/>
    <col min="839" max="840" width="1" style="53" customWidth="1"/>
    <col min="841" max="841" width="17.85546875" style="53" customWidth="1"/>
    <col min="842" max="845" width="1" style="53" customWidth="1"/>
    <col min="846" max="846" width="17.85546875" style="53" customWidth="1"/>
    <col min="847" max="848" width="1" style="53" customWidth="1"/>
    <col min="849" max="853" width="0" style="53" hidden="1" customWidth="1"/>
    <col min="854" max="855" width="1" style="53" customWidth="1"/>
    <col min="856" max="856" width="17.85546875" style="53" customWidth="1"/>
    <col min="857" max="858" width="1" style="53" customWidth="1"/>
    <col min="859" max="908" width="0" style="53" hidden="1" customWidth="1"/>
    <col min="909" max="910" width="1" style="53" customWidth="1"/>
    <col min="911" max="911" width="17.85546875" style="53" customWidth="1"/>
    <col min="912" max="913" width="1" style="53" customWidth="1"/>
    <col min="914" max="914" width="1.5703125" style="53" customWidth="1"/>
    <col min="915" max="915" width="0.7109375" style="53" customWidth="1"/>
    <col min="916" max="916" width="1.85546875" style="53" customWidth="1"/>
    <col min="917" max="917" width="10.7109375" style="53" customWidth="1"/>
    <col min="918" max="918" width="0" style="53" hidden="1" customWidth="1"/>
    <col min="919" max="1024" width="10" style="53"/>
    <col min="1025" max="1025" width="1.5703125" style="53" customWidth="1"/>
    <col min="1026" max="1026" width="1.42578125" style="53" customWidth="1"/>
    <col min="1027" max="1027" width="57.5703125" style="53" customWidth="1"/>
    <col min="1028" max="1028" width="2.7109375" style="53" customWidth="1"/>
    <col min="1029" max="1029" width="0" style="53" hidden="1" customWidth="1"/>
    <col min="1030" max="1031" width="1" style="53" customWidth="1"/>
    <col min="1032" max="1032" width="19.7109375" style="53" customWidth="1"/>
    <col min="1033" max="1034" width="1" style="53" customWidth="1"/>
    <col min="1035" max="1039" width="0" style="53" hidden="1" customWidth="1"/>
    <col min="1040" max="1041" width="1" style="53" customWidth="1"/>
    <col min="1042" max="1042" width="17.85546875" style="53" customWidth="1"/>
    <col min="1043" max="1044" width="1" style="53" customWidth="1"/>
    <col min="1045" max="1094" width="0" style="53" hidden="1" customWidth="1"/>
    <col min="1095" max="1096" width="1" style="53" customWidth="1"/>
    <col min="1097" max="1097" width="17.85546875" style="53" customWidth="1"/>
    <col min="1098" max="1101" width="1" style="53" customWidth="1"/>
    <col min="1102" max="1102" width="17.85546875" style="53" customWidth="1"/>
    <col min="1103" max="1104" width="1" style="53" customWidth="1"/>
    <col min="1105" max="1109" width="0" style="53" hidden="1" customWidth="1"/>
    <col min="1110" max="1111" width="1" style="53" customWidth="1"/>
    <col min="1112" max="1112" width="17.85546875" style="53" customWidth="1"/>
    <col min="1113" max="1114" width="1" style="53" customWidth="1"/>
    <col min="1115" max="1164" width="0" style="53" hidden="1" customWidth="1"/>
    <col min="1165" max="1166" width="1" style="53" customWidth="1"/>
    <col min="1167" max="1167" width="17.85546875" style="53" customWidth="1"/>
    <col min="1168" max="1169" width="1" style="53" customWidth="1"/>
    <col min="1170" max="1170" width="1.5703125" style="53" customWidth="1"/>
    <col min="1171" max="1171" width="0.7109375" style="53" customWidth="1"/>
    <col min="1172" max="1172" width="1.85546875" style="53" customWidth="1"/>
    <col min="1173" max="1173" width="10.7109375" style="53" customWidth="1"/>
    <col min="1174" max="1174" width="0" style="53" hidden="1" customWidth="1"/>
    <col min="1175" max="1280" width="10" style="53"/>
    <col min="1281" max="1281" width="1.5703125" style="53" customWidth="1"/>
    <col min="1282" max="1282" width="1.42578125" style="53" customWidth="1"/>
    <col min="1283" max="1283" width="57.5703125" style="53" customWidth="1"/>
    <col min="1284" max="1284" width="2.7109375" style="53" customWidth="1"/>
    <col min="1285" max="1285" width="0" style="53" hidden="1" customWidth="1"/>
    <col min="1286" max="1287" width="1" style="53" customWidth="1"/>
    <col min="1288" max="1288" width="19.7109375" style="53" customWidth="1"/>
    <col min="1289" max="1290" width="1" style="53" customWidth="1"/>
    <col min="1291" max="1295" width="0" style="53" hidden="1" customWidth="1"/>
    <col min="1296" max="1297" width="1" style="53" customWidth="1"/>
    <col min="1298" max="1298" width="17.85546875" style="53" customWidth="1"/>
    <col min="1299" max="1300" width="1" style="53" customWidth="1"/>
    <col min="1301" max="1350" width="0" style="53" hidden="1" customWidth="1"/>
    <col min="1351" max="1352" width="1" style="53" customWidth="1"/>
    <col min="1353" max="1353" width="17.85546875" style="53" customWidth="1"/>
    <col min="1354" max="1357" width="1" style="53" customWidth="1"/>
    <col min="1358" max="1358" width="17.85546875" style="53" customWidth="1"/>
    <col min="1359" max="1360" width="1" style="53" customWidth="1"/>
    <col min="1361" max="1365" width="0" style="53" hidden="1" customWidth="1"/>
    <col min="1366" max="1367" width="1" style="53" customWidth="1"/>
    <col min="1368" max="1368" width="17.85546875" style="53" customWidth="1"/>
    <col min="1369" max="1370" width="1" style="53" customWidth="1"/>
    <col min="1371" max="1420" width="0" style="53" hidden="1" customWidth="1"/>
    <col min="1421" max="1422" width="1" style="53" customWidth="1"/>
    <col min="1423" max="1423" width="17.85546875" style="53" customWidth="1"/>
    <col min="1424" max="1425" width="1" style="53" customWidth="1"/>
    <col min="1426" max="1426" width="1.5703125" style="53" customWidth="1"/>
    <col min="1427" max="1427" width="0.7109375" style="53" customWidth="1"/>
    <col min="1428" max="1428" width="1.85546875" style="53" customWidth="1"/>
    <col min="1429" max="1429" width="10.7109375" style="53" customWidth="1"/>
    <col min="1430" max="1430" width="0" style="53" hidden="1" customWidth="1"/>
    <col min="1431" max="1536" width="10" style="53"/>
    <col min="1537" max="1537" width="1.5703125" style="53" customWidth="1"/>
    <col min="1538" max="1538" width="1.42578125" style="53" customWidth="1"/>
    <col min="1539" max="1539" width="57.5703125" style="53" customWidth="1"/>
    <col min="1540" max="1540" width="2.7109375" style="53" customWidth="1"/>
    <col min="1541" max="1541" width="0" style="53" hidden="1" customWidth="1"/>
    <col min="1542" max="1543" width="1" style="53" customWidth="1"/>
    <col min="1544" max="1544" width="19.7109375" style="53" customWidth="1"/>
    <col min="1545" max="1546" width="1" style="53" customWidth="1"/>
    <col min="1547" max="1551" width="0" style="53" hidden="1" customWidth="1"/>
    <col min="1552" max="1553" width="1" style="53" customWidth="1"/>
    <col min="1554" max="1554" width="17.85546875" style="53" customWidth="1"/>
    <col min="1555" max="1556" width="1" style="53" customWidth="1"/>
    <col min="1557" max="1606" width="0" style="53" hidden="1" customWidth="1"/>
    <col min="1607" max="1608" width="1" style="53" customWidth="1"/>
    <col min="1609" max="1609" width="17.85546875" style="53" customWidth="1"/>
    <col min="1610" max="1613" width="1" style="53" customWidth="1"/>
    <col min="1614" max="1614" width="17.85546875" style="53" customWidth="1"/>
    <col min="1615" max="1616" width="1" style="53" customWidth="1"/>
    <col min="1617" max="1621" width="0" style="53" hidden="1" customWidth="1"/>
    <col min="1622" max="1623" width="1" style="53" customWidth="1"/>
    <col min="1624" max="1624" width="17.85546875" style="53" customWidth="1"/>
    <col min="1625" max="1626" width="1" style="53" customWidth="1"/>
    <col min="1627" max="1676" width="0" style="53" hidden="1" customWidth="1"/>
    <col min="1677" max="1678" width="1" style="53" customWidth="1"/>
    <col min="1679" max="1679" width="17.85546875" style="53" customWidth="1"/>
    <col min="1680" max="1681" width="1" style="53" customWidth="1"/>
    <col min="1682" max="1682" width="1.5703125" style="53" customWidth="1"/>
    <col min="1683" max="1683" width="0.7109375" style="53" customWidth="1"/>
    <col min="1684" max="1684" width="1.85546875" style="53" customWidth="1"/>
    <col min="1685" max="1685" width="10.7109375" style="53" customWidth="1"/>
    <col min="1686" max="1686" width="0" style="53" hidden="1" customWidth="1"/>
    <col min="1687" max="1792" width="10" style="53"/>
    <col min="1793" max="1793" width="1.5703125" style="53" customWidth="1"/>
    <col min="1794" max="1794" width="1.42578125" style="53" customWidth="1"/>
    <col min="1795" max="1795" width="57.5703125" style="53" customWidth="1"/>
    <col min="1796" max="1796" width="2.7109375" style="53" customWidth="1"/>
    <col min="1797" max="1797" width="0" style="53" hidden="1" customWidth="1"/>
    <col min="1798" max="1799" width="1" style="53" customWidth="1"/>
    <col min="1800" max="1800" width="19.7109375" style="53" customWidth="1"/>
    <col min="1801" max="1802" width="1" style="53" customWidth="1"/>
    <col min="1803" max="1807" width="0" style="53" hidden="1" customWidth="1"/>
    <col min="1808" max="1809" width="1" style="53" customWidth="1"/>
    <col min="1810" max="1810" width="17.85546875" style="53" customWidth="1"/>
    <col min="1811" max="1812" width="1" style="53" customWidth="1"/>
    <col min="1813" max="1862" width="0" style="53" hidden="1" customWidth="1"/>
    <col min="1863" max="1864" width="1" style="53" customWidth="1"/>
    <col min="1865" max="1865" width="17.85546875" style="53" customWidth="1"/>
    <col min="1866" max="1869" width="1" style="53" customWidth="1"/>
    <col min="1870" max="1870" width="17.85546875" style="53" customWidth="1"/>
    <col min="1871" max="1872" width="1" style="53" customWidth="1"/>
    <col min="1873" max="1877" width="0" style="53" hidden="1" customWidth="1"/>
    <col min="1878" max="1879" width="1" style="53" customWidth="1"/>
    <col min="1880" max="1880" width="17.85546875" style="53" customWidth="1"/>
    <col min="1881" max="1882" width="1" style="53" customWidth="1"/>
    <col min="1883" max="1932" width="0" style="53" hidden="1" customWidth="1"/>
    <col min="1933" max="1934" width="1" style="53" customWidth="1"/>
    <col min="1935" max="1935" width="17.85546875" style="53" customWidth="1"/>
    <col min="1936" max="1937" width="1" style="53" customWidth="1"/>
    <col min="1938" max="1938" width="1.5703125" style="53" customWidth="1"/>
    <col min="1939" max="1939" width="0.7109375" style="53" customWidth="1"/>
    <col min="1940" max="1940" width="1.85546875" style="53" customWidth="1"/>
    <col min="1941" max="1941" width="10.7109375" style="53" customWidth="1"/>
    <col min="1942" max="1942" width="0" style="53" hidden="1" customWidth="1"/>
    <col min="1943" max="2048" width="10" style="53"/>
    <col min="2049" max="2049" width="1.5703125" style="53" customWidth="1"/>
    <col min="2050" max="2050" width="1.42578125" style="53" customWidth="1"/>
    <col min="2051" max="2051" width="57.5703125" style="53" customWidth="1"/>
    <col min="2052" max="2052" width="2.7109375" style="53" customWidth="1"/>
    <col min="2053" max="2053" width="0" style="53" hidden="1" customWidth="1"/>
    <col min="2054" max="2055" width="1" style="53" customWidth="1"/>
    <col min="2056" max="2056" width="19.7109375" style="53" customWidth="1"/>
    <col min="2057" max="2058" width="1" style="53" customWidth="1"/>
    <col min="2059" max="2063" width="0" style="53" hidden="1" customWidth="1"/>
    <col min="2064" max="2065" width="1" style="53" customWidth="1"/>
    <col min="2066" max="2066" width="17.85546875" style="53" customWidth="1"/>
    <col min="2067" max="2068" width="1" style="53" customWidth="1"/>
    <col min="2069" max="2118" width="0" style="53" hidden="1" customWidth="1"/>
    <col min="2119" max="2120" width="1" style="53" customWidth="1"/>
    <col min="2121" max="2121" width="17.85546875" style="53" customWidth="1"/>
    <col min="2122" max="2125" width="1" style="53" customWidth="1"/>
    <col min="2126" max="2126" width="17.85546875" style="53" customWidth="1"/>
    <col min="2127" max="2128" width="1" style="53" customWidth="1"/>
    <col min="2129" max="2133" width="0" style="53" hidden="1" customWidth="1"/>
    <col min="2134" max="2135" width="1" style="53" customWidth="1"/>
    <col min="2136" max="2136" width="17.85546875" style="53" customWidth="1"/>
    <col min="2137" max="2138" width="1" style="53" customWidth="1"/>
    <col min="2139" max="2188" width="0" style="53" hidden="1" customWidth="1"/>
    <col min="2189" max="2190" width="1" style="53" customWidth="1"/>
    <col min="2191" max="2191" width="17.85546875" style="53" customWidth="1"/>
    <col min="2192" max="2193" width="1" style="53" customWidth="1"/>
    <col min="2194" max="2194" width="1.5703125" style="53" customWidth="1"/>
    <col min="2195" max="2195" width="0.7109375" style="53" customWidth="1"/>
    <col min="2196" max="2196" width="1.85546875" style="53" customWidth="1"/>
    <col min="2197" max="2197" width="10.7109375" style="53" customWidth="1"/>
    <col min="2198" max="2198" width="0" style="53" hidden="1" customWidth="1"/>
    <col min="2199" max="2304" width="10" style="53"/>
    <col min="2305" max="2305" width="1.5703125" style="53" customWidth="1"/>
    <col min="2306" max="2306" width="1.42578125" style="53" customWidth="1"/>
    <col min="2307" max="2307" width="57.5703125" style="53" customWidth="1"/>
    <col min="2308" max="2308" width="2.7109375" style="53" customWidth="1"/>
    <col min="2309" max="2309" width="0" style="53" hidden="1" customWidth="1"/>
    <col min="2310" max="2311" width="1" style="53" customWidth="1"/>
    <col min="2312" max="2312" width="19.7109375" style="53" customWidth="1"/>
    <col min="2313" max="2314" width="1" style="53" customWidth="1"/>
    <col min="2315" max="2319" width="0" style="53" hidden="1" customWidth="1"/>
    <col min="2320" max="2321" width="1" style="53" customWidth="1"/>
    <col min="2322" max="2322" width="17.85546875" style="53" customWidth="1"/>
    <col min="2323" max="2324" width="1" style="53" customWidth="1"/>
    <col min="2325" max="2374" width="0" style="53" hidden="1" customWidth="1"/>
    <col min="2375" max="2376" width="1" style="53" customWidth="1"/>
    <col min="2377" max="2377" width="17.85546875" style="53" customWidth="1"/>
    <col min="2378" max="2381" width="1" style="53" customWidth="1"/>
    <col min="2382" max="2382" width="17.85546875" style="53" customWidth="1"/>
    <col min="2383" max="2384" width="1" style="53" customWidth="1"/>
    <col min="2385" max="2389" width="0" style="53" hidden="1" customWidth="1"/>
    <col min="2390" max="2391" width="1" style="53" customWidth="1"/>
    <col min="2392" max="2392" width="17.85546875" style="53" customWidth="1"/>
    <col min="2393" max="2394" width="1" style="53" customWidth="1"/>
    <col min="2395" max="2444" width="0" style="53" hidden="1" customWidth="1"/>
    <col min="2445" max="2446" width="1" style="53" customWidth="1"/>
    <col min="2447" max="2447" width="17.85546875" style="53" customWidth="1"/>
    <col min="2448" max="2449" width="1" style="53" customWidth="1"/>
    <col min="2450" max="2450" width="1.5703125" style="53" customWidth="1"/>
    <col min="2451" max="2451" width="0.7109375" style="53" customWidth="1"/>
    <col min="2452" max="2452" width="1.85546875" style="53" customWidth="1"/>
    <col min="2453" max="2453" width="10.7109375" style="53" customWidth="1"/>
    <col min="2454" max="2454" width="0" style="53" hidden="1" customWidth="1"/>
    <col min="2455" max="2560" width="10" style="53"/>
    <col min="2561" max="2561" width="1.5703125" style="53" customWidth="1"/>
    <col min="2562" max="2562" width="1.42578125" style="53" customWidth="1"/>
    <col min="2563" max="2563" width="57.5703125" style="53" customWidth="1"/>
    <col min="2564" max="2564" width="2.7109375" style="53" customWidth="1"/>
    <col min="2565" max="2565" width="0" style="53" hidden="1" customWidth="1"/>
    <col min="2566" max="2567" width="1" style="53" customWidth="1"/>
    <col min="2568" max="2568" width="19.7109375" style="53" customWidth="1"/>
    <col min="2569" max="2570" width="1" style="53" customWidth="1"/>
    <col min="2571" max="2575" width="0" style="53" hidden="1" customWidth="1"/>
    <col min="2576" max="2577" width="1" style="53" customWidth="1"/>
    <col min="2578" max="2578" width="17.85546875" style="53" customWidth="1"/>
    <col min="2579" max="2580" width="1" style="53" customWidth="1"/>
    <col min="2581" max="2630" width="0" style="53" hidden="1" customWidth="1"/>
    <col min="2631" max="2632" width="1" style="53" customWidth="1"/>
    <col min="2633" max="2633" width="17.85546875" style="53" customWidth="1"/>
    <col min="2634" max="2637" width="1" style="53" customWidth="1"/>
    <col min="2638" max="2638" width="17.85546875" style="53" customWidth="1"/>
    <col min="2639" max="2640" width="1" style="53" customWidth="1"/>
    <col min="2641" max="2645" width="0" style="53" hidden="1" customWidth="1"/>
    <col min="2646" max="2647" width="1" style="53" customWidth="1"/>
    <col min="2648" max="2648" width="17.85546875" style="53" customWidth="1"/>
    <col min="2649" max="2650" width="1" style="53" customWidth="1"/>
    <col min="2651" max="2700" width="0" style="53" hidden="1" customWidth="1"/>
    <col min="2701" max="2702" width="1" style="53" customWidth="1"/>
    <col min="2703" max="2703" width="17.85546875" style="53" customWidth="1"/>
    <col min="2704" max="2705" width="1" style="53" customWidth="1"/>
    <col min="2706" max="2706" width="1.5703125" style="53" customWidth="1"/>
    <col min="2707" max="2707" width="0.7109375" style="53" customWidth="1"/>
    <col min="2708" max="2708" width="1.85546875" style="53" customWidth="1"/>
    <col min="2709" max="2709" width="10.7109375" style="53" customWidth="1"/>
    <col min="2710" max="2710" width="0" style="53" hidden="1" customWidth="1"/>
    <col min="2711" max="2816" width="10" style="53"/>
    <col min="2817" max="2817" width="1.5703125" style="53" customWidth="1"/>
    <col min="2818" max="2818" width="1.42578125" style="53" customWidth="1"/>
    <col min="2819" max="2819" width="57.5703125" style="53" customWidth="1"/>
    <col min="2820" max="2820" width="2.7109375" style="53" customWidth="1"/>
    <col min="2821" max="2821" width="0" style="53" hidden="1" customWidth="1"/>
    <col min="2822" max="2823" width="1" style="53" customWidth="1"/>
    <col min="2824" max="2824" width="19.7109375" style="53" customWidth="1"/>
    <col min="2825" max="2826" width="1" style="53" customWidth="1"/>
    <col min="2827" max="2831" width="0" style="53" hidden="1" customWidth="1"/>
    <col min="2832" max="2833" width="1" style="53" customWidth="1"/>
    <col min="2834" max="2834" width="17.85546875" style="53" customWidth="1"/>
    <col min="2835" max="2836" width="1" style="53" customWidth="1"/>
    <col min="2837" max="2886" width="0" style="53" hidden="1" customWidth="1"/>
    <col min="2887" max="2888" width="1" style="53" customWidth="1"/>
    <col min="2889" max="2889" width="17.85546875" style="53" customWidth="1"/>
    <col min="2890" max="2893" width="1" style="53" customWidth="1"/>
    <col min="2894" max="2894" width="17.85546875" style="53" customWidth="1"/>
    <col min="2895" max="2896" width="1" style="53" customWidth="1"/>
    <col min="2897" max="2901" width="0" style="53" hidden="1" customWidth="1"/>
    <col min="2902" max="2903" width="1" style="53" customWidth="1"/>
    <col min="2904" max="2904" width="17.85546875" style="53" customWidth="1"/>
    <col min="2905" max="2906" width="1" style="53" customWidth="1"/>
    <col min="2907" max="2956" width="0" style="53" hidden="1" customWidth="1"/>
    <col min="2957" max="2958" width="1" style="53" customWidth="1"/>
    <col min="2959" max="2959" width="17.85546875" style="53" customWidth="1"/>
    <col min="2960" max="2961" width="1" style="53" customWidth="1"/>
    <col min="2962" max="2962" width="1.5703125" style="53" customWidth="1"/>
    <col min="2963" max="2963" width="0.7109375" style="53" customWidth="1"/>
    <col min="2964" max="2964" width="1.85546875" style="53" customWidth="1"/>
    <col min="2965" max="2965" width="10.7109375" style="53" customWidth="1"/>
    <col min="2966" max="2966" width="0" style="53" hidden="1" customWidth="1"/>
    <col min="2967" max="3072" width="10" style="53"/>
    <col min="3073" max="3073" width="1.5703125" style="53" customWidth="1"/>
    <col min="3074" max="3074" width="1.42578125" style="53" customWidth="1"/>
    <col min="3075" max="3075" width="57.5703125" style="53" customWidth="1"/>
    <col min="3076" max="3076" width="2.7109375" style="53" customWidth="1"/>
    <col min="3077" max="3077" width="0" style="53" hidden="1" customWidth="1"/>
    <col min="3078" max="3079" width="1" style="53" customWidth="1"/>
    <col min="3080" max="3080" width="19.7109375" style="53" customWidth="1"/>
    <col min="3081" max="3082" width="1" style="53" customWidth="1"/>
    <col min="3083" max="3087" width="0" style="53" hidden="1" customWidth="1"/>
    <col min="3088" max="3089" width="1" style="53" customWidth="1"/>
    <col min="3090" max="3090" width="17.85546875" style="53" customWidth="1"/>
    <col min="3091" max="3092" width="1" style="53" customWidth="1"/>
    <col min="3093" max="3142" width="0" style="53" hidden="1" customWidth="1"/>
    <col min="3143" max="3144" width="1" style="53" customWidth="1"/>
    <col min="3145" max="3145" width="17.85546875" style="53" customWidth="1"/>
    <col min="3146" max="3149" width="1" style="53" customWidth="1"/>
    <col min="3150" max="3150" width="17.85546875" style="53" customWidth="1"/>
    <col min="3151" max="3152" width="1" style="53" customWidth="1"/>
    <col min="3153" max="3157" width="0" style="53" hidden="1" customWidth="1"/>
    <col min="3158" max="3159" width="1" style="53" customWidth="1"/>
    <col min="3160" max="3160" width="17.85546875" style="53" customWidth="1"/>
    <col min="3161" max="3162" width="1" style="53" customWidth="1"/>
    <col min="3163" max="3212" width="0" style="53" hidden="1" customWidth="1"/>
    <col min="3213" max="3214" width="1" style="53" customWidth="1"/>
    <col min="3215" max="3215" width="17.85546875" style="53" customWidth="1"/>
    <col min="3216" max="3217" width="1" style="53" customWidth="1"/>
    <col min="3218" max="3218" width="1.5703125" style="53" customWidth="1"/>
    <col min="3219" max="3219" width="0.7109375" style="53" customWidth="1"/>
    <col min="3220" max="3220" width="1.85546875" style="53" customWidth="1"/>
    <col min="3221" max="3221" width="10.7109375" style="53" customWidth="1"/>
    <col min="3222" max="3222" width="0" style="53" hidden="1" customWidth="1"/>
    <col min="3223" max="3328" width="10" style="53"/>
    <col min="3329" max="3329" width="1.5703125" style="53" customWidth="1"/>
    <col min="3330" max="3330" width="1.42578125" style="53" customWidth="1"/>
    <col min="3331" max="3331" width="57.5703125" style="53" customWidth="1"/>
    <col min="3332" max="3332" width="2.7109375" style="53" customWidth="1"/>
    <col min="3333" max="3333" width="0" style="53" hidden="1" customWidth="1"/>
    <col min="3334" max="3335" width="1" style="53" customWidth="1"/>
    <col min="3336" max="3336" width="19.7109375" style="53" customWidth="1"/>
    <col min="3337" max="3338" width="1" style="53" customWidth="1"/>
    <col min="3339" max="3343" width="0" style="53" hidden="1" customWidth="1"/>
    <col min="3344" max="3345" width="1" style="53" customWidth="1"/>
    <col min="3346" max="3346" width="17.85546875" style="53" customWidth="1"/>
    <col min="3347" max="3348" width="1" style="53" customWidth="1"/>
    <col min="3349" max="3398" width="0" style="53" hidden="1" customWidth="1"/>
    <col min="3399" max="3400" width="1" style="53" customWidth="1"/>
    <col min="3401" max="3401" width="17.85546875" style="53" customWidth="1"/>
    <col min="3402" max="3405" width="1" style="53" customWidth="1"/>
    <col min="3406" max="3406" width="17.85546875" style="53" customWidth="1"/>
    <col min="3407" max="3408" width="1" style="53" customWidth="1"/>
    <col min="3409" max="3413" width="0" style="53" hidden="1" customWidth="1"/>
    <col min="3414" max="3415" width="1" style="53" customWidth="1"/>
    <col min="3416" max="3416" width="17.85546875" style="53" customWidth="1"/>
    <col min="3417" max="3418" width="1" style="53" customWidth="1"/>
    <col min="3419" max="3468" width="0" style="53" hidden="1" customWidth="1"/>
    <col min="3469" max="3470" width="1" style="53" customWidth="1"/>
    <col min="3471" max="3471" width="17.85546875" style="53" customWidth="1"/>
    <col min="3472" max="3473" width="1" style="53" customWidth="1"/>
    <col min="3474" max="3474" width="1.5703125" style="53" customWidth="1"/>
    <col min="3475" max="3475" width="0.7109375" style="53" customWidth="1"/>
    <col min="3476" max="3476" width="1.85546875" style="53" customWidth="1"/>
    <col min="3477" max="3477" width="10.7109375" style="53" customWidth="1"/>
    <col min="3478" max="3478" width="0" style="53" hidden="1" customWidth="1"/>
    <col min="3479" max="3584" width="10" style="53"/>
    <col min="3585" max="3585" width="1.5703125" style="53" customWidth="1"/>
    <col min="3586" max="3586" width="1.42578125" style="53" customWidth="1"/>
    <col min="3587" max="3587" width="57.5703125" style="53" customWidth="1"/>
    <col min="3588" max="3588" width="2.7109375" style="53" customWidth="1"/>
    <col min="3589" max="3589" width="0" style="53" hidden="1" customWidth="1"/>
    <col min="3590" max="3591" width="1" style="53" customWidth="1"/>
    <col min="3592" max="3592" width="19.7109375" style="53" customWidth="1"/>
    <col min="3593" max="3594" width="1" style="53" customWidth="1"/>
    <col min="3595" max="3599" width="0" style="53" hidden="1" customWidth="1"/>
    <col min="3600" max="3601" width="1" style="53" customWidth="1"/>
    <col min="3602" max="3602" width="17.85546875" style="53" customWidth="1"/>
    <col min="3603" max="3604" width="1" style="53" customWidth="1"/>
    <col min="3605" max="3654" width="0" style="53" hidden="1" customWidth="1"/>
    <col min="3655" max="3656" width="1" style="53" customWidth="1"/>
    <col min="3657" max="3657" width="17.85546875" style="53" customWidth="1"/>
    <col min="3658" max="3661" width="1" style="53" customWidth="1"/>
    <col min="3662" max="3662" width="17.85546875" style="53" customWidth="1"/>
    <col min="3663" max="3664" width="1" style="53" customWidth="1"/>
    <col min="3665" max="3669" width="0" style="53" hidden="1" customWidth="1"/>
    <col min="3670" max="3671" width="1" style="53" customWidth="1"/>
    <col min="3672" max="3672" width="17.85546875" style="53" customWidth="1"/>
    <col min="3673" max="3674" width="1" style="53" customWidth="1"/>
    <col min="3675" max="3724" width="0" style="53" hidden="1" customWidth="1"/>
    <col min="3725" max="3726" width="1" style="53" customWidth="1"/>
    <col min="3727" max="3727" width="17.85546875" style="53" customWidth="1"/>
    <col min="3728" max="3729" width="1" style="53" customWidth="1"/>
    <col min="3730" max="3730" width="1.5703125" style="53" customWidth="1"/>
    <col min="3731" max="3731" width="0.7109375" style="53" customWidth="1"/>
    <col min="3732" max="3732" width="1.85546875" style="53" customWidth="1"/>
    <col min="3733" max="3733" width="10.7109375" style="53" customWidth="1"/>
    <col min="3734" max="3734" width="0" style="53" hidden="1" customWidth="1"/>
    <col min="3735" max="3840" width="10" style="53"/>
    <col min="3841" max="3841" width="1.5703125" style="53" customWidth="1"/>
    <col min="3842" max="3842" width="1.42578125" style="53" customWidth="1"/>
    <col min="3843" max="3843" width="57.5703125" style="53" customWidth="1"/>
    <col min="3844" max="3844" width="2.7109375" style="53" customWidth="1"/>
    <col min="3845" max="3845" width="0" style="53" hidden="1" customWidth="1"/>
    <col min="3846" max="3847" width="1" style="53" customWidth="1"/>
    <col min="3848" max="3848" width="19.7109375" style="53" customWidth="1"/>
    <col min="3849" max="3850" width="1" style="53" customWidth="1"/>
    <col min="3851" max="3855" width="0" style="53" hidden="1" customWidth="1"/>
    <col min="3856" max="3857" width="1" style="53" customWidth="1"/>
    <col min="3858" max="3858" width="17.85546875" style="53" customWidth="1"/>
    <col min="3859" max="3860" width="1" style="53" customWidth="1"/>
    <col min="3861" max="3910" width="0" style="53" hidden="1" customWidth="1"/>
    <col min="3911" max="3912" width="1" style="53" customWidth="1"/>
    <col min="3913" max="3913" width="17.85546875" style="53" customWidth="1"/>
    <col min="3914" max="3917" width="1" style="53" customWidth="1"/>
    <col min="3918" max="3918" width="17.85546875" style="53" customWidth="1"/>
    <col min="3919" max="3920" width="1" style="53" customWidth="1"/>
    <col min="3921" max="3925" width="0" style="53" hidden="1" customWidth="1"/>
    <col min="3926" max="3927" width="1" style="53" customWidth="1"/>
    <col min="3928" max="3928" width="17.85546875" style="53" customWidth="1"/>
    <col min="3929" max="3930" width="1" style="53" customWidth="1"/>
    <col min="3931" max="3980" width="0" style="53" hidden="1" customWidth="1"/>
    <col min="3981" max="3982" width="1" style="53" customWidth="1"/>
    <col min="3983" max="3983" width="17.85546875" style="53" customWidth="1"/>
    <col min="3984" max="3985" width="1" style="53" customWidth="1"/>
    <col min="3986" max="3986" width="1.5703125" style="53" customWidth="1"/>
    <col min="3987" max="3987" width="0.7109375" style="53" customWidth="1"/>
    <col min="3988" max="3988" width="1.85546875" style="53" customWidth="1"/>
    <col min="3989" max="3989" width="10.7109375" style="53" customWidth="1"/>
    <col min="3990" max="3990" width="0" style="53" hidden="1" customWidth="1"/>
    <col min="3991" max="4096" width="10" style="53"/>
    <col min="4097" max="4097" width="1.5703125" style="53" customWidth="1"/>
    <col min="4098" max="4098" width="1.42578125" style="53" customWidth="1"/>
    <col min="4099" max="4099" width="57.5703125" style="53" customWidth="1"/>
    <col min="4100" max="4100" width="2.7109375" style="53" customWidth="1"/>
    <col min="4101" max="4101" width="0" style="53" hidden="1" customWidth="1"/>
    <col min="4102" max="4103" width="1" style="53" customWidth="1"/>
    <col min="4104" max="4104" width="19.7109375" style="53" customWidth="1"/>
    <col min="4105" max="4106" width="1" style="53" customWidth="1"/>
    <col min="4107" max="4111" width="0" style="53" hidden="1" customWidth="1"/>
    <col min="4112" max="4113" width="1" style="53" customWidth="1"/>
    <col min="4114" max="4114" width="17.85546875" style="53" customWidth="1"/>
    <col min="4115" max="4116" width="1" style="53" customWidth="1"/>
    <col min="4117" max="4166" width="0" style="53" hidden="1" customWidth="1"/>
    <col min="4167" max="4168" width="1" style="53" customWidth="1"/>
    <col min="4169" max="4169" width="17.85546875" style="53" customWidth="1"/>
    <col min="4170" max="4173" width="1" style="53" customWidth="1"/>
    <col min="4174" max="4174" width="17.85546875" style="53" customWidth="1"/>
    <col min="4175" max="4176" width="1" style="53" customWidth="1"/>
    <col min="4177" max="4181" width="0" style="53" hidden="1" customWidth="1"/>
    <col min="4182" max="4183" width="1" style="53" customWidth="1"/>
    <col min="4184" max="4184" width="17.85546875" style="53" customWidth="1"/>
    <col min="4185" max="4186" width="1" style="53" customWidth="1"/>
    <col min="4187" max="4236" width="0" style="53" hidden="1" customWidth="1"/>
    <col min="4237" max="4238" width="1" style="53" customWidth="1"/>
    <col min="4239" max="4239" width="17.85546875" style="53" customWidth="1"/>
    <col min="4240" max="4241" width="1" style="53" customWidth="1"/>
    <col min="4242" max="4242" width="1.5703125" style="53" customWidth="1"/>
    <col min="4243" max="4243" width="0.7109375" style="53" customWidth="1"/>
    <col min="4244" max="4244" width="1.85546875" style="53" customWidth="1"/>
    <col min="4245" max="4245" width="10.7109375" style="53" customWidth="1"/>
    <col min="4246" max="4246" width="0" style="53" hidden="1" customWidth="1"/>
    <col min="4247" max="4352" width="10" style="53"/>
    <col min="4353" max="4353" width="1.5703125" style="53" customWidth="1"/>
    <col min="4354" max="4354" width="1.42578125" style="53" customWidth="1"/>
    <col min="4355" max="4355" width="57.5703125" style="53" customWidth="1"/>
    <col min="4356" max="4356" width="2.7109375" style="53" customWidth="1"/>
    <col min="4357" max="4357" width="0" style="53" hidden="1" customWidth="1"/>
    <col min="4358" max="4359" width="1" style="53" customWidth="1"/>
    <col min="4360" max="4360" width="19.7109375" style="53" customWidth="1"/>
    <col min="4361" max="4362" width="1" style="53" customWidth="1"/>
    <col min="4363" max="4367" width="0" style="53" hidden="1" customWidth="1"/>
    <col min="4368" max="4369" width="1" style="53" customWidth="1"/>
    <col min="4370" max="4370" width="17.85546875" style="53" customWidth="1"/>
    <col min="4371" max="4372" width="1" style="53" customWidth="1"/>
    <col min="4373" max="4422" width="0" style="53" hidden="1" customWidth="1"/>
    <col min="4423" max="4424" width="1" style="53" customWidth="1"/>
    <col min="4425" max="4425" width="17.85546875" style="53" customWidth="1"/>
    <col min="4426" max="4429" width="1" style="53" customWidth="1"/>
    <col min="4430" max="4430" width="17.85546875" style="53" customWidth="1"/>
    <col min="4431" max="4432" width="1" style="53" customWidth="1"/>
    <col min="4433" max="4437" width="0" style="53" hidden="1" customWidth="1"/>
    <col min="4438" max="4439" width="1" style="53" customWidth="1"/>
    <col min="4440" max="4440" width="17.85546875" style="53" customWidth="1"/>
    <col min="4441" max="4442" width="1" style="53" customWidth="1"/>
    <col min="4443" max="4492" width="0" style="53" hidden="1" customWidth="1"/>
    <col min="4493" max="4494" width="1" style="53" customWidth="1"/>
    <col min="4495" max="4495" width="17.85546875" style="53" customWidth="1"/>
    <col min="4496" max="4497" width="1" style="53" customWidth="1"/>
    <col min="4498" max="4498" width="1.5703125" style="53" customWidth="1"/>
    <col min="4499" max="4499" width="0.7109375" style="53" customWidth="1"/>
    <col min="4500" max="4500" width="1.85546875" style="53" customWidth="1"/>
    <col min="4501" max="4501" width="10.7109375" style="53" customWidth="1"/>
    <col min="4502" max="4502" width="0" style="53" hidden="1" customWidth="1"/>
    <col min="4503" max="4608" width="10" style="53"/>
    <col min="4609" max="4609" width="1.5703125" style="53" customWidth="1"/>
    <col min="4610" max="4610" width="1.42578125" style="53" customWidth="1"/>
    <col min="4611" max="4611" width="57.5703125" style="53" customWidth="1"/>
    <col min="4612" max="4612" width="2.7109375" style="53" customWidth="1"/>
    <col min="4613" max="4613" width="0" style="53" hidden="1" customWidth="1"/>
    <col min="4614" max="4615" width="1" style="53" customWidth="1"/>
    <col min="4616" max="4616" width="19.7109375" style="53" customWidth="1"/>
    <col min="4617" max="4618" width="1" style="53" customWidth="1"/>
    <col min="4619" max="4623" width="0" style="53" hidden="1" customWidth="1"/>
    <col min="4624" max="4625" width="1" style="53" customWidth="1"/>
    <col min="4626" max="4626" width="17.85546875" style="53" customWidth="1"/>
    <col min="4627" max="4628" width="1" style="53" customWidth="1"/>
    <col min="4629" max="4678" width="0" style="53" hidden="1" customWidth="1"/>
    <col min="4679" max="4680" width="1" style="53" customWidth="1"/>
    <col min="4681" max="4681" width="17.85546875" style="53" customWidth="1"/>
    <col min="4682" max="4685" width="1" style="53" customWidth="1"/>
    <col min="4686" max="4686" width="17.85546875" style="53" customWidth="1"/>
    <col min="4687" max="4688" width="1" style="53" customWidth="1"/>
    <col min="4689" max="4693" width="0" style="53" hidden="1" customWidth="1"/>
    <col min="4694" max="4695" width="1" style="53" customWidth="1"/>
    <col min="4696" max="4696" width="17.85546875" style="53" customWidth="1"/>
    <col min="4697" max="4698" width="1" style="53" customWidth="1"/>
    <col min="4699" max="4748" width="0" style="53" hidden="1" customWidth="1"/>
    <col min="4749" max="4750" width="1" style="53" customWidth="1"/>
    <col min="4751" max="4751" width="17.85546875" style="53" customWidth="1"/>
    <col min="4752" max="4753" width="1" style="53" customWidth="1"/>
    <col min="4754" max="4754" width="1.5703125" style="53" customWidth="1"/>
    <col min="4755" max="4755" width="0.7109375" style="53" customWidth="1"/>
    <col min="4756" max="4756" width="1.85546875" style="53" customWidth="1"/>
    <col min="4757" max="4757" width="10.7109375" style="53" customWidth="1"/>
    <col min="4758" max="4758" width="0" style="53" hidden="1" customWidth="1"/>
    <col min="4759" max="4864" width="10" style="53"/>
    <col min="4865" max="4865" width="1.5703125" style="53" customWidth="1"/>
    <col min="4866" max="4866" width="1.42578125" style="53" customWidth="1"/>
    <col min="4867" max="4867" width="57.5703125" style="53" customWidth="1"/>
    <col min="4868" max="4868" width="2.7109375" style="53" customWidth="1"/>
    <col min="4869" max="4869" width="0" style="53" hidden="1" customWidth="1"/>
    <col min="4870" max="4871" width="1" style="53" customWidth="1"/>
    <col min="4872" max="4872" width="19.7109375" style="53" customWidth="1"/>
    <col min="4873" max="4874" width="1" style="53" customWidth="1"/>
    <col min="4875" max="4879" width="0" style="53" hidden="1" customWidth="1"/>
    <col min="4880" max="4881" width="1" style="53" customWidth="1"/>
    <col min="4882" max="4882" width="17.85546875" style="53" customWidth="1"/>
    <col min="4883" max="4884" width="1" style="53" customWidth="1"/>
    <col min="4885" max="4934" width="0" style="53" hidden="1" customWidth="1"/>
    <col min="4935" max="4936" width="1" style="53" customWidth="1"/>
    <col min="4937" max="4937" width="17.85546875" style="53" customWidth="1"/>
    <col min="4938" max="4941" width="1" style="53" customWidth="1"/>
    <col min="4942" max="4942" width="17.85546875" style="53" customWidth="1"/>
    <col min="4943" max="4944" width="1" style="53" customWidth="1"/>
    <col min="4945" max="4949" width="0" style="53" hidden="1" customWidth="1"/>
    <col min="4950" max="4951" width="1" style="53" customWidth="1"/>
    <col min="4952" max="4952" width="17.85546875" style="53" customWidth="1"/>
    <col min="4953" max="4954" width="1" style="53" customWidth="1"/>
    <col min="4955" max="5004" width="0" style="53" hidden="1" customWidth="1"/>
    <col min="5005" max="5006" width="1" style="53" customWidth="1"/>
    <col min="5007" max="5007" width="17.85546875" style="53" customWidth="1"/>
    <col min="5008" max="5009" width="1" style="53" customWidth="1"/>
    <col min="5010" max="5010" width="1.5703125" style="53" customWidth="1"/>
    <col min="5011" max="5011" width="0.7109375" style="53" customWidth="1"/>
    <col min="5012" max="5012" width="1.85546875" style="53" customWidth="1"/>
    <col min="5013" max="5013" width="10.7109375" style="53" customWidth="1"/>
    <col min="5014" max="5014" width="0" style="53" hidden="1" customWidth="1"/>
    <col min="5015" max="5120" width="10" style="53"/>
    <col min="5121" max="5121" width="1.5703125" style="53" customWidth="1"/>
    <col min="5122" max="5122" width="1.42578125" style="53" customWidth="1"/>
    <col min="5123" max="5123" width="57.5703125" style="53" customWidth="1"/>
    <col min="5124" max="5124" width="2.7109375" style="53" customWidth="1"/>
    <col min="5125" max="5125" width="0" style="53" hidden="1" customWidth="1"/>
    <col min="5126" max="5127" width="1" style="53" customWidth="1"/>
    <col min="5128" max="5128" width="19.7109375" style="53" customWidth="1"/>
    <col min="5129" max="5130" width="1" style="53" customWidth="1"/>
    <col min="5131" max="5135" width="0" style="53" hidden="1" customWidth="1"/>
    <col min="5136" max="5137" width="1" style="53" customWidth="1"/>
    <col min="5138" max="5138" width="17.85546875" style="53" customWidth="1"/>
    <col min="5139" max="5140" width="1" style="53" customWidth="1"/>
    <col min="5141" max="5190" width="0" style="53" hidden="1" customWidth="1"/>
    <col min="5191" max="5192" width="1" style="53" customWidth="1"/>
    <col min="5193" max="5193" width="17.85546875" style="53" customWidth="1"/>
    <col min="5194" max="5197" width="1" style="53" customWidth="1"/>
    <col min="5198" max="5198" width="17.85546875" style="53" customWidth="1"/>
    <col min="5199" max="5200" width="1" style="53" customWidth="1"/>
    <col min="5201" max="5205" width="0" style="53" hidden="1" customWidth="1"/>
    <col min="5206" max="5207" width="1" style="53" customWidth="1"/>
    <col min="5208" max="5208" width="17.85546875" style="53" customWidth="1"/>
    <col min="5209" max="5210" width="1" style="53" customWidth="1"/>
    <col min="5211" max="5260" width="0" style="53" hidden="1" customWidth="1"/>
    <col min="5261" max="5262" width="1" style="53" customWidth="1"/>
    <col min="5263" max="5263" width="17.85546875" style="53" customWidth="1"/>
    <col min="5264" max="5265" width="1" style="53" customWidth="1"/>
    <col min="5266" max="5266" width="1.5703125" style="53" customWidth="1"/>
    <col min="5267" max="5267" width="0.7109375" style="53" customWidth="1"/>
    <col min="5268" max="5268" width="1.85546875" style="53" customWidth="1"/>
    <col min="5269" max="5269" width="10.7109375" style="53" customWidth="1"/>
    <col min="5270" max="5270" width="0" style="53" hidden="1" customWidth="1"/>
    <col min="5271" max="5376" width="10" style="53"/>
    <col min="5377" max="5377" width="1.5703125" style="53" customWidth="1"/>
    <col min="5378" max="5378" width="1.42578125" style="53" customWidth="1"/>
    <col min="5379" max="5379" width="57.5703125" style="53" customWidth="1"/>
    <col min="5380" max="5380" width="2.7109375" style="53" customWidth="1"/>
    <col min="5381" max="5381" width="0" style="53" hidden="1" customWidth="1"/>
    <col min="5382" max="5383" width="1" style="53" customWidth="1"/>
    <col min="5384" max="5384" width="19.7109375" style="53" customWidth="1"/>
    <col min="5385" max="5386" width="1" style="53" customWidth="1"/>
    <col min="5387" max="5391" width="0" style="53" hidden="1" customWidth="1"/>
    <col min="5392" max="5393" width="1" style="53" customWidth="1"/>
    <col min="5394" max="5394" width="17.85546875" style="53" customWidth="1"/>
    <col min="5395" max="5396" width="1" style="53" customWidth="1"/>
    <col min="5397" max="5446" width="0" style="53" hidden="1" customWidth="1"/>
    <col min="5447" max="5448" width="1" style="53" customWidth="1"/>
    <col min="5449" max="5449" width="17.85546875" style="53" customWidth="1"/>
    <col min="5450" max="5453" width="1" style="53" customWidth="1"/>
    <col min="5454" max="5454" width="17.85546875" style="53" customWidth="1"/>
    <col min="5455" max="5456" width="1" style="53" customWidth="1"/>
    <col min="5457" max="5461" width="0" style="53" hidden="1" customWidth="1"/>
    <col min="5462" max="5463" width="1" style="53" customWidth="1"/>
    <col min="5464" max="5464" width="17.85546875" style="53" customWidth="1"/>
    <col min="5465" max="5466" width="1" style="53" customWidth="1"/>
    <col min="5467" max="5516" width="0" style="53" hidden="1" customWidth="1"/>
    <col min="5517" max="5518" width="1" style="53" customWidth="1"/>
    <col min="5519" max="5519" width="17.85546875" style="53" customWidth="1"/>
    <col min="5520" max="5521" width="1" style="53" customWidth="1"/>
    <col min="5522" max="5522" width="1.5703125" style="53" customWidth="1"/>
    <col min="5523" max="5523" width="0.7109375" style="53" customWidth="1"/>
    <col min="5524" max="5524" width="1.85546875" style="53" customWidth="1"/>
    <col min="5525" max="5525" width="10.7109375" style="53" customWidth="1"/>
    <col min="5526" max="5526" width="0" style="53" hidden="1" customWidth="1"/>
    <col min="5527" max="5632" width="10" style="53"/>
    <col min="5633" max="5633" width="1.5703125" style="53" customWidth="1"/>
    <col min="5634" max="5634" width="1.42578125" style="53" customWidth="1"/>
    <col min="5635" max="5635" width="57.5703125" style="53" customWidth="1"/>
    <col min="5636" max="5636" width="2.7109375" style="53" customWidth="1"/>
    <col min="5637" max="5637" width="0" style="53" hidden="1" customWidth="1"/>
    <col min="5638" max="5639" width="1" style="53" customWidth="1"/>
    <col min="5640" max="5640" width="19.7109375" style="53" customWidth="1"/>
    <col min="5641" max="5642" width="1" style="53" customWidth="1"/>
    <col min="5643" max="5647" width="0" style="53" hidden="1" customWidth="1"/>
    <col min="5648" max="5649" width="1" style="53" customWidth="1"/>
    <col min="5650" max="5650" width="17.85546875" style="53" customWidth="1"/>
    <col min="5651" max="5652" width="1" style="53" customWidth="1"/>
    <col min="5653" max="5702" width="0" style="53" hidden="1" customWidth="1"/>
    <col min="5703" max="5704" width="1" style="53" customWidth="1"/>
    <col min="5705" max="5705" width="17.85546875" style="53" customWidth="1"/>
    <col min="5706" max="5709" width="1" style="53" customWidth="1"/>
    <col min="5710" max="5710" width="17.85546875" style="53" customWidth="1"/>
    <col min="5711" max="5712" width="1" style="53" customWidth="1"/>
    <col min="5713" max="5717" width="0" style="53" hidden="1" customWidth="1"/>
    <col min="5718" max="5719" width="1" style="53" customWidth="1"/>
    <col min="5720" max="5720" width="17.85546875" style="53" customWidth="1"/>
    <col min="5721" max="5722" width="1" style="53" customWidth="1"/>
    <col min="5723" max="5772" width="0" style="53" hidden="1" customWidth="1"/>
    <col min="5773" max="5774" width="1" style="53" customWidth="1"/>
    <col min="5775" max="5775" width="17.85546875" style="53" customWidth="1"/>
    <col min="5776" max="5777" width="1" style="53" customWidth="1"/>
    <col min="5778" max="5778" width="1.5703125" style="53" customWidth="1"/>
    <col min="5779" max="5779" width="0.7109375" style="53" customWidth="1"/>
    <col min="5780" max="5780" width="1.85546875" style="53" customWidth="1"/>
    <col min="5781" max="5781" width="10.7109375" style="53" customWidth="1"/>
    <col min="5782" max="5782" width="0" style="53" hidden="1" customWidth="1"/>
    <col min="5783" max="5888" width="10" style="53"/>
    <col min="5889" max="5889" width="1.5703125" style="53" customWidth="1"/>
    <col min="5890" max="5890" width="1.42578125" style="53" customWidth="1"/>
    <col min="5891" max="5891" width="57.5703125" style="53" customWidth="1"/>
    <col min="5892" max="5892" width="2.7109375" style="53" customWidth="1"/>
    <col min="5893" max="5893" width="0" style="53" hidden="1" customWidth="1"/>
    <col min="5894" max="5895" width="1" style="53" customWidth="1"/>
    <col min="5896" max="5896" width="19.7109375" style="53" customWidth="1"/>
    <col min="5897" max="5898" width="1" style="53" customWidth="1"/>
    <col min="5899" max="5903" width="0" style="53" hidden="1" customWidth="1"/>
    <col min="5904" max="5905" width="1" style="53" customWidth="1"/>
    <col min="5906" max="5906" width="17.85546875" style="53" customWidth="1"/>
    <col min="5907" max="5908" width="1" style="53" customWidth="1"/>
    <col min="5909" max="5958" width="0" style="53" hidden="1" customWidth="1"/>
    <col min="5959" max="5960" width="1" style="53" customWidth="1"/>
    <col min="5961" max="5961" width="17.85546875" style="53" customWidth="1"/>
    <col min="5962" max="5965" width="1" style="53" customWidth="1"/>
    <col min="5966" max="5966" width="17.85546875" style="53" customWidth="1"/>
    <col min="5967" max="5968" width="1" style="53" customWidth="1"/>
    <col min="5969" max="5973" width="0" style="53" hidden="1" customWidth="1"/>
    <col min="5974" max="5975" width="1" style="53" customWidth="1"/>
    <col min="5976" max="5976" width="17.85546875" style="53" customWidth="1"/>
    <col min="5977" max="5978" width="1" style="53" customWidth="1"/>
    <col min="5979" max="6028" width="0" style="53" hidden="1" customWidth="1"/>
    <col min="6029" max="6030" width="1" style="53" customWidth="1"/>
    <col min="6031" max="6031" width="17.85546875" style="53" customWidth="1"/>
    <col min="6032" max="6033" width="1" style="53" customWidth="1"/>
    <col min="6034" max="6034" width="1.5703125" style="53" customWidth="1"/>
    <col min="6035" max="6035" width="0.7109375" style="53" customWidth="1"/>
    <col min="6036" max="6036" width="1.85546875" style="53" customWidth="1"/>
    <col min="6037" max="6037" width="10.7109375" style="53" customWidth="1"/>
    <col min="6038" max="6038" width="0" style="53" hidden="1" customWidth="1"/>
    <col min="6039" max="6144" width="10" style="53"/>
    <col min="6145" max="6145" width="1.5703125" style="53" customWidth="1"/>
    <col min="6146" max="6146" width="1.42578125" style="53" customWidth="1"/>
    <col min="6147" max="6147" width="57.5703125" style="53" customWidth="1"/>
    <col min="6148" max="6148" width="2.7109375" style="53" customWidth="1"/>
    <col min="6149" max="6149" width="0" style="53" hidden="1" customWidth="1"/>
    <col min="6150" max="6151" width="1" style="53" customWidth="1"/>
    <col min="6152" max="6152" width="19.7109375" style="53" customWidth="1"/>
    <col min="6153" max="6154" width="1" style="53" customWidth="1"/>
    <col min="6155" max="6159" width="0" style="53" hidden="1" customWidth="1"/>
    <col min="6160" max="6161" width="1" style="53" customWidth="1"/>
    <col min="6162" max="6162" width="17.85546875" style="53" customWidth="1"/>
    <col min="6163" max="6164" width="1" style="53" customWidth="1"/>
    <col min="6165" max="6214" width="0" style="53" hidden="1" customWidth="1"/>
    <col min="6215" max="6216" width="1" style="53" customWidth="1"/>
    <col min="6217" max="6217" width="17.85546875" style="53" customWidth="1"/>
    <col min="6218" max="6221" width="1" style="53" customWidth="1"/>
    <col min="6222" max="6222" width="17.85546875" style="53" customWidth="1"/>
    <col min="6223" max="6224" width="1" style="53" customWidth="1"/>
    <col min="6225" max="6229" width="0" style="53" hidden="1" customWidth="1"/>
    <col min="6230" max="6231" width="1" style="53" customWidth="1"/>
    <col min="6232" max="6232" width="17.85546875" style="53" customWidth="1"/>
    <col min="6233" max="6234" width="1" style="53" customWidth="1"/>
    <col min="6235" max="6284" width="0" style="53" hidden="1" customWidth="1"/>
    <col min="6285" max="6286" width="1" style="53" customWidth="1"/>
    <col min="6287" max="6287" width="17.85546875" style="53" customWidth="1"/>
    <col min="6288" max="6289" width="1" style="53" customWidth="1"/>
    <col min="6290" max="6290" width="1.5703125" style="53" customWidth="1"/>
    <col min="6291" max="6291" width="0.7109375" style="53" customWidth="1"/>
    <col min="6292" max="6292" width="1.85546875" style="53" customWidth="1"/>
    <col min="6293" max="6293" width="10.7109375" style="53" customWidth="1"/>
    <col min="6294" max="6294" width="0" style="53" hidden="1" customWidth="1"/>
    <col min="6295" max="6400" width="10" style="53"/>
    <col min="6401" max="6401" width="1.5703125" style="53" customWidth="1"/>
    <col min="6402" max="6402" width="1.42578125" style="53" customWidth="1"/>
    <col min="6403" max="6403" width="57.5703125" style="53" customWidth="1"/>
    <col min="6404" max="6404" width="2.7109375" style="53" customWidth="1"/>
    <col min="6405" max="6405" width="0" style="53" hidden="1" customWidth="1"/>
    <col min="6406" max="6407" width="1" style="53" customWidth="1"/>
    <col min="6408" max="6408" width="19.7109375" style="53" customWidth="1"/>
    <col min="6409" max="6410" width="1" style="53" customWidth="1"/>
    <col min="6411" max="6415" width="0" style="53" hidden="1" customWidth="1"/>
    <col min="6416" max="6417" width="1" style="53" customWidth="1"/>
    <col min="6418" max="6418" width="17.85546875" style="53" customWidth="1"/>
    <col min="6419" max="6420" width="1" style="53" customWidth="1"/>
    <col min="6421" max="6470" width="0" style="53" hidden="1" customWidth="1"/>
    <col min="6471" max="6472" width="1" style="53" customWidth="1"/>
    <col min="6473" max="6473" width="17.85546875" style="53" customWidth="1"/>
    <col min="6474" max="6477" width="1" style="53" customWidth="1"/>
    <col min="6478" max="6478" width="17.85546875" style="53" customWidth="1"/>
    <col min="6479" max="6480" width="1" style="53" customWidth="1"/>
    <col min="6481" max="6485" width="0" style="53" hidden="1" customWidth="1"/>
    <col min="6486" max="6487" width="1" style="53" customWidth="1"/>
    <col min="6488" max="6488" width="17.85546875" style="53" customWidth="1"/>
    <col min="6489" max="6490" width="1" style="53" customWidth="1"/>
    <col min="6491" max="6540" width="0" style="53" hidden="1" customWidth="1"/>
    <col min="6541" max="6542" width="1" style="53" customWidth="1"/>
    <col min="6543" max="6543" width="17.85546875" style="53" customWidth="1"/>
    <col min="6544" max="6545" width="1" style="53" customWidth="1"/>
    <col min="6546" max="6546" width="1.5703125" style="53" customWidth="1"/>
    <col min="6547" max="6547" width="0.7109375" style="53" customWidth="1"/>
    <col min="6548" max="6548" width="1.85546875" style="53" customWidth="1"/>
    <col min="6549" max="6549" width="10.7109375" style="53" customWidth="1"/>
    <col min="6550" max="6550" width="0" style="53" hidden="1" customWidth="1"/>
    <col min="6551" max="6656" width="10" style="53"/>
    <col min="6657" max="6657" width="1.5703125" style="53" customWidth="1"/>
    <col min="6658" max="6658" width="1.42578125" style="53" customWidth="1"/>
    <col min="6659" max="6659" width="57.5703125" style="53" customWidth="1"/>
    <col min="6660" max="6660" width="2.7109375" style="53" customWidth="1"/>
    <col min="6661" max="6661" width="0" style="53" hidden="1" customWidth="1"/>
    <col min="6662" max="6663" width="1" style="53" customWidth="1"/>
    <col min="6664" max="6664" width="19.7109375" style="53" customWidth="1"/>
    <col min="6665" max="6666" width="1" style="53" customWidth="1"/>
    <col min="6667" max="6671" width="0" style="53" hidden="1" customWidth="1"/>
    <col min="6672" max="6673" width="1" style="53" customWidth="1"/>
    <col min="6674" max="6674" width="17.85546875" style="53" customWidth="1"/>
    <col min="6675" max="6676" width="1" style="53" customWidth="1"/>
    <col min="6677" max="6726" width="0" style="53" hidden="1" customWidth="1"/>
    <col min="6727" max="6728" width="1" style="53" customWidth="1"/>
    <col min="6729" max="6729" width="17.85546875" style="53" customWidth="1"/>
    <col min="6730" max="6733" width="1" style="53" customWidth="1"/>
    <col min="6734" max="6734" width="17.85546875" style="53" customWidth="1"/>
    <col min="6735" max="6736" width="1" style="53" customWidth="1"/>
    <col min="6737" max="6741" width="0" style="53" hidden="1" customWidth="1"/>
    <col min="6742" max="6743" width="1" style="53" customWidth="1"/>
    <col min="6744" max="6744" width="17.85546875" style="53" customWidth="1"/>
    <col min="6745" max="6746" width="1" style="53" customWidth="1"/>
    <col min="6747" max="6796" width="0" style="53" hidden="1" customWidth="1"/>
    <col min="6797" max="6798" width="1" style="53" customWidth="1"/>
    <col min="6799" max="6799" width="17.85546875" style="53" customWidth="1"/>
    <col min="6800" max="6801" width="1" style="53" customWidth="1"/>
    <col min="6802" max="6802" width="1.5703125" style="53" customWidth="1"/>
    <col min="6803" max="6803" width="0.7109375" style="53" customWidth="1"/>
    <col min="6804" max="6804" width="1.85546875" style="53" customWidth="1"/>
    <col min="6805" max="6805" width="10.7109375" style="53" customWidth="1"/>
    <col min="6806" max="6806" width="0" style="53" hidden="1" customWidth="1"/>
    <col min="6807" max="6912" width="10" style="53"/>
    <col min="6913" max="6913" width="1.5703125" style="53" customWidth="1"/>
    <col min="6914" max="6914" width="1.42578125" style="53" customWidth="1"/>
    <col min="6915" max="6915" width="57.5703125" style="53" customWidth="1"/>
    <col min="6916" max="6916" width="2.7109375" style="53" customWidth="1"/>
    <col min="6917" max="6917" width="0" style="53" hidden="1" customWidth="1"/>
    <col min="6918" max="6919" width="1" style="53" customWidth="1"/>
    <col min="6920" max="6920" width="19.7109375" style="53" customWidth="1"/>
    <col min="6921" max="6922" width="1" style="53" customWidth="1"/>
    <col min="6923" max="6927" width="0" style="53" hidden="1" customWidth="1"/>
    <col min="6928" max="6929" width="1" style="53" customWidth="1"/>
    <col min="6930" max="6930" width="17.85546875" style="53" customWidth="1"/>
    <col min="6931" max="6932" width="1" style="53" customWidth="1"/>
    <col min="6933" max="6982" width="0" style="53" hidden="1" customWidth="1"/>
    <col min="6983" max="6984" width="1" style="53" customWidth="1"/>
    <col min="6985" max="6985" width="17.85546875" style="53" customWidth="1"/>
    <col min="6986" max="6989" width="1" style="53" customWidth="1"/>
    <col min="6990" max="6990" width="17.85546875" style="53" customWidth="1"/>
    <col min="6991" max="6992" width="1" style="53" customWidth="1"/>
    <col min="6993" max="6997" width="0" style="53" hidden="1" customWidth="1"/>
    <col min="6998" max="6999" width="1" style="53" customWidth="1"/>
    <col min="7000" max="7000" width="17.85546875" style="53" customWidth="1"/>
    <col min="7001" max="7002" width="1" style="53" customWidth="1"/>
    <col min="7003" max="7052" width="0" style="53" hidden="1" customWidth="1"/>
    <col min="7053" max="7054" width="1" style="53" customWidth="1"/>
    <col min="7055" max="7055" width="17.85546875" style="53" customWidth="1"/>
    <col min="7056" max="7057" width="1" style="53" customWidth="1"/>
    <col min="7058" max="7058" width="1.5703125" style="53" customWidth="1"/>
    <col min="7059" max="7059" width="0.7109375" style="53" customWidth="1"/>
    <col min="7060" max="7060" width="1.85546875" style="53" customWidth="1"/>
    <col min="7061" max="7061" width="10.7109375" style="53" customWidth="1"/>
    <col min="7062" max="7062" width="0" style="53" hidden="1" customWidth="1"/>
    <col min="7063" max="7168" width="10" style="53"/>
    <col min="7169" max="7169" width="1.5703125" style="53" customWidth="1"/>
    <col min="7170" max="7170" width="1.42578125" style="53" customWidth="1"/>
    <col min="7171" max="7171" width="57.5703125" style="53" customWidth="1"/>
    <col min="7172" max="7172" width="2.7109375" style="53" customWidth="1"/>
    <col min="7173" max="7173" width="0" style="53" hidden="1" customWidth="1"/>
    <col min="7174" max="7175" width="1" style="53" customWidth="1"/>
    <col min="7176" max="7176" width="19.7109375" style="53" customWidth="1"/>
    <col min="7177" max="7178" width="1" style="53" customWidth="1"/>
    <col min="7179" max="7183" width="0" style="53" hidden="1" customWidth="1"/>
    <col min="7184" max="7185" width="1" style="53" customWidth="1"/>
    <col min="7186" max="7186" width="17.85546875" style="53" customWidth="1"/>
    <col min="7187" max="7188" width="1" style="53" customWidth="1"/>
    <col min="7189" max="7238" width="0" style="53" hidden="1" customWidth="1"/>
    <col min="7239" max="7240" width="1" style="53" customWidth="1"/>
    <col min="7241" max="7241" width="17.85546875" style="53" customWidth="1"/>
    <col min="7242" max="7245" width="1" style="53" customWidth="1"/>
    <col min="7246" max="7246" width="17.85546875" style="53" customWidth="1"/>
    <col min="7247" max="7248" width="1" style="53" customWidth="1"/>
    <col min="7249" max="7253" width="0" style="53" hidden="1" customWidth="1"/>
    <col min="7254" max="7255" width="1" style="53" customWidth="1"/>
    <col min="7256" max="7256" width="17.85546875" style="53" customWidth="1"/>
    <col min="7257" max="7258" width="1" style="53" customWidth="1"/>
    <col min="7259" max="7308" width="0" style="53" hidden="1" customWidth="1"/>
    <col min="7309" max="7310" width="1" style="53" customWidth="1"/>
    <col min="7311" max="7311" width="17.85546875" style="53" customWidth="1"/>
    <col min="7312" max="7313" width="1" style="53" customWidth="1"/>
    <col min="7314" max="7314" width="1.5703125" style="53" customWidth="1"/>
    <col min="7315" max="7315" width="0.7109375" style="53" customWidth="1"/>
    <col min="7316" max="7316" width="1.85546875" style="53" customWidth="1"/>
    <col min="7317" max="7317" width="10.7109375" style="53" customWidth="1"/>
    <col min="7318" max="7318" width="0" style="53" hidden="1" customWidth="1"/>
    <col min="7319" max="7424" width="10" style="53"/>
    <col min="7425" max="7425" width="1.5703125" style="53" customWidth="1"/>
    <col min="7426" max="7426" width="1.42578125" style="53" customWidth="1"/>
    <col min="7427" max="7427" width="57.5703125" style="53" customWidth="1"/>
    <col min="7428" max="7428" width="2.7109375" style="53" customWidth="1"/>
    <col min="7429" max="7429" width="0" style="53" hidden="1" customWidth="1"/>
    <col min="7430" max="7431" width="1" style="53" customWidth="1"/>
    <col min="7432" max="7432" width="19.7109375" style="53" customWidth="1"/>
    <col min="7433" max="7434" width="1" style="53" customWidth="1"/>
    <col min="7435" max="7439" width="0" style="53" hidden="1" customWidth="1"/>
    <col min="7440" max="7441" width="1" style="53" customWidth="1"/>
    <col min="7442" max="7442" width="17.85546875" style="53" customWidth="1"/>
    <col min="7443" max="7444" width="1" style="53" customWidth="1"/>
    <col min="7445" max="7494" width="0" style="53" hidden="1" customWidth="1"/>
    <col min="7495" max="7496" width="1" style="53" customWidth="1"/>
    <col min="7497" max="7497" width="17.85546875" style="53" customWidth="1"/>
    <col min="7498" max="7501" width="1" style="53" customWidth="1"/>
    <col min="7502" max="7502" width="17.85546875" style="53" customWidth="1"/>
    <col min="7503" max="7504" width="1" style="53" customWidth="1"/>
    <col min="7505" max="7509" width="0" style="53" hidden="1" customWidth="1"/>
    <col min="7510" max="7511" width="1" style="53" customWidth="1"/>
    <col min="7512" max="7512" width="17.85546875" style="53" customWidth="1"/>
    <col min="7513" max="7514" width="1" style="53" customWidth="1"/>
    <col min="7515" max="7564" width="0" style="53" hidden="1" customWidth="1"/>
    <col min="7565" max="7566" width="1" style="53" customWidth="1"/>
    <col min="7567" max="7567" width="17.85546875" style="53" customWidth="1"/>
    <col min="7568" max="7569" width="1" style="53" customWidth="1"/>
    <col min="7570" max="7570" width="1.5703125" style="53" customWidth="1"/>
    <col min="7571" max="7571" width="0.7109375" style="53" customWidth="1"/>
    <col min="7572" max="7572" width="1.85546875" style="53" customWidth="1"/>
    <col min="7573" max="7573" width="10.7109375" style="53" customWidth="1"/>
    <col min="7574" max="7574" width="0" style="53" hidden="1" customWidth="1"/>
    <col min="7575" max="7680" width="10" style="53"/>
    <col min="7681" max="7681" width="1.5703125" style="53" customWidth="1"/>
    <col min="7682" max="7682" width="1.42578125" style="53" customWidth="1"/>
    <col min="7683" max="7683" width="57.5703125" style="53" customWidth="1"/>
    <col min="7684" max="7684" width="2.7109375" style="53" customWidth="1"/>
    <col min="7685" max="7685" width="0" style="53" hidden="1" customWidth="1"/>
    <col min="7686" max="7687" width="1" style="53" customWidth="1"/>
    <col min="7688" max="7688" width="19.7109375" style="53" customWidth="1"/>
    <col min="7689" max="7690" width="1" style="53" customWidth="1"/>
    <col min="7691" max="7695" width="0" style="53" hidden="1" customWidth="1"/>
    <col min="7696" max="7697" width="1" style="53" customWidth="1"/>
    <col min="7698" max="7698" width="17.85546875" style="53" customWidth="1"/>
    <col min="7699" max="7700" width="1" style="53" customWidth="1"/>
    <col min="7701" max="7750" width="0" style="53" hidden="1" customWidth="1"/>
    <col min="7751" max="7752" width="1" style="53" customWidth="1"/>
    <col min="7753" max="7753" width="17.85546875" style="53" customWidth="1"/>
    <col min="7754" max="7757" width="1" style="53" customWidth="1"/>
    <col min="7758" max="7758" width="17.85546875" style="53" customWidth="1"/>
    <col min="7759" max="7760" width="1" style="53" customWidth="1"/>
    <col min="7761" max="7765" width="0" style="53" hidden="1" customWidth="1"/>
    <col min="7766" max="7767" width="1" style="53" customWidth="1"/>
    <col min="7768" max="7768" width="17.85546875" style="53" customWidth="1"/>
    <col min="7769" max="7770" width="1" style="53" customWidth="1"/>
    <col min="7771" max="7820" width="0" style="53" hidden="1" customWidth="1"/>
    <col min="7821" max="7822" width="1" style="53" customWidth="1"/>
    <col min="7823" max="7823" width="17.85546875" style="53" customWidth="1"/>
    <col min="7824" max="7825" width="1" style="53" customWidth="1"/>
    <col min="7826" max="7826" width="1.5703125" style="53" customWidth="1"/>
    <col min="7827" max="7827" width="0.7109375" style="53" customWidth="1"/>
    <col min="7828" max="7828" width="1.85546875" style="53" customWidth="1"/>
    <col min="7829" max="7829" width="10.7109375" style="53" customWidth="1"/>
    <col min="7830" max="7830" width="0" style="53" hidden="1" customWidth="1"/>
    <col min="7831" max="7936" width="10" style="53"/>
    <col min="7937" max="7937" width="1.5703125" style="53" customWidth="1"/>
    <col min="7938" max="7938" width="1.42578125" style="53" customWidth="1"/>
    <col min="7939" max="7939" width="57.5703125" style="53" customWidth="1"/>
    <col min="7940" max="7940" width="2.7109375" style="53" customWidth="1"/>
    <col min="7941" max="7941" width="0" style="53" hidden="1" customWidth="1"/>
    <col min="7942" max="7943" width="1" style="53" customWidth="1"/>
    <col min="7944" max="7944" width="19.7109375" style="53" customWidth="1"/>
    <col min="7945" max="7946" width="1" style="53" customWidth="1"/>
    <col min="7947" max="7951" width="0" style="53" hidden="1" customWidth="1"/>
    <col min="7952" max="7953" width="1" style="53" customWidth="1"/>
    <col min="7954" max="7954" width="17.85546875" style="53" customWidth="1"/>
    <col min="7955" max="7956" width="1" style="53" customWidth="1"/>
    <col min="7957" max="8006" width="0" style="53" hidden="1" customWidth="1"/>
    <col min="8007" max="8008" width="1" style="53" customWidth="1"/>
    <col min="8009" max="8009" width="17.85546875" style="53" customWidth="1"/>
    <col min="8010" max="8013" width="1" style="53" customWidth="1"/>
    <col min="8014" max="8014" width="17.85546875" style="53" customWidth="1"/>
    <col min="8015" max="8016" width="1" style="53" customWidth="1"/>
    <col min="8017" max="8021" width="0" style="53" hidden="1" customWidth="1"/>
    <col min="8022" max="8023" width="1" style="53" customWidth="1"/>
    <col min="8024" max="8024" width="17.85546875" style="53" customWidth="1"/>
    <col min="8025" max="8026" width="1" style="53" customWidth="1"/>
    <col min="8027" max="8076" width="0" style="53" hidden="1" customWidth="1"/>
    <col min="8077" max="8078" width="1" style="53" customWidth="1"/>
    <col min="8079" max="8079" width="17.85546875" style="53" customWidth="1"/>
    <col min="8080" max="8081" width="1" style="53" customWidth="1"/>
    <col min="8082" max="8082" width="1.5703125" style="53" customWidth="1"/>
    <col min="8083" max="8083" width="0.7109375" style="53" customWidth="1"/>
    <col min="8084" max="8084" width="1.85546875" style="53" customWidth="1"/>
    <col min="8085" max="8085" width="10.7109375" style="53" customWidth="1"/>
    <col min="8086" max="8086" width="0" style="53" hidden="1" customWidth="1"/>
    <col min="8087" max="8192" width="10" style="53"/>
    <col min="8193" max="8193" width="1.5703125" style="53" customWidth="1"/>
    <col min="8194" max="8194" width="1.42578125" style="53" customWidth="1"/>
    <col min="8195" max="8195" width="57.5703125" style="53" customWidth="1"/>
    <col min="8196" max="8196" width="2.7109375" style="53" customWidth="1"/>
    <col min="8197" max="8197" width="0" style="53" hidden="1" customWidth="1"/>
    <col min="8198" max="8199" width="1" style="53" customWidth="1"/>
    <col min="8200" max="8200" width="19.7109375" style="53" customWidth="1"/>
    <col min="8201" max="8202" width="1" style="53" customWidth="1"/>
    <col min="8203" max="8207" width="0" style="53" hidden="1" customWidth="1"/>
    <col min="8208" max="8209" width="1" style="53" customWidth="1"/>
    <col min="8210" max="8210" width="17.85546875" style="53" customWidth="1"/>
    <col min="8211" max="8212" width="1" style="53" customWidth="1"/>
    <col min="8213" max="8262" width="0" style="53" hidden="1" customWidth="1"/>
    <col min="8263" max="8264" width="1" style="53" customWidth="1"/>
    <col min="8265" max="8265" width="17.85546875" style="53" customWidth="1"/>
    <col min="8266" max="8269" width="1" style="53" customWidth="1"/>
    <col min="8270" max="8270" width="17.85546875" style="53" customWidth="1"/>
    <col min="8271" max="8272" width="1" style="53" customWidth="1"/>
    <col min="8273" max="8277" width="0" style="53" hidden="1" customWidth="1"/>
    <col min="8278" max="8279" width="1" style="53" customWidth="1"/>
    <col min="8280" max="8280" width="17.85546875" style="53" customWidth="1"/>
    <col min="8281" max="8282" width="1" style="53" customWidth="1"/>
    <col min="8283" max="8332" width="0" style="53" hidden="1" customWidth="1"/>
    <col min="8333" max="8334" width="1" style="53" customWidth="1"/>
    <col min="8335" max="8335" width="17.85546875" style="53" customWidth="1"/>
    <col min="8336" max="8337" width="1" style="53" customWidth="1"/>
    <col min="8338" max="8338" width="1.5703125" style="53" customWidth="1"/>
    <col min="8339" max="8339" width="0.7109375" style="53" customWidth="1"/>
    <col min="8340" max="8340" width="1.85546875" style="53" customWidth="1"/>
    <col min="8341" max="8341" width="10.7109375" style="53" customWidth="1"/>
    <col min="8342" max="8342" width="0" style="53" hidden="1" customWidth="1"/>
    <col min="8343" max="8448" width="10" style="53"/>
    <col min="8449" max="8449" width="1.5703125" style="53" customWidth="1"/>
    <col min="8450" max="8450" width="1.42578125" style="53" customWidth="1"/>
    <col min="8451" max="8451" width="57.5703125" style="53" customWidth="1"/>
    <col min="8452" max="8452" width="2.7109375" style="53" customWidth="1"/>
    <col min="8453" max="8453" width="0" style="53" hidden="1" customWidth="1"/>
    <col min="8454" max="8455" width="1" style="53" customWidth="1"/>
    <col min="8456" max="8456" width="19.7109375" style="53" customWidth="1"/>
    <col min="8457" max="8458" width="1" style="53" customWidth="1"/>
    <col min="8459" max="8463" width="0" style="53" hidden="1" customWidth="1"/>
    <col min="8464" max="8465" width="1" style="53" customWidth="1"/>
    <col min="8466" max="8466" width="17.85546875" style="53" customWidth="1"/>
    <col min="8467" max="8468" width="1" style="53" customWidth="1"/>
    <col min="8469" max="8518" width="0" style="53" hidden="1" customWidth="1"/>
    <col min="8519" max="8520" width="1" style="53" customWidth="1"/>
    <col min="8521" max="8521" width="17.85546875" style="53" customWidth="1"/>
    <col min="8522" max="8525" width="1" style="53" customWidth="1"/>
    <col min="8526" max="8526" width="17.85546875" style="53" customWidth="1"/>
    <col min="8527" max="8528" width="1" style="53" customWidth="1"/>
    <col min="8529" max="8533" width="0" style="53" hidden="1" customWidth="1"/>
    <col min="8534" max="8535" width="1" style="53" customWidth="1"/>
    <col min="8536" max="8536" width="17.85546875" style="53" customWidth="1"/>
    <col min="8537" max="8538" width="1" style="53" customWidth="1"/>
    <col min="8539" max="8588" width="0" style="53" hidden="1" customWidth="1"/>
    <col min="8589" max="8590" width="1" style="53" customWidth="1"/>
    <col min="8591" max="8591" width="17.85546875" style="53" customWidth="1"/>
    <col min="8592" max="8593" width="1" style="53" customWidth="1"/>
    <col min="8594" max="8594" width="1.5703125" style="53" customWidth="1"/>
    <col min="8595" max="8595" width="0.7109375" style="53" customWidth="1"/>
    <col min="8596" max="8596" width="1.85546875" style="53" customWidth="1"/>
    <col min="8597" max="8597" width="10.7109375" style="53" customWidth="1"/>
    <col min="8598" max="8598" width="0" style="53" hidden="1" customWidth="1"/>
    <col min="8599" max="8704" width="10" style="53"/>
    <col min="8705" max="8705" width="1.5703125" style="53" customWidth="1"/>
    <col min="8706" max="8706" width="1.42578125" style="53" customWidth="1"/>
    <col min="8707" max="8707" width="57.5703125" style="53" customWidth="1"/>
    <col min="8708" max="8708" width="2.7109375" style="53" customWidth="1"/>
    <col min="8709" max="8709" width="0" style="53" hidden="1" customWidth="1"/>
    <col min="8710" max="8711" width="1" style="53" customWidth="1"/>
    <col min="8712" max="8712" width="19.7109375" style="53" customWidth="1"/>
    <col min="8713" max="8714" width="1" style="53" customWidth="1"/>
    <col min="8715" max="8719" width="0" style="53" hidden="1" customWidth="1"/>
    <col min="8720" max="8721" width="1" style="53" customWidth="1"/>
    <col min="8722" max="8722" width="17.85546875" style="53" customWidth="1"/>
    <col min="8723" max="8724" width="1" style="53" customWidth="1"/>
    <col min="8725" max="8774" width="0" style="53" hidden="1" customWidth="1"/>
    <col min="8775" max="8776" width="1" style="53" customWidth="1"/>
    <col min="8777" max="8777" width="17.85546875" style="53" customWidth="1"/>
    <col min="8778" max="8781" width="1" style="53" customWidth="1"/>
    <col min="8782" max="8782" width="17.85546875" style="53" customWidth="1"/>
    <col min="8783" max="8784" width="1" style="53" customWidth="1"/>
    <col min="8785" max="8789" width="0" style="53" hidden="1" customWidth="1"/>
    <col min="8790" max="8791" width="1" style="53" customWidth="1"/>
    <col min="8792" max="8792" width="17.85546875" style="53" customWidth="1"/>
    <col min="8793" max="8794" width="1" style="53" customWidth="1"/>
    <col min="8795" max="8844" width="0" style="53" hidden="1" customWidth="1"/>
    <col min="8845" max="8846" width="1" style="53" customWidth="1"/>
    <col min="8847" max="8847" width="17.85546875" style="53" customWidth="1"/>
    <col min="8848" max="8849" width="1" style="53" customWidth="1"/>
    <col min="8850" max="8850" width="1.5703125" style="53" customWidth="1"/>
    <col min="8851" max="8851" width="0.7109375" style="53" customWidth="1"/>
    <col min="8852" max="8852" width="1.85546875" style="53" customWidth="1"/>
    <col min="8853" max="8853" width="10.7109375" style="53" customWidth="1"/>
    <col min="8854" max="8854" width="0" style="53" hidden="1" customWidth="1"/>
    <col min="8855" max="8960" width="10" style="53"/>
    <col min="8961" max="8961" width="1.5703125" style="53" customWidth="1"/>
    <col min="8962" max="8962" width="1.42578125" style="53" customWidth="1"/>
    <col min="8963" max="8963" width="57.5703125" style="53" customWidth="1"/>
    <col min="8964" max="8964" width="2.7109375" style="53" customWidth="1"/>
    <col min="8965" max="8965" width="0" style="53" hidden="1" customWidth="1"/>
    <col min="8966" max="8967" width="1" style="53" customWidth="1"/>
    <col min="8968" max="8968" width="19.7109375" style="53" customWidth="1"/>
    <col min="8969" max="8970" width="1" style="53" customWidth="1"/>
    <col min="8971" max="8975" width="0" style="53" hidden="1" customWidth="1"/>
    <col min="8976" max="8977" width="1" style="53" customWidth="1"/>
    <col min="8978" max="8978" width="17.85546875" style="53" customWidth="1"/>
    <col min="8979" max="8980" width="1" style="53" customWidth="1"/>
    <col min="8981" max="9030" width="0" style="53" hidden="1" customWidth="1"/>
    <col min="9031" max="9032" width="1" style="53" customWidth="1"/>
    <col min="9033" max="9033" width="17.85546875" style="53" customWidth="1"/>
    <col min="9034" max="9037" width="1" style="53" customWidth="1"/>
    <col min="9038" max="9038" width="17.85546875" style="53" customWidth="1"/>
    <col min="9039" max="9040" width="1" style="53" customWidth="1"/>
    <col min="9041" max="9045" width="0" style="53" hidden="1" customWidth="1"/>
    <col min="9046" max="9047" width="1" style="53" customWidth="1"/>
    <col min="9048" max="9048" width="17.85546875" style="53" customWidth="1"/>
    <col min="9049" max="9050" width="1" style="53" customWidth="1"/>
    <col min="9051" max="9100" width="0" style="53" hidden="1" customWidth="1"/>
    <col min="9101" max="9102" width="1" style="53" customWidth="1"/>
    <col min="9103" max="9103" width="17.85546875" style="53" customWidth="1"/>
    <col min="9104" max="9105" width="1" style="53" customWidth="1"/>
    <col min="9106" max="9106" width="1.5703125" style="53" customWidth="1"/>
    <col min="9107" max="9107" width="0.7109375" style="53" customWidth="1"/>
    <col min="9108" max="9108" width="1.85546875" style="53" customWidth="1"/>
    <col min="9109" max="9109" width="10.7109375" style="53" customWidth="1"/>
    <col min="9110" max="9110" width="0" style="53" hidden="1" customWidth="1"/>
    <col min="9111" max="9216" width="10" style="53"/>
    <col min="9217" max="9217" width="1.5703125" style="53" customWidth="1"/>
    <col min="9218" max="9218" width="1.42578125" style="53" customWidth="1"/>
    <col min="9219" max="9219" width="57.5703125" style="53" customWidth="1"/>
    <col min="9220" max="9220" width="2.7109375" style="53" customWidth="1"/>
    <col min="9221" max="9221" width="0" style="53" hidden="1" customWidth="1"/>
    <col min="9222" max="9223" width="1" style="53" customWidth="1"/>
    <col min="9224" max="9224" width="19.7109375" style="53" customWidth="1"/>
    <col min="9225" max="9226" width="1" style="53" customWidth="1"/>
    <col min="9227" max="9231" width="0" style="53" hidden="1" customWidth="1"/>
    <col min="9232" max="9233" width="1" style="53" customWidth="1"/>
    <col min="9234" max="9234" width="17.85546875" style="53" customWidth="1"/>
    <col min="9235" max="9236" width="1" style="53" customWidth="1"/>
    <col min="9237" max="9286" width="0" style="53" hidden="1" customWidth="1"/>
    <col min="9287" max="9288" width="1" style="53" customWidth="1"/>
    <col min="9289" max="9289" width="17.85546875" style="53" customWidth="1"/>
    <col min="9290" max="9293" width="1" style="53" customWidth="1"/>
    <col min="9294" max="9294" width="17.85546875" style="53" customWidth="1"/>
    <col min="9295" max="9296" width="1" style="53" customWidth="1"/>
    <col min="9297" max="9301" width="0" style="53" hidden="1" customWidth="1"/>
    <col min="9302" max="9303" width="1" style="53" customWidth="1"/>
    <col min="9304" max="9304" width="17.85546875" style="53" customWidth="1"/>
    <col min="9305" max="9306" width="1" style="53" customWidth="1"/>
    <col min="9307" max="9356" width="0" style="53" hidden="1" customWidth="1"/>
    <col min="9357" max="9358" width="1" style="53" customWidth="1"/>
    <col min="9359" max="9359" width="17.85546875" style="53" customWidth="1"/>
    <col min="9360" max="9361" width="1" style="53" customWidth="1"/>
    <col min="9362" max="9362" width="1.5703125" style="53" customWidth="1"/>
    <col min="9363" max="9363" width="0.7109375" style="53" customWidth="1"/>
    <col min="9364" max="9364" width="1.85546875" style="53" customWidth="1"/>
    <col min="9365" max="9365" width="10.7109375" style="53" customWidth="1"/>
    <col min="9366" max="9366" width="0" style="53" hidden="1" customWidth="1"/>
    <col min="9367" max="9472" width="10" style="53"/>
    <col min="9473" max="9473" width="1.5703125" style="53" customWidth="1"/>
    <col min="9474" max="9474" width="1.42578125" style="53" customWidth="1"/>
    <col min="9475" max="9475" width="57.5703125" style="53" customWidth="1"/>
    <col min="9476" max="9476" width="2.7109375" style="53" customWidth="1"/>
    <col min="9477" max="9477" width="0" style="53" hidden="1" customWidth="1"/>
    <col min="9478" max="9479" width="1" style="53" customWidth="1"/>
    <col min="9480" max="9480" width="19.7109375" style="53" customWidth="1"/>
    <col min="9481" max="9482" width="1" style="53" customWidth="1"/>
    <col min="9483" max="9487" width="0" style="53" hidden="1" customWidth="1"/>
    <col min="9488" max="9489" width="1" style="53" customWidth="1"/>
    <col min="9490" max="9490" width="17.85546875" style="53" customWidth="1"/>
    <col min="9491" max="9492" width="1" style="53" customWidth="1"/>
    <col min="9493" max="9542" width="0" style="53" hidden="1" customWidth="1"/>
    <col min="9543" max="9544" width="1" style="53" customWidth="1"/>
    <col min="9545" max="9545" width="17.85546875" style="53" customWidth="1"/>
    <col min="9546" max="9549" width="1" style="53" customWidth="1"/>
    <col min="9550" max="9550" width="17.85546875" style="53" customWidth="1"/>
    <col min="9551" max="9552" width="1" style="53" customWidth="1"/>
    <col min="9553" max="9557" width="0" style="53" hidden="1" customWidth="1"/>
    <col min="9558" max="9559" width="1" style="53" customWidth="1"/>
    <col min="9560" max="9560" width="17.85546875" style="53" customWidth="1"/>
    <col min="9561" max="9562" width="1" style="53" customWidth="1"/>
    <col min="9563" max="9612" width="0" style="53" hidden="1" customWidth="1"/>
    <col min="9613" max="9614" width="1" style="53" customWidth="1"/>
    <col min="9615" max="9615" width="17.85546875" style="53" customWidth="1"/>
    <col min="9616" max="9617" width="1" style="53" customWidth="1"/>
    <col min="9618" max="9618" width="1.5703125" style="53" customWidth="1"/>
    <col min="9619" max="9619" width="0.7109375" style="53" customWidth="1"/>
    <col min="9620" max="9620" width="1.85546875" style="53" customWidth="1"/>
    <col min="9621" max="9621" width="10.7109375" style="53" customWidth="1"/>
    <col min="9622" max="9622" width="0" style="53" hidden="1" customWidth="1"/>
    <col min="9623" max="9728" width="10" style="53"/>
    <col min="9729" max="9729" width="1.5703125" style="53" customWidth="1"/>
    <col min="9730" max="9730" width="1.42578125" style="53" customWidth="1"/>
    <col min="9731" max="9731" width="57.5703125" style="53" customWidth="1"/>
    <col min="9732" max="9732" width="2.7109375" style="53" customWidth="1"/>
    <col min="9733" max="9733" width="0" style="53" hidden="1" customWidth="1"/>
    <col min="9734" max="9735" width="1" style="53" customWidth="1"/>
    <col min="9736" max="9736" width="19.7109375" style="53" customWidth="1"/>
    <col min="9737" max="9738" width="1" style="53" customWidth="1"/>
    <col min="9739" max="9743" width="0" style="53" hidden="1" customWidth="1"/>
    <col min="9744" max="9745" width="1" style="53" customWidth="1"/>
    <col min="9746" max="9746" width="17.85546875" style="53" customWidth="1"/>
    <col min="9747" max="9748" width="1" style="53" customWidth="1"/>
    <col min="9749" max="9798" width="0" style="53" hidden="1" customWidth="1"/>
    <col min="9799" max="9800" width="1" style="53" customWidth="1"/>
    <col min="9801" max="9801" width="17.85546875" style="53" customWidth="1"/>
    <col min="9802" max="9805" width="1" style="53" customWidth="1"/>
    <col min="9806" max="9806" width="17.85546875" style="53" customWidth="1"/>
    <col min="9807" max="9808" width="1" style="53" customWidth="1"/>
    <col min="9809" max="9813" width="0" style="53" hidden="1" customWidth="1"/>
    <col min="9814" max="9815" width="1" style="53" customWidth="1"/>
    <col min="9816" max="9816" width="17.85546875" style="53" customWidth="1"/>
    <col min="9817" max="9818" width="1" style="53" customWidth="1"/>
    <col min="9819" max="9868" width="0" style="53" hidden="1" customWidth="1"/>
    <col min="9869" max="9870" width="1" style="53" customWidth="1"/>
    <col min="9871" max="9871" width="17.85546875" style="53" customWidth="1"/>
    <col min="9872" max="9873" width="1" style="53" customWidth="1"/>
    <col min="9874" max="9874" width="1.5703125" style="53" customWidth="1"/>
    <col min="9875" max="9875" width="0.7109375" style="53" customWidth="1"/>
    <col min="9876" max="9876" width="1.85546875" style="53" customWidth="1"/>
    <col min="9877" max="9877" width="10.7109375" style="53" customWidth="1"/>
    <col min="9878" max="9878" width="0" style="53" hidden="1" customWidth="1"/>
    <col min="9879" max="9984" width="10" style="53"/>
    <col min="9985" max="9985" width="1.5703125" style="53" customWidth="1"/>
    <col min="9986" max="9986" width="1.42578125" style="53" customWidth="1"/>
    <col min="9987" max="9987" width="57.5703125" style="53" customWidth="1"/>
    <col min="9988" max="9988" width="2.7109375" style="53" customWidth="1"/>
    <col min="9989" max="9989" width="0" style="53" hidden="1" customWidth="1"/>
    <col min="9990" max="9991" width="1" style="53" customWidth="1"/>
    <col min="9992" max="9992" width="19.7109375" style="53" customWidth="1"/>
    <col min="9993" max="9994" width="1" style="53" customWidth="1"/>
    <col min="9995" max="9999" width="0" style="53" hidden="1" customWidth="1"/>
    <col min="10000" max="10001" width="1" style="53" customWidth="1"/>
    <col min="10002" max="10002" width="17.85546875" style="53" customWidth="1"/>
    <col min="10003" max="10004" width="1" style="53" customWidth="1"/>
    <col min="10005" max="10054" width="0" style="53" hidden="1" customWidth="1"/>
    <col min="10055" max="10056" width="1" style="53" customWidth="1"/>
    <col min="10057" max="10057" width="17.85546875" style="53" customWidth="1"/>
    <col min="10058" max="10061" width="1" style="53" customWidth="1"/>
    <col min="10062" max="10062" width="17.85546875" style="53" customWidth="1"/>
    <col min="10063" max="10064" width="1" style="53" customWidth="1"/>
    <col min="10065" max="10069" width="0" style="53" hidden="1" customWidth="1"/>
    <col min="10070" max="10071" width="1" style="53" customWidth="1"/>
    <col min="10072" max="10072" width="17.85546875" style="53" customWidth="1"/>
    <col min="10073" max="10074" width="1" style="53" customWidth="1"/>
    <col min="10075" max="10124" width="0" style="53" hidden="1" customWidth="1"/>
    <col min="10125" max="10126" width="1" style="53" customWidth="1"/>
    <col min="10127" max="10127" width="17.85546875" style="53" customWidth="1"/>
    <col min="10128" max="10129" width="1" style="53" customWidth="1"/>
    <col min="10130" max="10130" width="1.5703125" style="53" customWidth="1"/>
    <col min="10131" max="10131" width="0.7109375" style="53" customWidth="1"/>
    <col min="10132" max="10132" width="1.85546875" style="53" customWidth="1"/>
    <col min="10133" max="10133" width="10.7109375" style="53" customWidth="1"/>
    <col min="10134" max="10134" width="0" style="53" hidden="1" customWidth="1"/>
    <col min="10135" max="10240" width="10" style="53"/>
    <col min="10241" max="10241" width="1.5703125" style="53" customWidth="1"/>
    <col min="10242" max="10242" width="1.42578125" style="53" customWidth="1"/>
    <col min="10243" max="10243" width="57.5703125" style="53" customWidth="1"/>
    <col min="10244" max="10244" width="2.7109375" style="53" customWidth="1"/>
    <col min="10245" max="10245" width="0" style="53" hidden="1" customWidth="1"/>
    <col min="10246" max="10247" width="1" style="53" customWidth="1"/>
    <col min="10248" max="10248" width="19.7109375" style="53" customWidth="1"/>
    <col min="10249" max="10250" width="1" style="53" customWidth="1"/>
    <col min="10251" max="10255" width="0" style="53" hidden="1" customWidth="1"/>
    <col min="10256" max="10257" width="1" style="53" customWidth="1"/>
    <col min="10258" max="10258" width="17.85546875" style="53" customWidth="1"/>
    <col min="10259" max="10260" width="1" style="53" customWidth="1"/>
    <col min="10261" max="10310" width="0" style="53" hidden="1" customWidth="1"/>
    <col min="10311" max="10312" width="1" style="53" customWidth="1"/>
    <col min="10313" max="10313" width="17.85546875" style="53" customWidth="1"/>
    <col min="10314" max="10317" width="1" style="53" customWidth="1"/>
    <col min="10318" max="10318" width="17.85546875" style="53" customWidth="1"/>
    <col min="10319" max="10320" width="1" style="53" customWidth="1"/>
    <col min="10321" max="10325" width="0" style="53" hidden="1" customWidth="1"/>
    <col min="10326" max="10327" width="1" style="53" customWidth="1"/>
    <col min="10328" max="10328" width="17.85546875" style="53" customWidth="1"/>
    <col min="10329" max="10330" width="1" style="53" customWidth="1"/>
    <col min="10331" max="10380" width="0" style="53" hidden="1" customWidth="1"/>
    <col min="10381" max="10382" width="1" style="53" customWidth="1"/>
    <col min="10383" max="10383" width="17.85546875" style="53" customWidth="1"/>
    <col min="10384" max="10385" width="1" style="53" customWidth="1"/>
    <col min="10386" max="10386" width="1.5703125" style="53" customWidth="1"/>
    <col min="10387" max="10387" width="0.7109375" style="53" customWidth="1"/>
    <col min="10388" max="10388" width="1.85546875" style="53" customWidth="1"/>
    <col min="10389" max="10389" width="10.7109375" style="53" customWidth="1"/>
    <col min="10390" max="10390" width="0" style="53" hidden="1" customWidth="1"/>
    <col min="10391" max="10496" width="10" style="53"/>
    <col min="10497" max="10497" width="1.5703125" style="53" customWidth="1"/>
    <col min="10498" max="10498" width="1.42578125" style="53" customWidth="1"/>
    <col min="10499" max="10499" width="57.5703125" style="53" customWidth="1"/>
    <col min="10500" max="10500" width="2.7109375" style="53" customWidth="1"/>
    <col min="10501" max="10501" width="0" style="53" hidden="1" customWidth="1"/>
    <col min="10502" max="10503" width="1" style="53" customWidth="1"/>
    <col min="10504" max="10504" width="19.7109375" style="53" customWidth="1"/>
    <col min="10505" max="10506" width="1" style="53" customWidth="1"/>
    <col min="10507" max="10511" width="0" style="53" hidden="1" customWidth="1"/>
    <col min="10512" max="10513" width="1" style="53" customWidth="1"/>
    <col min="10514" max="10514" width="17.85546875" style="53" customWidth="1"/>
    <col min="10515" max="10516" width="1" style="53" customWidth="1"/>
    <col min="10517" max="10566" width="0" style="53" hidden="1" customWidth="1"/>
    <col min="10567" max="10568" width="1" style="53" customWidth="1"/>
    <col min="10569" max="10569" width="17.85546875" style="53" customWidth="1"/>
    <col min="10570" max="10573" width="1" style="53" customWidth="1"/>
    <col min="10574" max="10574" width="17.85546875" style="53" customWidth="1"/>
    <col min="10575" max="10576" width="1" style="53" customWidth="1"/>
    <col min="10577" max="10581" width="0" style="53" hidden="1" customWidth="1"/>
    <col min="10582" max="10583" width="1" style="53" customWidth="1"/>
    <col min="10584" max="10584" width="17.85546875" style="53" customWidth="1"/>
    <col min="10585" max="10586" width="1" style="53" customWidth="1"/>
    <col min="10587" max="10636" width="0" style="53" hidden="1" customWidth="1"/>
    <col min="10637" max="10638" width="1" style="53" customWidth="1"/>
    <col min="10639" max="10639" width="17.85546875" style="53" customWidth="1"/>
    <col min="10640" max="10641" width="1" style="53" customWidth="1"/>
    <col min="10642" max="10642" width="1.5703125" style="53" customWidth="1"/>
    <col min="10643" max="10643" width="0.7109375" style="53" customWidth="1"/>
    <col min="10644" max="10644" width="1.85546875" style="53" customWidth="1"/>
    <col min="10645" max="10645" width="10.7109375" style="53" customWidth="1"/>
    <col min="10646" max="10646" width="0" style="53" hidden="1" customWidth="1"/>
    <col min="10647" max="10752" width="10" style="53"/>
    <col min="10753" max="10753" width="1.5703125" style="53" customWidth="1"/>
    <col min="10754" max="10754" width="1.42578125" style="53" customWidth="1"/>
    <col min="10755" max="10755" width="57.5703125" style="53" customWidth="1"/>
    <col min="10756" max="10756" width="2.7109375" style="53" customWidth="1"/>
    <col min="10757" max="10757" width="0" style="53" hidden="1" customWidth="1"/>
    <col min="10758" max="10759" width="1" style="53" customWidth="1"/>
    <col min="10760" max="10760" width="19.7109375" style="53" customWidth="1"/>
    <col min="10761" max="10762" width="1" style="53" customWidth="1"/>
    <col min="10763" max="10767" width="0" style="53" hidden="1" customWidth="1"/>
    <col min="10768" max="10769" width="1" style="53" customWidth="1"/>
    <col min="10770" max="10770" width="17.85546875" style="53" customWidth="1"/>
    <col min="10771" max="10772" width="1" style="53" customWidth="1"/>
    <col min="10773" max="10822" width="0" style="53" hidden="1" customWidth="1"/>
    <col min="10823" max="10824" width="1" style="53" customWidth="1"/>
    <col min="10825" max="10825" width="17.85546875" style="53" customWidth="1"/>
    <col min="10826" max="10829" width="1" style="53" customWidth="1"/>
    <col min="10830" max="10830" width="17.85546875" style="53" customWidth="1"/>
    <col min="10831" max="10832" width="1" style="53" customWidth="1"/>
    <col min="10833" max="10837" width="0" style="53" hidden="1" customWidth="1"/>
    <col min="10838" max="10839" width="1" style="53" customWidth="1"/>
    <col min="10840" max="10840" width="17.85546875" style="53" customWidth="1"/>
    <col min="10841" max="10842" width="1" style="53" customWidth="1"/>
    <col min="10843" max="10892" width="0" style="53" hidden="1" customWidth="1"/>
    <col min="10893" max="10894" width="1" style="53" customWidth="1"/>
    <col min="10895" max="10895" width="17.85546875" style="53" customWidth="1"/>
    <col min="10896" max="10897" width="1" style="53" customWidth="1"/>
    <col min="10898" max="10898" width="1.5703125" style="53" customWidth="1"/>
    <col min="10899" max="10899" width="0.7109375" style="53" customWidth="1"/>
    <col min="10900" max="10900" width="1.85546875" style="53" customWidth="1"/>
    <col min="10901" max="10901" width="10.7109375" style="53" customWidth="1"/>
    <col min="10902" max="10902" width="0" style="53" hidden="1" customWidth="1"/>
    <col min="10903" max="11008" width="10" style="53"/>
    <col min="11009" max="11009" width="1.5703125" style="53" customWidth="1"/>
    <col min="11010" max="11010" width="1.42578125" style="53" customWidth="1"/>
    <col min="11011" max="11011" width="57.5703125" style="53" customWidth="1"/>
    <col min="11012" max="11012" width="2.7109375" style="53" customWidth="1"/>
    <col min="11013" max="11013" width="0" style="53" hidden="1" customWidth="1"/>
    <col min="11014" max="11015" width="1" style="53" customWidth="1"/>
    <col min="11016" max="11016" width="19.7109375" style="53" customWidth="1"/>
    <col min="11017" max="11018" width="1" style="53" customWidth="1"/>
    <col min="11019" max="11023" width="0" style="53" hidden="1" customWidth="1"/>
    <col min="11024" max="11025" width="1" style="53" customWidth="1"/>
    <col min="11026" max="11026" width="17.85546875" style="53" customWidth="1"/>
    <col min="11027" max="11028" width="1" style="53" customWidth="1"/>
    <col min="11029" max="11078" width="0" style="53" hidden="1" customWidth="1"/>
    <col min="11079" max="11080" width="1" style="53" customWidth="1"/>
    <col min="11081" max="11081" width="17.85546875" style="53" customWidth="1"/>
    <col min="11082" max="11085" width="1" style="53" customWidth="1"/>
    <col min="11086" max="11086" width="17.85546875" style="53" customWidth="1"/>
    <col min="11087" max="11088" width="1" style="53" customWidth="1"/>
    <col min="11089" max="11093" width="0" style="53" hidden="1" customWidth="1"/>
    <col min="11094" max="11095" width="1" style="53" customWidth="1"/>
    <col min="11096" max="11096" width="17.85546875" style="53" customWidth="1"/>
    <col min="11097" max="11098" width="1" style="53" customWidth="1"/>
    <col min="11099" max="11148" width="0" style="53" hidden="1" customWidth="1"/>
    <col min="11149" max="11150" width="1" style="53" customWidth="1"/>
    <col min="11151" max="11151" width="17.85546875" style="53" customWidth="1"/>
    <col min="11152" max="11153" width="1" style="53" customWidth="1"/>
    <col min="11154" max="11154" width="1.5703125" style="53" customWidth="1"/>
    <col min="11155" max="11155" width="0.7109375" style="53" customWidth="1"/>
    <col min="11156" max="11156" width="1.85546875" style="53" customWidth="1"/>
    <col min="11157" max="11157" width="10.7109375" style="53" customWidth="1"/>
    <col min="11158" max="11158" width="0" style="53" hidden="1" customWidth="1"/>
    <col min="11159" max="11264" width="10" style="53"/>
    <col min="11265" max="11265" width="1.5703125" style="53" customWidth="1"/>
    <col min="11266" max="11266" width="1.42578125" style="53" customWidth="1"/>
    <col min="11267" max="11267" width="57.5703125" style="53" customWidth="1"/>
    <col min="11268" max="11268" width="2.7109375" style="53" customWidth="1"/>
    <col min="11269" max="11269" width="0" style="53" hidden="1" customWidth="1"/>
    <col min="11270" max="11271" width="1" style="53" customWidth="1"/>
    <col min="11272" max="11272" width="19.7109375" style="53" customWidth="1"/>
    <col min="11273" max="11274" width="1" style="53" customWidth="1"/>
    <col min="11275" max="11279" width="0" style="53" hidden="1" customWidth="1"/>
    <col min="11280" max="11281" width="1" style="53" customWidth="1"/>
    <col min="11282" max="11282" width="17.85546875" style="53" customWidth="1"/>
    <col min="11283" max="11284" width="1" style="53" customWidth="1"/>
    <col min="11285" max="11334" width="0" style="53" hidden="1" customWidth="1"/>
    <col min="11335" max="11336" width="1" style="53" customWidth="1"/>
    <col min="11337" max="11337" width="17.85546875" style="53" customWidth="1"/>
    <col min="11338" max="11341" width="1" style="53" customWidth="1"/>
    <col min="11342" max="11342" width="17.85546875" style="53" customWidth="1"/>
    <col min="11343" max="11344" width="1" style="53" customWidth="1"/>
    <col min="11345" max="11349" width="0" style="53" hidden="1" customWidth="1"/>
    <col min="11350" max="11351" width="1" style="53" customWidth="1"/>
    <col min="11352" max="11352" width="17.85546875" style="53" customWidth="1"/>
    <col min="11353" max="11354" width="1" style="53" customWidth="1"/>
    <col min="11355" max="11404" width="0" style="53" hidden="1" customWidth="1"/>
    <col min="11405" max="11406" width="1" style="53" customWidth="1"/>
    <col min="11407" max="11407" width="17.85546875" style="53" customWidth="1"/>
    <col min="11408" max="11409" width="1" style="53" customWidth="1"/>
    <col min="11410" max="11410" width="1.5703125" style="53" customWidth="1"/>
    <col min="11411" max="11411" width="0.7109375" style="53" customWidth="1"/>
    <col min="11412" max="11412" width="1.85546875" style="53" customWidth="1"/>
    <col min="11413" max="11413" width="10.7109375" style="53" customWidth="1"/>
    <col min="11414" max="11414" width="0" style="53" hidden="1" customWidth="1"/>
    <col min="11415" max="11520" width="10" style="53"/>
    <col min="11521" max="11521" width="1.5703125" style="53" customWidth="1"/>
    <col min="11522" max="11522" width="1.42578125" style="53" customWidth="1"/>
    <col min="11523" max="11523" width="57.5703125" style="53" customWidth="1"/>
    <col min="11524" max="11524" width="2.7109375" style="53" customWidth="1"/>
    <col min="11525" max="11525" width="0" style="53" hidden="1" customWidth="1"/>
    <col min="11526" max="11527" width="1" style="53" customWidth="1"/>
    <col min="11528" max="11528" width="19.7109375" style="53" customWidth="1"/>
    <col min="11529" max="11530" width="1" style="53" customWidth="1"/>
    <col min="11531" max="11535" width="0" style="53" hidden="1" customWidth="1"/>
    <col min="11536" max="11537" width="1" style="53" customWidth="1"/>
    <col min="11538" max="11538" width="17.85546875" style="53" customWidth="1"/>
    <col min="11539" max="11540" width="1" style="53" customWidth="1"/>
    <col min="11541" max="11590" width="0" style="53" hidden="1" customWidth="1"/>
    <col min="11591" max="11592" width="1" style="53" customWidth="1"/>
    <col min="11593" max="11593" width="17.85546875" style="53" customWidth="1"/>
    <col min="11594" max="11597" width="1" style="53" customWidth="1"/>
    <col min="11598" max="11598" width="17.85546875" style="53" customWidth="1"/>
    <col min="11599" max="11600" width="1" style="53" customWidth="1"/>
    <col min="11601" max="11605" width="0" style="53" hidden="1" customWidth="1"/>
    <col min="11606" max="11607" width="1" style="53" customWidth="1"/>
    <col min="11608" max="11608" width="17.85546875" style="53" customWidth="1"/>
    <col min="11609" max="11610" width="1" style="53" customWidth="1"/>
    <col min="11611" max="11660" width="0" style="53" hidden="1" customWidth="1"/>
    <col min="11661" max="11662" width="1" style="53" customWidth="1"/>
    <col min="11663" max="11663" width="17.85546875" style="53" customWidth="1"/>
    <col min="11664" max="11665" width="1" style="53" customWidth="1"/>
    <col min="11666" max="11666" width="1.5703125" style="53" customWidth="1"/>
    <col min="11667" max="11667" width="0.7109375" style="53" customWidth="1"/>
    <col min="11668" max="11668" width="1.85546875" style="53" customWidth="1"/>
    <col min="11669" max="11669" width="10.7109375" style="53" customWidth="1"/>
    <col min="11670" max="11670" width="0" style="53" hidden="1" customWidth="1"/>
    <col min="11671" max="11776" width="10" style="53"/>
    <col min="11777" max="11777" width="1.5703125" style="53" customWidth="1"/>
    <col min="11778" max="11778" width="1.42578125" style="53" customWidth="1"/>
    <col min="11779" max="11779" width="57.5703125" style="53" customWidth="1"/>
    <col min="11780" max="11780" width="2.7109375" style="53" customWidth="1"/>
    <col min="11781" max="11781" width="0" style="53" hidden="1" customWidth="1"/>
    <col min="11782" max="11783" width="1" style="53" customWidth="1"/>
    <col min="11784" max="11784" width="19.7109375" style="53" customWidth="1"/>
    <col min="11785" max="11786" width="1" style="53" customWidth="1"/>
    <col min="11787" max="11791" width="0" style="53" hidden="1" customWidth="1"/>
    <col min="11792" max="11793" width="1" style="53" customWidth="1"/>
    <col min="11794" max="11794" width="17.85546875" style="53" customWidth="1"/>
    <col min="11795" max="11796" width="1" style="53" customWidth="1"/>
    <col min="11797" max="11846" width="0" style="53" hidden="1" customWidth="1"/>
    <col min="11847" max="11848" width="1" style="53" customWidth="1"/>
    <col min="11849" max="11849" width="17.85546875" style="53" customWidth="1"/>
    <col min="11850" max="11853" width="1" style="53" customWidth="1"/>
    <col min="11854" max="11854" width="17.85546875" style="53" customWidth="1"/>
    <col min="11855" max="11856" width="1" style="53" customWidth="1"/>
    <col min="11857" max="11861" width="0" style="53" hidden="1" customWidth="1"/>
    <col min="11862" max="11863" width="1" style="53" customWidth="1"/>
    <col min="11864" max="11864" width="17.85546875" style="53" customWidth="1"/>
    <col min="11865" max="11866" width="1" style="53" customWidth="1"/>
    <col min="11867" max="11916" width="0" style="53" hidden="1" customWidth="1"/>
    <col min="11917" max="11918" width="1" style="53" customWidth="1"/>
    <col min="11919" max="11919" width="17.85546875" style="53" customWidth="1"/>
    <col min="11920" max="11921" width="1" style="53" customWidth="1"/>
    <col min="11922" max="11922" width="1.5703125" style="53" customWidth="1"/>
    <col min="11923" max="11923" width="0.7109375" style="53" customWidth="1"/>
    <col min="11924" max="11924" width="1.85546875" style="53" customWidth="1"/>
    <col min="11925" max="11925" width="10.7109375" style="53" customWidth="1"/>
    <col min="11926" max="11926" width="0" style="53" hidden="1" customWidth="1"/>
    <col min="11927" max="12032" width="10" style="53"/>
    <col min="12033" max="12033" width="1.5703125" style="53" customWidth="1"/>
    <col min="12034" max="12034" width="1.42578125" style="53" customWidth="1"/>
    <col min="12035" max="12035" width="57.5703125" style="53" customWidth="1"/>
    <col min="12036" max="12036" width="2.7109375" style="53" customWidth="1"/>
    <col min="12037" max="12037" width="0" style="53" hidden="1" customWidth="1"/>
    <col min="12038" max="12039" width="1" style="53" customWidth="1"/>
    <col min="12040" max="12040" width="19.7109375" style="53" customWidth="1"/>
    <col min="12041" max="12042" width="1" style="53" customWidth="1"/>
    <col min="12043" max="12047" width="0" style="53" hidden="1" customWidth="1"/>
    <col min="12048" max="12049" width="1" style="53" customWidth="1"/>
    <col min="12050" max="12050" width="17.85546875" style="53" customWidth="1"/>
    <col min="12051" max="12052" width="1" style="53" customWidth="1"/>
    <col min="12053" max="12102" width="0" style="53" hidden="1" customWidth="1"/>
    <col min="12103" max="12104" width="1" style="53" customWidth="1"/>
    <col min="12105" max="12105" width="17.85546875" style="53" customWidth="1"/>
    <col min="12106" max="12109" width="1" style="53" customWidth="1"/>
    <col min="12110" max="12110" width="17.85546875" style="53" customWidth="1"/>
    <col min="12111" max="12112" width="1" style="53" customWidth="1"/>
    <col min="12113" max="12117" width="0" style="53" hidden="1" customWidth="1"/>
    <col min="12118" max="12119" width="1" style="53" customWidth="1"/>
    <col min="12120" max="12120" width="17.85546875" style="53" customWidth="1"/>
    <col min="12121" max="12122" width="1" style="53" customWidth="1"/>
    <col min="12123" max="12172" width="0" style="53" hidden="1" customWidth="1"/>
    <col min="12173" max="12174" width="1" style="53" customWidth="1"/>
    <col min="12175" max="12175" width="17.85546875" style="53" customWidth="1"/>
    <col min="12176" max="12177" width="1" style="53" customWidth="1"/>
    <col min="12178" max="12178" width="1.5703125" style="53" customWidth="1"/>
    <col min="12179" max="12179" width="0.7109375" style="53" customWidth="1"/>
    <col min="12180" max="12180" width="1.85546875" style="53" customWidth="1"/>
    <col min="12181" max="12181" width="10.7109375" style="53" customWidth="1"/>
    <col min="12182" max="12182" width="0" style="53" hidden="1" customWidth="1"/>
    <col min="12183" max="12288" width="10" style="53"/>
    <col min="12289" max="12289" width="1.5703125" style="53" customWidth="1"/>
    <col min="12290" max="12290" width="1.42578125" style="53" customWidth="1"/>
    <col min="12291" max="12291" width="57.5703125" style="53" customWidth="1"/>
    <col min="12292" max="12292" width="2.7109375" style="53" customWidth="1"/>
    <col min="12293" max="12293" width="0" style="53" hidden="1" customWidth="1"/>
    <col min="12294" max="12295" width="1" style="53" customWidth="1"/>
    <col min="12296" max="12296" width="19.7109375" style="53" customWidth="1"/>
    <col min="12297" max="12298" width="1" style="53" customWidth="1"/>
    <col min="12299" max="12303" width="0" style="53" hidden="1" customWidth="1"/>
    <col min="12304" max="12305" width="1" style="53" customWidth="1"/>
    <col min="12306" max="12306" width="17.85546875" style="53" customWidth="1"/>
    <col min="12307" max="12308" width="1" style="53" customWidth="1"/>
    <col min="12309" max="12358" width="0" style="53" hidden="1" customWidth="1"/>
    <col min="12359" max="12360" width="1" style="53" customWidth="1"/>
    <col min="12361" max="12361" width="17.85546875" style="53" customWidth="1"/>
    <col min="12362" max="12365" width="1" style="53" customWidth="1"/>
    <col min="12366" max="12366" width="17.85546875" style="53" customWidth="1"/>
    <col min="12367" max="12368" width="1" style="53" customWidth="1"/>
    <col min="12369" max="12373" width="0" style="53" hidden="1" customWidth="1"/>
    <col min="12374" max="12375" width="1" style="53" customWidth="1"/>
    <col min="12376" max="12376" width="17.85546875" style="53" customWidth="1"/>
    <col min="12377" max="12378" width="1" style="53" customWidth="1"/>
    <col min="12379" max="12428" width="0" style="53" hidden="1" customWidth="1"/>
    <col min="12429" max="12430" width="1" style="53" customWidth="1"/>
    <col min="12431" max="12431" width="17.85546875" style="53" customWidth="1"/>
    <col min="12432" max="12433" width="1" style="53" customWidth="1"/>
    <col min="12434" max="12434" width="1.5703125" style="53" customWidth="1"/>
    <col min="12435" max="12435" width="0.7109375" style="53" customWidth="1"/>
    <col min="12436" max="12436" width="1.85546875" style="53" customWidth="1"/>
    <col min="12437" max="12437" width="10.7109375" style="53" customWidth="1"/>
    <col min="12438" max="12438" width="0" style="53" hidden="1" customWidth="1"/>
    <col min="12439" max="12544" width="10" style="53"/>
    <col min="12545" max="12545" width="1.5703125" style="53" customWidth="1"/>
    <col min="12546" max="12546" width="1.42578125" style="53" customWidth="1"/>
    <col min="12547" max="12547" width="57.5703125" style="53" customWidth="1"/>
    <col min="12548" max="12548" width="2.7109375" style="53" customWidth="1"/>
    <col min="12549" max="12549" width="0" style="53" hidden="1" customWidth="1"/>
    <col min="12550" max="12551" width="1" style="53" customWidth="1"/>
    <col min="12552" max="12552" width="19.7109375" style="53" customWidth="1"/>
    <col min="12553" max="12554" width="1" style="53" customWidth="1"/>
    <col min="12555" max="12559" width="0" style="53" hidden="1" customWidth="1"/>
    <col min="12560" max="12561" width="1" style="53" customWidth="1"/>
    <col min="12562" max="12562" width="17.85546875" style="53" customWidth="1"/>
    <col min="12563" max="12564" width="1" style="53" customWidth="1"/>
    <col min="12565" max="12614" width="0" style="53" hidden="1" customWidth="1"/>
    <col min="12615" max="12616" width="1" style="53" customWidth="1"/>
    <col min="12617" max="12617" width="17.85546875" style="53" customWidth="1"/>
    <col min="12618" max="12621" width="1" style="53" customWidth="1"/>
    <col min="12622" max="12622" width="17.85546875" style="53" customWidth="1"/>
    <col min="12623" max="12624" width="1" style="53" customWidth="1"/>
    <col min="12625" max="12629" width="0" style="53" hidden="1" customWidth="1"/>
    <col min="12630" max="12631" width="1" style="53" customWidth="1"/>
    <col min="12632" max="12632" width="17.85546875" style="53" customWidth="1"/>
    <col min="12633" max="12634" width="1" style="53" customWidth="1"/>
    <col min="12635" max="12684" width="0" style="53" hidden="1" customWidth="1"/>
    <col min="12685" max="12686" width="1" style="53" customWidth="1"/>
    <col min="12687" max="12687" width="17.85546875" style="53" customWidth="1"/>
    <col min="12688" max="12689" width="1" style="53" customWidth="1"/>
    <col min="12690" max="12690" width="1.5703125" style="53" customWidth="1"/>
    <col min="12691" max="12691" width="0.7109375" style="53" customWidth="1"/>
    <col min="12692" max="12692" width="1.85546875" style="53" customWidth="1"/>
    <col min="12693" max="12693" width="10.7109375" style="53" customWidth="1"/>
    <col min="12694" max="12694" width="0" style="53" hidden="1" customWidth="1"/>
    <col min="12695" max="12800" width="10" style="53"/>
    <col min="12801" max="12801" width="1.5703125" style="53" customWidth="1"/>
    <col min="12802" max="12802" width="1.42578125" style="53" customWidth="1"/>
    <col min="12803" max="12803" width="57.5703125" style="53" customWidth="1"/>
    <col min="12804" max="12804" width="2.7109375" style="53" customWidth="1"/>
    <col min="12805" max="12805" width="0" style="53" hidden="1" customWidth="1"/>
    <col min="12806" max="12807" width="1" style="53" customWidth="1"/>
    <col min="12808" max="12808" width="19.7109375" style="53" customWidth="1"/>
    <col min="12809" max="12810" width="1" style="53" customWidth="1"/>
    <col min="12811" max="12815" width="0" style="53" hidden="1" customWidth="1"/>
    <col min="12816" max="12817" width="1" style="53" customWidth="1"/>
    <col min="12818" max="12818" width="17.85546875" style="53" customWidth="1"/>
    <col min="12819" max="12820" width="1" style="53" customWidth="1"/>
    <col min="12821" max="12870" width="0" style="53" hidden="1" customWidth="1"/>
    <col min="12871" max="12872" width="1" style="53" customWidth="1"/>
    <col min="12873" max="12873" width="17.85546875" style="53" customWidth="1"/>
    <col min="12874" max="12877" width="1" style="53" customWidth="1"/>
    <col min="12878" max="12878" width="17.85546875" style="53" customWidth="1"/>
    <col min="12879" max="12880" width="1" style="53" customWidth="1"/>
    <col min="12881" max="12885" width="0" style="53" hidden="1" customWidth="1"/>
    <col min="12886" max="12887" width="1" style="53" customWidth="1"/>
    <col min="12888" max="12888" width="17.85546875" style="53" customWidth="1"/>
    <col min="12889" max="12890" width="1" style="53" customWidth="1"/>
    <col min="12891" max="12940" width="0" style="53" hidden="1" customWidth="1"/>
    <col min="12941" max="12942" width="1" style="53" customWidth="1"/>
    <col min="12943" max="12943" width="17.85546875" style="53" customWidth="1"/>
    <col min="12944" max="12945" width="1" style="53" customWidth="1"/>
    <col min="12946" max="12946" width="1.5703125" style="53" customWidth="1"/>
    <col min="12947" max="12947" width="0.7109375" style="53" customWidth="1"/>
    <col min="12948" max="12948" width="1.85546875" style="53" customWidth="1"/>
    <col min="12949" max="12949" width="10.7109375" style="53" customWidth="1"/>
    <col min="12950" max="12950" width="0" style="53" hidden="1" customWidth="1"/>
    <col min="12951" max="13056" width="10" style="53"/>
    <col min="13057" max="13057" width="1.5703125" style="53" customWidth="1"/>
    <col min="13058" max="13058" width="1.42578125" style="53" customWidth="1"/>
    <col min="13059" max="13059" width="57.5703125" style="53" customWidth="1"/>
    <col min="13060" max="13060" width="2.7109375" style="53" customWidth="1"/>
    <col min="13061" max="13061" width="0" style="53" hidden="1" customWidth="1"/>
    <col min="13062" max="13063" width="1" style="53" customWidth="1"/>
    <col min="13064" max="13064" width="19.7109375" style="53" customWidth="1"/>
    <col min="13065" max="13066" width="1" style="53" customWidth="1"/>
    <col min="13067" max="13071" width="0" style="53" hidden="1" customWidth="1"/>
    <col min="13072" max="13073" width="1" style="53" customWidth="1"/>
    <col min="13074" max="13074" width="17.85546875" style="53" customWidth="1"/>
    <col min="13075" max="13076" width="1" style="53" customWidth="1"/>
    <col min="13077" max="13126" width="0" style="53" hidden="1" customWidth="1"/>
    <col min="13127" max="13128" width="1" style="53" customWidth="1"/>
    <col min="13129" max="13129" width="17.85546875" style="53" customWidth="1"/>
    <col min="13130" max="13133" width="1" style="53" customWidth="1"/>
    <col min="13134" max="13134" width="17.85546875" style="53" customWidth="1"/>
    <col min="13135" max="13136" width="1" style="53" customWidth="1"/>
    <col min="13137" max="13141" width="0" style="53" hidden="1" customWidth="1"/>
    <col min="13142" max="13143" width="1" style="53" customWidth="1"/>
    <col min="13144" max="13144" width="17.85546875" style="53" customWidth="1"/>
    <col min="13145" max="13146" width="1" style="53" customWidth="1"/>
    <col min="13147" max="13196" width="0" style="53" hidden="1" customWidth="1"/>
    <col min="13197" max="13198" width="1" style="53" customWidth="1"/>
    <col min="13199" max="13199" width="17.85546875" style="53" customWidth="1"/>
    <col min="13200" max="13201" width="1" style="53" customWidth="1"/>
    <col min="13202" max="13202" width="1.5703125" style="53" customWidth="1"/>
    <col min="13203" max="13203" width="0.7109375" style="53" customWidth="1"/>
    <col min="13204" max="13204" width="1.85546875" style="53" customWidth="1"/>
    <col min="13205" max="13205" width="10.7109375" style="53" customWidth="1"/>
    <col min="13206" max="13206" width="0" style="53" hidden="1" customWidth="1"/>
    <col min="13207" max="13312" width="10" style="53"/>
    <col min="13313" max="13313" width="1.5703125" style="53" customWidth="1"/>
    <col min="13314" max="13314" width="1.42578125" style="53" customWidth="1"/>
    <col min="13315" max="13315" width="57.5703125" style="53" customWidth="1"/>
    <col min="13316" max="13316" width="2.7109375" style="53" customWidth="1"/>
    <col min="13317" max="13317" width="0" style="53" hidden="1" customWidth="1"/>
    <col min="13318" max="13319" width="1" style="53" customWidth="1"/>
    <col min="13320" max="13320" width="19.7109375" style="53" customWidth="1"/>
    <col min="13321" max="13322" width="1" style="53" customWidth="1"/>
    <col min="13323" max="13327" width="0" style="53" hidden="1" customWidth="1"/>
    <col min="13328" max="13329" width="1" style="53" customWidth="1"/>
    <col min="13330" max="13330" width="17.85546875" style="53" customWidth="1"/>
    <col min="13331" max="13332" width="1" style="53" customWidth="1"/>
    <col min="13333" max="13382" width="0" style="53" hidden="1" customWidth="1"/>
    <col min="13383" max="13384" width="1" style="53" customWidth="1"/>
    <col min="13385" max="13385" width="17.85546875" style="53" customWidth="1"/>
    <col min="13386" max="13389" width="1" style="53" customWidth="1"/>
    <col min="13390" max="13390" width="17.85546875" style="53" customWidth="1"/>
    <col min="13391" max="13392" width="1" style="53" customWidth="1"/>
    <col min="13393" max="13397" width="0" style="53" hidden="1" customWidth="1"/>
    <col min="13398" max="13399" width="1" style="53" customWidth="1"/>
    <col min="13400" max="13400" width="17.85546875" style="53" customWidth="1"/>
    <col min="13401" max="13402" width="1" style="53" customWidth="1"/>
    <col min="13403" max="13452" width="0" style="53" hidden="1" customWidth="1"/>
    <col min="13453" max="13454" width="1" style="53" customWidth="1"/>
    <col min="13455" max="13455" width="17.85546875" style="53" customWidth="1"/>
    <col min="13456" max="13457" width="1" style="53" customWidth="1"/>
    <col min="13458" max="13458" width="1.5703125" style="53" customWidth="1"/>
    <col min="13459" max="13459" width="0.7109375" style="53" customWidth="1"/>
    <col min="13460" max="13460" width="1.85546875" style="53" customWidth="1"/>
    <col min="13461" max="13461" width="10.7109375" style="53" customWidth="1"/>
    <col min="13462" max="13462" width="0" style="53" hidden="1" customWidth="1"/>
    <col min="13463" max="13568" width="10" style="53"/>
    <col min="13569" max="13569" width="1.5703125" style="53" customWidth="1"/>
    <col min="13570" max="13570" width="1.42578125" style="53" customWidth="1"/>
    <col min="13571" max="13571" width="57.5703125" style="53" customWidth="1"/>
    <col min="13572" max="13572" width="2.7109375" style="53" customWidth="1"/>
    <col min="13573" max="13573" width="0" style="53" hidden="1" customWidth="1"/>
    <col min="13574" max="13575" width="1" style="53" customWidth="1"/>
    <col min="13576" max="13576" width="19.7109375" style="53" customWidth="1"/>
    <col min="13577" max="13578" width="1" style="53" customWidth="1"/>
    <col min="13579" max="13583" width="0" style="53" hidden="1" customWidth="1"/>
    <col min="13584" max="13585" width="1" style="53" customWidth="1"/>
    <col min="13586" max="13586" width="17.85546875" style="53" customWidth="1"/>
    <col min="13587" max="13588" width="1" style="53" customWidth="1"/>
    <col min="13589" max="13638" width="0" style="53" hidden="1" customWidth="1"/>
    <col min="13639" max="13640" width="1" style="53" customWidth="1"/>
    <col min="13641" max="13641" width="17.85546875" style="53" customWidth="1"/>
    <col min="13642" max="13645" width="1" style="53" customWidth="1"/>
    <col min="13646" max="13646" width="17.85546875" style="53" customWidth="1"/>
    <col min="13647" max="13648" width="1" style="53" customWidth="1"/>
    <col min="13649" max="13653" width="0" style="53" hidden="1" customWidth="1"/>
    <col min="13654" max="13655" width="1" style="53" customWidth="1"/>
    <col min="13656" max="13656" width="17.85546875" style="53" customWidth="1"/>
    <col min="13657" max="13658" width="1" style="53" customWidth="1"/>
    <col min="13659" max="13708" width="0" style="53" hidden="1" customWidth="1"/>
    <col min="13709" max="13710" width="1" style="53" customWidth="1"/>
    <col min="13711" max="13711" width="17.85546875" style="53" customWidth="1"/>
    <col min="13712" max="13713" width="1" style="53" customWidth="1"/>
    <col min="13714" max="13714" width="1.5703125" style="53" customWidth="1"/>
    <col min="13715" max="13715" width="0.7109375" style="53" customWidth="1"/>
    <col min="13716" max="13716" width="1.85546875" style="53" customWidth="1"/>
    <col min="13717" max="13717" width="10.7109375" style="53" customWidth="1"/>
    <col min="13718" max="13718" width="0" style="53" hidden="1" customWidth="1"/>
    <col min="13719" max="13824" width="10" style="53"/>
    <col min="13825" max="13825" width="1.5703125" style="53" customWidth="1"/>
    <col min="13826" max="13826" width="1.42578125" style="53" customWidth="1"/>
    <col min="13827" max="13827" width="57.5703125" style="53" customWidth="1"/>
    <col min="13828" max="13828" width="2.7109375" style="53" customWidth="1"/>
    <col min="13829" max="13829" width="0" style="53" hidden="1" customWidth="1"/>
    <col min="13830" max="13831" width="1" style="53" customWidth="1"/>
    <col min="13832" max="13832" width="19.7109375" style="53" customWidth="1"/>
    <col min="13833" max="13834" width="1" style="53" customWidth="1"/>
    <col min="13835" max="13839" width="0" style="53" hidden="1" customWidth="1"/>
    <col min="13840" max="13841" width="1" style="53" customWidth="1"/>
    <col min="13842" max="13842" width="17.85546875" style="53" customWidth="1"/>
    <col min="13843" max="13844" width="1" style="53" customWidth="1"/>
    <col min="13845" max="13894" width="0" style="53" hidden="1" customWidth="1"/>
    <col min="13895" max="13896" width="1" style="53" customWidth="1"/>
    <col min="13897" max="13897" width="17.85546875" style="53" customWidth="1"/>
    <col min="13898" max="13901" width="1" style="53" customWidth="1"/>
    <col min="13902" max="13902" width="17.85546875" style="53" customWidth="1"/>
    <col min="13903" max="13904" width="1" style="53" customWidth="1"/>
    <col min="13905" max="13909" width="0" style="53" hidden="1" customWidth="1"/>
    <col min="13910" max="13911" width="1" style="53" customWidth="1"/>
    <col min="13912" max="13912" width="17.85546875" style="53" customWidth="1"/>
    <col min="13913" max="13914" width="1" style="53" customWidth="1"/>
    <col min="13915" max="13964" width="0" style="53" hidden="1" customWidth="1"/>
    <col min="13965" max="13966" width="1" style="53" customWidth="1"/>
    <col min="13967" max="13967" width="17.85546875" style="53" customWidth="1"/>
    <col min="13968" max="13969" width="1" style="53" customWidth="1"/>
    <col min="13970" max="13970" width="1.5703125" style="53" customWidth="1"/>
    <col min="13971" max="13971" width="0.7109375" style="53" customWidth="1"/>
    <col min="13972" max="13972" width="1.85546875" style="53" customWidth="1"/>
    <col min="13973" max="13973" width="10.7109375" style="53" customWidth="1"/>
    <col min="13974" max="13974" width="0" style="53" hidden="1" customWidth="1"/>
    <col min="13975" max="14080" width="10" style="53"/>
    <col min="14081" max="14081" width="1.5703125" style="53" customWidth="1"/>
    <col min="14082" max="14082" width="1.42578125" style="53" customWidth="1"/>
    <col min="14083" max="14083" width="57.5703125" style="53" customWidth="1"/>
    <col min="14084" max="14084" width="2.7109375" style="53" customWidth="1"/>
    <col min="14085" max="14085" width="0" style="53" hidden="1" customWidth="1"/>
    <col min="14086" max="14087" width="1" style="53" customWidth="1"/>
    <col min="14088" max="14088" width="19.7109375" style="53" customWidth="1"/>
    <col min="14089" max="14090" width="1" style="53" customWidth="1"/>
    <col min="14091" max="14095" width="0" style="53" hidden="1" customWidth="1"/>
    <col min="14096" max="14097" width="1" style="53" customWidth="1"/>
    <col min="14098" max="14098" width="17.85546875" style="53" customWidth="1"/>
    <col min="14099" max="14100" width="1" style="53" customWidth="1"/>
    <col min="14101" max="14150" width="0" style="53" hidden="1" customWidth="1"/>
    <col min="14151" max="14152" width="1" style="53" customWidth="1"/>
    <col min="14153" max="14153" width="17.85546875" style="53" customWidth="1"/>
    <col min="14154" max="14157" width="1" style="53" customWidth="1"/>
    <col min="14158" max="14158" width="17.85546875" style="53" customWidth="1"/>
    <col min="14159" max="14160" width="1" style="53" customWidth="1"/>
    <col min="14161" max="14165" width="0" style="53" hidden="1" customWidth="1"/>
    <col min="14166" max="14167" width="1" style="53" customWidth="1"/>
    <col min="14168" max="14168" width="17.85546875" style="53" customWidth="1"/>
    <col min="14169" max="14170" width="1" style="53" customWidth="1"/>
    <col min="14171" max="14220" width="0" style="53" hidden="1" customWidth="1"/>
    <col min="14221" max="14222" width="1" style="53" customWidth="1"/>
    <col min="14223" max="14223" width="17.85546875" style="53" customWidth="1"/>
    <col min="14224" max="14225" width="1" style="53" customWidth="1"/>
    <col min="14226" max="14226" width="1.5703125" style="53" customWidth="1"/>
    <col min="14227" max="14227" width="0.7109375" style="53" customWidth="1"/>
    <col min="14228" max="14228" width="1.85546875" style="53" customWidth="1"/>
    <col min="14229" max="14229" width="10.7109375" style="53" customWidth="1"/>
    <col min="14230" max="14230" width="0" style="53" hidden="1" customWidth="1"/>
    <col min="14231" max="14336" width="10" style="53"/>
    <col min="14337" max="14337" width="1.5703125" style="53" customWidth="1"/>
    <col min="14338" max="14338" width="1.42578125" style="53" customWidth="1"/>
    <col min="14339" max="14339" width="57.5703125" style="53" customWidth="1"/>
    <col min="14340" max="14340" width="2.7109375" style="53" customWidth="1"/>
    <col min="14341" max="14341" width="0" style="53" hidden="1" customWidth="1"/>
    <col min="14342" max="14343" width="1" style="53" customWidth="1"/>
    <col min="14344" max="14344" width="19.7109375" style="53" customWidth="1"/>
    <col min="14345" max="14346" width="1" style="53" customWidth="1"/>
    <col min="14347" max="14351" width="0" style="53" hidden="1" customWidth="1"/>
    <col min="14352" max="14353" width="1" style="53" customWidth="1"/>
    <col min="14354" max="14354" width="17.85546875" style="53" customWidth="1"/>
    <col min="14355" max="14356" width="1" style="53" customWidth="1"/>
    <col min="14357" max="14406" width="0" style="53" hidden="1" customWidth="1"/>
    <col min="14407" max="14408" width="1" style="53" customWidth="1"/>
    <col min="14409" max="14409" width="17.85546875" style="53" customWidth="1"/>
    <col min="14410" max="14413" width="1" style="53" customWidth="1"/>
    <col min="14414" max="14414" width="17.85546875" style="53" customWidth="1"/>
    <col min="14415" max="14416" width="1" style="53" customWidth="1"/>
    <col min="14417" max="14421" width="0" style="53" hidden="1" customWidth="1"/>
    <col min="14422" max="14423" width="1" style="53" customWidth="1"/>
    <col min="14424" max="14424" width="17.85546875" style="53" customWidth="1"/>
    <col min="14425" max="14426" width="1" style="53" customWidth="1"/>
    <col min="14427" max="14476" width="0" style="53" hidden="1" customWidth="1"/>
    <col min="14477" max="14478" width="1" style="53" customWidth="1"/>
    <col min="14479" max="14479" width="17.85546875" style="53" customWidth="1"/>
    <col min="14480" max="14481" width="1" style="53" customWidth="1"/>
    <col min="14482" max="14482" width="1.5703125" style="53" customWidth="1"/>
    <col min="14483" max="14483" width="0.7109375" style="53" customWidth="1"/>
    <col min="14484" max="14484" width="1.85546875" style="53" customWidth="1"/>
    <col min="14485" max="14485" width="10.7109375" style="53" customWidth="1"/>
    <col min="14486" max="14486" width="0" style="53" hidden="1" customWidth="1"/>
    <col min="14487" max="14592" width="10" style="53"/>
    <col min="14593" max="14593" width="1.5703125" style="53" customWidth="1"/>
    <col min="14594" max="14594" width="1.42578125" style="53" customWidth="1"/>
    <col min="14595" max="14595" width="57.5703125" style="53" customWidth="1"/>
    <col min="14596" max="14596" width="2.7109375" style="53" customWidth="1"/>
    <col min="14597" max="14597" width="0" style="53" hidden="1" customWidth="1"/>
    <col min="14598" max="14599" width="1" style="53" customWidth="1"/>
    <col min="14600" max="14600" width="19.7109375" style="53" customWidth="1"/>
    <col min="14601" max="14602" width="1" style="53" customWidth="1"/>
    <col min="14603" max="14607" width="0" style="53" hidden="1" customWidth="1"/>
    <col min="14608" max="14609" width="1" style="53" customWidth="1"/>
    <col min="14610" max="14610" width="17.85546875" style="53" customWidth="1"/>
    <col min="14611" max="14612" width="1" style="53" customWidth="1"/>
    <col min="14613" max="14662" width="0" style="53" hidden="1" customWidth="1"/>
    <col min="14663" max="14664" width="1" style="53" customWidth="1"/>
    <col min="14665" max="14665" width="17.85546875" style="53" customWidth="1"/>
    <col min="14666" max="14669" width="1" style="53" customWidth="1"/>
    <col min="14670" max="14670" width="17.85546875" style="53" customWidth="1"/>
    <col min="14671" max="14672" width="1" style="53" customWidth="1"/>
    <col min="14673" max="14677" width="0" style="53" hidden="1" customWidth="1"/>
    <col min="14678" max="14679" width="1" style="53" customWidth="1"/>
    <col min="14680" max="14680" width="17.85546875" style="53" customWidth="1"/>
    <col min="14681" max="14682" width="1" style="53" customWidth="1"/>
    <col min="14683" max="14732" width="0" style="53" hidden="1" customWidth="1"/>
    <col min="14733" max="14734" width="1" style="53" customWidth="1"/>
    <col min="14735" max="14735" width="17.85546875" style="53" customWidth="1"/>
    <col min="14736" max="14737" width="1" style="53" customWidth="1"/>
    <col min="14738" max="14738" width="1.5703125" style="53" customWidth="1"/>
    <col min="14739" max="14739" width="0.7109375" style="53" customWidth="1"/>
    <col min="14740" max="14740" width="1.85546875" style="53" customWidth="1"/>
    <col min="14741" max="14741" width="10.7109375" style="53" customWidth="1"/>
    <col min="14742" max="14742" width="0" style="53" hidden="1" customWidth="1"/>
    <col min="14743" max="14848" width="10" style="53"/>
    <col min="14849" max="14849" width="1.5703125" style="53" customWidth="1"/>
    <col min="14850" max="14850" width="1.42578125" style="53" customWidth="1"/>
    <col min="14851" max="14851" width="57.5703125" style="53" customWidth="1"/>
    <col min="14852" max="14852" width="2.7109375" style="53" customWidth="1"/>
    <col min="14853" max="14853" width="0" style="53" hidden="1" customWidth="1"/>
    <col min="14854" max="14855" width="1" style="53" customWidth="1"/>
    <col min="14856" max="14856" width="19.7109375" style="53" customWidth="1"/>
    <col min="14857" max="14858" width="1" style="53" customWidth="1"/>
    <col min="14859" max="14863" width="0" style="53" hidden="1" customWidth="1"/>
    <col min="14864" max="14865" width="1" style="53" customWidth="1"/>
    <col min="14866" max="14866" width="17.85546875" style="53" customWidth="1"/>
    <col min="14867" max="14868" width="1" style="53" customWidth="1"/>
    <col min="14869" max="14918" width="0" style="53" hidden="1" customWidth="1"/>
    <col min="14919" max="14920" width="1" style="53" customWidth="1"/>
    <col min="14921" max="14921" width="17.85546875" style="53" customWidth="1"/>
    <col min="14922" max="14925" width="1" style="53" customWidth="1"/>
    <col min="14926" max="14926" width="17.85546875" style="53" customWidth="1"/>
    <col min="14927" max="14928" width="1" style="53" customWidth="1"/>
    <col min="14929" max="14933" width="0" style="53" hidden="1" customWidth="1"/>
    <col min="14934" max="14935" width="1" style="53" customWidth="1"/>
    <col min="14936" max="14936" width="17.85546875" style="53" customWidth="1"/>
    <col min="14937" max="14938" width="1" style="53" customWidth="1"/>
    <col min="14939" max="14988" width="0" style="53" hidden="1" customWidth="1"/>
    <col min="14989" max="14990" width="1" style="53" customWidth="1"/>
    <col min="14991" max="14991" width="17.85546875" style="53" customWidth="1"/>
    <col min="14992" max="14993" width="1" style="53" customWidth="1"/>
    <col min="14994" max="14994" width="1.5703125" style="53" customWidth="1"/>
    <col min="14995" max="14995" width="0.7109375" style="53" customWidth="1"/>
    <col min="14996" max="14996" width="1.85546875" style="53" customWidth="1"/>
    <col min="14997" max="14997" width="10.7109375" style="53" customWidth="1"/>
    <col min="14998" max="14998" width="0" style="53" hidden="1" customWidth="1"/>
    <col min="14999" max="15104" width="10" style="53"/>
    <col min="15105" max="15105" width="1.5703125" style="53" customWidth="1"/>
    <col min="15106" max="15106" width="1.42578125" style="53" customWidth="1"/>
    <col min="15107" max="15107" width="57.5703125" style="53" customWidth="1"/>
    <col min="15108" max="15108" width="2.7109375" style="53" customWidth="1"/>
    <col min="15109" max="15109" width="0" style="53" hidden="1" customWidth="1"/>
    <col min="15110" max="15111" width="1" style="53" customWidth="1"/>
    <col min="15112" max="15112" width="19.7109375" style="53" customWidth="1"/>
    <col min="15113" max="15114" width="1" style="53" customWidth="1"/>
    <col min="15115" max="15119" width="0" style="53" hidden="1" customWidth="1"/>
    <col min="15120" max="15121" width="1" style="53" customWidth="1"/>
    <col min="15122" max="15122" width="17.85546875" style="53" customWidth="1"/>
    <col min="15123" max="15124" width="1" style="53" customWidth="1"/>
    <col min="15125" max="15174" width="0" style="53" hidden="1" customWidth="1"/>
    <col min="15175" max="15176" width="1" style="53" customWidth="1"/>
    <col min="15177" max="15177" width="17.85546875" style="53" customWidth="1"/>
    <col min="15178" max="15181" width="1" style="53" customWidth="1"/>
    <col min="15182" max="15182" width="17.85546875" style="53" customWidth="1"/>
    <col min="15183" max="15184" width="1" style="53" customWidth="1"/>
    <col min="15185" max="15189" width="0" style="53" hidden="1" customWidth="1"/>
    <col min="15190" max="15191" width="1" style="53" customWidth="1"/>
    <col min="15192" max="15192" width="17.85546875" style="53" customWidth="1"/>
    <col min="15193" max="15194" width="1" style="53" customWidth="1"/>
    <col min="15195" max="15244" width="0" style="53" hidden="1" customWidth="1"/>
    <col min="15245" max="15246" width="1" style="53" customWidth="1"/>
    <col min="15247" max="15247" width="17.85546875" style="53" customWidth="1"/>
    <col min="15248" max="15249" width="1" style="53" customWidth="1"/>
    <col min="15250" max="15250" width="1.5703125" style="53" customWidth="1"/>
    <col min="15251" max="15251" width="0.7109375" style="53" customWidth="1"/>
    <col min="15252" max="15252" width="1.85546875" style="53" customWidth="1"/>
    <col min="15253" max="15253" width="10.7109375" style="53" customWidth="1"/>
    <col min="15254" max="15254" width="0" style="53" hidden="1" customWidth="1"/>
    <col min="15255" max="15360" width="10" style="53"/>
    <col min="15361" max="15361" width="1.5703125" style="53" customWidth="1"/>
    <col min="15362" max="15362" width="1.42578125" style="53" customWidth="1"/>
    <col min="15363" max="15363" width="57.5703125" style="53" customWidth="1"/>
    <col min="15364" max="15364" width="2.7109375" style="53" customWidth="1"/>
    <col min="15365" max="15365" width="0" style="53" hidden="1" customWidth="1"/>
    <col min="15366" max="15367" width="1" style="53" customWidth="1"/>
    <col min="15368" max="15368" width="19.7109375" style="53" customWidth="1"/>
    <col min="15369" max="15370" width="1" style="53" customWidth="1"/>
    <col min="15371" max="15375" width="0" style="53" hidden="1" customWidth="1"/>
    <col min="15376" max="15377" width="1" style="53" customWidth="1"/>
    <col min="15378" max="15378" width="17.85546875" style="53" customWidth="1"/>
    <col min="15379" max="15380" width="1" style="53" customWidth="1"/>
    <col min="15381" max="15430" width="0" style="53" hidden="1" customWidth="1"/>
    <col min="15431" max="15432" width="1" style="53" customWidth="1"/>
    <col min="15433" max="15433" width="17.85546875" style="53" customWidth="1"/>
    <col min="15434" max="15437" width="1" style="53" customWidth="1"/>
    <col min="15438" max="15438" width="17.85546875" style="53" customWidth="1"/>
    <col min="15439" max="15440" width="1" style="53" customWidth="1"/>
    <col min="15441" max="15445" width="0" style="53" hidden="1" customWidth="1"/>
    <col min="15446" max="15447" width="1" style="53" customWidth="1"/>
    <col min="15448" max="15448" width="17.85546875" style="53" customWidth="1"/>
    <col min="15449" max="15450" width="1" style="53" customWidth="1"/>
    <col min="15451" max="15500" width="0" style="53" hidden="1" customWidth="1"/>
    <col min="15501" max="15502" width="1" style="53" customWidth="1"/>
    <col min="15503" max="15503" width="17.85546875" style="53" customWidth="1"/>
    <col min="15504" max="15505" width="1" style="53" customWidth="1"/>
    <col min="15506" max="15506" width="1.5703125" style="53" customWidth="1"/>
    <col min="15507" max="15507" width="0.7109375" style="53" customWidth="1"/>
    <col min="15508" max="15508" width="1.85546875" style="53" customWidth="1"/>
    <col min="15509" max="15509" width="10.7109375" style="53" customWidth="1"/>
    <col min="15510" max="15510" width="0" style="53" hidden="1" customWidth="1"/>
    <col min="15511" max="15616" width="10" style="53"/>
    <col min="15617" max="15617" width="1.5703125" style="53" customWidth="1"/>
    <col min="15618" max="15618" width="1.42578125" style="53" customWidth="1"/>
    <col min="15619" max="15619" width="57.5703125" style="53" customWidth="1"/>
    <col min="15620" max="15620" width="2.7109375" style="53" customWidth="1"/>
    <col min="15621" max="15621" width="0" style="53" hidden="1" customWidth="1"/>
    <col min="15622" max="15623" width="1" style="53" customWidth="1"/>
    <col min="15624" max="15624" width="19.7109375" style="53" customWidth="1"/>
    <col min="15625" max="15626" width="1" style="53" customWidth="1"/>
    <col min="15627" max="15631" width="0" style="53" hidden="1" customWidth="1"/>
    <col min="15632" max="15633" width="1" style="53" customWidth="1"/>
    <col min="15634" max="15634" width="17.85546875" style="53" customWidth="1"/>
    <col min="15635" max="15636" width="1" style="53" customWidth="1"/>
    <col min="15637" max="15686" width="0" style="53" hidden="1" customWidth="1"/>
    <col min="15687" max="15688" width="1" style="53" customWidth="1"/>
    <col min="15689" max="15689" width="17.85546875" style="53" customWidth="1"/>
    <col min="15690" max="15693" width="1" style="53" customWidth="1"/>
    <col min="15694" max="15694" width="17.85546875" style="53" customWidth="1"/>
    <col min="15695" max="15696" width="1" style="53" customWidth="1"/>
    <col min="15697" max="15701" width="0" style="53" hidden="1" customWidth="1"/>
    <col min="15702" max="15703" width="1" style="53" customWidth="1"/>
    <col min="15704" max="15704" width="17.85546875" style="53" customWidth="1"/>
    <col min="15705" max="15706" width="1" style="53" customWidth="1"/>
    <col min="15707" max="15756" width="0" style="53" hidden="1" customWidth="1"/>
    <col min="15757" max="15758" width="1" style="53" customWidth="1"/>
    <col min="15759" max="15759" width="17.85546875" style="53" customWidth="1"/>
    <col min="15760" max="15761" width="1" style="53" customWidth="1"/>
    <col min="15762" max="15762" width="1.5703125" style="53" customWidth="1"/>
    <col min="15763" max="15763" width="0.7109375" style="53" customWidth="1"/>
    <col min="15764" max="15764" width="1.85546875" style="53" customWidth="1"/>
    <col min="15765" max="15765" width="10.7109375" style="53" customWidth="1"/>
    <col min="15766" max="15766" width="0" style="53" hidden="1" customWidth="1"/>
    <col min="15767" max="15872" width="10" style="53"/>
    <col min="15873" max="15873" width="1.5703125" style="53" customWidth="1"/>
    <col min="15874" max="15874" width="1.42578125" style="53" customWidth="1"/>
    <col min="15875" max="15875" width="57.5703125" style="53" customWidth="1"/>
    <col min="15876" max="15876" width="2.7109375" style="53" customWidth="1"/>
    <col min="15877" max="15877" width="0" style="53" hidden="1" customWidth="1"/>
    <col min="15878" max="15879" width="1" style="53" customWidth="1"/>
    <col min="15880" max="15880" width="19.7109375" style="53" customWidth="1"/>
    <col min="15881" max="15882" width="1" style="53" customWidth="1"/>
    <col min="15883" max="15887" width="0" style="53" hidden="1" customWidth="1"/>
    <col min="15888" max="15889" width="1" style="53" customWidth="1"/>
    <col min="15890" max="15890" width="17.85546875" style="53" customWidth="1"/>
    <col min="15891" max="15892" width="1" style="53" customWidth="1"/>
    <col min="15893" max="15942" width="0" style="53" hidden="1" customWidth="1"/>
    <col min="15943" max="15944" width="1" style="53" customWidth="1"/>
    <col min="15945" max="15945" width="17.85546875" style="53" customWidth="1"/>
    <col min="15946" max="15949" width="1" style="53" customWidth="1"/>
    <col min="15950" max="15950" width="17.85546875" style="53" customWidth="1"/>
    <col min="15951" max="15952" width="1" style="53" customWidth="1"/>
    <col min="15953" max="15957" width="0" style="53" hidden="1" customWidth="1"/>
    <col min="15958" max="15959" width="1" style="53" customWidth="1"/>
    <col min="15960" max="15960" width="17.85546875" style="53" customWidth="1"/>
    <col min="15961" max="15962" width="1" style="53" customWidth="1"/>
    <col min="15963" max="16012" width="0" style="53" hidden="1" customWidth="1"/>
    <col min="16013" max="16014" width="1" style="53" customWidth="1"/>
    <col min="16015" max="16015" width="17.85546875" style="53" customWidth="1"/>
    <col min="16016" max="16017" width="1" style="53" customWidth="1"/>
    <col min="16018" max="16018" width="1.5703125" style="53" customWidth="1"/>
    <col min="16019" max="16019" width="0.7109375" style="53" customWidth="1"/>
    <col min="16020" max="16020" width="1.85546875" style="53" customWidth="1"/>
    <col min="16021" max="16021" width="10.7109375" style="53" customWidth="1"/>
    <col min="16022" max="16022" width="0" style="53" hidden="1" customWidth="1"/>
    <col min="16023" max="16128" width="10" style="53"/>
    <col min="16129" max="16129" width="1.5703125" style="53" customWidth="1"/>
    <col min="16130" max="16130" width="1.42578125" style="53" customWidth="1"/>
    <col min="16131" max="16131" width="57.5703125" style="53" customWidth="1"/>
    <col min="16132" max="16132" width="2.7109375" style="53" customWidth="1"/>
    <col min="16133" max="16133" width="0" style="53" hidden="1" customWidth="1"/>
    <col min="16134" max="16135" width="1" style="53" customWidth="1"/>
    <col min="16136" max="16136" width="19.7109375" style="53" customWidth="1"/>
    <col min="16137" max="16138" width="1" style="53" customWidth="1"/>
    <col min="16139" max="16143" width="0" style="53" hidden="1" customWidth="1"/>
    <col min="16144" max="16145" width="1" style="53" customWidth="1"/>
    <col min="16146" max="16146" width="17.85546875" style="53" customWidth="1"/>
    <col min="16147" max="16148" width="1" style="53" customWidth="1"/>
    <col min="16149" max="16198" width="0" style="53" hidden="1" customWidth="1"/>
    <col min="16199" max="16200" width="1" style="53" customWidth="1"/>
    <col min="16201" max="16201" width="17.85546875" style="53" customWidth="1"/>
    <col min="16202" max="16205" width="1" style="53" customWidth="1"/>
    <col min="16206" max="16206" width="17.85546875" style="53" customWidth="1"/>
    <col min="16207" max="16208" width="1" style="53" customWidth="1"/>
    <col min="16209" max="16213" width="0" style="53" hidden="1" customWidth="1"/>
    <col min="16214" max="16215" width="1" style="53" customWidth="1"/>
    <col min="16216" max="16216" width="17.85546875" style="53" customWidth="1"/>
    <col min="16217" max="16218" width="1" style="53" customWidth="1"/>
    <col min="16219" max="16268" width="0" style="53" hidden="1" customWidth="1"/>
    <col min="16269" max="16270" width="1" style="53" customWidth="1"/>
    <col min="16271" max="16271" width="17.85546875" style="53" customWidth="1"/>
    <col min="16272" max="16273" width="1" style="53" customWidth="1"/>
    <col min="16274" max="16274" width="1.5703125" style="53" customWidth="1"/>
    <col min="16275" max="16275" width="0.7109375" style="53" customWidth="1"/>
    <col min="16276" max="16276" width="1.85546875" style="53" customWidth="1"/>
    <col min="16277" max="16277" width="10.7109375" style="53" customWidth="1"/>
    <col min="16278" max="16278" width="0" style="53" hidden="1" customWidth="1"/>
    <col min="16279" max="16384" width="10" style="53"/>
  </cols>
  <sheetData>
    <row r="1" spans="1:150" x14ac:dyDescent="0.2">
      <c r="EP1" s="442"/>
      <c r="EQ1" s="53"/>
    </row>
    <row r="2" spans="1:150" ht="5.25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</row>
    <row r="3" spans="1:150" x14ac:dyDescent="0.2">
      <c r="A3" s="442"/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2"/>
      <c r="BF3" s="442"/>
      <c r="BG3" s="442"/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U3" s="442"/>
      <c r="CV3" s="442"/>
      <c r="CW3" s="442"/>
      <c r="CX3" s="442"/>
      <c r="CY3" s="442"/>
      <c r="CZ3" s="442"/>
      <c r="DA3" s="442"/>
      <c r="DB3" s="442"/>
      <c r="DC3" s="442"/>
      <c r="DD3" s="442"/>
      <c r="DE3" s="442"/>
      <c r="DF3" s="442"/>
      <c r="DG3" s="442"/>
      <c r="DH3" s="442"/>
      <c r="DI3" s="442"/>
      <c r="DJ3" s="442"/>
      <c r="DK3" s="442"/>
      <c r="DL3" s="442"/>
      <c r="DM3" s="442"/>
      <c r="DN3" s="442"/>
      <c r="DO3" s="442"/>
      <c r="DP3" s="442"/>
      <c r="DQ3" s="442"/>
      <c r="DR3" s="442"/>
      <c r="DS3" s="442"/>
      <c r="DT3" s="442"/>
      <c r="DU3" s="442"/>
      <c r="DV3" s="442"/>
      <c r="DW3" s="442"/>
      <c r="DX3" s="442"/>
      <c r="DY3" s="442"/>
      <c r="DZ3" s="442"/>
      <c r="EA3" s="442"/>
      <c r="EB3" s="442"/>
      <c r="EC3" s="442"/>
      <c r="ED3" s="442"/>
      <c r="EE3" s="442"/>
      <c r="EF3" s="442"/>
      <c r="EG3" s="442"/>
      <c r="EH3" s="442"/>
      <c r="EI3" s="442"/>
      <c r="EJ3" s="442"/>
      <c r="EK3" s="442"/>
      <c r="EL3" s="442"/>
      <c r="EM3" s="442"/>
      <c r="EN3" s="442"/>
      <c r="EO3" s="442"/>
      <c r="EP3" s="442"/>
    </row>
    <row r="4" spans="1:150" x14ac:dyDescent="0.2">
      <c r="A4" s="442"/>
      <c r="B4" s="442"/>
      <c r="C4" s="443"/>
      <c r="D4" s="443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  <c r="DD4" s="442"/>
      <c r="DE4" s="442"/>
      <c r="DF4" s="442"/>
      <c r="DG4" s="442"/>
      <c r="DH4" s="442"/>
      <c r="DI4" s="442"/>
      <c r="DJ4" s="442"/>
      <c r="DK4" s="442"/>
      <c r="DM4" s="442"/>
      <c r="DN4" s="442"/>
      <c r="DO4" s="442"/>
      <c r="DP4" s="442"/>
      <c r="DQ4" s="442"/>
      <c r="DR4" s="442"/>
      <c r="DS4" s="442"/>
      <c r="DT4" s="442"/>
      <c r="DU4" s="442"/>
      <c r="DV4" s="442"/>
      <c r="DW4" s="442"/>
      <c r="DX4" s="442"/>
      <c r="DY4" s="442"/>
      <c r="DZ4" s="442"/>
      <c r="EA4" s="442"/>
      <c r="EB4" s="442"/>
      <c r="EC4" s="442"/>
      <c r="ED4" s="442"/>
      <c r="EE4" s="442"/>
      <c r="EF4" s="442"/>
      <c r="EG4" s="442"/>
      <c r="EH4" s="442"/>
      <c r="EI4" s="442"/>
      <c r="EJ4" s="442"/>
      <c r="EK4" s="442"/>
      <c r="EL4" s="442"/>
      <c r="EM4" s="442"/>
      <c r="EN4" s="442"/>
      <c r="EO4" s="442"/>
      <c r="EP4" s="442"/>
    </row>
    <row r="5" spans="1:150" x14ac:dyDescent="0.2">
      <c r="A5" s="442"/>
      <c r="B5" s="442"/>
      <c r="D5" s="443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2"/>
      <c r="BL5" s="442"/>
      <c r="BM5" s="442"/>
      <c r="BN5" s="442"/>
      <c r="BO5" s="442"/>
      <c r="BP5" s="442"/>
      <c r="BQ5" s="442"/>
      <c r="BR5" s="442"/>
      <c r="BS5" s="442"/>
      <c r="BT5" s="442"/>
      <c r="BU5" s="442"/>
      <c r="BV5" s="442"/>
      <c r="BW5" s="442"/>
      <c r="BX5" s="442"/>
      <c r="BY5" s="442"/>
      <c r="BZ5" s="442"/>
      <c r="CA5" s="442"/>
      <c r="CB5" s="442"/>
      <c r="CC5" s="442"/>
      <c r="CD5" s="442"/>
      <c r="CE5" s="442"/>
      <c r="CF5" s="442"/>
      <c r="CG5" s="442"/>
      <c r="CH5" s="442"/>
      <c r="CI5" s="442"/>
      <c r="CJ5" s="442"/>
      <c r="CK5" s="442"/>
      <c r="CL5" s="442"/>
      <c r="CM5" s="442"/>
      <c r="CN5" s="442"/>
      <c r="CO5" s="442"/>
      <c r="CP5" s="442"/>
      <c r="CQ5" s="442"/>
      <c r="CR5" s="442"/>
      <c r="CS5" s="442"/>
      <c r="CT5" s="442"/>
      <c r="CU5" s="442"/>
      <c r="CV5" s="442"/>
      <c r="CW5" s="442"/>
      <c r="CX5" s="442"/>
      <c r="CY5" s="442"/>
      <c r="CZ5" s="442"/>
      <c r="DA5" s="442"/>
      <c r="DB5" s="442"/>
      <c r="DC5" s="442"/>
      <c r="DD5" s="442"/>
      <c r="DE5" s="442"/>
      <c r="DF5" s="442"/>
      <c r="DG5" s="442"/>
      <c r="DH5" s="442"/>
      <c r="DI5" s="442"/>
      <c r="DJ5" s="442"/>
      <c r="DK5" s="442"/>
      <c r="DL5" s="442"/>
      <c r="DM5" s="442"/>
      <c r="DN5" s="442"/>
      <c r="DO5" s="442"/>
      <c r="DP5" s="442"/>
      <c r="DQ5" s="442"/>
      <c r="DR5" s="442"/>
      <c r="DS5" s="442"/>
      <c r="DT5" s="442"/>
      <c r="DU5" s="442"/>
      <c r="DV5" s="442"/>
      <c r="DW5" s="442"/>
      <c r="DX5" s="442"/>
      <c r="DY5" s="442"/>
      <c r="DZ5" s="442"/>
      <c r="EA5" s="442"/>
      <c r="EB5" s="442"/>
      <c r="EC5" s="442"/>
      <c r="ED5" s="442"/>
      <c r="EE5" s="442"/>
      <c r="EF5" s="442"/>
      <c r="EG5" s="442"/>
      <c r="EH5" s="442"/>
      <c r="EI5" s="442"/>
      <c r="EJ5" s="442"/>
      <c r="EK5" s="442"/>
      <c r="EL5" s="442"/>
      <c r="EM5" s="442"/>
      <c r="EN5" s="442"/>
      <c r="EO5" s="442"/>
      <c r="EP5" s="442"/>
    </row>
    <row r="6" spans="1:150" x14ac:dyDescent="0.2">
      <c r="A6" s="442"/>
      <c r="B6" s="442"/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  <c r="AR6" s="442"/>
      <c r="AS6" s="442"/>
      <c r="AT6" s="442"/>
      <c r="AU6" s="442"/>
      <c r="AV6" s="442"/>
      <c r="AW6" s="442"/>
      <c r="AX6" s="442"/>
      <c r="AY6" s="442"/>
      <c r="AZ6" s="442"/>
      <c r="BA6" s="442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  <c r="BM6" s="442"/>
      <c r="BN6" s="442"/>
      <c r="BO6" s="442"/>
      <c r="BP6" s="442"/>
      <c r="BQ6" s="442"/>
      <c r="BR6" s="442"/>
      <c r="BS6" s="442"/>
      <c r="BT6" s="442"/>
      <c r="BU6" s="442"/>
      <c r="BV6" s="442"/>
      <c r="BW6" s="442"/>
      <c r="BX6" s="442"/>
      <c r="BY6" s="442"/>
      <c r="BZ6" s="442"/>
      <c r="CA6" s="442"/>
      <c r="CB6" s="442"/>
      <c r="CC6" s="442"/>
      <c r="CD6" s="442"/>
      <c r="CE6" s="442"/>
      <c r="CF6" s="442"/>
      <c r="CG6" s="442"/>
      <c r="CH6" s="442"/>
      <c r="CI6" s="442"/>
      <c r="CJ6" s="442"/>
      <c r="CK6" s="442"/>
      <c r="CL6" s="442"/>
      <c r="CM6" s="442"/>
      <c r="CN6" s="442"/>
      <c r="CO6" s="442"/>
      <c r="CP6" s="442"/>
      <c r="CQ6" s="442"/>
      <c r="CR6" s="442"/>
      <c r="CS6" s="442"/>
      <c r="CT6" s="442"/>
      <c r="CU6" s="442"/>
      <c r="CV6" s="442"/>
      <c r="CW6" s="442"/>
      <c r="CX6" s="442"/>
      <c r="CY6" s="442"/>
      <c r="CZ6" s="442"/>
      <c r="DA6" s="442"/>
      <c r="DB6" s="442"/>
      <c r="DC6" s="442"/>
      <c r="DD6" s="442"/>
      <c r="DE6" s="442"/>
      <c r="DF6" s="442"/>
      <c r="DG6" s="442"/>
      <c r="DH6" s="442"/>
      <c r="DI6" s="442"/>
      <c r="DJ6" s="442"/>
      <c r="DK6" s="442"/>
      <c r="DL6" s="442"/>
      <c r="DM6" s="442"/>
      <c r="DN6" s="442"/>
      <c r="DO6" s="442"/>
      <c r="DP6" s="442"/>
      <c r="DQ6" s="442"/>
      <c r="DR6" s="442"/>
      <c r="DS6" s="442"/>
      <c r="DT6" s="442"/>
      <c r="DU6" s="442"/>
      <c r="DV6" s="442"/>
      <c r="DW6" s="442"/>
      <c r="DX6" s="442"/>
      <c r="DY6" s="442"/>
      <c r="DZ6" s="442"/>
      <c r="EA6" s="442"/>
      <c r="EB6" s="442"/>
      <c r="EC6" s="442"/>
      <c r="ED6" s="442"/>
      <c r="EE6" s="442"/>
      <c r="EF6" s="442"/>
      <c r="EG6" s="442"/>
      <c r="EH6" s="442"/>
      <c r="EI6" s="442"/>
      <c r="EJ6" s="442"/>
      <c r="EK6" s="442"/>
      <c r="EL6" s="442"/>
      <c r="EM6" s="442"/>
      <c r="EN6" s="442"/>
      <c r="EO6" s="442"/>
      <c r="EP6" s="442"/>
    </row>
    <row r="7" spans="1:150" ht="15" customHeight="1" x14ac:dyDescent="0.25">
      <c r="A7" s="442"/>
      <c r="B7" s="442"/>
      <c r="C7" s="444" t="s">
        <v>291</v>
      </c>
      <c r="D7" s="445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442"/>
      <c r="AQ7" s="442"/>
      <c r="AR7" s="442"/>
      <c r="AS7" s="442"/>
      <c r="AT7" s="442"/>
      <c r="AU7" s="442"/>
      <c r="AV7" s="442"/>
      <c r="AW7" s="442"/>
      <c r="AX7" s="442"/>
      <c r="AY7" s="442"/>
      <c r="AZ7" s="442"/>
      <c r="BA7" s="442"/>
      <c r="BB7" s="442"/>
      <c r="BC7" s="442"/>
      <c r="BD7" s="442"/>
      <c r="BE7" s="442"/>
      <c r="BF7" s="442"/>
      <c r="BG7" s="442"/>
      <c r="BH7" s="442"/>
      <c r="BI7" s="442"/>
      <c r="BJ7" s="442"/>
      <c r="BK7" s="442"/>
      <c r="BL7" s="442"/>
      <c r="BM7" s="442"/>
      <c r="BN7" s="442"/>
      <c r="BO7" s="442"/>
      <c r="BP7" s="442"/>
      <c r="BQ7" s="442"/>
      <c r="BR7" s="442"/>
      <c r="BS7" s="442"/>
      <c r="BT7" s="442"/>
      <c r="BU7" s="442"/>
      <c r="BV7" s="442"/>
      <c r="BW7" s="442"/>
      <c r="BX7" s="442"/>
      <c r="BY7" s="442"/>
      <c r="BZ7" s="442"/>
      <c r="CA7" s="442"/>
      <c r="CB7" s="442"/>
      <c r="CC7" s="442"/>
      <c r="CD7" s="442"/>
      <c r="CE7" s="442"/>
      <c r="CF7" s="442"/>
      <c r="CG7" s="442"/>
      <c r="CH7" s="442"/>
      <c r="CI7" s="442"/>
      <c r="CJ7" s="442"/>
      <c r="CK7" s="442"/>
      <c r="CL7" s="442"/>
      <c r="CM7" s="442"/>
      <c r="CN7" s="442"/>
      <c r="CO7" s="442"/>
      <c r="CP7" s="442"/>
      <c r="CQ7" s="442"/>
      <c r="CR7" s="442"/>
      <c r="CS7" s="442"/>
      <c r="CT7" s="442"/>
      <c r="CU7" s="442"/>
      <c r="CV7" s="442"/>
      <c r="CW7" s="442"/>
      <c r="CX7" s="442"/>
      <c r="CY7" s="442"/>
      <c r="CZ7" s="442"/>
      <c r="DA7" s="442"/>
      <c r="DB7" s="442"/>
      <c r="DC7" s="442"/>
      <c r="DD7" s="442"/>
      <c r="DE7" s="442"/>
      <c r="DF7" s="442"/>
      <c r="DG7" s="442"/>
      <c r="DH7" s="442"/>
      <c r="DI7" s="442"/>
      <c r="DJ7" s="442"/>
      <c r="DK7" s="442"/>
      <c r="DL7" s="442"/>
      <c r="DM7" s="442"/>
      <c r="DN7" s="442"/>
      <c r="DO7" s="442"/>
      <c r="DP7" s="442"/>
      <c r="DQ7" s="442"/>
      <c r="DR7" s="442"/>
      <c r="DS7" s="442"/>
      <c r="DT7" s="442"/>
      <c r="DU7" s="442"/>
      <c r="DV7" s="442"/>
      <c r="DW7" s="442"/>
      <c r="DX7" s="442"/>
      <c r="DY7" s="442"/>
      <c r="DZ7" s="442"/>
      <c r="EA7" s="442"/>
      <c r="EB7" s="442"/>
      <c r="EC7" s="442"/>
      <c r="ED7" s="442"/>
      <c r="EE7" s="442"/>
      <c r="EF7" s="442"/>
      <c r="EG7" s="442"/>
      <c r="EH7" s="442"/>
      <c r="EI7" s="442"/>
      <c r="EJ7" s="442"/>
      <c r="EK7" s="442"/>
      <c r="EL7" s="442"/>
      <c r="EM7" s="442"/>
      <c r="EN7" s="442"/>
      <c r="EO7" s="442"/>
      <c r="EP7" s="442"/>
    </row>
    <row r="8" spans="1:150" x14ac:dyDescent="0.2">
      <c r="A8" s="442"/>
      <c r="B8" s="442"/>
      <c r="C8" s="446"/>
      <c r="D8" s="442"/>
      <c r="E8" s="447"/>
      <c r="F8" s="448"/>
      <c r="G8" s="449"/>
      <c r="H8" s="144" t="s">
        <v>3</v>
      </c>
      <c r="I8" s="144"/>
      <c r="J8" s="144"/>
      <c r="K8" s="144"/>
      <c r="L8" s="144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0"/>
      <c r="AS8" s="450"/>
      <c r="AT8" s="450"/>
      <c r="AU8" s="450"/>
      <c r="AV8" s="450"/>
      <c r="AW8" s="450"/>
      <c r="AX8" s="450"/>
      <c r="AY8" s="450"/>
      <c r="AZ8" s="450"/>
      <c r="BA8" s="450"/>
      <c r="BB8" s="450"/>
      <c r="BC8" s="450"/>
      <c r="BD8" s="450"/>
      <c r="BE8" s="450"/>
      <c r="BF8" s="450"/>
      <c r="BG8" s="450"/>
      <c r="BH8" s="450"/>
      <c r="BI8" s="450"/>
      <c r="BJ8" s="450"/>
      <c r="BK8" s="450"/>
      <c r="BL8" s="450"/>
      <c r="BM8" s="450"/>
      <c r="BN8" s="450"/>
      <c r="BO8" s="450"/>
      <c r="BP8" s="450"/>
      <c r="BQ8" s="450"/>
      <c r="BR8" s="450"/>
      <c r="BS8" s="450"/>
      <c r="BT8" s="450"/>
      <c r="BU8" s="450"/>
      <c r="BV8" s="451"/>
      <c r="BW8" s="451"/>
      <c r="BX8" s="452"/>
      <c r="BY8" s="451"/>
      <c r="BZ8" s="144" t="s">
        <v>4</v>
      </c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453"/>
      <c r="EO8" s="454"/>
      <c r="EP8" s="455"/>
    </row>
    <row r="9" spans="1:150" ht="18" customHeight="1" x14ac:dyDescent="0.2">
      <c r="A9" s="442"/>
      <c r="B9" s="442"/>
      <c r="C9" s="455"/>
      <c r="D9" s="442"/>
      <c r="E9" s="202" t="s">
        <v>21</v>
      </c>
      <c r="F9" s="177"/>
      <c r="G9" s="158"/>
      <c r="H9" s="456" t="s">
        <v>5</v>
      </c>
      <c r="I9" s="158"/>
      <c r="J9" s="158"/>
      <c r="K9" s="177"/>
      <c r="L9" s="158"/>
      <c r="M9" s="158" t="s">
        <v>6</v>
      </c>
      <c r="N9" s="158"/>
      <c r="O9" s="158"/>
      <c r="P9" s="177"/>
      <c r="Q9" s="158"/>
      <c r="R9" s="158" t="s">
        <v>7</v>
      </c>
      <c r="S9" s="158"/>
      <c r="T9" s="158"/>
      <c r="U9" s="177"/>
      <c r="V9" s="158"/>
      <c r="W9" s="158" t="s">
        <v>8</v>
      </c>
      <c r="X9" s="158"/>
      <c r="Y9" s="158"/>
      <c r="Z9" s="177"/>
      <c r="AA9" s="158"/>
      <c r="AB9" s="158" t="s">
        <v>9</v>
      </c>
      <c r="AC9" s="158"/>
      <c r="AD9" s="158"/>
      <c r="AE9" s="177"/>
      <c r="AF9" s="158"/>
      <c r="AG9" s="158" t="s">
        <v>10</v>
      </c>
      <c r="AH9" s="158"/>
      <c r="AI9" s="158"/>
      <c r="AJ9" s="177"/>
      <c r="AK9" s="158"/>
      <c r="AL9" s="158" t="s">
        <v>11</v>
      </c>
      <c r="AM9" s="158"/>
      <c r="AN9" s="158"/>
      <c r="AO9" s="177"/>
      <c r="AP9" s="158"/>
      <c r="AQ9" s="158" t="s">
        <v>12</v>
      </c>
      <c r="AR9" s="158"/>
      <c r="AS9" s="158"/>
      <c r="AT9" s="177"/>
      <c r="AU9" s="158"/>
      <c r="AV9" s="158" t="s">
        <v>13</v>
      </c>
      <c r="AW9" s="158"/>
      <c r="AX9" s="158"/>
      <c r="AY9" s="177"/>
      <c r="AZ9" s="158"/>
      <c r="BA9" s="158" t="s">
        <v>14</v>
      </c>
      <c r="BB9" s="158"/>
      <c r="BC9" s="158"/>
      <c r="BD9" s="177"/>
      <c r="BE9" s="158"/>
      <c r="BF9" s="158" t="s">
        <v>15</v>
      </c>
      <c r="BG9" s="158"/>
      <c r="BH9" s="158"/>
      <c r="BI9" s="177"/>
      <c r="BJ9" s="158"/>
      <c r="BK9" s="158" t="s">
        <v>16</v>
      </c>
      <c r="BL9" s="158"/>
      <c r="BM9" s="158"/>
      <c r="BN9" s="177"/>
      <c r="BO9" s="158"/>
      <c r="BP9" s="158" t="s">
        <v>17</v>
      </c>
      <c r="BQ9" s="158"/>
      <c r="BR9" s="158"/>
      <c r="BS9" s="177"/>
      <c r="BT9" s="158"/>
      <c r="BU9" s="158" t="s">
        <v>18</v>
      </c>
      <c r="BV9" s="158"/>
      <c r="BW9" s="158"/>
      <c r="BX9" s="201"/>
      <c r="BY9" s="158"/>
      <c r="BZ9" s="457" t="s">
        <v>19</v>
      </c>
      <c r="CA9" s="158"/>
      <c r="CB9" s="158"/>
      <c r="CC9" s="177"/>
      <c r="CD9" s="158"/>
      <c r="CE9" s="158" t="s">
        <v>6</v>
      </c>
      <c r="CF9" s="158"/>
      <c r="CG9" s="158"/>
      <c r="CH9" s="177"/>
      <c r="CI9" s="158"/>
      <c r="CJ9" s="158" t="s">
        <v>7</v>
      </c>
      <c r="CK9" s="158"/>
      <c r="CL9" s="158"/>
      <c r="CM9" s="177"/>
      <c r="CN9" s="158"/>
      <c r="CO9" s="158" t="s">
        <v>8</v>
      </c>
      <c r="CP9" s="158"/>
      <c r="CQ9" s="158"/>
      <c r="CR9" s="177"/>
      <c r="CS9" s="158"/>
      <c r="CT9" s="158" t="s">
        <v>9</v>
      </c>
      <c r="CU9" s="158"/>
      <c r="CV9" s="158"/>
      <c r="CW9" s="177"/>
      <c r="CX9" s="158"/>
      <c r="CY9" s="158" t="s">
        <v>10</v>
      </c>
      <c r="CZ9" s="158"/>
      <c r="DA9" s="158"/>
      <c r="DB9" s="177"/>
      <c r="DC9" s="158"/>
      <c r="DD9" s="158" t="s">
        <v>11</v>
      </c>
      <c r="DE9" s="158"/>
      <c r="DF9" s="158"/>
      <c r="DG9" s="177"/>
      <c r="DH9" s="158"/>
      <c r="DI9" s="158" t="s">
        <v>12</v>
      </c>
      <c r="DJ9" s="158"/>
      <c r="DK9" s="158"/>
      <c r="DL9" s="177"/>
      <c r="DM9" s="158"/>
      <c r="DN9" s="158" t="s">
        <v>13</v>
      </c>
      <c r="DO9" s="158"/>
      <c r="DP9" s="158"/>
      <c r="DQ9" s="177"/>
      <c r="DR9" s="158"/>
      <c r="DS9" s="158" t="s">
        <v>14</v>
      </c>
      <c r="DT9" s="158"/>
      <c r="DU9" s="158"/>
      <c r="DV9" s="177"/>
      <c r="DW9" s="158"/>
      <c r="DX9" s="158" t="s">
        <v>15</v>
      </c>
      <c r="DY9" s="158"/>
      <c r="DZ9" s="158"/>
      <c r="EA9" s="177"/>
      <c r="EB9" s="158"/>
      <c r="EC9" s="158" t="s">
        <v>16</v>
      </c>
      <c r="ED9" s="158"/>
      <c r="EE9" s="158"/>
      <c r="EF9" s="177"/>
      <c r="EG9" s="158"/>
      <c r="EH9" s="158" t="s">
        <v>17</v>
      </c>
      <c r="EI9" s="158"/>
      <c r="EJ9" s="158"/>
      <c r="EK9" s="177"/>
      <c r="EL9" s="158"/>
      <c r="EM9" s="158" t="s">
        <v>18</v>
      </c>
      <c r="EN9" s="158"/>
      <c r="EO9" s="158"/>
      <c r="EP9" s="455"/>
    </row>
    <row r="10" spans="1:150" x14ac:dyDescent="0.2">
      <c r="A10" s="442"/>
      <c r="B10" s="442"/>
      <c r="C10" s="458" t="s">
        <v>20</v>
      </c>
      <c r="D10" s="459"/>
      <c r="E10" s="241"/>
      <c r="F10" s="460"/>
      <c r="G10" s="242"/>
      <c r="H10" s="461" t="s">
        <v>22</v>
      </c>
      <c r="I10" s="242"/>
      <c r="J10" s="242"/>
      <c r="K10" s="460"/>
      <c r="L10" s="242"/>
      <c r="M10" s="242"/>
      <c r="N10" s="242"/>
      <c r="O10" s="242"/>
      <c r="P10" s="460"/>
      <c r="Q10" s="242"/>
      <c r="R10" s="242"/>
      <c r="S10" s="242"/>
      <c r="T10" s="242"/>
      <c r="U10" s="460"/>
      <c r="V10" s="242"/>
      <c r="W10" s="242"/>
      <c r="X10" s="242"/>
      <c r="Y10" s="242"/>
      <c r="Z10" s="460"/>
      <c r="AA10" s="242"/>
      <c r="AB10" s="242"/>
      <c r="AC10" s="242"/>
      <c r="AD10" s="242"/>
      <c r="AE10" s="460"/>
      <c r="AF10" s="242"/>
      <c r="AG10" s="242"/>
      <c r="AH10" s="242"/>
      <c r="AI10" s="242"/>
      <c r="AJ10" s="460"/>
      <c r="AK10" s="242"/>
      <c r="AL10" s="242"/>
      <c r="AM10" s="242"/>
      <c r="AN10" s="242"/>
      <c r="AO10" s="460"/>
      <c r="AP10" s="242"/>
      <c r="AQ10" s="242"/>
      <c r="AR10" s="242"/>
      <c r="AS10" s="242"/>
      <c r="AT10" s="460"/>
      <c r="AU10" s="242"/>
      <c r="AV10" s="242"/>
      <c r="AW10" s="242"/>
      <c r="AX10" s="242"/>
      <c r="AY10" s="460"/>
      <c r="AZ10" s="242"/>
      <c r="BA10" s="242"/>
      <c r="BB10" s="242"/>
      <c r="BC10" s="242"/>
      <c r="BD10" s="460"/>
      <c r="BE10" s="242"/>
      <c r="BF10" s="242"/>
      <c r="BG10" s="242"/>
      <c r="BH10" s="242"/>
      <c r="BI10" s="460"/>
      <c r="BJ10" s="242"/>
      <c r="BK10" s="242"/>
      <c r="BL10" s="242"/>
      <c r="BM10" s="242"/>
      <c r="BN10" s="460"/>
      <c r="BO10" s="242"/>
      <c r="BP10" s="242"/>
      <c r="BQ10" s="242"/>
      <c r="BR10" s="242"/>
      <c r="BS10" s="460"/>
      <c r="BT10" s="242"/>
      <c r="BU10" s="242"/>
      <c r="BV10" s="242"/>
      <c r="BW10" s="242"/>
      <c r="BX10" s="460"/>
      <c r="BY10" s="242"/>
      <c r="BZ10" s="462" t="s">
        <v>23</v>
      </c>
      <c r="CA10" s="242"/>
      <c r="CB10" s="242"/>
      <c r="CC10" s="460"/>
      <c r="CD10" s="242"/>
      <c r="CE10" s="242"/>
      <c r="CF10" s="242"/>
      <c r="CG10" s="242"/>
      <c r="CH10" s="460"/>
      <c r="CI10" s="242"/>
      <c r="CJ10" s="242"/>
      <c r="CK10" s="242"/>
      <c r="CL10" s="242"/>
      <c r="CM10" s="460"/>
      <c r="CN10" s="242"/>
      <c r="CO10" s="242"/>
      <c r="CP10" s="242"/>
      <c r="CQ10" s="242"/>
      <c r="CR10" s="460"/>
      <c r="CS10" s="242"/>
      <c r="CT10" s="242"/>
      <c r="CU10" s="242"/>
      <c r="CV10" s="242"/>
      <c r="CW10" s="460"/>
      <c r="CX10" s="242"/>
      <c r="CY10" s="242"/>
      <c r="CZ10" s="242"/>
      <c r="DA10" s="242"/>
      <c r="DB10" s="460"/>
      <c r="DC10" s="242"/>
      <c r="DD10" s="242"/>
      <c r="DE10" s="242"/>
      <c r="DF10" s="242"/>
      <c r="DG10" s="460"/>
      <c r="DH10" s="242"/>
      <c r="DI10" s="242"/>
      <c r="DJ10" s="242"/>
      <c r="DK10" s="242"/>
      <c r="DL10" s="460"/>
      <c r="DM10" s="242"/>
      <c r="DN10" s="242"/>
      <c r="DO10" s="242"/>
      <c r="DP10" s="242"/>
      <c r="DQ10" s="460"/>
      <c r="DR10" s="242"/>
      <c r="DS10" s="242"/>
      <c r="DT10" s="242"/>
      <c r="DU10" s="242"/>
      <c r="DV10" s="460"/>
      <c r="DW10" s="242"/>
      <c r="DX10" s="242"/>
      <c r="DY10" s="242"/>
      <c r="DZ10" s="242"/>
      <c r="EA10" s="460"/>
      <c r="EB10" s="242"/>
      <c r="EC10" s="242"/>
      <c r="ED10" s="242"/>
      <c r="EE10" s="242"/>
      <c r="EF10" s="460"/>
      <c r="EG10" s="242"/>
      <c r="EH10" s="242"/>
      <c r="EI10" s="242"/>
      <c r="EJ10" s="242"/>
      <c r="EK10" s="460"/>
      <c r="EL10" s="242"/>
      <c r="EM10" s="242"/>
      <c r="EN10" s="242"/>
      <c r="EO10" s="463"/>
      <c r="EP10" s="455"/>
    </row>
    <row r="11" spans="1:150" x14ac:dyDescent="0.2">
      <c r="A11" s="442"/>
      <c r="B11" s="442"/>
      <c r="C11" s="455"/>
      <c r="D11" s="442"/>
      <c r="E11" s="464"/>
      <c r="F11" s="465"/>
      <c r="G11" s="442"/>
      <c r="H11" s="442"/>
      <c r="I11" s="442"/>
      <c r="J11" s="442"/>
      <c r="K11" s="465"/>
      <c r="L11" s="442"/>
      <c r="M11" s="442"/>
      <c r="N11" s="442"/>
      <c r="O11" s="442"/>
      <c r="P11" s="465"/>
      <c r="Q11" s="442"/>
      <c r="R11" s="442"/>
      <c r="S11" s="442"/>
      <c r="T11" s="442"/>
      <c r="U11" s="465"/>
      <c r="V11" s="442"/>
      <c r="W11" s="442"/>
      <c r="X11" s="442"/>
      <c r="Y11" s="442"/>
      <c r="Z11" s="465"/>
      <c r="AA11" s="442"/>
      <c r="AB11" s="442"/>
      <c r="AC11" s="442"/>
      <c r="AD11" s="442"/>
      <c r="AE11" s="465"/>
      <c r="AF11" s="442"/>
      <c r="AG11" s="442"/>
      <c r="AH11" s="442"/>
      <c r="AI11" s="442"/>
      <c r="AJ11" s="465"/>
      <c r="AK11" s="442"/>
      <c r="AL11" s="442"/>
      <c r="AM11" s="442"/>
      <c r="AN11" s="442"/>
      <c r="AO11" s="465"/>
      <c r="AP11" s="442"/>
      <c r="AQ11" s="442"/>
      <c r="AR11" s="442"/>
      <c r="AS11" s="442"/>
      <c r="AT11" s="465"/>
      <c r="AU11" s="442"/>
      <c r="AV11" s="442"/>
      <c r="AW11" s="442"/>
      <c r="AX11" s="442"/>
      <c r="AY11" s="465"/>
      <c r="AZ11" s="442"/>
      <c r="BA11" s="442"/>
      <c r="BB11" s="442"/>
      <c r="BC11" s="442"/>
      <c r="BD11" s="465"/>
      <c r="BE11" s="442"/>
      <c r="BF11" s="442"/>
      <c r="BG11" s="442"/>
      <c r="BH11" s="442"/>
      <c r="BI11" s="465"/>
      <c r="BJ11" s="442"/>
      <c r="BK11" s="442"/>
      <c r="BL11" s="442"/>
      <c r="BM11" s="442"/>
      <c r="BN11" s="465"/>
      <c r="BO11" s="442"/>
      <c r="BP11" s="442"/>
      <c r="BQ11" s="442"/>
      <c r="BR11" s="442"/>
      <c r="BS11" s="465"/>
      <c r="BT11" s="442"/>
      <c r="BU11" s="442"/>
      <c r="BV11" s="442"/>
      <c r="BW11" s="442"/>
      <c r="BX11" s="465"/>
      <c r="BY11" s="442"/>
      <c r="BZ11" s="442"/>
      <c r="CA11" s="442"/>
      <c r="CB11" s="442"/>
      <c r="CC11" s="465"/>
      <c r="CD11" s="442"/>
      <c r="CE11" s="442"/>
      <c r="CF11" s="442"/>
      <c r="CG11" s="442"/>
      <c r="CH11" s="465"/>
      <c r="CI11" s="442"/>
      <c r="CJ11" s="442"/>
      <c r="CK11" s="442"/>
      <c r="CL11" s="442"/>
      <c r="CM11" s="465"/>
      <c r="CN11" s="442"/>
      <c r="CO11" s="442"/>
      <c r="CP11" s="442"/>
      <c r="CQ11" s="442"/>
      <c r="CR11" s="465"/>
      <c r="CS11" s="442"/>
      <c r="CT11" s="442"/>
      <c r="CU11" s="442"/>
      <c r="CV11" s="442"/>
      <c r="CW11" s="465"/>
      <c r="CX11" s="442"/>
      <c r="CY11" s="442"/>
      <c r="CZ11" s="442"/>
      <c r="DA11" s="442"/>
      <c r="DB11" s="465"/>
      <c r="DC11" s="442"/>
      <c r="DD11" s="442"/>
      <c r="DE11" s="442"/>
      <c r="DF11" s="442"/>
      <c r="DG11" s="465"/>
      <c r="DH11" s="442"/>
      <c r="DI11" s="442"/>
      <c r="DJ11" s="442"/>
      <c r="DK11" s="442"/>
      <c r="DL11" s="465"/>
      <c r="DM11" s="442"/>
      <c r="DN11" s="442"/>
      <c r="DO11" s="442"/>
      <c r="DP11" s="442"/>
      <c r="DQ11" s="465"/>
      <c r="DR11" s="442"/>
      <c r="DS11" s="442"/>
      <c r="DT11" s="442"/>
      <c r="DU11" s="442"/>
      <c r="DV11" s="465"/>
      <c r="DW11" s="442"/>
      <c r="DX11" s="442"/>
      <c r="DY11" s="442"/>
      <c r="DZ11" s="442"/>
      <c r="EA11" s="465"/>
      <c r="EB11" s="442"/>
      <c r="EC11" s="442"/>
      <c r="ED11" s="442"/>
      <c r="EE11" s="442"/>
      <c r="EF11" s="465"/>
      <c r="EG11" s="442"/>
      <c r="EH11" s="442"/>
      <c r="EI11" s="442"/>
      <c r="EJ11" s="442"/>
      <c r="EK11" s="465"/>
      <c r="EL11" s="442"/>
      <c r="EM11" s="442"/>
      <c r="EN11" s="442"/>
      <c r="EO11" s="442"/>
      <c r="EP11" s="455"/>
    </row>
    <row r="12" spans="1:150" x14ac:dyDescent="0.2">
      <c r="A12" s="442"/>
      <c r="B12" s="442"/>
      <c r="C12" s="455"/>
      <c r="D12" s="442"/>
      <c r="E12" s="464"/>
      <c r="F12" s="465"/>
      <c r="G12" s="442"/>
      <c r="H12" s="442"/>
      <c r="I12" s="442"/>
      <c r="J12" s="442"/>
      <c r="K12" s="465"/>
      <c r="L12" s="442"/>
      <c r="M12" s="442"/>
      <c r="N12" s="442"/>
      <c r="O12" s="442"/>
      <c r="P12" s="465"/>
      <c r="Q12" s="442"/>
      <c r="R12" s="442"/>
      <c r="S12" s="442"/>
      <c r="T12" s="442"/>
      <c r="U12" s="465"/>
      <c r="V12" s="442"/>
      <c r="W12" s="442"/>
      <c r="X12" s="442"/>
      <c r="Y12" s="442"/>
      <c r="Z12" s="465"/>
      <c r="AA12" s="442"/>
      <c r="AB12" s="442"/>
      <c r="AC12" s="442"/>
      <c r="AD12" s="442"/>
      <c r="AE12" s="465"/>
      <c r="AF12" s="442"/>
      <c r="AG12" s="442"/>
      <c r="AH12" s="442"/>
      <c r="AI12" s="442"/>
      <c r="AJ12" s="465"/>
      <c r="AK12" s="442"/>
      <c r="AL12" s="442"/>
      <c r="AM12" s="442"/>
      <c r="AN12" s="442"/>
      <c r="AO12" s="465"/>
      <c r="AP12" s="442"/>
      <c r="AQ12" s="442"/>
      <c r="AR12" s="442"/>
      <c r="AS12" s="442"/>
      <c r="AT12" s="465"/>
      <c r="AU12" s="442"/>
      <c r="AV12" s="442"/>
      <c r="AW12" s="442"/>
      <c r="AX12" s="442"/>
      <c r="AY12" s="465"/>
      <c r="AZ12" s="442"/>
      <c r="BA12" s="442"/>
      <c r="BB12" s="442"/>
      <c r="BC12" s="442"/>
      <c r="BD12" s="465"/>
      <c r="BE12" s="442"/>
      <c r="BF12" s="442"/>
      <c r="BG12" s="442"/>
      <c r="BH12" s="442"/>
      <c r="BI12" s="465"/>
      <c r="BJ12" s="442"/>
      <c r="BK12" s="442"/>
      <c r="BL12" s="442"/>
      <c r="BM12" s="442"/>
      <c r="BN12" s="465"/>
      <c r="BO12" s="442"/>
      <c r="BP12" s="442"/>
      <c r="BQ12" s="442"/>
      <c r="BR12" s="442"/>
      <c r="BS12" s="465"/>
      <c r="BT12" s="442"/>
      <c r="BU12" s="442"/>
      <c r="BV12" s="442"/>
      <c r="BW12" s="442"/>
      <c r="BX12" s="465"/>
      <c r="BY12" s="442"/>
      <c r="BZ12" s="442"/>
      <c r="CA12" s="442"/>
      <c r="CB12" s="442"/>
      <c r="CC12" s="465"/>
      <c r="CD12" s="442"/>
      <c r="CE12" s="442"/>
      <c r="CF12" s="442"/>
      <c r="CG12" s="442"/>
      <c r="CH12" s="465"/>
      <c r="CI12" s="442"/>
      <c r="CJ12" s="442"/>
      <c r="CK12" s="442"/>
      <c r="CL12" s="442"/>
      <c r="CM12" s="465"/>
      <c r="CN12" s="442"/>
      <c r="CO12" s="442"/>
      <c r="CP12" s="442"/>
      <c r="CQ12" s="442"/>
      <c r="CR12" s="465"/>
      <c r="CS12" s="442"/>
      <c r="CT12" s="442"/>
      <c r="CU12" s="442"/>
      <c r="CV12" s="442"/>
      <c r="CW12" s="465"/>
      <c r="CX12" s="442"/>
      <c r="CY12" s="442"/>
      <c r="CZ12" s="442"/>
      <c r="DA12" s="442"/>
      <c r="DB12" s="465"/>
      <c r="DC12" s="442"/>
      <c r="DD12" s="442"/>
      <c r="DE12" s="442"/>
      <c r="DF12" s="442"/>
      <c r="DG12" s="465"/>
      <c r="DH12" s="442"/>
      <c r="DI12" s="442"/>
      <c r="DJ12" s="442"/>
      <c r="DK12" s="442"/>
      <c r="DL12" s="465"/>
      <c r="DM12" s="442"/>
      <c r="DN12" s="442"/>
      <c r="DO12" s="442"/>
      <c r="DP12" s="442"/>
      <c r="DQ12" s="465"/>
      <c r="DR12" s="442"/>
      <c r="DS12" s="442"/>
      <c r="DT12" s="442"/>
      <c r="DU12" s="442"/>
      <c r="DV12" s="465"/>
      <c r="DW12" s="442"/>
      <c r="DX12" s="442"/>
      <c r="DY12" s="442"/>
      <c r="DZ12" s="442"/>
      <c r="EA12" s="465"/>
      <c r="EB12" s="442"/>
      <c r="EC12" s="442"/>
      <c r="ED12" s="442"/>
      <c r="EE12" s="442"/>
      <c r="EF12" s="465"/>
      <c r="EG12" s="442"/>
      <c r="EH12" s="442"/>
      <c r="EI12" s="442"/>
      <c r="EJ12" s="442"/>
      <c r="EK12" s="465"/>
      <c r="EL12" s="442"/>
      <c r="EM12" s="442"/>
      <c r="EN12" s="442"/>
      <c r="EO12" s="442"/>
      <c r="EP12" s="455"/>
    </row>
    <row r="13" spans="1:150" s="472" customFormat="1" x14ac:dyDescent="0.2">
      <c r="A13" s="443"/>
      <c r="B13" s="443"/>
      <c r="C13" s="466" t="s">
        <v>37</v>
      </c>
      <c r="D13" s="443"/>
      <c r="E13" s="467"/>
      <c r="F13" s="468"/>
      <c r="G13" s="443"/>
      <c r="H13" s="443">
        <f>+H14+H21</f>
        <v>48000000</v>
      </c>
      <c r="I13" s="443"/>
      <c r="J13" s="443"/>
      <c r="K13" s="468"/>
      <c r="L13" s="443"/>
      <c r="M13" s="469">
        <f>+M14+M21</f>
        <v>37582688</v>
      </c>
      <c r="N13" s="443"/>
      <c r="O13" s="443"/>
      <c r="P13" s="468"/>
      <c r="Q13" s="443"/>
      <c r="R13" s="469">
        <f>+R14+R21</f>
        <v>16125619</v>
      </c>
      <c r="S13" s="443"/>
      <c r="T13" s="443"/>
      <c r="U13" s="468"/>
      <c r="V13" s="443"/>
      <c r="W13" s="469">
        <f>+W14+W21</f>
        <v>0</v>
      </c>
      <c r="X13" s="443"/>
      <c r="Y13" s="443"/>
      <c r="Z13" s="468"/>
      <c r="AA13" s="443"/>
      <c r="AB13" s="469">
        <f>+AB14+AB21</f>
        <v>0</v>
      </c>
      <c r="AC13" s="443"/>
      <c r="AD13" s="443"/>
      <c r="AE13" s="468"/>
      <c r="AF13" s="443"/>
      <c r="AG13" s="469">
        <f>+AG14+AG21</f>
        <v>0</v>
      </c>
      <c r="AH13" s="443"/>
      <c r="AI13" s="443"/>
      <c r="AJ13" s="468"/>
      <c r="AK13" s="443"/>
      <c r="AL13" s="469">
        <f>+AL14+AL21</f>
        <v>0</v>
      </c>
      <c r="AM13" s="443"/>
      <c r="AN13" s="443"/>
      <c r="AO13" s="468"/>
      <c r="AP13" s="443"/>
      <c r="AQ13" s="469">
        <f>+AQ14+AQ21</f>
        <v>0</v>
      </c>
      <c r="AR13" s="443"/>
      <c r="AS13" s="443"/>
      <c r="AT13" s="468"/>
      <c r="AU13" s="443"/>
      <c r="AV13" s="469">
        <f>+AV14+AV21</f>
        <v>0</v>
      </c>
      <c r="AW13" s="443"/>
      <c r="AX13" s="443"/>
      <c r="AY13" s="468"/>
      <c r="AZ13" s="443"/>
      <c r="BA13" s="469">
        <f>+BA14+BA21</f>
        <v>0</v>
      </c>
      <c r="BB13" s="443"/>
      <c r="BC13" s="443"/>
      <c r="BD13" s="468"/>
      <c r="BE13" s="443"/>
      <c r="BF13" s="469">
        <f>+BF14+BF21</f>
        <v>0</v>
      </c>
      <c r="BG13" s="443"/>
      <c r="BH13" s="443"/>
      <c r="BI13" s="468"/>
      <c r="BJ13" s="443"/>
      <c r="BK13" s="469">
        <f>+BK14+BK21</f>
        <v>0</v>
      </c>
      <c r="BL13" s="469"/>
      <c r="BM13" s="469"/>
      <c r="BN13" s="470"/>
      <c r="BO13" s="469"/>
      <c r="BP13" s="469">
        <f>+BP14+BP21</f>
        <v>0</v>
      </c>
      <c r="BQ13" s="443"/>
      <c r="BR13" s="443"/>
      <c r="BS13" s="468"/>
      <c r="BT13" s="443"/>
      <c r="BU13" s="443">
        <f>+BU14+BU21</f>
        <v>53708307</v>
      </c>
      <c r="BV13" s="443"/>
      <c r="BW13" s="443"/>
      <c r="BX13" s="468"/>
      <c r="BY13" s="443"/>
      <c r="BZ13" s="471">
        <f>+BZ14+BZ21</f>
        <v>36077502</v>
      </c>
      <c r="CA13" s="443"/>
      <c r="CB13" s="443"/>
      <c r="CC13" s="468"/>
      <c r="CD13" s="443"/>
      <c r="CE13" s="469">
        <f>+CE14+CE21</f>
        <v>32089095</v>
      </c>
      <c r="CF13" s="443"/>
      <c r="CG13" s="443"/>
      <c r="CH13" s="468"/>
      <c r="CI13" s="443"/>
      <c r="CJ13" s="469">
        <f>+CJ14+CJ21</f>
        <v>12375928</v>
      </c>
      <c r="CK13" s="443"/>
      <c r="CL13" s="443"/>
      <c r="CM13" s="468"/>
      <c r="CN13" s="443"/>
      <c r="CO13" s="469">
        <f>+CO14+CO21</f>
        <v>21645154</v>
      </c>
      <c r="CP13" s="443"/>
      <c r="CQ13" s="443"/>
      <c r="CR13" s="468"/>
      <c r="CS13" s="443"/>
      <c r="CT13" s="469">
        <f>+CT14+CT21</f>
        <v>4387554</v>
      </c>
      <c r="CU13" s="443"/>
      <c r="CV13" s="443"/>
      <c r="CW13" s="468"/>
      <c r="CX13" s="443"/>
      <c r="CY13" s="469">
        <f>+CY14+CY21</f>
        <v>10613091</v>
      </c>
      <c r="CZ13" s="443"/>
      <c r="DA13" s="443"/>
      <c r="DB13" s="468"/>
      <c r="DC13" s="443"/>
      <c r="DD13" s="469">
        <f>+DD14+DD21</f>
        <v>-17323880</v>
      </c>
      <c r="DE13" s="443"/>
      <c r="DF13" s="443"/>
      <c r="DG13" s="468"/>
      <c r="DH13" s="443"/>
      <c r="DI13" s="469">
        <f>+DI14+DI21</f>
        <v>7778423</v>
      </c>
      <c r="DJ13" s="443"/>
      <c r="DK13" s="443"/>
      <c r="DL13" s="468"/>
      <c r="DM13" s="443"/>
      <c r="DN13" s="469">
        <f>+DN14+DN21</f>
        <v>6126860</v>
      </c>
      <c r="DO13" s="443"/>
      <c r="DP13" s="443"/>
      <c r="DQ13" s="468"/>
      <c r="DR13" s="443"/>
      <c r="DS13" s="469">
        <f>+DS14+DS21</f>
        <v>-16508019</v>
      </c>
      <c r="DT13" s="443"/>
      <c r="DU13" s="443"/>
      <c r="DV13" s="468"/>
      <c r="DW13" s="443"/>
      <c r="DX13" s="469">
        <f>+DX14+DX21</f>
        <v>13250851</v>
      </c>
      <c r="DY13" s="443"/>
      <c r="DZ13" s="443"/>
      <c r="EA13" s="468"/>
      <c r="EB13" s="443"/>
      <c r="EC13" s="469">
        <f>+EC14+EC21</f>
        <v>-2500139</v>
      </c>
      <c r="ED13" s="469"/>
      <c r="EE13" s="469"/>
      <c r="EF13" s="470"/>
      <c r="EG13" s="469"/>
      <c r="EH13" s="469">
        <f>+EH14+EH21</f>
        <v>-35857416</v>
      </c>
      <c r="EI13" s="443"/>
      <c r="EJ13" s="443"/>
      <c r="EK13" s="468"/>
      <c r="EL13" s="443"/>
      <c r="EM13" s="443">
        <f>+EM14+EM21</f>
        <v>44465023</v>
      </c>
      <c r="EN13" s="443"/>
      <c r="EO13" s="443"/>
      <c r="EP13" s="466"/>
      <c r="EQ13" s="443"/>
      <c r="ET13" s="472">
        <f>EM13-BZ13</f>
        <v>8387521</v>
      </c>
    </row>
    <row r="14" spans="1:150" x14ac:dyDescent="0.2">
      <c r="A14" s="442"/>
      <c r="B14" s="442"/>
      <c r="C14" s="455" t="s">
        <v>292</v>
      </c>
      <c r="D14" s="442"/>
      <c r="E14" s="464"/>
      <c r="F14" s="465"/>
      <c r="G14" s="473"/>
      <c r="H14" s="474">
        <f>SUM(H15:H19)</f>
        <v>48000000</v>
      </c>
      <c r="I14" s="475"/>
      <c r="J14" s="442"/>
      <c r="K14" s="465"/>
      <c r="L14" s="473"/>
      <c r="M14" s="476">
        <f>SUM(M15:M19)</f>
        <v>3561000</v>
      </c>
      <c r="N14" s="475"/>
      <c r="O14" s="442"/>
      <c r="P14" s="465"/>
      <c r="Q14" s="473"/>
      <c r="R14" s="476">
        <f>SUM(R15:R19)</f>
        <v>10247350</v>
      </c>
      <c r="S14" s="475"/>
      <c r="T14" s="442"/>
      <c r="U14" s="465"/>
      <c r="V14" s="473"/>
      <c r="W14" s="476">
        <f>SUM(W15:W19)</f>
        <v>0</v>
      </c>
      <c r="X14" s="475"/>
      <c r="Y14" s="442"/>
      <c r="Z14" s="465"/>
      <c r="AA14" s="473"/>
      <c r="AB14" s="476">
        <f>SUM(AB15:AB19)</f>
        <v>0</v>
      </c>
      <c r="AC14" s="475"/>
      <c r="AD14" s="442"/>
      <c r="AE14" s="465"/>
      <c r="AF14" s="473"/>
      <c r="AG14" s="476">
        <f>SUM(AG15:AG19)</f>
        <v>0</v>
      </c>
      <c r="AH14" s="475"/>
      <c r="AI14" s="442"/>
      <c r="AJ14" s="465"/>
      <c r="AK14" s="473"/>
      <c r="AL14" s="476">
        <f>SUM(AL15:AL19)</f>
        <v>0</v>
      </c>
      <c r="AM14" s="475"/>
      <c r="AN14" s="442"/>
      <c r="AO14" s="465"/>
      <c r="AP14" s="473"/>
      <c r="AQ14" s="476">
        <f>SUM(AQ15:AQ19)</f>
        <v>0</v>
      </c>
      <c r="AR14" s="475"/>
      <c r="AS14" s="442"/>
      <c r="AT14" s="465"/>
      <c r="AU14" s="473"/>
      <c r="AV14" s="476">
        <f>SUM(AV15:AV19)</f>
        <v>0</v>
      </c>
      <c r="AW14" s="475"/>
      <c r="AX14" s="442"/>
      <c r="AY14" s="465"/>
      <c r="AZ14" s="473"/>
      <c r="BA14" s="476">
        <f>SUM(BA15:BA19)</f>
        <v>0</v>
      </c>
      <c r="BB14" s="475"/>
      <c r="BC14" s="442"/>
      <c r="BD14" s="465"/>
      <c r="BE14" s="473"/>
      <c r="BF14" s="476">
        <f>SUM(BF15:BF19)</f>
        <v>0</v>
      </c>
      <c r="BG14" s="475"/>
      <c r="BH14" s="442"/>
      <c r="BI14" s="465"/>
      <c r="BJ14" s="473"/>
      <c r="BK14" s="476">
        <f>SUM(BK15:BK19)</f>
        <v>0</v>
      </c>
      <c r="BL14" s="475"/>
      <c r="BM14" s="442"/>
      <c r="BN14" s="465"/>
      <c r="BO14" s="473"/>
      <c r="BP14" s="477">
        <f>SUM(BP15:BP19)</f>
        <v>0</v>
      </c>
      <c r="BQ14" s="475"/>
      <c r="BR14" s="442"/>
      <c r="BS14" s="465"/>
      <c r="BT14" s="473"/>
      <c r="BU14" s="474">
        <f>SUM(BU15:BU19)</f>
        <v>13808350</v>
      </c>
      <c r="BV14" s="475"/>
      <c r="BW14" s="442"/>
      <c r="BX14" s="465"/>
      <c r="BY14" s="473"/>
      <c r="BZ14" s="478">
        <f>SUM(BZ15:BZ19)</f>
        <v>26000430</v>
      </c>
      <c r="CA14" s="475"/>
      <c r="CB14" s="442"/>
      <c r="CC14" s="465"/>
      <c r="CD14" s="473"/>
      <c r="CE14" s="476">
        <f>SUM(CE15:CE19)</f>
        <v>5045000</v>
      </c>
      <c r="CF14" s="475"/>
      <c r="CG14" s="442"/>
      <c r="CH14" s="465"/>
      <c r="CI14" s="473"/>
      <c r="CJ14" s="476">
        <f>SUM(CJ15:CJ19)</f>
        <v>14852000</v>
      </c>
      <c r="CK14" s="475"/>
      <c r="CL14" s="442"/>
      <c r="CM14" s="465"/>
      <c r="CN14" s="473"/>
      <c r="CO14" s="476">
        <f>SUM(CO15:CO19)</f>
        <v>12705000</v>
      </c>
      <c r="CP14" s="475"/>
      <c r="CQ14" s="442"/>
      <c r="CR14" s="465"/>
      <c r="CS14" s="473"/>
      <c r="CT14" s="476">
        <f>SUM(CT15:CT19)</f>
        <v>4164510</v>
      </c>
      <c r="CU14" s="475"/>
      <c r="CV14" s="442"/>
      <c r="CW14" s="465"/>
      <c r="CX14" s="473"/>
      <c r="CY14" s="476">
        <f>SUM(CY15:CY19)</f>
        <v>6693000</v>
      </c>
      <c r="CZ14" s="475"/>
      <c r="DA14" s="442"/>
      <c r="DB14" s="465"/>
      <c r="DC14" s="473"/>
      <c r="DD14" s="476">
        <f>SUM(DD15:DD19)</f>
        <v>7998300</v>
      </c>
      <c r="DE14" s="475"/>
      <c r="DF14" s="442"/>
      <c r="DG14" s="465"/>
      <c r="DH14" s="473"/>
      <c r="DI14" s="476">
        <f>SUM(DI15:DI19)</f>
        <v>3752730</v>
      </c>
      <c r="DJ14" s="475"/>
      <c r="DK14" s="442"/>
      <c r="DL14" s="465"/>
      <c r="DM14" s="473"/>
      <c r="DN14" s="476">
        <f>SUM(DN15:DN19)</f>
        <v>1301000</v>
      </c>
      <c r="DO14" s="475"/>
      <c r="DP14" s="442"/>
      <c r="DQ14" s="465"/>
      <c r="DR14" s="473"/>
      <c r="DS14" s="476">
        <f>SUM(DS15:DS19)</f>
        <v>-6212410</v>
      </c>
      <c r="DT14" s="475"/>
      <c r="DU14" s="442"/>
      <c r="DV14" s="465"/>
      <c r="DW14" s="473"/>
      <c r="DX14" s="476">
        <f>SUM(DX15:DX19)</f>
        <v>-8057160</v>
      </c>
      <c r="DY14" s="475"/>
      <c r="DZ14" s="442"/>
      <c r="EA14" s="465"/>
      <c r="EB14" s="473"/>
      <c r="EC14" s="476">
        <f>SUM(EC15:EC19)</f>
        <v>-9474050</v>
      </c>
      <c r="ED14" s="475"/>
      <c r="EE14" s="442"/>
      <c r="EF14" s="465"/>
      <c r="EG14" s="473"/>
      <c r="EH14" s="477">
        <f>SUM(EH15:EH19)</f>
        <v>-6767490</v>
      </c>
      <c r="EI14" s="475"/>
      <c r="EJ14" s="442"/>
      <c r="EK14" s="465"/>
      <c r="EL14" s="473"/>
      <c r="EM14" s="474">
        <f>SUM(EM15:EM19)</f>
        <v>19897000</v>
      </c>
      <c r="EN14" s="475"/>
      <c r="EO14" s="442"/>
      <c r="EP14" s="455"/>
      <c r="ES14" s="472"/>
      <c r="ET14" s="472">
        <f>EM14-BZ14</f>
        <v>-6103430</v>
      </c>
    </row>
    <row r="15" spans="1:150" hidden="1" x14ac:dyDescent="0.2">
      <c r="A15" s="442"/>
      <c r="B15" s="442"/>
      <c r="C15" s="319" t="s">
        <v>293</v>
      </c>
      <c r="D15" s="320"/>
      <c r="E15" s="464"/>
      <c r="F15" s="465"/>
      <c r="G15" s="465"/>
      <c r="H15" s="479">
        <v>0</v>
      </c>
      <c r="I15" s="480"/>
      <c r="J15" s="442"/>
      <c r="K15" s="465"/>
      <c r="L15" s="465"/>
      <c r="M15" s="481">
        <v>0</v>
      </c>
      <c r="N15" s="480"/>
      <c r="O15" s="442"/>
      <c r="P15" s="465"/>
      <c r="Q15" s="465"/>
      <c r="R15" s="481">
        <v>0</v>
      </c>
      <c r="S15" s="480"/>
      <c r="T15" s="442"/>
      <c r="U15" s="465"/>
      <c r="V15" s="465"/>
      <c r="W15" s="481">
        <v>0</v>
      </c>
      <c r="X15" s="480"/>
      <c r="Y15" s="442"/>
      <c r="Z15" s="465"/>
      <c r="AA15" s="465"/>
      <c r="AB15" s="481">
        <v>0</v>
      </c>
      <c r="AC15" s="480"/>
      <c r="AD15" s="442"/>
      <c r="AE15" s="465"/>
      <c r="AF15" s="465"/>
      <c r="AG15" s="481">
        <v>0</v>
      </c>
      <c r="AH15" s="480"/>
      <c r="AI15" s="442"/>
      <c r="AJ15" s="465"/>
      <c r="AK15" s="465"/>
      <c r="AL15" s="481">
        <v>0</v>
      </c>
      <c r="AM15" s="480"/>
      <c r="AN15" s="442"/>
      <c r="AO15" s="465"/>
      <c r="AP15" s="465"/>
      <c r="AQ15" s="481">
        <v>0</v>
      </c>
      <c r="AR15" s="480"/>
      <c r="AS15" s="442"/>
      <c r="AT15" s="465"/>
      <c r="AU15" s="465"/>
      <c r="AV15" s="481">
        <v>0</v>
      </c>
      <c r="AW15" s="480"/>
      <c r="AX15" s="442"/>
      <c r="AY15" s="465"/>
      <c r="AZ15" s="465"/>
      <c r="BA15" s="481">
        <v>0</v>
      </c>
      <c r="BB15" s="480"/>
      <c r="BC15" s="442"/>
      <c r="BD15" s="465"/>
      <c r="BE15" s="465"/>
      <c r="BF15" s="481">
        <v>0</v>
      </c>
      <c r="BG15" s="480"/>
      <c r="BH15" s="442"/>
      <c r="BI15" s="465"/>
      <c r="BJ15" s="465"/>
      <c r="BK15" s="481">
        <v>0</v>
      </c>
      <c r="BL15" s="480"/>
      <c r="BM15" s="442"/>
      <c r="BN15" s="465"/>
      <c r="BO15" s="465"/>
      <c r="BP15" s="481">
        <v>0</v>
      </c>
      <c r="BQ15" s="480"/>
      <c r="BR15" s="442"/>
      <c r="BS15" s="465"/>
      <c r="BT15" s="465"/>
      <c r="BU15" s="481">
        <f>SUM(M15:BP15)</f>
        <v>0</v>
      </c>
      <c r="BV15" s="480"/>
      <c r="BW15" s="442"/>
      <c r="BX15" s="465"/>
      <c r="BY15" s="465"/>
      <c r="BZ15" s="479">
        <v>0</v>
      </c>
      <c r="CA15" s="480"/>
      <c r="CB15" s="442"/>
      <c r="CC15" s="465"/>
      <c r="CD15" s="465"/>
      <c r="CE15" s="481">
        <v>0</v>
      </c>
      <c r="CF15" s="480"/>
      <c r="CG15" s="442"/>
      <c r="CH15" s="465"/>
      <c r="CI15" s="465"/>
      <c r="CJ15" s="481">
        <v>0</v>
      </c>
      <c r="CK15" s="480"/>
      <c r="CL15" s="442"/>
      <c r="CM15" s="465"/>
      <c r="CN15" s="465"/>
      <c r="CO15" s="481">
        <v>0</v>
      </c>
      <c r="CP15" s="480"/>
      <c r="CQ15" s="442"/>
      <c r="CR15" s="465"/>
      <c r="CS15" s="465"/>
      <c r="CT15" s="481">
        <v>0</v>
      </c>
      <c r="CU15" s="480"/>
      <c r="CV15" s="442"/>
      <c r="CW15" s="465"/>
      <c r="CX15" s="465"/>
      <c r="CY15" s="481">
        <v>0</v>
      </c>
      <c r="CZ15" s="480"/>
      <c r="DA15" s="442"/>
      <c r="DB15" s="465"/>
      <c r="DC15" s="465"/>
      <c r="DD15" s="481">
        <v>0</v>
      </c>
      <c r="DE15" s="480"/>
      <c r="DF15" s="442"/>
      <c r="DG15" s="465"/>
      <c r="DH15" s="465"/>
      <c r="DI15" s="481">
        <v>0</v>
      </c>
      <c r="DJ15" s="480"/>
      <c r="DK15" s="442"/>
      <c r="DL15" s="465"/>
      <c r="DM15" s="465"/>
      <c r="DN15" s="481">
        <v>0</v>
      </c>
      <c r="DO15" s="480"/>
      <c r="DP15" s="442"/>
      <c r="DQ15" s="465"/>
      <c r="DR15" s="465"/>
      <c r="DS15" s="481">
        <v>0</v>
      </c>
      <c r="DT15" s="480"/>
      <c r="DU15" s="442"/>
      <c r="DV15" s="465"/>
      <c r="DW15" s="465"/>
      <c r="DX15" s="481">
        <v>0</v>
      </c>
      <c r="DY15" s="480"/>
      <c r="DZ15" s="442"/>
      <c r="EA15" s="465"/>
      <c r="EB15" s="465"/>
      <c r="EC15" s="481">
        <v>0</v>
      </c>
      <c r="ED15" s="480"/>
      <c r="EE15" s="442"/>
      <c r="EF15" s="465"/>
      <c r="EG15" s="465"/>
      <c r="EH15" s="481">
        <v>0</v>
      </c>
      <c r="EI15" s="480"/>
      <c r="EJ15" s="442"/>
      <c r="EK15" s="465"/>
      <c r="EL15" s="465"/>
      <c r="EM15" s="481">
        <f>SUM(CE15:DS15)</f>
        <v>0</v>
      </c>
      <c r="EN15" s="480"/>
      <c r="EO15" s="442"/>
      <c r="EP15" s="455"/>
      <c r="ES15" s="472"/>
      <c r="ET15" s="472">
        <f t="shared" ref="ET15:ET74" si="0">EM15-BZ15</f>
        <v>0</v>
      </c>
    </row>
    <row r="16" spans="1:150" x14ac:dyDescent="0.2">
      <c r="A16" s="442"/>
      <c r="B16" s="442"/>
      <c r="C16" s="319" t="s">
        <v>294</v>
      </c>
      <c r="D16" s="320"/>
      <c r="E16" s="464"/>
      <c r="F16" s="465"/>
      <c r="G16" s="465"/>
      <c r="H16" s="479">
        <v>3329000</v>
      </c>
      <c r="I16" s="480"/>
      <c r="J16" s="442"/>
      <c r="K16" s="465"/>
      <c r="L16" s="465"/>
      <c r="M16" s="481">
        <v>1151700</v>
      </c>
      <c r="N16" s="480"/>
      <c r="O16" s="442"/>
      <c r="P16" s="465"/>
      <c r="Q16" s="465"/>
      <c r="R16" s="481">
        <v>3396850</v>
      </c>
      <c r="S16" s="480"/>
      <c r="T16" s="442"/>
      <c r="U16" s="465"/>
      <c r="V16" s="465"/>
      <c r="W16" s="481">
        <v>0</v>
      </c>
      <c r="X16" s="480"/>
      <c r="Y16" s="442"/>
      <c r="Z16" s="465"/>
      <c r="AA16" s="465"/>
      <c r="AB16" s="481">
        <v>0</v>
      </c>
      <c r="AC16" s="480"/>
      <c r="AD16" s="442"/>
      <c r="AE16" s="465"/>
      <c r="AF16" s="465"/>
      <c r="AG16" s="481">
        <v>0</v>
      </c>
      <c r="AH16" s="480"/>
      <c r="AI16" s="442"/>
      <c r="AJ16" s="465"/>
      <c r="AK16" s="465"/>
      <c r="AL16" s="481">
        <v>0</v>
      </c>
      <c r="AM16" s="480"/>
      <c r="AN16" s="442"/>
      <c r="AO16" s="465"/>
      <c r="AP16" s="465"/>
      <c r="AQ16" s="481">
        <v>0</v>
      </c>
      <c r="AR16" s="480"/>
      <c r="AS16" s="442"/>
      <c r="AT16" s="465"/>
      <c r="AU16" s="465"/>
      <c r="AV16" s="481">
        <v>0</v>
      </c>
      <c r="AW16" s="480"/>
      <c r="AX16" s="442"/>
      <c r="AY16" s="465"/>
      <c r="AZ16" s="465"/>
      <c r="BA16" s="481">
        <v>0</v>
      </c>
      <c r="BB16" s="480"/>
      <c r="BC16" s="442"/>
      <c r="BD16" s="482"/>
      <c r="BE16" s="465"/>
      <c r="BF16" s="481">
        <v>0</v>
      </c>
      <c r="BG16" s="480"/>
      <c r="BH16" s="442"/>
      <c r="BI16" s="465"/>
      <c r="BJ16" s="465"/>
      <c r="BK16" s="481">
        <v>0</v>
      </c>
      <c r="BL16" s="480"/>
      <c r="BM16" s="442"/>
      <c r="BN16" s="465"/>
      <c r="BO16" s="465"/>
      <c r="BP16" s="482">
        <v>0</v>
      </c>
      <c r="BQ16" s="480"/>
      <c r="BR16" s="442"/>
      <c r="BS16" s="465"/>
      <c r="BT16" s="465"/>
      <c r="BU16" s="481">
        <f>SUM(M16:BP16)</f>
        <v>4548550</v>
      </c>
      <c r="BV16" s="480"/>
      <c r="BW16" s="442"/>
      <c r="BX16" s="465"/>
      <c r="BY16" s="465"/>
      <c r="BZ16" s="479">
        <v>-6398450</v>
      </c>
      <c r="CA16" s="480"/>
      <c r="CB16" s="442"/>
      <c r="CC16" s="465"/>
      <c r="CD16" s="465"/>
      <c r="CE16" s="481">
        <v>1215940</v>
      </c>
      <c r="CF16" s="480"/>
      <c r="CG16" s="442"/>
      <c r="CH16" s="465"/>
      <c r="CI16" s="465"/>
      <c r="CJ16" s="481">
        <v>5467000</v>
      </c>
      <c r="CK16" s="480"/>
      <c r="CL16" s="442"/>
      <c r="CM16" s="465"/>
      <c r="CN16" s="465"/>
      <c r="CO16" s="481">
        <v>2901200</v>
      </c>
      <c r="CP16" s="480"/>
      <c r="CQ16" s="442"/>
      <c r="CR16" s="465"/>
      <c r="CS16" s="465"/>
      <c r="CT16" s="481">
        <v>1840830</v>
      </c>
      <c r="CU16" s="480"/>
      <c r="CV16" s="442"/>
      <c r="CW16" s="465"/>
      <c r="CX16" s="465"/>
      <c r="CY16" s="481">
        <v>950000</v>
      </c>
      <c r="CZ16" s="480"/>
      <c r="DA16" s="442"/>
      <c r="DB16" s="465"/>
      <c r="DC16" s="465"/>
      <c r="DD16" s="481">
        <v>2698800</v>
      </c>
      <c r="DE16" s="480"/>
      <c r="DF16" s="442"/>
      <c r="DG16" s="465"/>
      <c r="DH16" s="465"/>
      <c r="DI16" s="481">
        <v>-3840070</v>
      </c>
      <c r="DJ16" s="480"/>
      <c r="DK16" s="442"/>
      <c r="DL16" s="465"/>
      <c r="DM16" s="465"/>
      <c r="DN16" s="481">
        <v>-786900</v>
      </c>
      <c r="DO16" s="480"/>
      <c r="DP16" s="442"/>
      <c r="DQ16" s="465"/>
      <c r="DR16" s="465"/>
      <c r="DS16" s="481">
        <v>-4877810</v>
      </c>
      <c r="DT16" s="480"/>
      <c r="DU16" s="442"/>
      <c r="DV16" s="482"/>
      <c r="DW16" s="465"/>
      <c r="DX16" s="481">
        <v>-4546100</v>
      </c>
      <c r="DY16" s="480"/>
      <c r="DZ16" s="442"/>
      <c r="EA16" s="465"/>
      <c r="EB16" s="465"/>
      <c r="EC16" s="481">
        <v>-6099850</v>
      </c>
      <c r="ED16" s="480"/>
      <c r="EE16" s="442"/>
      <c r="EF16" s="465"/>
      <c r="EG16" s="465"/>
      <c r="EH16" s="482">
        <v>-1321490</v>
      </c>
      <c r="EI16" s="480"/>
      <c r="EJ16" s="442"/>
      <c r="EK16" s="465"/>
      <c r="EL16" s="465"/>
      <c r="EM16" s="481">
        <f>SUM(CE16:CJ16)</f>
        <v>6682940</v>
      </c>
      <c r="EN16" s="480"/>
      <c r="EO16" s="442"/>
      <c r="EP16" s="455"/>
      <c r="ES16" s="472"/>
      <c r="ET16" s="472">
        <f t="shared" si="0"/>
        <v>13081390</v>
      </c>
    </row>
    <row r="17" spans="1:150" x14ac:dyDescent="0.2">
      <c r="A17" s="442"/>
      <c r="B17" s="442"/>
      <c r="C17" s="319" t="s">
        <v>295</v>
      </c>
      <c r="D17" s="320"/>
      <c r="E17" s="464"/>
      <c r="F17" s="465"/>
      <c r="G17" s="465"/>
      <c r="H17" s="483">
        <v>11556000</v>
      </c>
      <c r="I17" s="480"/>
      <c r="J17" s="442"/>
      <c r="K17" s="465"/>
      <c r="L17" s="465"/>
      <c r="M17" s="482">
        <v>-102350</v>
      </c>
      <c r="N17" s="480"/>
      <c r="O17" s="442"/>
      <c r="P17" s="465"/>
      <c r="Q17" s="465"/>
      <c r="R17" s="482">
        <v>4585900</v>
      </c>
      <c r="S17" s="480"/>
      <c r="T17" s="442"/>
      <c r="U17" s="465"/>
      <c r="V17" s="465"/>
      <c r="W17" s="482">
        <v>0</v>
      </c>
      <c r="X17" s="480"/>
      <c r="Y17" s="442"/>
      <c r="Z17" s="465"/>
      <c r="AA17" s="465"/>
      <c r="AB17" s="482">
        <v>0</v>
      </c>
      <c r="AC17" s="480"/>
      <c r="AD17" s="442"/>
      <c r="AE17" s="465"/>
      <c r="AF17" s="465"/>
      <c r="AG17" s="482">
        <v>0</v>
      </c>
      <c r="AH17" s="480"/>
      <c r="AI17" s="442"/>
      <c r="AJ17" s="465"/>
      <c r="AK17" s="465"/>
      <c r="AL17" s="482">
        <v>0</v>
      </c>
      <c r="AM17" s="480"/>
      <c r="AN17" s="442"/>
      <c r="AO17" s="465"/>
      <c r="AP17" s="465"/>
      <c r="AQ17" s="482">
        <v>0</v>
      </c>
      <c r="AR17" s="480"/>
      <c r="AS17" s="442"/>
      <c r="AT17" s="465"/>
      <c r="AU17" s="465"/>
      <c r="AV17" s="482">
        <v>0</v>
      </c>
      <c r="AW17" s="480"/>
      <c r="AX17" s="442"/>
      <c r="AY17" s="465"/>
      <c r="AZ17" s="465"/>
      <c r="BA17" s="482">
        <v>0</v>
      </c>
      <c r="BB17" s="480"/>
      <c r="BC17" s="442"/>
      <c r="BD17" s="465"/>
      <c r="BE17" s="465"/>
      <c r="BF17" s="482">
        <v>0</v>
      </c>
      <c r="BG17" s="480"/>
      <c r="BH17" s="442"/>
      <c r="BI17" s="465"/>
      <c r="BJ17" s="465"/>
      <c r="BK17" s="482">
        <v>0</v>
      </c>
      <c r="BL17" s="480"/>
      <c r="BM17" s="442"/>
      <c r="BN17" s="465"/>
      <c r="BO17" s="465"/>
      <c r="BP17" s="482">
        <v>0</v>
      </c>
      <c r="BQ17" s="480"/>
      <c r="BR17" s="442"/>
      <c r="BS17" s="465"/>
      <c r="BT17" s="465"/>
      <c r="BU17" s="482">
        <f>SUM(M17:BP17)</f>
        <v>4483550</v>
      </c>
      <c r="BV17" s="480"/>
      <c r="BW17" s="442"/>
      <c r="BX17" s="465"/>
      <c r="BY17" s="465"/>
      <c r="BZ17" s="483">
        <v>-2450200</v>
      </c>
      <c r="CA17" s="480"/>
      <c r="CB17" s="442"/>
      <c r="CC17" s="465"/>
      <c r="CD17" s="465"/>
      <c r="CE17" s="482">
        <v>-934500</v>
      </c>
      <c r="CF17" s="480"/>
      <c r="CG17" s="442"/>
      <c r="CH17" s="465"/>
      <c r="CI17" s="465"/>
      <c r="CJ17" s="482">
        <v>862000</v>
      </c>
      <c r="CK17" s="480"/>
      <c r="CL17" s="442"/>
      <c r="CM17" s="465"/>
      <c r="CN17" s="465"/>
      <c r="CO17" s="482">
        <v>3843800</v>
      </c>
      <c r="CP17" s="480"/>
      <c r="CQ17" s="442"/>
      <c r="CR17" s="465"/>
      <c r="CS17" s="465"/>
      <c r="CT17" s="482">
        <v>-2062500</v>
      </c>
      <c r="CU17" s="480"/>
      <c r="CV17" s="442"/>
      <c r="CW17" s="465"/>
      <c r="CX17" s="465"/>
      <c r="CY17" s="482">
        <v>725000</v>
      </c>
      <c r="CZ17" s="480"/>
      <c r="DA17" s="442"/>
      <c r="DB17" s="465"/>
      <c r="DC17" s="465"/>
      <c r="DD17" s="482">
        <v>2080000</v>
      </c>
      <c r="DE17" s="480"/>
      <c r="DF17" s="442"/>
      <c r="DG17" s="465"/>
      <c r="DH17" s="465"/>
      <c r="DI17" s="482">
        <v>1107900</v>
      </c>
      <c r="DJ17" s="480"/>
      <c r="DK17" s="442"/>
      <c r="DL17" s="465"/>
      <c r="DM17" s="465"/>
      <c r="DN17" s="482">
        <v>-2092100</v>
      </c>
      <c r="DO17" s="480"/>
      <c r="DP17" s="442"/>
      <c r="DQ17" s="465"/>
      <c r="DR17" s="465"/>
      <c r="DS17" s="482">
        <v>-2481300</v>
      </c>
      <c r="DT17" s="480"/>
      <c r="DU17" s="442"/>
      <c r="DV17" s="465"/>
      <c r="DW17" s="465"/>
      <c r="DX17" s="482">
        <v>-287500</v>
      </c>
      <c r="DY17" s="480"/>
      <c r="DZ17" s="442"/>
      <c r="EA17" s="465"/>
      <c r="EB17" s="465"/>
      <c r="EC17" s="482">
        <v>-1005000</v>
      </c>
      <c r="ED17" s="480"/>
      <c r="EE17" s="442"/>
      <c r="EF17" s="465"/>
      <c r="EG17" s="465"/>
      <c r="EH17" s="482">
        <v>-2206000</v>
      </c>
      <c r="EI17" s="480"/>
      <c r="EJ17" s="442"/>
      <c r="EK17" s="465"/>
      <c r="EL17" s="465"/>
      <c r="EM17" s="482">
        <f>SUM(CE17:CJ17)</f>
        <v>-72500</v>
      </c>
      <c r="EN17" s="480"/>
      <c r="EO17" s="442"/>
      <c r="EP17" s="455"/>
      <c r="ES17" s="472"/>
      <c r="ET17" s="472">
        <f>EM17-BZ17</f>
        <v>2377700</v>
      </c>
    </row>
    <row r="18" spans="1:150" x14ac:dyDescent="0.2">
      <c r="A18" s="442"/>
      <c r="B18" s="442"/>
      <c r="C18" s="319" t="s">
        <v>296</v>
      </c>
      <c r="D18" s="320"/>
      <c r="E18" s="464"/>
      <c r="F18" s="465"/>
      <c r="G18" s="465"/>
      <c r="H18" s="483">
        <v>16066000</v>
      </c>
      <c r="I18" s="480"/>
      <c r="J18" s="442"/>
      <c r="K18" s="465"/>
      <c r="L18" s="465"/>
      <c r="M18" s="482">
        <v>830100</v>
      </c>
      <c r="N18" s="480"/>
      <c r="O18" s="442"/>
      <c r="P18" s="465"/>
      <c r="Q18" s="465"/>
      <c r="R18" s="482">
        <v>1373600</v>
      </c>
      <c r="S18" s="480"/>
      <c r="T18" s="442"/>
      <c r="U18" s="465"/>
      <c r="V18" s="465"/>
      <c r="W18" s="482">
        <v>0</v>
      </c>
      <c r="X18" s="480"/>
      <c r="Y18" s="442"/>
      <c r="Z18" s="465"/>
      <c r="AA18" s="465"/>
      <c r="AB18" s="482">
        <v>0</v>
      </c>
      <c r="AC18" s="480"/>
      <c r="AD18" s="442"/>
      <c r="AE18" s="465"/>
      <c r="AF18" s="465"/>
      <c r="AG18" s="482">
        <v>0</v>
      </c>
      <c r="AH18" s="480"/>
      <c r="AI18" s="442"/>
      <c r="AJ18" s="465"/>
      <c r="AK18" s="465"/>
      <c r="AL18" s="482">
        <v>0</v>
      </c>
      <c r="AM18" s="480"/>
      <c r="AN18" s="442"/>
      <c r="AO18" s="465"/>
      <c r="AP18" s="465"/>
      <c r="AQ18" s="482">
        <v>0</v>
      </c>
      <c r="AR18" s="480"/>
      <c r="AS18" s="442"/>
      <c r="AT18" s="465"/>
      <c r="AU18" s="465"/>
      <c r="AV18" s="482">
        <v>0</v>
      </c>
      <c r="AW18" s="480"/>
      <c r="AX18" s="442"/>
      <c r="AY18" s="465"/>
      <c r="AZ18" s="465"/>
      <c r="BA18" s="482">
        <v>0</v>
      </c>
      <c r="BB18" s="480"/>
      <c r="BC18" s="442"/>
      <c r="BD18" s="465"/>
      <c r="BE18" s="465"/>
      <c r="BF18" s="482">
        <v>0</v>
      </c>
      <c r="BG18" s="480"/>
      <c r="BH18" s="442"/>
      <c r="BI18" s="465"/>
      <c r="BJ18" s="465"/>
      <c r="BK18" s="482">
        <v>0</v>
      </c>
      <c r="BL18" s="480"/>
      <c r="BM18" s="442"/>
      <c r="BN18" s="465"/>
      <c r="BO18" s="465"/>
      <c r="BP18" s="482">
        <v>0</v>
      </c>
      <c r="BQ18" s="480"/>
      <c r="BR18" s="442"/>
      <c r="BS18" s="465"/>
      <c r="BT18" s="465"/>
      <c r="BU18" s="482">
        <f>SUM(M18:BP18)</f>
        <v>2203700</v>
      </c>
      <c r="BV18" s="480"/>
      <c r="BW18" s="442"/>
      <c r="BX18" s="465"/>
      <c r="BY18" s="465"/>
      <c r="BZ18" s="483">
        <v>10789400</v>
      </c>
      <c r="CA18" s="480"/>
      <c r="CB18" s="442"/>
      <c r="CC18" s="465"/>
      <c r="CD18" s="465"/>
      <c r="CE18" s="482">
        <v>1893560</v>
      </c>
      <c r="CF18" s="480"/>
      <c r="CG18" s="442"/>
      <c r="CH18" s="465"/>
      <c r="CI18" s="465"/>
      <c r="CJ18" s="482">
        <v>3478000</v>
      </c>
      <c r="CK18" s="480"/>
      <c r="CL18" s="442"/>
      <c r="CM18" s="465"/>
      <c r="CN18" s="465"/>
      <c r="CO18" s="482">
        <v>2070000</v>
      </c>
      <c r="CP18" s="480"/>
      <c r="CQ18" s="442"/>
      <c r="CR18" s="465"/>
      <c r="CS18" s="465"/>
      <c r="CT18" s="482">
        <v>1500</v>
      </c>
      <c r="CU18" s="480"/>
      <c r="CV18" s="442"/>
      <c r="CW18" s="465"/>
      <c r="CX18" s="465"/>
      <c r="CY18" s="482">
        <v>1752500</v>
      </c>
      <c r="CZ18" s="480"/>
      <c r="DA18" s="442"/>
      <c r="DB18" s="465"/>
      <c r="DC18" s="465"/>
      <c r="DD18" s="482">
        <v>1409500</v>
      </c>
      <c r="DE18" s="480"/>
      <c r="DF18" s="442"/>
      <c r="DG18" s="465"/>
      <c r="DH18" s="465"/>
      <c r="DI18" s="482">
        <v>3058400</v>
      </c>
      <c r="DJ18" s="480"/>
      <c r="DK18" s="442"/>
      <c r="DL18" s="465"/>
      <c r="DM18" s="465"/>
      <c r="DN18" s="482">
        <v>2220000</v>
      </c>
      <c r="DO18" s="480"/>
      <c r="DP18" s="442"/>
      <c r="DQ18" s="465"/>
      <c r="DR18" s="465"/>
      <c r="DS18" s="482">
        <v>748700</v>
      </c>
      <c r="DT18" s="480"/>
      <c r="DU18" s="442"/>
      <c r="DV18" s="465"/>
      <c r="DW18" s="465"/>
      <c r="DX18" s="482">
        <v>-2073560</v>
      </c>
      <c r="DY18" s="480"/>
      <c r="DZ18" s="442"/>
      <c r="EA18" s="465"/>
      <c r="EB18" s="465"/>
      <c r="EC18" s="482">
        <v>-1449200</v>
      </c>
      <c r="ED18" s="480"/>
      <c r="EE18" s="442"/>
      <c r="EF18" s="465"/>
      <c r="EG18" s="465"/>
      <c r="EH18" s="482">
        <v>-2320000</v>
      </c>
      <c r="EI18" s="480"/>
      <c r="EJ18" s="442"/>
      <c r="EK18" s="465"/>
      <c r="EL18" s="465"/>
      <c r="EM18" s="482">
        <f>SUM(CE18:CJ18)</f>
        <v>5371560</v>
      </c>
      <c r="EN18" s="480"/>
      <c r="EO18" s="442"/>
      <c r="EP18" s="455"/>
      <c r="ES18" s="472"/>
      <c r="ET18" s="472">
        <f t="shared" si="0"/>
        <v>-5417840</v>
      </c>
    </row>
    <row r="19" spans="1:150" x14ac:dyDescent="0.2">
      <c r="A19" s="442"/>
      <c r="B19" s="442"/>
      <c r="C19" s="319" t="s">
        <v>297</v>
      </c>
      <c r="D19" s="320"/>
      <c r="E19" s="464"/>
      <c r="F19" s="465"/>
      <c r="G19" s="465"/>
      <c r="H19" s="484">
        <v>17049000</v>
      </c>
      <c r="I19" s="480"/>
      <c r="J19" s="442"/>
      <c r="K19" s="465"/>
      <c r="L19" s="465"/>
      <c r="M19" s="485">
        <v>1681550</v>
      </c>
      <c r="N19" s="480"/>
      <c r="O19" s="442"/>
      <c r="P19" s="465"/>
      <c r="Q19" s="465"/>
      <c r="R19" s="485">
        <v>891000</v>
      </c>
      <c r="S19" s="480"/>
      <c r="T19" s="442"/>
      <c r="U19" s="465"/>
      <c r="V19" s="465"/>
      <c r="W19" s="485">
        <v>0</v>
      </c>
      <c r="X19" s="480"/>
      <c r="Y19" s="442"/>
      <c r="Z19" s="465"/>
      <c r="AA19" s="465"/>
      <c r="AB19" s="485">
        <v>0</v>
      </c>
      <c r="AC19" s="480"/>
      <c r="AD19" s="442"/>
      <c r="AE19" s="465"/>
      <c r="AF19" s="465"/>
      <c r="AG19" s="485">
        <v>0</v>
      </c>
      <c r="AH19" s="480"/>
      <c r="AI19" s="442"/>
      <c r="AJ19" s="465"/>
      <c r="AK19" s="465"/>
      <c r="AL19" s="485">
        <v>0</v>
      </c>
      <c r="AM19" s="480"/>
      <c r="AN19" s="442"/>
      <c r="AO19" s="465"/>
      <c r="AP19" s="465"/>
      <c r="AQ19" s="485">
        <v>0</v>
      </c>
      <c r="AR19" s="480"/>
      <c r="AS19" s="442"/>
      <c r="AT19" s="465"/>
      <c r="AU19" s="465"/>
      <c r="AV19" s="485">
        <v>0</v>
      </c>
      <c r="AW19" s="480"/>
      <c r="AX19" s="442"/>
      <c r="AY19" s="465"/>
      <c r="AZ19" s="465"/>
      <c r="BA19" s="485">
        <v>0</v>
      </c>
      <c r="BB19" s="480"/>
      <c r="BC19" s="442"/>
      <c r="BD19" s="465"/>
      <c r="BE19" s="465"/>
      <c r="BF19" s="485">
        <v>0</v>
      </c>
      <c r="BG19" s="480"/>
      <c r="BH19" s="442"/>
      <c r="BI19" s="465"/>
      <c r="BJ19" s="465"/>
      <c r="BK19" s="485">
        <v>0</v>
      </c>
      <c r="BL19" s="480"/>
      <c r="BM19" s="442"/>
      <c r="BN19" s="465"/>
      <c r="BO19" s="465"/>
      <c r="BP19" s="485">
        <v>0</v>
      </c>
      <c r="BQ19" s="480"/>
      <c r="BR19" s="442"/>
      <c r="BS19" s="465"/>
      <c r="BT19" s="465"/>
      <c r="BU19" s="485">
        <f>SUM(M19:BP19)</f>
        <v>2572550</v>
      </c>
      <c r="BV19" s="480"/>
      <c r="BW19" s="442"/>
      <c r="BX19" s="465"/>
      <c r="BY19" s="465"/>
      <c r="BZ19" s="484">
        <v>24059680</v>
      </c>
      <c r="CA19" s="480"/>
      <c r="CB19" s="442"/>
      <c r="CC19" s="465"/>
      <c r="CD19" s="465"/>
      <c r="CE19" s="485">
        <v>2870000</v>
      </c>
      <c r="CF19" s="480"/>
      <c r="CG19" s="442"/>
      <c r="CH19" s="465"/>
      <c r="CI19" s="465"/>
      <c r="CJ19" s="485">
        <v>5045000</v>
      </c>
      <c r="CK19" s="480"/>
      <c r="CL19" s="442"/>
      <c r="CM19" s="465"/>
      <c r="CN19" s="465"/>
      <c r="CO19" s="485">
        <v>3890000</v>
      </c>
      <c r="CP19" s="480"/>
      <c r="CQ19" s="442"/>
      <c r="CR19" s="465"/>
      <c r="CS19" s="465"/>
      <c r="CT19" s="485">
        <v>4384680</v>
      </c>
      <c r="CU19" s="480"/>
      <c r="CV19" s="442"/>
      <c r="CW19" s="465"/>
      <c r="CX19" s="465"/>
      <c r="CY19" s="485">
        <v>3265500</v>
      </c>
      <c r="CZ19" s="480"/>
      <c r="DA19" s="442"/>
      <c r="DB19" s="465"/>
      <c r="DC19" s="465"/>
      <c r="DD19" s="485">
        <v>1810000</v>
      </c>
      <c r="DE19" s="480"/>
      <c r="DF19" s="442"/>
      <c r="DG19" s="465"/>
      <c r="DH19" s="465"/>
      <c r="DI19" s="485">
        <v>3426500</v>
      </c>
      <c r="DJ19" s="480"/>
      <c r="DK19" s="442"/>
      <c r="DL19" s="465"/>
      <c r="DM19" s="465"/>
      <c r="DN19" s="485">
        <v>1960000</v>
      </c>
      <c r="DO19" s="480"/>
      <c r="DP19" s="442"/>
      <c r="DQ19" s="465"/>
      <c r="DR19" s="465"/>
      <c r="DS19" s="485">
        <v>398000</v>
      </c>
      <c r="DT19" s="480"/>
      <c r="DU19" s="442"/>
      <c r="DV19" s="465"/>
      <c r="DW19" s="465"/>
      <c r="DX19" s="485">
        <v>-1150000</v>
      </c>
      <c r="DY19" s="480"/>
      <c r="DZ19" s="442"/>
      <c r="EA19" s="465"/>
      <c r="EB19" s="465"/>
      <c r="EC19" s="485">
        <v>-920000</v>
      </c>
      <c r="ED19" s="480"/>
      <c r="EE19" s="442"/>
      <c r="EF19" s="465"/>
      <c r="EG19" s="465"/>
      <c r="EH19" s="485">
        <v>-920000</v>
      </c>
      <c r="EI19" s="480"/>
      <c r="EJ19" s="442"/>
      <c r="EK19" s="465"/>
      <c r="EL19" s="465"/>
      <c r="EM19" s="485">
        <f>SUM(CE19:CJ19)</f>
        <v>7915000</v>
      </c>
      <c r="EN19" s="480"/>
      <c r="EO19" s="442"/>
      <c r="EP19" s="455"/>
      <c r="ES19" s="472"/>
      <c r="ET19" s="472">
        <f t="shared" si="0"/>
        <v>-16144680</v>
      </c>
    </row>
    <row r="20" spans="1:150" x14ac:dyDescent="0.2">
      <c r="A20" s="442"/>
      <c r="B20" s="442"/>
      <c r="C20" s="455"/>
      <c r="D20" s="442"/>
      <c r="E20" s="464"/>
      <c r="F20" s="465"/>
      <c r="G20" s="465"/>
      <c r="H20" s="442"/>
      <c r="I20" s="480"/>
      <c r="J20" s="442"/>
      <c r="K20" s="465"/>
      <c r="L20" s="465"/>
      <c r="M20" s="442"/>
      <c r="N20" s="480"/>
      <c r="O20" s="442"/>
      <c r="P20" s="465"/>
      <c r="Q20" s="465"/>
      <c r="R20" s="442"/>
      <c r="S20" s="480"/>
      <c r="T20" s="442"/>
      <c r="U20" s="465"/>
      <c r="V20" s="465"/>
      <c r="W20" s="442"/>
      <c r="X20" s="480"/>
      <c r="Y20" s="442"/>
      <c r="Z20" s="465"/>
      <c r="AA20" s="465"/>
      <c r="AB20" s="442"/>
      <c r="AC20" s="480"/>
      <c r="AD20" s="442"/>
      <c r="AE20" s="465"/>
      <c r="AF20" s="465"/>
      <c r="AG20" s="442"/>
      <c r="AH20" s="480"/>
      <c r="AI20" s="442"/>
      <c r="AJ20" s="465"/>
      <c r="AK20" s="465"/>
      <c r="AL20" s="442"/>
      <c r="AM20" s="480"/>
      <c r="AN20" s="442"/>
      <c r="AO20" s="465"/>
      <c r="AP20" s="465"/>
      <c r="AQ20" s="442"/>
      <c r="AR20" s="480"/>
      <c r="AS20" s="442"/>
      <c r="AT20" s="465"/>
      <c r="AU20" s="465"/>
      <c r="AV20" s="442"/>
      <c r="AW20" s="480"/>
      <c r="AX20" s="442"/>
      <c r="AY20" s="465"/>
      <c r="AZ20" s="465"/>
      <c r="BA20" s="442"/>
      <c r="BB20" s="480"/>
      <c r="BC20" s="442"/>
      <c r="BD20" s="465"/>
      <c r="BE20" s="465"/>
      <c r="BF20" s="442"/>
      <c r="BG20" s="480"/>
      <c r="BH20" s="442"/>
      <c r="BI20" s="465"/>
      <c r="BJ20" s="465"/>
      <c r="BK20" s="442"/>
      <c r="BL20" s="480"/>
      <c r="BM20" s="442"/>
      <c r="BN20" s="465"/>
      <c r="BO20" s="465"/>
      <c r="BP20" s="442"/>
      <c r="BQ20" s="480"/>
      <c r="BR20" s="442"/>
      <c r="BS20" s="465"/>
      <c r="BT20" s="465"/>
      <c r="BU20" s="442"/>
      <c r="BV20" s="480"/>
      <c r="BW20" s="442"/>
      <c r="BX20" s="465"/>
      <c r="BY20" s="465"/>
      <c r="BZ20" s="486"/>
      <c r="CA20" s="480"/>
      <c r="CB20" s="442"/>
      <c r="CC20" s="465"/>
      <c r="CD20" s="465"/>
      <c r="CE20" s="442"/>
      <c r="CF20" s="480"/>
      <c r="CG20" s="442"/>
      <c r="CH20" s="465"/>
      <c r="CI20" s="465"/>
      <c r="CJ20" s="442"/>
      <c r="CK20" s="480"/>
      <c r="CL20" s="442"/>
      <c r="CM20" s="465"/>
      <c r="CN20" s="465"/>
      <c r="CO20" s="442"/>
      <c r="CP20" s="480"/>
      <c r="CQ20" s="442"/>
      <c r="CR20" s="465"/>
      <c r="CS20" s="465"/>
      <c r="CT20" s="442"/>
      <c r="CU20" s="480"/>
      <c r="CV20" s="442"/>
      <c r="CW20" s="465"/>
      <c r="CX20" s="465"/>
      <c r="CY20" s="442"/>
      <c r="CZ20" s="480"/>
      <c r="DA20" s="442"/>
      <c r="DB20" s="465"/>
      <c r="DC20" s="465"/>
      <c r="DD20" s="442"/>
      <c r="DE20" s="480"/>
      <c r="DF20" s="442"/>
      <c r="DG20" s="465"/>
      <c r="DH20" s="465"/>
      <c r="DI20" s="442"/>
      <c r="DJ20" s="480"/>
      <c r="DK20" s="442"/>
      <c r="DL20" s="465"/>
      <c r="DM20" s="465"/>
      <c r="DN20" s="442"/>
      <c r="DO20" s="480"/>
      <c r="DP20" s="442"/>
      <c r="DQ20" s="465"/>
      <c r="DR20" s="465"/>
      <c r="DS20" s="442"/>
      <c r="DT20" s="480"/>
      <c r="DU20" s="442"/>
      <c r="DV20" s="465"/>
      <c r="DW20" s="465"/>
      <c r="DX20" s="442"/>
      <c r="DY20" s="480"/>
      <c r="DZ20" s="442"/>
      <c r="EA20" s="465"/>
      <c r="EB20" s="465"/>
      <c r="EC20" s="442"/>
      <c r="ED20" s="480"/>
      <c r="EE20" s="442"/>
      <c r="EF20" s="465"/>
      <c r="EG20" s="465"/>
      <c r="EH20" s="442"/>
      <c r="EI20" s="480"/>
      <c r="EJ20" s="442"/>
      <c r="EK20" s="465"/>
      <c r="EL20" s="465"/>
      <c r="EM20" s="442"/>
      <c r="EN20" s="480"/>
      <c r="EO20" s="442"/>
      <c r="EP20" s="455"/>
      <c r="ES20" s="472"/>
      <c r="ET20" s="472">
        <f t="shared" si="0"/>
        <v>0</v>
      </c>
    </row>
    <row r="21" spans="1:150" x14ac:dyDescent="0.2">
      <c r="A21" s="442"/>
      <c r="B21" s="442"/>
      <c r="C21" s="487" t="s">
        <v>298</v>
      </c>
      <c r="D21" s="320"/>
      <c r="E21" s="464"/>
      <c r="F21" s="465"/>
      <c r="G21" s="488"/>
      <c r="H21" s="489">
        <v>0</v>
      </c>
      <c r="I21" s="490"/>
      <c r="J21" s="442"/>
      <c r="K21" s="465"/>
      <c r="L21" s="488"/>
      <c r="M21" s="491">
        <v>34021688</v>
      </c>
      <c r="N21" s="490"/>
      <c r="O21" s="442"/>
      <c r="P21" s="465"/>
      <c r="Q21" s="488"/>
      <c r="R21" s="491">
        <v>5878269</v>
      </c>
      <c r="S21" s="490"/>
      <c r="T21" s="442"/>
      <c r="U21" s="465"/>
      <c r="V21" s="488"/>
      <c r="W21" s="491">
        <v>0</v>
      </c>
      <c r="X21" s="490"/>
      <c r="Y21" s="442"/>
      <c r="Z21" s="465"/>
      <c r="AA21" s="488"/>
      <c r="AB21" s="491">
        <v>0</v>
      </c>
      <c r="AC21" s="490"/>
      <c r="AD21" s="442"/>
      <c r="AE21" s="465"/>
      <c r="AF21" s="488"/>
      <c r="AG21" s="491">
        <v>0</v>
      </c>
      <c r="AH21" s="490"/>
      <c r="AI21" s="442"/>
      <c r="AJ21" s="465"/>
      <c r="AK21" s="488"/>
      <c r="AL21" s="491">
        <v>0</v>
      </c>
      <c r="AM21" s="490"/>
      <c r="AN21" s="442"/>
      <c r="AO21" s="465"/>
      <c r="AP21" s="488"/>
      <c r="AQ21" s="491">
        <v>0</v>
      </c>
      <c r="AR21" s="490"/>
      <c r="AS21" s="442"/>
      <c r="AT21" s="465"/>
      <c r="AU21" s="488"/>
      <c r="AV21" s="491">
        <v>0</v>
      </c>
      <c r="AW21" s="490"/>
      <c r="AX21" s="442"/>
      <c r="AY21" s="465"/>
      <c r="AZ21" s="488"/>
      <c r="BA21" s="491">
        <v>0</v>
      </c>
      <c r="BB21" s="490"/>
      <c r="BC21" s="442"/>
      <c r="BD21" s="465"/>
      <c r="BE21" s="488"/>
      <c r="BF21" s="491">
        <v>0</v>
      </c>
      <c r="BG21" s="490"/>
      <c r="BH21" s="442"/>
      <c r="BI21" s="465"/>
      <c r="BJ21" s="488"/>
      <c r="BK21" s="491">
        <v>0</v>
      </c>
      <c r="BL21" s="490"/>
      <c r="BM21" s="442"/>
      <c r="BN21" s="465"/>
      <c r="BO21" s="488"/>
      <c r="BP21" s="491">
        <v>0</v>
      </c>
      <c r="BQ21" s="490"/>
      <c r="BR21" s="442"/>
      <c r="BS21" s="465"/>
      <c r="BT21" s="488"/>
      <c r="BU21" s="491">
        <f>SUM(M21:BP21)</f>
        <v>39899957</v>
      </c>
      <c r="BV21" s="490"/>
      <c r="BW21" s="442"/>
      <c r="BX21" s="465"/>
      <c r="BY21" s="488"/>
      <c r="BZ21" s="489">
        <v>10077072</v>
      </c>
      <c r="CA21" s="490"/>
      <c r="CB21" s="442"/>
      <c r="CC21" s="465"/>
      <c r="CD21" s="488"/>
      <c r="CE21" s="491">
        <v>27044095</v>
      </c>
      <c r="CF21" s="490"/>
      <c r="CG21" s="442"/>
      <c r="CH21" s="465"/>
      <c r="CI21" s="488"/>
      <c r="CJ21" s="491">
        <v>-2476072</v>
      </c>
      <c r="CK21" s="490"/>
      <c r="CL21" s="442"/>
      <c r="CM21" s="465"/>
      <c r="CN21" s="488"/>
      <c r="CO21" s="491">
        <v>8940154</v>
      </c>
      <c r="CP21" s="490"/>
      <c r="CQ21" s="442"/>
      <c r="CR21" s="465"/>
      <c r="CS21" s="488"/>
      <c r="CT21" s="491">
        <v>223044</v>
      </c>
      <c r="CU21" s="490"/>
      <c r="CV21" s="442"/>
      <c r="CW21" s="465"/>
      <c r="CX21" s="488"/>
      <c r="CY21" s="491">
        <v>3920091</v>
      </c>
      <c r="CZ21" s="490"/>
      <c r="DA21" s="442"/>
      <c r="DB21" s="465"/>
      <c r="DC21" s="488"/>
      <c r="DD21" s="491">
        <v>-25322180</v>
      </c>
      <c r="DE21" s="490"/>
      <c r="DF21" s="442"/>
      <c r="DG21" s="465"/>
      <c r="DH21" s="488"/>
      <c r="DI21" s="491">
        <v>4025693</v>
      </c>
      <c r="DJ21" s="490"/>
      <c r="DK21" s="442"/>
      <c r="DL21" s="465"/>
      <c r="DM21" s="488"/>
      <c r="DN21" s="491">
        <v>4825860</v>
      </c>
      <c r="DO21" s="490"/>
      <c r="DP21" s="442"/>
      <c r="DQ21" s="465"/>
      <c r="DR21" s="488"/>
      <c r="DS21" s="491">
        <v>-10295609</v>
      </c>
      <c r="DT21" s="490"/>
      <c r="DU21" s="442"/>
      <c r="DV21" s="465"/>
      <c r="DW21" s="488"/>
      <c r="DX21" s="491">
        <v>21308011</v>
      </c>
      <c r="DY21" s="490"/>
      <c r="DZ21" s="442"/>
      <c r="EA21" s="465"/>
      <c r="EB21" s="488"/>
      <c r="EC21" s="491">
        <v>6973911</v>
      </c>
      <c r="ED21" s="490"/>
      <c r="EE21" s="442"/>
      <c r="EF21" s="465"/>
      <c r="EG21" s="488"/>
      <c r="EH21" s="491">
        <v>-29089926</v>
      </c>
      <c r="EI21" s="490"/>
      <c r="EJ21" s="442"/>
      <c r="EK21" s="465"/>
      <c r="EL21" s="488"/>
      <c r="EM21" s="491">
        <f>SUM(CE21:CJ21)</f>
        <v>24568023</v>
      </c>
      <c r="EN21" s="490"/>
      <c r="EO21" s="442"/>
      <c r="EP21" s="455"/>
      <c r="ES21" s="472"/>
      <c r="ET21" s="472">
        <f>EM21-BZ21</f>
        <v>14490951</v>
      </c>
    </row>
    <row r="22" spans="1:150" x14ac:dyDescent="0.2">
      <c r="A22" s="442"/>
      <c r="B22" s="442"/>
      <c r="C22" s="455"/>
      <c r="D22" s="442"/>
      <c r="E22" s="464"/>
      <c r="F22" s="492"/>
      <c r="G22" s="493"/>
      <c r="H22" s="442"/>
      <c r="I22" s="442"/>
      <c r="J22" s="442"/>
      <c r="K22" s="465"/>
      <c r="L22" s="442"/>
      <c r="M22" s="442"/>
      <c r="N22" s="442"/>
      <c r="O22" s="442"/>
      <c r="P22" s="465"/>
      <c r="Q22" s="442"/>
      <c r="R22" s="442"/>
      <c r="S22" s="442"/>
      <c r="T22" s="442"/>
      <c r="U22" s="465"/>
      <c r="V22" s="442"/>
      <c r="W22" s="442"/>
      <c r="X22" s="442"/>
      <c r="Y22" s="442"/>
      <c r="Z22" s="465"/>
      <c r="AA22" s="442"/>
      <c r="AB22" s="442"/>
      <c r="AC22" s="442"/>
      <c r="AD22" s="442"/>
      <c r="AE22" s="465"/>
      <c r="AF22" s="442"/>
      <c r="AG22" s="442"/>
      <c r="AH22" s="442"/>
      <c r="AI22" s="442"/>
      <c r="AJ22" s="465"/>
      <c r="AK22" s="442"/>
      <c r="AL22" s="442"/>
      <c r="AM22" s="442"/>
      <c r="AN22" s="442"/>
      <c r="AO22" s="465"/>
      <c r="AP22" s="442"/>
      <c r="AQ22" s="442"/>
      <c r="AR22" s="442"/>
      <c r="AS22" s="442"/>
      <c r="AT22" s="465"/>
      <c r="AU22" s="442"/>
      <c r="AV22" s="442"/>
      <c r="AW22" s="442"/>
      <c r="AX22" s="442"/>
      <c r="AY22" s="465"/>
      <c r="AZ22" s="442"/>
      <c r="BA22" s="442"/>
      <c r="BB22" s="442"/>
      <c r="BC22" s="442"/>
      <c r="BD22" s="465"/>
      <c r="BE22" s="442"/>
      <c r="BF22" s="442"/>
      <c r="BG22" s="442"/>
      <c r="BH22" s="442"/>
      <c r="BI22" s="465"/>
      <c r="BJ22" s="442"/>
      <c r="BK22" s="442"/>
      <c r="BL22" s="442"/>
      <c r="BM22" s="442"/>
      <c r="BN22" s="465"/>
      <c r="BO22" s="442"/>
      <c r="BP22" s="442"/>
      <c r="BQ22" s="442"/>
      <c r="BR22" s="442"/>
      <c r="BS22" s="465"/>
      <c r="BT22" s="442"/>
      <c r="BU22" s="442"/>
      <c r="BV22" s="442"/>
      <c r="BW22" s="442"/>
      <c r="BX22" s="465"/>
      <c r="BY22" s="442"/>
      <c r="BZ22" s="486"/>
      <c r="CA22" s="442"/>
      <c r="CB22" s="442"/>
      <c r="CC22" s="465"/>
      <c r="CD22" s="442"/>
      <c r="CE22" s="442"/>
      <c r="CF22" s="442"/>
      <c r="CG22" s="442"/>
      <c r="CH22" s="465"/>
      <c r="CI22" s="442"/>
      <c r="CJ22" s="442"/>
      <c r="CK22" s="442"/>
      <c r="CL22" s="442"/>
      <c r="CM22" s="465"/>
      <c r="CN22" s="442"/>
      <c r="CO22" s="442"/>
      <c r="CP22" s="442"/>
      <c r="CQ22" s="442"/>
      <c r="CR22" s="465"/>
      <c r="CS22" s="442"/>
      <c r="CT22" s="442"/>
      <c r="CU22" s="442"/>
      <c r="CV22" s="442"/>
      <c r="CW22" s="465"/>
      <c r="CX22" s="442"/>
      <c r="CY22" s="442"/>
      <c r="CZ22" s="442"/>
      <c r="DA22" s="442"/>
      <c r="DB22" s="465"/>
      <c r="DC22" s="442"/>
      <c r="DD22" s="442"/>
      <c r="DE22" s="442"/>
      <c r="DF22" s="442"/>
      <c r="DG22" s="465"/>
      <c r="DH22" s="442"/>
      <c r="DI22" s="442"/>
      <c r="DJ22" s="442"/>
      <c r="DK22" s="442"/>
      <c r="DL22" s="465"/>
      <c r="DM22" s="442"/>
      <c r="DN22" s="442"/>
      <c r="DO22" s="442"/>
      <c r="DP22" s="442"/>
      <c r="DQ22" s="465"/>
      <c r="DR22" s="442"/>
      <c r="DS22" s="442"/>
      <c r="DT22" s="442"/>
      <c r="DU22" s="442"/>
      <c r="DV22" s="465"/>
      <c r="DW22" s="442"/>
      <c r="DX22" s="442"/>
      <c r="DY22" s="442"/>
      <c r="DZ22" s="442"/>
      <c r="EA22" s="465"/>
      <c r="EB22" s="442"/>
      <c r="EC22" s="442"/>
      <c r="ED22" s="442"/>
      <c r="EE22" s="442"/>
      <c r="EF22" s="465"/>
      <c r="EG22" s="442"/>
      <c r="EH22" s="442"/>
      <c r="EI22" s="442"/>
      <c r="EJ22" s="442"/>
      <c r="EK22" s="465"/>
      <c r="EL22" s="442"/>
      <c r="EM22" s="442"/>
      <c r="EN22" s="442"/>
      <c r="EO22" s="442"/>
      <c r="EP22" s="455"/>
      <c r="ES22" s="472"/>
      <c r="ET22" s="472">
        <f t="shared" si="0"/>
        <v>0</v>
      </c>
    </row>
    <row r="23" spans="1:150" s="472" customFormat="1" x14ac:dyDescent="0.2">
      <c r="A23" s="443"/>
      <c r="B23" s="443"/>
      <c r="C23" s="466" t="s">
        <v>38</v>
      </c>
      <c r="D23" s="443"/>
      <c r="E23" s="467"/>
      <c r="F23" s="494"/>
      <c r="G23" s="495"/>
      <c r="H23" s="443">
        <f>H24+H30+H35+H39</f>
        <v>285235000</v>
      </c>
      <c r="I23" s="443"/>
      <c r="J23" s="443"/>
      <c r="K23" s="468"/>
      <c r="L23" s="443"/>
      <c r="M23" s="443">
        <f>M24+M30+M35</f>
        <v>32850713</v>
      </c>
      <c r="N23" s="443"/>
      <c r="O23" s="443"/>
      <c r="P23" s="468"/>
      <c r="Q23" s="443"/>
      <c r="R23" s="443">
        <f>R24+R30+R35+R39</f>
        <v>40638036.743999995</v>
      </c>
      <c r="S23" s="443"/>
      <c r="T23" s="443"/>
      <c r="U23" s="468"/>
      <c r="V23" s="443"/>
      <c r="W23" s="443">
        <f>W24+W30+W35+W39</f>
        <v>0</v>
      </c>
      <c r="X23" s="443"/>
      <c r="Y23" s="443"/>
      <c r="Z23" s="468"/>
      <c r="AA23" s="443"/>
      <c r="AB23" s="443">
        <f>AB24+AB30+AB35+AB39</f>
        <v>0</v>
      </c>
      <c r="AC23" s="443"/>
      <c r="AD23" s="443"/>
      <c r="AE23" s="468"/>
      <c r="AF23" s="443"/>
      <c r="AG23" s="443">
        <f>AG24+AG30+AG35+AG39</f>
        <v>0</v>
      </c>
      <c r="AH23" s="443"/>
      <c r="AI23" s="443"/>
      <c r="AJ23" s="468"/>
      <c r="AK23" s="443"/>
      <c r="AL23" s="443">
        <f>AL24+AL30+AL35+AL39</f>
        <v>0</v>
      </c>
      <c r="AM23" s="443"/>
      <c r="AN23" s="443"/>
      <c r="AO23" s="468"/>
      <c r="AP23" s="443"/>
      <c r="AQ23" s="443">
        <f>AQ24+AQ30+AQ35+AQ39</f>
        <v>0</v>
      </c>
      <c r="AR23" s="443"/>
      <c r="AS23" s="443"/>
      <c r="AT23" s="468"/>
      <c r="AU23" s="443"/>
      <c r="AV23" s="443">
        <f>AV24+AV30+AV35+AV39</f>
        <v>0</v>
      </c>
      <c r="AW23" s="443"/>
      <c r="AX23" s="443"/>
      <c r="AY23" s="468"/>
      <c r="AZ23" s="443"/>
      <c r="BA23" s="443">
        <f>BA24+BA30+BA35+BA39</f>
        <v>0</v>
      </c>
      <c r="BB23" s="443"/>
      <c r="BC23" s="443"/>
      <c r="BD23" s="468"/>
      <c r="BE23" s="443"/>
      <c r="BF23" s="443">
        <f>BF24+BF30+BF35+BF39</f>
        <v>0</v>
      </c>
      <c r="BG23" s="443"/>
      <c r="BH23" s="443"/>
      <c r="BI23" s="468"/>
      <c r="BJ23" s="443"/>
      <c r="BK23" s="443">
        <f>BK24+BK30+BK35+BK39</f>
        <v>0</v>
      </c>
      <c r="BL23" s="443"/>
      <c r="BM23" s="443"/>
      <c r="BN23" s="468"/>
      <c r="BO23" s="443"/>
      <c r="BP23" s="443">
        <f>BP24+BP30+BP35+BP39</f>
        <v>0</v>
      </c>
      <c r="BQ23" s="443"/>
      <c r="BR23" s="443"/>
      <c r="BS23" s="468"/>
      <c r="BT23" s="443"/>
      <c r="BU23" s="443">
        <f>BU24+BU30+BU35+BU39</f>
        <v>73488749.744000003</v>
      </c>
      <c r="BV23" s="443"/>
      <c r="BW23" s="443"/>
      <c r="BX23" s="468"/>
      <c r="BY23" s="443"/>
      <c r="BZ23" s="471">
        <f>BZ24+BZ30+BZ35+BZ39</f>
        <v>286021581</v>
      </c>
      <c r="CA23" s="443"/>
      <c r="CB23" s="443"/>
      <c r="CC23" s="468"/>
      <c r="CD23" s="443"/>
      <c r="CE23" s="443">
        <f>CE24+CE30+CE35+CE39</f>
        <v>19134410</v>
      </c>
      <c r="CF23" s="443"/>
      <c r="CG23" s="443"/>
      <c r="CH23" s="468"/>
      <c r="CI23" s="443"/>
      <c r="CJ23" s="443">
        <f>CJ24+CJ30+CJ35+CJ39</f>
        <v>24383035</v>
      </c>
      <c r="CK23" s="443"/>
      <c r="CL23" s="443"/>
      <c r="CM23" s="468"/>
      <c r="CN23" s="443"/>
      <c r="CO23" s="443">
        <f>CO24+CO30+CO35+CO39</f>
        <v>19205091</v>
      </c>
      <c r="CP23" s="443"/>
      <c r="CQ23" s="443"/>
      <c r="CR23" s="468"/>
      <c r="CS23" s="443"/>
      <c r="CT23" s="443">
        <f>CT24+CT30+CT35+CT39</f>
        <v>22800224</v>
      </c>
      <c r="CU23" s="443"/>
      <c r="CV23" s="443"/>
      <c r="CW23" s="468"/>
      <c r="CX23" s="443"/>
      <c r="CY23" s="443">
        <f>CY24+CY30+CY35+CY39</f>
        <v>28165310</v>
      </c>
      <c r="CZ23" s="443"/>
      <c r="DA23" s="443"/>
      <c r="DB23" s="468"/>
      <c r="DC23" s="443"/>
      <c r="DD23" s="443">
        <f>DD24+DD30+DD35+DD39</f>
        <v>29107369</v>
      </c>
      <c r="DE23" s="443"/>
      <c r="DF23" s="443"/>
      <c r="DG23" s="468"/>
      <c r="DH23" s="443"/>
      <c r="DI23" s="443">
        <f>DI24+DI30+DI35+DI39</f>
        <v>30927020</v>
      </c>
      <c r="DJ23" s="443"/>
      <c r="DK23" s="443"/>
      <c r="DL23" s="468"/>
      <c r="DM23" s="443"/>
      <c r="DN23" s="443">
        <f>DN24+DN30+DN35+DN39</f>
        <v>30718792</v>
      </c>
      <c r="DO23" s="443"/>
      <c r="DP23" s="443"/>
      <c r="DQ23" s="468"/>
      <c r="DR23" s="443"/>
      <c r="DS23" s="443">
        <f>DS24+DS30+DS35+DS39</f>
        <v>23853310</v>
      </c>
      <c r="DT23" s="443"/>
      <c r="DU23" s="443"/>
      <c r="DV23" s="468"/>
      <c r="DW23" s="443"/>
      <c r="DX23" s="443">
        <f>DX24+DX30+DX35+DX39</f>
        <v>3150815</v>
      </c>
      <c r="DY23" s="443"/>
      <c r="DZ23" s="443"/>
      <c r="EA23" s="468"/>
      <c r="EB23" s="443"/>
      <c r="EC23" s="443">
        <f>EC24+EC30+EC35+EC39</f>
        <v>29159155</v>
      </c>
      <c r="ED23" s="443"/>
      <c r="EE23" s="443"/>
      <c r="EF23" s="468"/>
      <c r="EG23" s="443"/>
      <c r="EH23" s="443">
        <f>EH24+EH30+EH35+EH39</f>
        <v>25417050</v>
      </c>
      <c r="EI23" s="443"/>
      <c r="EJ23" s="443"/>
      <c r="EK23" s="468"/>
      <c r="EL23" s="443"/>
      <c r="EM23" s="443">
        <f>EM24+EM30+EM35+EM39</f>
        <v>43517445</v>
      </c>
      <c r="EN23" s="443"/>
      <c r="EO23" s="443"/>
      <c r="EP23" s="466"/>
      <c r="EQ23" s="443"/>
      <c r="ET23" s="472">
        <f>EM23-BZ23</f>
        <v>-242504136</v>
      </c>
    </row>
    <row r="24" spans="1:150" x14ac:dyDescent="0.2">
      <c r="A24" s="442"/>
      <c r="B24" s="442"/>
      <c r="C24" s="455" t="s">
        <v>299</v>
      </c>
      <c r="D24" s="442"/>
      <c r="E24" s="464"/>
      <c r="F24" s="492"/>
      <c r="G24" s="496"/>
      <c r="H24" s="474">
        <f>SUM(H25:H28)</f>
        <v>285235000</v>
      </c>
      <c r="I24" s="475"/>
      <c r="J24" s="442"/>
      <c r="K24" s="465"/>
      <c r="L24" s="473"/>
      <c r="M24" s="474">
        <f>SUM(M25:M28)</f>
        <v>32850713</v>
      </c>
      <c r="N24" s="475"/>
      <c r="O24" s="442"/>
      <c r="P24" s="465"/>
      <c r="Q24" s="473"/>
      <c r="R24" s="474">
        <f>SUM(R25:R28)</f>
        <v>40638036.743999995</v>
      </c>
      <c r="S24" s="475"/>
      <c r="T24" s="442"/>
      <c r="U24" s="465"/>
      <c r="V24" s="473"/>
      <c r="W24" s="474">
        <f>SUM(W25:W28)</f>
        <v>0</v>
      </c>
      <c r="X24" s="475"/>
      <c r="Y24" s="442"/>
      <c r="Z24" s="465"/>
      <c r="AA24" s="473"/>
      <c r="AB24" s="474">
        <f>SUM(AB25:AB28)</f>
        <v>0</v>
      </c>
      <c r="AC24" s="475"/>
      <c r="AD24" s="442"/>
      <c r="AE24" s="465"/>
      <c r="AF24" s="473"/>
      <c r="AG24" s="474">
        <f>SUM(AG25:AG28)</f>
        <v>0</v>
      </c>
      <c r="AH24" s="475"/>
      <c r="AI24" s="442"/>
      <c r="AJ24" s="465"/>
      <c r="AK24" s="473"/>
      <c r="AL24" s="474">
        <f>SUM(AL25:AL28)</f>
        <v>0</v>
      </c>
      <c r="AM24" s="475"/>
      <c r="AN24" s="442"/>
      <c r="AO24" s="465"/>
      <c r="AP24" s="473"/>
      <c r="AQ24" s="474">
        <f>SUM(AQ25:AQ28)</f>
        <v>0</v>
      </c>
      <c r="AR24" s="475"/>
      <c r="AS24" s="442"/>
      <c r="AT24" s="465"/>
      <c r="AU24" s="473"/>
      <c r="AV24" s="474">
        <f>SUM(AV25:AV28)</f>
        <v>0</v>
      </c>
      <c r="AW24" s="475"/>
      <c r="AX24" s="442"/>
      <c r="AY24" s="465"/>
      <c r="AZ24" s="473"/>
      <c r="BA24" s="474">
        <f>SUM(BA25:BA28)</f>
        <v>0</v>
      </c>
      <c r="BB24" s="475"/>
      <c r="BC24" s="442"/>
      <c r="BD24" s="465"/>
      <c r="BE24" s="473"/>
      <c r="BF24" s="474">
        <f>SUM(BF25:BF28)</f>
        <v>0</v>
      </c>
      <c r="BG24" s="475"/>
      <c r="BH24" s="442"/>
      <c r="BI24" s="465"/>
      <c r="BJ24" s="473"/>
      <c r="BK24" s="474">
        <f>SUM(BK25:BK28)</f>
        <v>0</v>
      </c>
      <c r="BL24" s="475"/>
      <c r="BM24" s="442"/>
      <c r="BN24" s="465"/>
      <c r="BO24" s="473"/>
      <c r="BP24" s="474">
        <f>SUM(BP25:BP28)</f>
        <v>0</v>
      </c>
      <c r="BQ24" s="475"/>
      <c r="BR24" s="442"/>
      <c r="BS24" s="465"/>
      <c r="BT24" s="473"/>
      <c r="BU24" s="474">
        <f>SUM(BU25:BU28)</f>
        <v>73488749.744000003</v>
      </c>
      <c r="BV24" s="475"/>
      <c r="BW24" s="442"/>
      <c r="BX24" s="465"/>
      <c r="BY24" s="473"/>
      <c r="BZ24" s="478">
        <f>SUM(BZ25:BZ28)</f>
        <v>286310871</v>
      </c>
      <c r="CA24" s="475"/>
      <c r="CB24" s="442"/>
      <c r="CC24" s="465"/>
      <c r="CD24" s="473"/>
      <c r="CE24" s="474">
        <f>SUM(CE25:CE28)</f>
        <v>19134410</v>
      </c>
      <c r="CF24" s="475"/>
      <c r="CG24" s="442"/>
      <c r="CH24" s="465"/>
      <c r="CI24" s="473"/>
      <c r="CJ24" s="474">
        <f>SUM(CJ25:CJ28)</f>
        <v>24672325</v>
      </c>
      <c r="CK24" s="475"/>
      <c r="CL24" s="442"/>
      <c r="CM24" s="465"/>
      <c r="CN24" s="473"/>
      <c r="CO24" s="474">
        <f>SUM(CO25:CO28)</f>
        <v>19205091</v>
      </c>
      <c r="CP24" s="475"/>
      <c r="CQ24" s="442"/>
      <c r="CR24" s="465"/>
      <c r="CS24" s="473"/>
      <c r="CT24" s="474">
        <f>SUM(CT25:CT28)</f>
        <v>22800224</v>
      </c>
      <c r="CU24" s="475"/>
      <c r="CV24" s="442"/>
      <c r="CW24" s="465"/>
      <c r="CX24" s="473"/>
      <c r="CY24" s="474">
        <f>SUM(CY25:CY28)</f>
        <v>28165310</v>
      </c>
      <c r="CZ24" s="475"/>
      <c r="DA24" s="442"/>
      <c r="DB24" s="465"/>
      <c r="DC24" s="473"/>
      <c r="DD24" s="474">
        <f>SUM(DD25:DD28)</f>
        <v>29107369</v>
      </c>
      <c r="DE24" s="475"/>
      <c r="DF24" s="442"/>
      <c r="DG24" s="465"/>
      <c r="DH24" s="473"/>
      <c r="DI24" s="474">
        <f>SUM(DI25:DI28)</f>
        <v>30927020</v>
      </c>
      <c r="DJ24" s="475"/>
      <c r="DK24" s="442"/>
      <c r="DL24" s="465"/>
      <c r="DM24" s="473"/>
      <c r="DN24" s="474">
        <f>SUM(DN25:DN28)</f>
        <v>30718792</v>
      </c>
      <c r="DO24" s="475"/>
      <c r="DP24" s="442"/>
      <c r="DQ24" s="465"/>
      <c r="DR24" s="473"/>
      <c r="DS24" s="474">
        <f>SUM(DS25:DS28)</f>
        <v>23853310</v>
      </c>
      <c r="DT24" s="475"/>
      <c r="DU24" s="442"/>
      <c r="DV24" s="465"/>
      <c r="DW24" s="473"/>
      <c r="DX24" s="474">
        <f>SUM(DX25:DX28)</f>
        <v>3150815</v>
      </c>
      <c r="DY24" s="475"/>
      <c r="DZ24" s="442"/>
      <c r="EA24" s="465"/>
      <c r="EB24" s="473"/>
      <c r="EC24" s="474">
        <f>SUM(EC25:EC28)</f>
        <v>29159155</v>
      </c>
      <c r="ED24" s="475"/>
      <c r="EE24" s="442"/>
      <c r="EF24" s="465"/>
      <c r="EG24" s="473"/>
      <c r="EH24" s="474">
        <f>SUM(EH25:EH28)</f>
        <v>25417050</v>
      </c>
      <c r="EI24" s="475"/>
      <c r="EJ24" s="442"/>
      <c r="EK24" s="465"/>
      <c r="EL24" s="473"/>
      <c r="EM24" s="474">
        <f>SUM(EM25:EM28)</f>
        <v>43806735</v>
      </c>
      <c r="EN24" s="475"/>
      <c r="EO24" s="442"/>
      <c r="EP24" s="455"/>
      <c r="ES24" s="472"/>
      <c r="ET24" s="472">
        <f>EM24-BZ24</f>
        <v>-242504136</v>
      </c>
    </row>
    <row r="25" spans="1:150" x14ac:dyDescent="0.2">
      <c r="A25" s="442"/>
      <c r="B25" s="442"/>
      <c r="C25" s="455" t="s">
        <v>300</v>
      </c>
      <c r="D25" s="442"/>
      <c r="E25" s="497" t="s">
        <v>301</v>
      </c>
      <c r="F25" s="498"/>
      <c r="G25" s="498"/>
      <c r="H25" s="481">
        <f>[12]domlongtermissues!G13</f>
        <v>343646000</v>
      </c>
      <c r="I25" s="480"/>
      <c r="J25" s="442"/>
      <c r="K25" s="465"/>
      <c r="L25" s="465"/>
      <c r="M25" s="481">
        <f>[12]domlongtermissues!L13</f>
        <v>38350619</v>
      </c>
      <c r="N25" s="480"/>
      <c r="O25" s="442"/>
      <c r="P25" s="465"/>
      <c r="Q25" s="465"/>
      <c r="R25" s="481">
        <f>[12]domlongtermissues!Q13</f>
        <v>45031287.743999995</v>
      </c>
      <c r="S25" s="480"/>
      <c r="T25" s="442"/>
      <c r="U25" s="465"/>
      <c r="V25" s="465"/>
      <c r="W25" s="481">
        <f>[12]domlongtermissues!V13</f>
        <v>0</v>
      </c>
      <c r="X25" s="480"/>
      <c r="Y25" s="442"/>
      <c r="Z25" s="465"/>
      <c r="AA25" s="465"/>
      <c r="AB25" s="481">
        <f>[12]domlongtermissues!AA13</f>
        <v>0</v>
      </c>
      <c r="AC25" s="480"/>
      <c r="AD25" s="442"/>
      <c r="AE25" s="465"/>
      <c r="AF25" s="465"/>
      <c r="AG25" s="481">
        <f>[12]domlongtermissues!AF13</f>
        <v>0</v>
      </c>
      <c r="AH25" s="480"/>
      <c r="AI25" s="442"/>
      <c r="AJ25" s="465"/>
      <c r="AK25" s="465"/>
      <c r="AL25" s="481">
        <f>[12]domlongtermissues!AK13</f>
        <v>0</v>
      </c>
      <c r="AM25" s="480"/>
      <c r="AN25" s="442"/>
      <c r="AO25" s="465"/>
      <c r="AP25" s="465"/>
      <c r="AQ25" s="481">
        <f>[12]domlongtermissues!AP13</f>
        <v>0</v>
      </c>
      <c r="AR25" s="480"/>
      <c r="AS25" s="442"/>
      <c r="AT25" s="465"/>
      <c r="AU25" s="465"/>
      <c r="AV25" s="481">
        <f>[12]domlongtermissues!AU13</f>
        <v>0</v>
      </c>
      <c r="AW25" s="480"/>
      <c r="AX25" s="442"/>
      <c r="AY25" s="465"/>
      <c r="AZ25" s="465"/>
      <c r="BA25" s="481">
        <f>[12]domlongtermissues!AZ13</f>
        <v>0</v>
      </c>
      <c r="BB25" s="480"/>
      <c r="BC25" s="442"/>
      <c r="BD25" s="465"/>
      <c r="BE25" s="465"/>
      <c r="BF25" s="481">
        <f>[12]domlongtermissues!BE13</f>
        <v>0</v>
      </c>
      <c r="BG25" s="480"/>
      <c r="BH25" s="442"/>
      <c r="BI25" s="465"/>
      <c r="BJ25" s="465"/>
      <c r="BK25" s="481">
        <f>[12]domlongtermissues!BJ13</f>
        <v>0</v>
      </c>
      <c r="BL25" s="480"/>
      <c r="BM25" s="442"/>
      <c r="BN25" s="465"/>
      <c r="BO25" s="465"/>
      <c r="BP25" s="481">
        <f>[12]domlongtermissues!BO13</f>
        <v>0</v>
      </c>
      <c r="BQ25" s="480"/>
      <c r="BR25" s="442"/>
      <c r="BS25" s="465"/>
      <c r="BT25" s="465"/>
      <c r="BU25" s="481">
        <f>[12]domlongtermissues!BT13</f>
        <v>83381906.744000003</v>
      </c>
      <c r="BV25" s="480"/>
      <c r="BW25" s="442"/>
      <c r="BX25" s="465"/>
      <c r="BY25" s="465"/>
      <c r="BZ25" s="479">
        <f>+[12]domlongtermissues!BY13</f>
        <v>335517549</v>
      </c>
      <c r="CA25" s="480"/>
      <c r="CB25" s="442"/>
      <c r="CC25" s="465"/>
      <c r="CD25" s="465"/>
      <c r="CE25" s="481">
        <f>[12]domlongtermissues!CD13</f>
        <v>20725876</v>
      </c>
      <c r="CF25" s="480"/>
      <c r="CG25" s="442"/>
      <c r="CH25" s="465"/>
      <c r="CI25" s="465"/>
      <c r="CJ25" s="481">
        <f>[12]domlongtermissues!CI13</f>
        <v>26579251</v>
      </c>
      <c r="CK25" s="480"/>
      <c r="CL25" s="442"/>
      <c r="CM25" s="465"/>
      <c r="CN25" s="465"/>
      <c r="CO25" s="481">
        <f>[12]domlongtermissues!CN13</f>
        <v>21124207</v>
      </c>
      <c r="CP25" s="480"/>
      <c r="CQ25" s="442"/>
      <c r="CR25" s="465"/>
      <c r="CS25" s="465"/>
      <c r="CT25" s="481">
        <f>[12]domlongtermissues!CS13</f>
        <v>24760828</v>
      </c>
      <c r="CU25" s="480"/>
      <c r="CV25" s="442"/>
      <c r="CW25" s="465"/>
      <c r="CX25" s="465"/>
      <c r="CY25" s="481">
        <f>[12]domlongtermissues!CX13</f>
        <v>30904734</v>
      </c>
      <c r="CZ25" s="480"/>
      <c r="DA25" s="442"/>
      <c r="DB25" s="465"/>
      <c r="DC25" s="465"/>
      <c r="DD25" s="481">
        <f>[12]domlongtermissues!DC13</f>
        <v>32089447</v>
      </c>
      <c r="DE25" s="480"/>
      <c r="DF25" s="442"/>
      <c r="DG25" s="465"/>
      <c r="DH25" s="465"/>
      <c r="DI25" s="481">
        <f>[12]domlongtermissues!DH13</f>
        <v>33970885</v>
      </c>
      <c r="DJ25" s="480"/>
      <c r="DK25" s="442"/>
      <c r="DL25" s="465"/>
      <c r="DM25" s="465"/>
      <c r="DN25" s="481">
        <f>[12]domlongtermissues!DM13</f>
        <v>34588835</v>
      </c>
      <c r="DO25" s="480"/>
      <c r="DP25" s="442"/>
      <c r="DQ25" s="465"/>
      <c r="DR25" s="465"/>
      <c r="DS25" s="481">
        <f>[12]domlongtermissues!DR13</f>
        <v>26476333</v>
      </c>
      <c r="DT25" s="480"/>
      <c r="DU25" s="442"/>
      <c r="DV25" s="465"/>
      <c r="DW25" s="465"/>
      <c r="DX25" s="481">
        <f>[12]domlongtermissues!DW13</f>
        <v>21562772</v>
      </c>
      <c r="DY25" s="480"/>
      <c r="DZ25" s="442"/>
      <c r="EA25" s="465"/>
      <c r="EB25" s="465"/>
      <c r="EC25" s="481">
        <f>[12]domlongtermissues!EB13</f>
        <v>32267535</v>
      </c>
      <c r="ED25" s="480"/>
      <c r="EE25" s="442"/>
      <c r="EF25" s="465"/>
      <c r="EG25" s="465"/>
      <c r="EH25" s="481">
        <f>[12]domlongtermissues!EG13</f>
        <v>30466846</v>
      </c>
      <c r="EI25" s="480"/>
      <c r="EJ25" s="442"/>
      <c r="EK25" s="465"/>
      <c r="EL25" s="465"/>
      <c r="EM25" s="481">
        <f>[12]domlongtermissues!EL13</f>
        <v>47305127</v>
      </c>
      <c r="EN25" s="480"/>
      <c r="EO25" s="442"/>
      <c r="EP25" s="455"/>
      <c r="ES25" s="472"/>
      <c r="ET25" s="472">
        <f>EM25-BZ25</f>
        <v>-288212422</v>
      </c>
    </row>
    <row r="26" spans="1:150" x14ac:dyDescent="0.2">
      <c r="A26" s="442"/>
      <c r="B26" s="442"/>
      <c r="C26" s="455" t="s">
        <v>302</v>
      </c>
      <c r="D26" s="442"/>
      <c r="E26" s="497" t="s">
        <v>301</v>
      </c>
      <c r="F26" s="498"/>
      <c r="G26" s="498"/>
      <c r="H26" s="482">
        <f>-[12]domlongtermissues!G20</f>
        <v>-5946000</v>
      </c>
      <c r="I26" s="480"/>
      <c r="J26" s="442"/>
      <c r="K26" s="465"/>
      <c r="L26" s="465"/>
      <c r="M26" s="482">
        <f>-[12]domlongtermissues!L20</f>
        <v>-4299769</v>
      </c>
      <c r="N26" s="480"/>
      <c r="O26" s="442"/>
      <c r="P26" s="465"/>
      <c r="Q26" s="465"/>
      <c r="R26" s="482">
        <f>-[12]domlongtermissues!Q20</f>
        <v>-4058204</v>
      </c>
      <c r="S26" s="480"/>
      <c r="T26" s="442"/>
      <c r="U26" s="465"/>
      <c r="V26" s="465"/>
      <c r="W26" s="482">
        <f>-[12]domlongtermissues!V20</f>
        <v>0</v>
      </c>
      <c r="X26" s="480"/>
      <c r="Y26" s="442"/>
      <c r="Z26" s="465"/>
      <c r="AA26" s="465"/>
      <c r="AB26" s="482">
        <f>-[12]domlongtermissues!AA20</f>
        <v>0</v>
      </c>
      <c r="AC26" s="480"/>
      <c r="AD26" s="442"/>
      <c r="AE26" s="465"/>
      <c r="AF26" s="465"/>
      <c r="AG26" s="482">
        <f>-[12]domlongtermissues!AF20</f>
        <v>0</v>
      </c>
      <c r="AH26" s="480"/>
      <c r="AI26" s="442"/>
      <c r="AJ26" s="465"/>
      <c r="AK26" s="465"/>
      <c r="AL26" s="482">
        <f>-[12]domlongtermissues!AK20</f>
        <v>0</v>
      </c>
      <c r="AM26" s="480"/>
      <c r="AN26" s="442"/>
      <c r="AO26" s="465"/>
      <c r="AP26" s="465"/>
      <c r="AQ26" s="482">
        <f>-[12]domlongtermissues!AP20</f>
        <v>0</v>
      </c>
      <c r="AR26" s="480"/>
      <c r="AS26" s="442"/>
      <c r="AT26" s="465"/>
      <c r="AU26" s="465"/>
      <c r="AV26" s="482">
        <f>-[12]domlongtermissues!AU20</f>
        <v>0</v>
      </c>
      <c r="AW26" s="480"/>
      <c r="AX26" s="442"/>
      <c r="AY26" s="465"/>
      <c r="AZ26" s="465"/>
      <c r="BA26" s="482">
        <f>-[12]domlongtermissues!AZ20</f>
        <v>0</v>
      </c>
      <c r="BB26" s="480"/>
      <c r="BC26" s="442"/>
      <c r="BD26" s="465"/>
      <c r="BE26" s="465"/>
      <c r="BF26" s="482">
        <f>-[12]domlongtermissues!BE20</f>
        <v>0</v>
      </c>
      <c r="BG26" s="480"/>
      <c r="BH26" s="442"/>
      <c r="BI26" s="465"/>
      <c r="BJ26" s="465"/>
      <c r="BK26" s="482">
        <f>-[12]domlongtermissues!BJ20</f>
        <v>0</v>
      </c>
      <c r="BL26" s="480"/>
      <c r="BM26" s="442"/>
      <c r="BN26" s="465"/>
      <c r="BO26" s="465"/>
      <c r="BP26" s="482">
        <f>-[12]domlongtermissues!BO20</f>
        <v>0</v>
      </c>
      <c r="BQ26" s="480"/>
      <c r="BR26" s="442"/>
      <c r="BS26" s="465"/>
      <c r="BT26" s="465"/>
      <c r="BU26" s="482">
        <f>-[12]domlongtermissues!BT20</f>
        <v>-8357973</v>
      </c>
      <c r="BV26" s="480"/>
      <c r="BW26" s="442"/>
      <c r="BX26" s="465"/>
      <c r="BY26" s="465"/>
      <c r="BZ26" s="483">
        <f>-[12]domlongtermissues!BY20</f>
        <v>-29779023</v>
      </c>
      <c r="CA26" s="480"/>
      <c r="CB26" s="442"/>
      <c r="CC26" s="465"/>
      <c r="CD26" s="465"/>
      <c r="CE26" s="482">
        <f>-[12]domlongtermissues!CD20</f>
        <v>-1256954</v>
      </c>
      <c r="CF26" s="480"/>
      <c r="CG26" s="442"/>
      <c r="CH26" s="465"/>
      <c r="CI26" s="465"/>
      <c r="CJ26" s="482">
        <f>-[12]domlongtermissues!CI20</f>
        <v>-1652532</v>
      </c>
      <c r="CK26" s="480"/>
      <c r="CL26" s="442"/>
      <c r="CM26" s="465"/>
      <c r="CN26" s="465"/>
      <c r="CO26" s="482">
        <f>-[12]domlongtermissues!CN20</f>
        <v>-1668026</v>
      </c>
      <c r="CP26" s="480"/>
      <c r="CQ26" s="442"/>
      <c r="CR26" s="465"/>
      <c r="CS26" s="465"/>
      <c r="CT26" s="482">
        <f>-[12]domlongtermissues!CS20</f>
        <v>-1721005</v>
      </c>
      <c r="CU26" s="480"/>
      <c r="CV26" s="442"/>
      <c r="CW26" s="465"/>
      <c r="CX26" s="465"/>
      <c r="CY26" s="482">
        <f>-[12]domlongtermissues!CX20</f>
        <v>-2422421</v>
      </c>
      <c r="CZ26" s="480"/>
      <c r="DA26" s="442"/>
      <c r="DB26" s="465"/>
      <c r="DC26" s="465"/>
      <c r="DD26" s="482">
        <f>-[12]domlongtermissues!DC20</f>
        <v>-2517677</v>
      </c>
      <c r="DE26" s="480"/>
      <c r="DF26" s="442"/>
      <c r="DG26" s="465"/>
      <c r="DH26" s="465"/>
      <c r="DI26" s="482">
        <f>-[12]domlongtermissues!DH20</f>
        <v>-2852893</v>
      </c>
      <c r="DJ26" s="480"/>
      <c r="DK26" s="442"/>
      <c r="DL26" s="465"/>
      <c r="DM26" s="465"/>
      <c r="DN26" s="482">
        <f>-[12]domlongtermissues!DM20</f>
        <v>-3497342</v>
      </c>
      <c r="DO26" s="480"/>
      <c r="DP26" s="442"/>
      <c r="DQ26" s="465"/>
      <c r="DR26" s="465"/>
      <c r="DS26" s="482">
        <f>-[12]domlongtermissues!DR20</f>
        <v>-2287072</v>
      </c>
      <c r="DT26" s="480"/>
      <c r="DU26" s="442"/>
      <c r="DV26" s="465"/>
      <c r="DW26" s="465"/>
      <c r="DX26" s="482">
        <f>-[12]domlongtermissues!DW20</f>
        <v>-2282238</v>
      </c>
      <c r="DY26" s="480"/>
      <c r="DZ26" s="442"/>
      <c r="EA26" s="465"/>
      <c r="EB26" s="465"/>
      <c r="EC26" s="482">
        <f>-[12]domlongtermissues!EB20</f>
        <v>-2868557</v>
      </c>
      <c r="ED26" s="480"/>
      <c r="EE26" s="442"/>
      <c r="EF26" s="465"/>
      <c r="EG26" s="465"/>
      <c r="EH26" s="482">
        <f>-[12]domlongtermissues!EG20</f>
        <v>-4752306</v>
      </c>
      <c r="EI26" s="480"/>
      <c r="EJ26" s="442"/>
      <c r="EK26" s="465"/>
      <c r="EL26" s="465"/>
      <c r="EM26" s="482">
        <f>-[12]domlongtermissues!EL20</f>
        <v>-2909486</v>
      </c>
      <c r="EN26" s="480"/>
      <c r="EO26" s="442"/>
      <c r="EP26" s="455"/>
      <c r="ES26" s="472"/>
      <c r="ET26" s="472">
        <f>EM26-BZ26</f>
        <v>26869537</v>
      </c>
    </row>
    <row r="27" spans="1:150" x14ac:dyDescent="0.2">
      <c r="A27" s="442"/>
      <c r="B27" s="442"/>
      <c r="C27" s="455" t="s">
        <v>303</v>
      </c>
      <c r="D27" s="442"/>
      <c r="E27" s="497" t="s">
        <v>304</v>
      </c>
      <c r="F27" s="498"/>
      <c r="G27" s="498"/>
      <c r="H27" s="482">
        <f>-[12]domredemp!G13</f>
        <v>-52465000</v>
      </c>
      <c r="I27" s="480"/>
      <c r="J27" s="442"/>
      <c r="K27" s="465"/>
      <c r="L27" s="465"/>
      <c r="M27" s="482">
        <f>-[12]domredemp!L13</f>
        <v>-1200137</v>
      </c>
      <c r="N27" s="480"/>
      <c r="O27" s="442"/>
      <c r="P27" s="465"/>
      <c r="Q27" s="465"/>
      <c r="R27" s="482">
        <f>-[12]domredemp!Q13</f>
        <v>-335047</v>
      </c>
      <c r="S27" s="480"/>
      <c r="T27" s="442"/>
      <c r="U27" s="465"/>
      <c r="V27" s="465"/>
      <c r="W27" s="482">
        <f>-[12]domredemp!V13</f>
        <v>0</v>
      </c>
      <c r="X27" s="480"/>
      <c r="Y27" s="442"/>
      <c r="Z27" s="465"/>
      <c r="AA27" s="465"/>
      <c r="AB27" s="482">
        <f>-[12]domredemp!AA13</f>
        <v>0</v>
      </c>
      <c r="AC27" s="480"/>
      <c r="AD27" s="442"/>
      <c r="AE27" s="465"/>
      <c r="AF27" s="465"/>
      <c r="AG27" s="482">
        <f>-[12]domredemp!AF13</f>
        <v>0</v>
      </c>
      <c r="AH27" s="480"/>
      <c r="AI27" s="442"/>
      <c r="AJ27" s="465"/>
      <c r="AK27" s="465"/>
      <c r="AL27" s="482">
        <f>-[12]domredemp!AK13</f>
        <v>0</v>
      </c>
      <c r="AM27" s="480"/>
      <c r="AN27" s="442"/>
      <c r="AO27" s="465"/>
      <c r="AP27" s="465"/>
      <c r="AQ27" s="482">
        <f>-[12]domredemp!AP13</f>
        <v>0</v>
      </c>
      <c r="AR27" s="480"/>
      <c r="AS27" s="442"/>
      <c r="AT27" s="465"/>
      <c r="AU27" s="465"/>
      <c r="AV27" s="482">
        <f>-[12]domredemp!AU13</f>
        <v>0</v>
      </c>
      <c r="AW27" s="480"/>
      <c r="AX27" s="442"/>
      <c r="AY27" s="465"/>
      <c r="AZ27" s="465"/>
      <c r="BA27" s="482">
        <f>-[12]domredemp!AZ13</f>
        <v>0</v>
      </c>
      <c r="BB27" s="480"/>
      <c r="BC27" s="442"/>
      <c r="BD27" s="465"/>
      <c r="BE27" s="465"/>
      <c r="BF27" s="482">
        <f>-[12]domredemp!BE13</f>
        <v>0</v>
      </c>
      <c r="BG27" s="480"/>
      <c r="BH27" s="442"/>
      <c r="BI27" s="465"/>
      <c r="BJ27" s="465"/>
      <c r="BK27" s="482">
        <f>-[12]domredemp!BJ13</f>
        <v>0</v>
      </c>
      <c r="BL27" s="480"/>
      <c r="BM27" s="442"/>
      <c r="BN27" s="465"/>
      <c r="BO27" s="465"/>
      <c r="BP27" s="482">
        <f>-[12]domredemp!BO13</f>
        <v>0</v>
      </c>
      <c r="BQ27" s="480"/>
      <c r="BR27" s="442"/>
      <c r="BS27" s="465"/>
      <c r="BT27" s="465"/>
      <c r="BU27" s="482">
        <f>-[12]domredemp!BT13</f>
        <v>-1535184</v>
      </c>
      <c r="BV27" s="480"/>
      <c r="BW27" s="442"/>
      <c r="BX27" s="465"/>
      <c r="BY27" s="465"/>
      <c r="BZ27" s="483">
        <f>-[12]domredemp!BY13</f>
        <v>-19427655</v>
      </c>
      <c r="CA27" s="480"/>
      <c r="CB27" s="442"/>
      <c r="CC27" s="465"/>
      <c r="CD27" s="465"/>
      <c r="CE27" s="482">
        <f>-[12]domredemp!CD13</f>
        <v>-334512</v>
      </c>
      <c r="CF27" s="480"/>
      <c r="CG27" s="442"/>
      <c r="CH27" s="465"/>
      <c r="CI27" s="465"/>
      <c r="CJ27" s="482">
        <f>-[12]domredemp!CI13</f>
        <v>-254394</v>
      </c>
      <c r="CK27" s="480"/>
      <c r="CL27" s="442"/>
      <c r="CM27" s="465"/>
      <c r="CN27" s="465"/>
      <c r="CO27" s="482">
        <f>-[12]domredemp!CN13</f>
        <v>-251090</v>
      </c>
      <c r="CP27" s="480"/>
      <c r="CQ27" s="442"/>
      <c r="CR27" s="465"/>
      <c r="CS27" s="465"/>
      <c r="CT27" s="482">
        <f>-[12]domredemp!CS13</f>
        <v>-239599</v>
      </c>
      <c r="CU27" s="480"/>
      <c r="CV27" s="442"/>
      <c r="CW27" s="465"/>
      <c r="CX27" s="465"/>
      <c r="CY27" s="482">
        <f>-[12]domredemp!CX13</f>
        <v>-317003</v>
      </c>
      <c r="CZ27" s="480"/>
      <c r="DA27" s="442"/>
      <c r="DB27" s="465"/>
      <c r="DC27" s="465"/>
      <c r="DD27" s="482">
        <f>-[12]domredemp!DC13</f>
        <v>-464401</v>
      </c>
      <c r="DE27" s="480"/>
      <c r="DF27" s="442"/>
      <c r="DG27" s="465"/>
      <c r="DH27" s="465"/>
      <c r="DI27" s="482">
        <f>-[12]domredemp!DH13</f>
        <v>-190972</v>
      </c>
      <c r="DJ27" s="480"/>
      <c r="DK27" s="442"/>
      <c r="DL27" s="465"/>
      <c r="DM27" s="465"/>
      <c r="DN27" s="482">
        <f>-[12]domredemp!DM13</f>
        <v>-372701</v>
      </c>
      <c r="DO27" s="480"/>
      <c r="DP27" s="442"/>
      <c r="DQ27" s="465"/>
      <c r="DR27" s="465"/>
      <c r="DS27" s="482">
        <f>-[12]domredemp!DR13</f>
        <v>-335951</v>
      </c>
      <c r="DT27" s="480"/>
      <c r="DU27" s="442"/>
      <c r="DV27" s="465"/>
      <c r="DW27" s="465"/>
      <c r="DX27" s="482">
        <f>-[12]domredemp!DW13</f>
        <v>-16129719</v>
      </c>
      <c r="DY27" s="480"/>
      <c r="DZ27" s="442"/>
      <c r="EA27" s="465"/>
      <c r="EB27" s="465"/>
      <c r="EC27" s="482">
        <f>-[12]domredemp!EB13</f>
        <v>-239823</v>
      </c>
      <c r="ED27" s="480"/>
      <c r="EE27" s="442"/>
      <c r="EF27" s="465"/>
      <c r="EG27" s="465"/>
      <c r="EH27" s="482">
        <f>-[12]domredemp!EG13</f>
        <v>-297490</v>
      </c>
      <c r="EI27" s="480"/>
      <c r="EJ27" s="442"/>
      <c r="EK27" s="465"/>
      <c r="EL27" s="465"/>
      <c r="EM27" s="482">
        <f>-[12]domredemp!EL13</f>
        <v>-588906</v>
      </c>
      <c r="EN27" s="480"/>
      <c r="EO27" s="442"/>
      <c r="EP27" s="455"/>
      <c r="ES27" s="472"/>
      <c r="ET27" s="472">
        <f t="shared" si="0"/>
        <v>18838749</v>
      </c>
    </row>
    <row r="28" spans="1:150" x14ac:dyDescent="0.2">
      <c r="A28" s="442"/>
      <c r="B28" s="442"/>
      <c r="C28" s="455" t="s">
        <v>305</v>
      </c>
      <c r="D28" s="442"/>
      <c r="E28" s="497">
        <v>4.2</v>
      </c>
      <c r="F28" s="498"/>
      <c r="G28" s="498"/>
      <c r="H28" s="485">
        <f>-[12]domredemp!G16+[12]domredemp!G124</f>
        <v>0</v>
      </c>
      <c r="I28" s="480"/>
      <c r="J28" s="442"/>
      <c r="K28" s="465"/>
      <c r="L28" s="465"/>
      <c r="M28" s="485">
        <f>-[12]domredemp!L16+[12]domredemp!L124</f>
        <v>0</v>
      </c>
      <c r="N28" s="480"/>
      <c r="O28" s="442"/>
      <c r="P28" s="465"/>
      <c r="Q28" s="465"/>
      <c r="R28" s="485">
        <f>-[12]domredemp!Q16+[12]domredemp!Q124</f>
        <v>0</v>
      </c>
      <c r="S28" s="480"/>
      <c r="T28" s="442"/>
      <c r="U28" s="465"/>
      <c r="V28" s="465"/>
      <c r="W28" s="485">
        <f>-[12]domredemp!V16+[12]domredemp!V124</f>
        <v>0</v>
      </c>
      <c r="X28" s="480"/>
      <c r="Y28" s="442"/>
      <c r="Z28" s="465"/>
      <c r="AA28" s="465"/>
      <c r="AB28" s="485">
        <f>-[12]domredemp!AA16+[12]domredemp!AA124</f>
        <v>0</v>
      </c>
      <c r="AC28" s="480"/>
      <c r="AD28" s="442"/>
      <c r="AE28" s="465"/>
      <c r="AF28" s="465"/>
      <c r="AG28" s="485">
        <f>-[12]domredemp!AF16+[12]domredemp!AF124</f>
        <v>0</v>
      </c>
      <c r="AH28" s="480"/>
      <c r="AI28" s="442"/>
      <c r="AJ28" s="465"/>
      <c r="AK28" s="465"/>
      <c r="AL28" s="485">
        <f>-[12]domredemp!AK16+[12]domredemp!AK124</f>
        <v>0</v>
      </c>
      <c r="AM28" s="480"/>
      <c r="AN28" s="442"/>
      <c r="AO28" s="465"/>
      <c r="AP28" s="465"/>
      <c r="AQ28" s="485">
        <f>-[12]domredemp!AP16+[12]domredemp!AP124</f>
        <v>0</v>
      </c>
      <c r="AR28" s="480"/>
      <c r="AS28" s="442"/>
      <c r="AT28" s="465"/>
      <c r="AU28" s="465"/>
      <c r="AV28" s="485">
        <f>-[12]domredemp!AU16+[12]domredemp!AU124</f>
        <v>0</v>
      </c>
      <c r="AW28" s="480"/>
      <c r="AX28" s="442"/>
      <c r="AY28" s="465"/>
      <c r="AZ28" s="465"/>
      <c r="BA28" s="485">
        <f>-[12]domredemp!AZ16+[12]domredemp!AZ124</f>
        <v>0</v>
      </c>
      <c r="BB28" s="480"/>
      <c r="BC28" s="442"/>
      <c r="BD28" s="465"/>
      <c r="BE28" s="465"/>
      <c r="BF28" s="485">
        <f>-[12]domredemp!BE16+[12]domredemp!BE124</f>
        <v>0</v>
      </c>
      <c r="BG28" s="480"/>
      <c r="BH28" s="442"/>
      <c r="BI28" s="465"/>
      <c r="BJ28" s="465"/>
      <c r="BK28" s="485">
        <f>-[12]domredemp!BJ16+[12]domredemp!BJ124</f>
        <v>0</v>
      </c>
      <c r="BL28" s="480"/>
      <c r="BM28" s="442"/>
      <c r="BN28" s="465"/>
      <c r="BO28" s="465"/>
      <c r="BP28" s="485">
        <f>-[12]domredemp!BO16+[12]domredemp!BO124</f>
        <v>0</v>
      </c>
      <c r="BQ28" s="480"/>
      <c r="BR28" s="442"/>
      <c r="BS28" s="465"/>
      <c r="BT28" s="465"/>
      <c r="BU28" s="485">
        <f>-[12]domredemp!BT16+[12]domredemp!BT124</f>
        <v>0</v>
      </c>
      <c r="BV28" s="480"/>
      <c r="BW28" s="442"/>
      <c r="BX28" s="465"/>
      <c r="BY28" s="465"/>
      <c r="BZ28" s="484">
        <v>0</v>
      </c>
      <c r="CA28" s="480"/>
      <c r="CB28" s="442"/>
      <c r="CC28" s="465"/>
      <c r="CD28" s="465"/>
      <c r="CE28" s="485">
        <f>-[12]domredemp!CD16+[12]domredemp!CD124</f>
        <v>0</v>
      </c>
      <c r="CF28" s="480"/>
      <c r="CG28" s="442"/>
      <c r="CH28" s="465"/>
      <c r="CI28" s="465"/>
      <c r="CJ28" s="485">
        <f>-[12]domredemp!CI16+[12]domredemp!CI124</f>
        <v>0</v>
      </c>
      <c r="CK28" s="480"/>
      <c r="CL28" s="442"/>
      <c r="CM28" s="465"/>
      <c r="CN28" s="465"/>
      <c r="CO28" s="485">
        <f>-[12]domredemp!CN16+[12]domredemp!CN124</f>
        <v>0</v>
      </c>
      <c r="CP28" s="480"/>
      <c r="CQ28" s="442"/>
      <c r="CR28" s="465"/>
      <c r="CS28" s="465"/>
      <c r="CT28" s="485">
        <f>-[12]domredemp!CS16+[12]domredemp!CS124</f>
        <v>0</v>
      </c>
      <c r="CU28" s="480"/>
      <c r="CV28" s="442"/>
      <c r="CW28" s="465"/>
      <c r="CX28" s="465"/>
      <c r="CY28" s="485">
        <f>-[12]domredemp!CX16+[12]domredemp!CX124</f>
        <v>0</v>
      </c>
      <c r="CZ28" s="480"/>
      <c r="DA28" s="442"/>
      <c r="DB28" s="465"/>
      <c r="DC28" s="465"/>
      <c r="DD28" s="485">
        <f>-[12]domredemp!DC16+[12]domredemp!DC124</f>
        <v>0</v>
      </c>
      <c r="DE28" s="480"/>
      <c r="DF28" s="442"/>
      <c r="DG28" s="465"/>
      <c r="DH28" s="465"/>
      <c r="DI28" s="485">
        <f>-[12]domredemp!DH16+[12]domredemp!DH124</f>
        <v>0</v>
      </c>
      <c r="DJ28" s="480"/>
      <c r="DK28" s="442"/>
      <c r="DL28" s="465"/>
      <c r="DM28" s="465"/>
      <c r="DN28" s="485">
        <f>-[12]domredemp!DM16+[12]domredemp!DM124</f>
        <v>0</v>
      </c>
      <c r="DO28" s="480"/>
      <c r="DP28" s="442"/>
      <c r="DQ28" s="465"/>
      <c r="DR28" s="465"/>
      <c r="DS28" s="485">
        <f>-[12]domredemp!DR16+[12]domredemp!DR124</f>
        <v>0</v>
      </c>
      <c r="DT28" s="480"/>
      <c r="DU28" s="442"/>
      <c r="DV28" s="465"/>
      <c r="DW28" s="465"/>
      <c r="DX28" s="485">
        <f>-[12]domredemp!DW16+[12]domredemp!DW124</f>
        <v>0</v>
      </c>
      <c r="DY28" s="480"/>
      <c r="DZ28" s="442"/>
      <c r="EA28" s="465"/>
      <c r="EB28" s="465"/>
      <c r="EC28" s="485">
        <f>-[12]domredemp!EB16+[12]domredemp!EB124</f>
        <v>0</v>
      </c>
      <c r="ED28" s="480"/>
      <c r="EE28" s="442"/>
      <c r="EF28" s="465"/>
      <c r="EG28" s="465"/>
      <c r="EH28" s="485">
        <f>-[12]domredemp!EG16+[12]domredemp!EG124</f>
        <v>0</v>
      </c>
      <c r="EI28" s="480"/>
      <c r="EJ28" s="442"/>
      <c r="EK28" s="465"/>
      <c r="EL28" s="465"/>
      <c r="EM28" s="485">
        <f>-[12]domredemp!EL16+[12]domredemp!EL124</f>
        <v>0</v>
      </c>
      <c r="EN28" s="480"/>
      <c r="EO28" s="442"/>
      <c r="EP28" s="455"/>
      <c r="ES28" s="472"/>
      <c r="ET28" s="472">
        <f t="shared" si="0"/>
        <v>0</v>
      </c>
    </row>
    <row r="29" spans="1:150" x14ac:dyDescent="0.2">
      <c r="A29" s="442"/>
      <c r="B29" s="442"/>
      <c r="C29" s="455"/>
      <c r="D29" s="442"/>
      <c r="E29" s="499"/>
      <c r="F29" s="500"/>
      <c r="G29" s="500"/>
      <c r="H29" s="442"/>
      <c r="I29" s="480"/>
      <c r="J29" s="442"/>
      <c r="K29" s="465"/>
      <c r="L29" s="465"/>
      <c r="M29" s="442"/>
      <c r="N29" s="480"/>
      <c r="O29" s="442"/>
      <c r="P29" s="465"/>
      <c r="Q29" s="465"/>
      <c r="R29" s="474"/>
      <c r="S29" s="480"/>
      <c r="T29" s="442"/>
      <c r="U29" s="465"/>
      <c r="V29" s="465"/>
      <c r="W29" s="474"/>
      <c r="X29" s="480"/>
      <c r="Y29" s="442"/>
      <c r="Z29" s="465"/>
      <c r="AA29" s="465"/>
      <c r="AB29" s="474"/>
      <c r="AC29" s="480"/>
      <c r="AD29" s="442"/>
      <c r="AE29" s="465"/>
      <c r="AF29" s="465"/>
      <c r="AG29" s="474"/>
      <c r="AH29" s="480"/>
      <c r="AI29" s="442"/>
      <c r="AJ29" s="465"/>
      <c r="AK29" s="465"/>
      <c r="AL29" s="442"/>
      <c r="AM29" s="480"/>
      <c r="AN29" s="442"/>
      <c r="AO29" s="465"/>
      <c r="AP29" s="465"/>
      <c r="AQ29" s="442"/>
      <c r="AR29" s="480"/>
      <c r="AS29" s="442"/>
      <c r="AT29" s="465"/>
      <c r="AU29" s="465"/>
      <c r="AV29" s="442"/>
      <c r="AW29" s="480"/>
      <c r="AX29" s="442"/>
      <c r="AY29" s="465"/>
      <c r="AZ29" s="465"/>
      <c r="BA29" s="442"/>
      <c r="BB29" s="480"/>
      <c r="BC29" s="442"/>
      <c r="BD29" s="465"/>
      <c r="BE29" s="465"/>
      <c r="BF29" s="442"/>
      <c r="BG29" s="480"/>
      <c r="BH29" s="442"/>
      <c r="BI29" s="465"/>
      <c r="BJ29" s="465"/>
      <c r="BK29" s="442"/>
      <c r="BL29" s="480"/>
      <c r="BM29" s="442"/>
      <c r="BN29" s="465"/>
      <c r="BO29" s="465"/>
      <c r="BP29" s="442"/>
      <c r="BQ29" s="480"/>
      <c r="BR29" s="442"/>
      <c r="BS29" s="465"/>
      <c r="BT29" s="465"/>
      <c r="BU29" s="442"/>
      <c r="BV29" s="480"/>
      <c r="BW29" s="442"/>
      <c r="BX29" s="465"/>
      <c r="BY29" s="465"/>
      <c r="BZ29" s="486"/>
      <c r="CA29" s="480"/>
      <c r="CB29" s="442"/>
      <c r="CC29" s="465"/>
      <c r="CD29" s="465"/>
      <c r="CE29" s="442"/>
      <c r="CF29" s="480"/>
      <c r="CG29" s="442"/>
      <c r="CH29" s="465"/>
      <c r="CI29" s="465"/>
      <c r="CJ29" s="442"/>
      <c r="CK29" s="480"/>
      <c r="CL29" s="442"/>
      <c r="CM29" s="465"/>
      <c r="CN29" s="465"/>
      <c r="CO29" s="474"/>
      <c r="CP29" s="480"/>
      <c r="CQ29" s="442"/>
      <c r="CR29" s="465"/>
      <c r="CS29" s="465"/>
      <c r="CT29" s="474"/>
      <c r="CU29" s="480"/>
      <c r="CV29" s="442"/>
      <c r="CW29" s="465"/>
      <c r="CX29" s="465"/>
      <c r="CY29" s="474"/>
      <c r="CZ29" s="480"/>
      <c r="DA29" s="442"/>
      <c r="DB29" s="465"/>
      <c r="DC29" s="465"/>
      <c r="DD29" s="442"/>
      <c r="DE29" s="480"/>
      <c r="DF29" s="442"/>
      <c r="DG29" s="465"/>
      <c r="DH29" s="465"/>
      <c r="DI29" s="442"/>
      <c r="DJ29" s="480"/>
      <c r="DK29" s="442"/>
      <c r="DL29" s="465"/>
      <c r="DM29" s="465"/>
      <c r="DN29" s="442"/>
      <c r="DO29" s="480"/>
      <c r="DP29" s="442"/>
      <c r="DQ29" s="465"/>
      <c r="DR29" s="465"/>
      <c r="DS29" s="442"/>
      <c r="DT29" s="480"/>
      <c r="DU29" s="442"/>
      <c r="DV29" s="465"/>
      <c r="DW29" s="465"/>
      <c r="DX29" s="442"/>
      <c r="DY29" s="480"/>
      <c r="DZ29" s="442"/>
      <c r="EA29" s="465"/>
      <c r="EB29" s="465"/>
      <c r="EC29" s="442"/>
      <c r="ED29" s="480"/>
      <c r="EE29" s="442"/>
      <c r="EF29" s="465"/>
      <c r="EG29" s="465"/>
      <c r="EH29" s="442"/>
      <c r="EI29" s="480"/>
      <c r="EJ29" s="442"/>
      <c r="EK29" s="465"/>
      <c r="EL29" s="465"/>
      <c r="EM29" s="442"/>
      <c r="EN29" s="480"/>
      <c r="EO29" s="442"/>
      <c r="EP29" s="455"/>
      <c r="ES29" s="472"/>
      <c r="ET29" s="472">
        <f t="shared" si="0"/>
        <v>0</v>
      </c>
    </row>
    <row r="30" spans="1:150" x14ac:dyDescent="0.2">
      <c r="A30" s="442"/>
      <c r="B30" s="442"/>
      <c r="C30" s="455" t="s">
        <v>306</v>
      </c>
      <c r="D30" s="442"/>
      <c r="E30" s="499"/>
      <c r="F30" s="500"/>
      <c r="G30" s="500"/>
      <c r="H30" s="442">
        <f>SUM(H31:H33)</f>
        <v>0</v>
      </c>
      <c r="I30" s="480"/>
      <c r="J30" s="442"/>
      <c r="K30" s="465"/>
      <c r="L30" s="465"/>
      <c r="M30" s="442">
        <f>SUM(M31:M33)</f>
        <v>0</v>
      </c>
      <c r="N30" s="480"/>
      <c r="O30" s="442"/>
      <c r="P30" s="465"/>
      <c r="Q30" s="465"/>
      <c r="R30" s="442">
        <f>SUM(R31:R33)</f>
        <v>0</v>
      </c>
      <c r="S30" s="480"/>
      <c r="T30" s="442"/>
      <c r="U30" s="465"/>
      <c r="V30" s="465"/>
      <c r="W30" s="442">
        <f>SUM(W31:W33)</f>
        <v>0</v>
      </c>
      <c r="X30" s="480"/>
      <c r="Y30" s="442"/>
      <c r="Z30" s="465"/>
      <c r="AA30" s="465"/>
      <c r="AB30" s="442">
        <f>SUM(AB31:AB33)</f>
        <v>0</v>
      </c>
      <c r="AC30" s="480"/>
      <c r="AD30" s="442"/>
      <c r="AE30" s="465"/>
      <c r="AF30" s="465"/>
      <c r="AG30" s="442">
        <f>SUM(AG31:AG33)</f>
        <v>0</v>
      </c>
      <c r="AH30" s="480"/>
      <c r="AI30" s="442"/>
      <c r="AJ30" s="465"/>
      <c r="AK30" s="465"/>
      <c r="AL30" s="442">
        <f>SUM(AL31:AL33)</f>
        <v>0</v>
      </c>
      <c r="AM30" s="480"/>
      <c r="AN30" s="442"/>
      <c r="AO30" s="465"/>
      <c r="AP30" s="465"/>
      <c r="AQ30" s="442">
        <f>SUM(AQ31:AQ33)</f>
        <v>0</v>
      </c>
      <c r="AR30" s="480"/>
      <c r="AS30" s="442"/>
      <c r="AT30" s="465"/>
      <c r="AU30" s="465"/>
      <c r="AV30" s="442">
        <f>SUM(AV31:AV33)</f>
        <v>0</v>
      </c>
      <c r="AW30" s="480"/>
      <c r="AX30" s="442"/>
      <c r="AY30" s="465"/>
      <c r="AZ30" s="465"/>
      <c r="BA30" s="442">
        <f>SUM(BA31:BA33)</f>
        <v>0</v>
      </c>
      <c r="BB30" s="480"/>
      <c r="BC30" s="442"/>
      <c r="BD30" s="465"/>
      <c r="BE30" s="465"/>
      <c r="BF30" s="442">
        <f>SUM(BF31:BF33)</f>
        <v>0</v>
      </c>
      <c r="BG30" s="480"/>
      <c r="BH30" s="442"/>
      <c r="BI30" s="465"/>
      <c r="BJ30" s="465"/>
      <c r="BK30" s="442">
        <f>SUM(BK31:BK33)</f>
        <v>0</v>
      </c>
      <c r="BL30" s="480"/>
      <c r="BM30" s="442"/>
      <c r="BN30" s="465"/>
      <c r="BO30" s="465"/>
      <c r="BP30" s="442">
        <f>SUM(BP31:BP33)</f>
        <v>0</v>
      </c>
      <c r="BQ30" s="480"/>
      <c r="BR30" s="442"/>
      <c r="BS30" s="465"/>
      <c r="BT30" s="465"/>
      <c r="BU30" s="442">
        <f>SUM(BU31:BU33)</f>
        <v>0</v>
      </c>
      <c r="BV30" s="480"/>
      <c r="BW30" s="442"/>
      <c r="BX30" s="465"/>
      <c r="BY30" s="465"/>
      <c r="BZ30" s="486">
        <f>SUM(BZ31:BZ33)</f>
        <v>-289290</v>
      </c>
      <c r="CA30" s="480"/>
      <c r="CB30" s="442"/>
      <c r="CC30" s="465"/>
      <c r="CD30" s="465"/>
      <c r="CE30" s="442">
        <f>SUM(CE31:CE33)</f>
        <v>0</v>
      </c>
      <c r="CF30" s="480"/>
      <c r="CG30" s="442"/>
      <c r="CH30" s="465"/>
      <c r="CI30" s="465"/>
      <c r="CJ30" s="442">
        <f>SUM(CJ31:CJ33)</f>
        <v>-289290</v>
      </c>
      <c r="CK30" s="480"/>
      <c r="CL30" s="442"/>
      <c r="CM30" s="465"/>
      <c r="CN30" s="465"/>
      <c r="CO30" s="442">
        <f>SUM(CO31:CO33)</f>
        <v>0</v>
      </c>
      <c r="CP30" s="480"/>
      <c r="CQ30" s="442"/>
      <c r="CR30" s="465"/>
      <c r="CS30" s="465"/>
      <c r="CT30" s="442">
        <f>SUM(CT31:CT33)</f>
        <v>0</v>
      </c>
      <c r="CU30" s="480"/>
      <c r="CV30" s="442"/>
      <c r="CW30" s="465"/>
      <c r="CX30" s="465"/>
      <c r="CY30" s="442">
        <f>SUM(CY31:CY33)</f>
        <v>0</v>
      </c>
      <c r="CZ30" s="480"/>
      <c r="DA30" s="442"/>
      <c r="DB30" s="465"/>
      <c r="DC30" s="465"/>
      <c r="DD30" s="442">
        <f>SUM(DD31:DD33)</f>
        <v>0</v>
      </c>
      <c r="DE30" s="480"/>
      <c r="DF30" s="442"/>
      <c r="DG30" s="465"/>
      <c r="DH30" s="465"/>
      <c r="DI30" s="442">
        <f>SUM(DI31:DI33)</f>
        <v>0</v>
      </c>
      <c r="DJ30" s="480"/>
      <c r="DK30" s="442"/>
      <c r="DL30" s="465"/>
      <c r="DM30" s="465"/>
      <c r="DN30" s="442">
        <f>SUM(DN31:DN33)</f>
        <v>0</v>
      </c>
      <c r="DO30" s="480"/>
      <c r="DP30" s="442"/>
      <c r="DQ30" s="465"/>
      <c r="DR30" s="465"/>
      <c r="DS30" s="442">
        <f>SUM(DS31:DS33)</f>
        <v>0</v>
      </c>
      <c r="DT30" s="480"/>
      <c r="DU30" s="442"/>
      <c r="DV30" s="465"/>
      <c r="DW30" s="465"/>
      <c r="DX30" s="442">
        <f>SUM(DX31:DX33)</f>
        <v>0</v>
      </c>
      <c r="DY30" s="480"/>
      <c r="DZ30" s="442"/>
      <c r="EA30" s="465"/>
      <c r="EB30" s="465"/>
      <c r="EC30" s="442">
        <f>SUM(EC31:EC33)</f>
        <v>0</v>
      </c>
      <c r="ED30" s="480"/>
      <c r="EE30" s="442"/>
      <c r="EF30" s="465"/>
      <c r="EG30" s="465"/>
      <c r="EH30" s="442">
        <f>SUM(EH31:EH33)</f>
        <v>0</v>
      </c>
      <c r="EI30" s="480"/>
      <c r="EJ30" s="442"/>
      <c r="EK30" s="465"/>
      <c r="EL30" s="465"/>
      <c r="EM30" s="442">
        <f>SUM(EM31:EM33)</f>
        <v>-289290</v>
      </c>
      <c r="EN30" s="480"/>
      <c r="EO30" s="442"/>
      <c r="EP30" s="455"/>
      <c r="ES30" s="472"/>
      <c r="ET30" s="472">
        <f t="shared" si="0"/>
        <v>0</v>
      </c>
    </row>
    <row r="31" spans="1:150" x14ac:dyDescent="0.2">
      <c r="A31" s="442"/>
      <c r="B31" s="442"/>
      <c r="C31" s="455" t="s">
        <v>307</v>
      </c>
      <c r="D31" s="442"/>
      <c r="E31" s="497" t="s">
        <v>301</v>
      </c>
      <c r="F31" s="498"/>
      <c r="G31" s="498"/>
      <c r="H31" s="481">
        <f>[12]domlongtermissues!G14</f>
        <v>0</v>
      </c>
      <c r="I31" s="480"/>
      <c r="J31" s="442"/>
      <c r="K31" s="465"/>
      <c r="L31" s="465"/>
      <c r="M31" s="481">
        <f>[12]domlongtermissues!L14</f>
        <v>0</v>
      </c>
      <c r="N31" s="480"/>
      <c r="O31" s="442"/>
      <c r="P31" s="465"/>
      <c r="Q31" s="465"/>
      <c r="R31" s="481">
        <f>[12]domlongtermissues!Q14</f>
        <v>0</v>
      </c>
      <c r="S31" s="480"/>
      <c r="T31" s="442"/>
      <c r="U31" s="465"/>
      <c r="V31" s="465"/>
      <c r="W31" s="481">
        <f>[12]domlongtermissues!V14</f>
        <v>0</v>
      </c>
      <c r="X31" s="480"/>
      <c r="Y31" s="442"/>
      <c r="Z31" s="465"/>
      <c r="AA31" s="465"/>
      <c r="AB31" s="481">
        <f>[12]domlongtermissues!AA14</f>
        <v>0</v>
      </c>
      <c r="AC31" s="480"/>
      <c r="AD31" s="442"/>
      <c r="AE31" s="465"/>
      <c r="AF31" s="465"/>
      <c r="AG31" s="481">
        <f>[12]domlongtermissues!AF14</f>
        <v>0</v>
      </c>
      <c r="AH31" s="480"/>
      <c r="AI31" s="442"/>
      <c r="AJ31" s="465"/>
      <c r="AK31" s="465"/>
      <c r="AL31" s="481">
        <f>[12]domlongtermissues!AK14</f>
        <v>0</v>
      </c>
      <c r="AM31" s="480"/>
      <c r="AN31" s="442"/>
      <c r="AO31" s="465"/>
      <c r="AP31" s="465"/>
      <c r="AQ31" s="481">
        <f>[12]domlongtermissues!AP14</f>
        <v>0</v>
      </c>
      <c r="AR31" s="480"/>
      <c r="AS31" s="442"/>
      <c r="AT31" s="465"/>
      <c r="AU31" s="465"/>
      <c r="AV31" s="481">
        <f>[12]domlongtermissues!AU14</f>
        <v>0</v>
      </c>
      <c r="AW31" s="480"/>
      <c r="AX31" s="442"/>
      <c r="AY31" s="465"/>
      <c r="AZ31" s="465"/>
      <c r="BA31" s="481">
        <f>[12]domlongtermissues!AZ14</f>
        <v>0</v>
      </c>
      <c r="BB31" s="480"/>
      <c r="BC31" s="442"/>
      <c r="BD31" s="465"/>
      <c r="BE31" s="465"/>
      <c r="BF31" s="481">
        <f>[12]domlongtermissues!BE14</f>
        <v>0</v>
      </c>
      <c r="BG31" s="480"/>
      <c r="BH31" s="442"/>
      <c r="BI31" s="465"/>
      <c r="BJ31" s="465"/>
      <c r="BK31" s="481">
        <f>[12]domlongtermissues!BJ14</f>
        <v>0</v>
      </c>
      <c r="BL31" s="480"/>
      <c r="BM31" s="442"/>
      <c r="BN31" s="465"/>
      <c r="BO31" s="465"/>
      <c r="BP31" s="481">
        <f>[12]domlongtermissues!BO14</f>
        <v>0</v>
      </c>
      <c r="BQ31" s="480"/>
      <c r="BR31" s="442"/>
      <c r="BS31" s="465"/>
      <c r="BT31" s="465"/>
      <c r="BU31" s="481">
        <f>[12]domlongtermissues!BT14</f>
        <v>0</v>
      </c>
      <c r="BV31" s="480"/>
      <c r="BW31" s="442"/>
      <c r="BX31" s="465"/>
      <c r="BY31" s="465"/>
      <c r="BZ31" s="479">
        <f>+[12]domlongtermissues!BY14</f>
        <v>14152656</v>
      </c>
      <c r="CA31" s="480"/>
      <c r="CB31" s="442"/>
      <c r="CC31" s="465"/>
      <c r="CD31" s="465"/>
      <c r="CE31" s="481">
        <f>[12]domlongtermissues!CD14</f>
        <v>0</v>
      </c>
      <c r="CF31" s="480"/>
      <c r="CG31" s="442"/>
      <c r="CH31" s="465"/>
      <c r="CI31" s="465"/>
      <c r="CJ31" s="481">
        <f>[12]domlongtermissues!CI14</f>
        <v>14152656</v>
      </c>
      <c r="CK31" s="480"/>
      <c r="CL31" s="442"/>
      <c r="CM31" s="465"/>
      <c r="CN31" s="465"/>
      <c r="CO31" s="481">
        <f>[12]domlongtermissues!CN14</f>
        <v>0</v>
      </c>
      <c r="CP31" s="480"/>
      <c r="CQ31" s="442"/>
      <c r="CR31" s="465"/>
      <c r="CS31" s="465"/>
      <c r="CT31" s="481">
        <f>[12]domlongtermissues!CS14</f>
        <v>0</v>
      </c>
      <c r="CU31" s="480"/>
      <c r="CV31" s="442"/>
      <c r="CW31" s="465"/>
      <c r="CX31" s="465"/>
      <c r="CY31" s="481">
        <f>[12]domlongtermissues!CX14</f>
        <v>0</v>
      </c>
      <c r="CZ31" s="480"/>
      <c r="DA31" s="442"/>
      <c r="DB31" s="465"/>
      <c r="DC31" s="465"/>
      <c r="DD31" s="481">
        <f>[12]domlongtermissues!DC14</f>
        <v>0</v>
      </c>
      <c r="DE31" s="480"/>
      <c r="DF31" s="442"/>
      <c r="DG31" s="465"/>
      <c r="DH31" s="465"/>
      <c r="DI31" s="481">
        <f>[12]domlongtermissues!DH14</f>
        <v>0</v>
      </c>
      <c r="DJ31" s="480"/>
      <c r="DK31" s="442"/>
      <c r="DL31" s="465"/>
      <c r="DM31" s="465"/>
      <c r="DN31" s="481">
        <f>[12]domlongtermissues!DM14</f>
        <v>0</v>
      </c>
      <c r="DO31" s="480"/>
      <c r="DP31" s="442"/>
      <c r="DQ31" s="465"/>
      <c r="DR31" s="465"/>
      <c r="DS31" s="481">
        <f>[12]domlongtermissues!DR14</f>
        <v>0</v>
      </c>
      <c r="DT31" s="480"/>
      <c r="DU31" s="442"/>
      <c r="DV31" s="465"/>
      <c r="DW31" s="465"/>
      <c r="DX31" s="481">
        <f>[12]domlongtermissues!DW14</f>
        <v>0</v>
      </c>
      <c r="DY31" s="480"/>
      <c r="DZ31" s="442"/>
      <c r="EA31" s="465"/>
      <c r="EB31" s="465"/>
      <c r="EC31" s="481">
        <f>[12]domlongtermissues!EB14</f>
        <v>0</v>
      </c>
      <c r="ED31" s="480"/>
      <c r="EE31" s="442"/>
      <c r="EF31" s="465"/>
      <c r="EG31" s="465"/>
      <c r="EH31" s="481">
        <f>[12]domlongtermissues!EG14</f>
        <v>0</v>
      </c>
      <c r="EI31" s="480"/>
      <c r="EJ31" s="442"/>
      <c r="EK31" s="465"/>
      <c r="EL31" s="465"/>
      <c r="EM31" s="481">
        <f>[12]domlongtermissues!EL14</f>
        <v>14152656</v>
      </c>
      <c r="EN31" s="480"/>
      <c r="EO31" s="442"/>
      <c r="EP31" s="455"/>
      <c r="ES31" s="472"/>
      <c r="ET31" s="472">
        <f t="shared" si="0"/>
        <v>0</v>
      </c>
    </row>
    <row r="32" spans="1:150" x14ac:dyDescent="0.2">
      <c r="A32" s="442"/>
      <c r="B32" s="442"/>
      <c r="C32" s="455" t="s">
        <v>308</v>
      </c>
      <c r="D32" s="442"/>
      <c r="E32" s="497" t="s">
        <v>301</v>
      </c>
      <c r="F32" s="498"/>
      <c r="G32" s="498"/>
      <c r="H32" s="482">
        <f>-[12]domlongtermissues!G217</f>
        <v>0</v>
      </c>
      <c r="I32" s="480"/>
      <c r="J32" s="442"/>
      <c r="K32" s="465"/>
      <c r="L32" s="465"/>
      <c r="M32" s="482">
        <f>-[12]domlongtermissues!L217</f>
        <v>0</v>
      </c>
      <c r="N32" s="480"/>
      <c r="O32" s="442"/>
      <c r="P32" s="465"/>
      <c r="Q32" s="465"/>
      <c r="R32" s="482">
        <f>-[12]domlongtermissues!Q217</f>
        <v>0</v>
      </c>
      <c r="S32" s="480"/>
      <c r="T32" s="442"/>
      <c r="U32" s="465"/>
      <c r="V32" s="465"/>
      <c r="W32" s="482">
        <f>-[12]domlongtermissues!V217</f>
        <v>0</v>
      </c>
      <c r="X32" s="480"/>
      <c r="Y32" s="442"/>
      <c r="Z32" s="465"/>
      <c r="AA32" s="465"/>
      <c r="AB32" s="482">
        <f>-[12]domlongtermissues!AA217</f>
        <v>0</v>
      </c>
      <c r="AC32" s="480"/>
      <c r="AD32" s="442"/>
      <c r="AE32" s="465"/>
      <c r="AF32" s="465"/>
      <c r="AG32" s="482">
        <f>-[12]domlongtermissues!AF217</f>
        <v>0</v>
      </c>
      <c r="AH32" s="480"/>
      <c r="AI32" s="442"/>
      <c r="AJ32" s="465"/>
      <c r="AK32" s="465"/>
      <c r="AL32" s="482">
        <f>-[12]domlongtermissues!AK217</f>
        <v>0</v>
      </c>
      <c r="AM32" s="480"/>
      <c r="AN32" s="442"/>
      <c r="AO32" s="465"/>
      <c r="AP32" s="465"/>
      <c r="AQ32" s="482">
        <f>-[12]domlongtermissues!AP217</f>
        <v>0</v>
      </c>
      <c r="AR32" s="480"/>
      <c r="AS32" s="442"/>
      <c r="AT32" s="465"/>
      <c r="AU32" s="465"/>
      <c r="AV32" s="482">
        <f>-[12]domlongtermissues!AU217</f>
        <v>0</v>
      </c>
      <c r="AW32" s="480"/>
      <c r="AX32" s="442"/>
      <c r="AY32" s="465"/>
      <c r="AZ32" s="465"/>
      <c r="BA32" s="482">
        <f>-[12]domlongtermissues!AZ217</f>
        <v>0</v>
      </c>
      <c r="BB32" s="480"/>
      <c r="BC32" s="442"/>
      <c r="BD32" s="465"/>
      <c r="BE32" s="465"/>
      <c r="BF32" s="482">
        <f>-[12]domlongtermissues!BE217</f>
        <v>0</v>
      </c>
      <c r="BG32" s="480"/>
      <c r="BH32" s="442"/>
      <c r="BI32" s="465"/>
      <c r="BJ32" s="465"/>
      <c r="BK32" s="482">
        <f>-[12]domlongtermissues!BJ217</f>
        <v>0</v>
      </c>
      <c r="BL32" s="480"/>
      <c r="BM32" s="442"/>
      <c r="BN32" s="465"/>
      <c r="BO32" s="465"/>
      <c r="BP32" s="482">
        <f>-[12]domlongtermissues!BO217</f>
        <v>0</v>
      </c>
      <c r="BQ32" s="480"/>
      <c r="BR32" s="442"/>
      <c r="BS32" s="465"/>
      <c r="BT32" s="465"/>
      <c r="BU32" s="482">
        <f>-[12]domlongtermissues!BT217</f>
        <v>0</v>
      </c>
      <c r="BV32" s="480"/>
      <c r="BW32" s="442"/>
      <c r="BX32" s="465"/>
      <c r="BY32" s="465"/>
      <c r="BZ32" s="483">
        <f>-[12]domlongtermissues!BY217</f>
        <v>-1646946</v>
      </c>
      <c r="CA32" s="480"/>
      <c r="CB32" s="442"/>
      <c r="CC32" s="465"/>
      <c r="CD32" s="465"/>
      <c r="CE32" s="482">
        <f>-[12]domlongtermissues!CD217</f>
        <v>0</v>
      </c>
      <c r="CF32" s="480"/>
      <c r="CG32" s="442"/>
      <c r="CH32" s="465"/>
      <c r="CI32" s="465"/>
      <c r="CJ32" s="482">
        <f>-[12]domlongtermissues!CI217</f>
        <v>-1646946</v>
      </c>
      <c r="CK32" s="480"/>
      <c r="CL32" s="442"/>
      <c r="CM32" s="465"/>
      <c r="CN32" s="465"/>
      <c r="CO32" s="482">
        <f>-[12]domlongtermissues!CN217</f>
        <v>0</v>
      </c>
      <c r="CP32" s="480"/>
      <c r="CQ32" s="442"/>
      <c r="CR32" s="465"/>
      <c r="CS32" s="465"/>
      <c r="CT32" s="482">
        <f>-[12]domlongtermissues!CS217</f>
        <v>0</v>
      </c>
      <c r="CU32" s="480"/>
      <c r="CV32" s="442"/>
      <c r="CW32" s="465"/>
      <c r="CX32" s="465"/>
      <c r="CY32" s="482">
        <f>-[12]domlongtermissues!CX217</f>
        <v>0</v>
      </c>
      <c r="CZ32" s="480"/>
      <c r="DA32" s="442"/>
      <c r="DB32" s="465"/>
      <c r="DC32" s="465"/>
      <c r="DD32" s="482">
        <f>-[12]domlongtermissues!DC217</f>
        <v>0</v>
      </c>
      <c r="DE32" s="480"/>
      <c r="DF32" s="442"/>
      <c r="DG32" s="465"/>
      <c r="DH32" s="465"/>
      <c r="DI32" s="482">
        <f>-[12]domlongtermissues!DH217</f>
        <v>0</v>
      </c>
      <c r="DJ32" s="480"/>
      <c r="DK32" s="442"/>
      <c r="DL32" s="465"/>
      <c r="DM32" s="465"/>
      <c r="DN32" s="482">
        <f>-[12]domlongtermissues!DM217</f>
        <v>0</v>
      </c>
      <c r="DO32" s="480"/>
      <c r="DP32" s="442"/>
      <c r="DQ32" s="465"/>
      <c r="DR32" s="465"/>
      <c r="DS32" s="482">
        <f>-[12]domlongtermissues!DR217</f>
        <v>0</v>
      </c>
      <c r="DT32" s="480"/>
      <c r="DU32" s="442"/>
      <c r="DV32" s="465"/>
      <c r="DW32" s="465"/>
      <c r="DX32" s="482">
        <f>-[12]domlongtermissues!DW217</f>
        <v>0</v>
      </c>
      <c r="DY32" s="480"/>
      <c r="DZ32" s="442"/>
      <c r="EA32" s="465"/>
      <c r="EB32" s="465"/>
      <c r="EC32" s="482">
        <f>-[12]domlongtermissues!EB217</f>
        <v>0</v>
      </c>
      <c r="ED32" s="480"/>
      <c r="EE32" s="442"/>
      <c r="EF32" s="465"/>
      <c r="EG32" s="465"/>
      <c r="EH32" s="482">
        <f>-[12]domlongtermissues!EG217</f>
        <v>0</v>
      </c>
      <c r="EI32" s="480"/>
      <c r="EJ32" s="442"/>
      <c r="EK32" s="465"/>
      <c r="EL32" s="465"/>
      <c r="EM32" s="482">
        <f>-[12]domlongtermissues!EL217</f>
        <v>-1646946</v>
      </c>
      <c r="EN32" s="480"/>
      <c r="EO32" s="442"/>
      <c r="EP32" s="455"/>
      <c r="ES32" s="472"/>
      <c r="ET32" s="472">
        <f t="shared" si="0"/>
        <v>0</v>
      </c>
    </row>
    <row r="33" spans="1:150" x14ac:dyDescent="0.2">
      <c r="A33" s="442"/>
      <c r="B33" s="442"/>
      <c r="C33" s="455" t="s">
        <v>309</v>
      </c>
      <c r="D33" s="442"/>
      <c r="E33" s="497" t="s">
        <v>304</v>
      </c>
      <c r="F33" s="498"/>
      <c r="G33" s="498"/>
      <c r="H33" s="485">
        <f>-[12]domredemp!G14+[12]domredemp!G32</f>
        <v>0</v>
      </c>
      <c r="I33" s="480"/>
      <c r="J33" s="442"/>
      <c r="K33" s="465"/>
      <c r="L33" s="465"/>
      <c r="M33" s="485">
        <f>-[12]domredemp!L14+[12]domredemp!L32</f>
        <v>0</v>
      </c>
      <c r="N33" s="480"/>
      <c r="O33" s="442"/>
      <c r="P33" s="465"/>
      <c r="Q33" s="465"/>
      <c r="R33" s="485">
        <f>-[12]domredemp!Q14+[12]domredemp!Q32</f>
        <v>0</v>
      </c>
      <c r="S33" s="480"/>
      <c r="T33" s="442"/>
      <c r="U33" s="465"/>
      <c r="V33" s="465"/>
      <c r="W33" s="485">
        <f>-[12]domredemp!V14+[12]domredemp!V32</f>
        <v>0</v>
      </c>
      <c r="X33" s="480"/>
      <c r="Y33" s="442"/>
      <c r="Z33" s="465"/>
      <c r="AA33" s="465"/>
      <c r="AB33" s="485">
        <f>-[12]domredemp!AA14+[12]domredemp!AA32</f>
        <v>0</v>
      </c>
      <c r="AC33" s="480"/>
      <c r="AD33" s="442"/>
      <c r="AE33" s="465"/>
      <c r="AF33" s="465"/>
      <c r="AG33" s="485">
        <f>-[12]domredemp!AF14+[12]domredemp!AF32</f>
        <v>0</v>
      </c>
      <c r="AH33" s="480"/>
      <c r="AI33" s="442"/>
      <c r="AJ33" s="465"/>
      <c r="AK33" s="465"/>
      <c r="AL33" s="485">
        <f>-[12]domredemp!AK14+[12]domredemp!AK32</f>
        <v>0</v>
      </c>
      <c r="AM33" s="480"/>
      <c r="AN33" s="442"/>
      <c r="AO33" s="465"/>
      <c r="AP33" s="465"/>
      <c r="AQ33" s="485">
        <f>-[12]domredemp!AP14+[12]domredemp!AP32</f>
        <v>0</v>
      </c>
      <c r="AR33" s="480"/>
      <c r="AS33" s="442"/>
      <c r="AT33" s="465"/>
      <c r="AU33" s="465"/>
      <c r="AV33" s="485">
        <f>-[12]domredemp!AU14+[12]domredemp!AU32</f>
        <v>0</v>
      </c>
      <c r="AW33" s="480"/>
      <c r="AX33" s="442"/>
      <c r="AY33" s="465"/>
      <c r="AZ33" s="465"/>
      <c r="BA33" s="485">
        <f>-[12]domredemp!AZ14+[12]domredemp!AZ32</f>
        <v>0</v>
      </c>
      <c r="BB33" s="480"/>
      <c r="BC33" s="442"/>
      <c r="BD33" s="465"/>
      <c r="BE33" s="465"/>
      <c r="BF33" s="485">
        <f>-[12]domredemp!BE14+[12]domredemp!BE32</f>
        <v>0</v>
      </c>
      <c r="BG33" s="480"/>
      <c r="BH33" s="442"/>
      <c r="BI33" s="465"/>
      <c r="BJ33" s="465"/>
      <c r="BK33" s="485">
        <f>-[12]domredemp!BJ14+[12]domredemp!BJ32</f>
        <v>0</v>
      </c>
      <c r="BL33" s="480"/>
      <c r="BM33" s="442"/>
      <c r="BN33" s="465"/>
      <c r="BO33" s="465"/>
      <c r="BP33" s="485">
        <f>-[12]domredemp!BO14+[12]domredemp!BO32</f>
        <v>0</v>
      </c>
      <c r="BQ33" s="480"/>
      <c r="BR33" s="442"/>
      <c r="BS33" s="465"/>
      <c r="BT33" s="465"/>
      <c r="BU33" s="485">
        <f>-[12]domredemp!BT14+[12]domredemp!BT32</f>
        <v>0</v>
      </c>
      <c r="BV33" s="480"/>
      <c r="BW33" s="442"/>
      <c r="BX33" s="465"/>
      <c r="BY33" s="465"/>
      <c r="BZ33" s="484">
        <f>-[12]domredemp!BY14+[12]domredemp!BY32</f>
        <v>-12795000</v>
      </c>
      <c r="CA33" s="480"/>
      <c r="CB33" s="442"/>
      <c r="CC33" s="465"/>
      <c r="CD33" s="465"/>
      <c r="CE33" s="485">
        <f>-[12]domredemp!CD14+[12]domredemp!CD32</f>
        <v>0</v>
      </c>
      <c r="CF33" s="480"/>
      <c r="CG33" s="442"/>
      <c r="CH33" s="465"/>
      <c r="CI33" s="465"/>
      <c r="CJ33" s="485">
        <f>-[12]domredemp!CI14+[12]domredemp!CI32</f>
        <v>-12795000</v>
      </c>
      <c r="CK33" s="480"/>
      <c r="CL33" s="442"/>
      <c r="CM33" s="465"/>
      <c r="CN33" s="465"/>
      <c r="CO33" s="485">
        <f>-[12]domredemp!CN14+[12]domredemp!CN32</f>
        <v>0</v>
      </c>
      <c r="CP33" s="480"/>
      <c r="CQ33" s="442"/>
      <c r="CR33" s="465"/>
      <c r="CS33" s="465"/>
      <c r="CT33" s="485">
        <f>-[12]domredemp!CS14+[12]domredemp!CS32</f>
        <v>0</v>
      </c>
      <c r="CU33" s="480"/>
      <c r="CV33" s="442"/>
      <c r="CW33" s="465"/>
      <c r="CX33" s="465"/>
      <c r="CY33" s="485">
        <f>-[12]domredemp!CX14+[12]domredemp!CX32</f>
        <v>0</v>
      </c>
      <c r="CZ33" s="480"/>
      <c r="DA33" s="442"/>
      <c r="DB33" s="465"/>
      <c r="DC33" s="465"/>
      <c r="DD33" s="485">
        <f>-[12]domredemp!DC14+[12]domredemp!DC32</f>
        <v>0</v>
      </c>
      <c r="DE33" s="480"/>
      <c r="DF33" s="442"/>
      <c r="DG33" s="465"/>
      <c r="DH33" s="465"/>
      <c r="DI33" s="485">
        <f>-[12]domredemp!DH14+[12]domredemp!DH32</f>
        <v>0</v>
      </c>
      <c r="DJ33" s="480"/>
      <c r="DK33" s="442"/>
      <c r="DL33" s="465"/>
      <c r="DM33" s="465"/>
      <c r="DN33" s="485">
        <f>-[12]domredemp!DM14+[12]domredemp!DM32</f>
        <v>0</v>
      </c>
      <c r="DO33" s="480"/>
      <c r="DP33" s="442"/>
      <c r="DQ33" s="465"/>
      <c r="DR33" s="465"/>
      <c r="DS33" s="485">
        <f>-[12]domredemp!DR14+[12]domredemp!DR32</f>
        <v>0</v>
      </c>
      <c r="DT33" s="480"/>
      <c r="DU33" s="442"/>
      <c r="DV33" s="465"/>
      <c r="DW33" s="465"/>
      <c r="DX33" s="485">
        <f>-[12]domredemp!DW14+[12]domredemp!DW32</f>
        <v>0</v>
      </c>
      <c r="DY33" s="480"/>
      <c r="DZ33" s="442"/>
      <c r="EA33" s="465"/>
      <c r="EB33" s="465"/>
      <c r="EC33" s="485">
        <f>-[12]domredemp!EB14+[12]domredemp!EB32</f>
        <v>0</v>
      </c>
      <c r="ED33" s="480"/>
      <c r="EE33" s="442"/>
      <c r="EF33" s="465"/>
      <c r="EG33" s="465"/>
      <c r="EH33" s="485">
        <f>-[12]domredemp!EG14+[12]domredemp!EG32</f>
        <v>0</v>
      </c>
      <c r="EI33" s="480"/>
      <c r="EJ33" s="442"/>
      <c r="EK33" s="465"/>
      <c r="EL33" s="465"/>
      <c r="EM33" s="485">
        <f>-[12]domredemp!EL14+[12]domredemp!EL32</f>
        <v>-12795000</v>
      </c>
      <c r="EN33" s="480"/>
      <c r="EO33" s="442"/>
      <c r="EP33" s="455"/>
      <c r="ES33" s="472"/>
      <c r="ET33" s="472">
        <f t="shared" si="0"/>
        <v>0</v>
      </c>
    </row>
    <row r="34" spans="1:150" x14ac:dyDescent="0.2">
      <c r="A34" s="442"/>
      <c r="B34" s="442"/>
      <c r="C34" s="455"/>
      <c r="D34" s="442"/>
      <c r="E34" s="497"/>
      <c r="F34" s="498"/>
      <c r="G34" s="498"/>
      <c r="H34" s="442"/>
      <c r="I34" s="480"/>
      <c r="J34" s="442"/>
      <c r="K34" s="465"/>
      <c r="L34" s="465"/>
      <c r="M34" s="442"/>
      <c r="N34" s="480"/>
      <c r="O34" s="442"/>
      <c r="P34" s="465"/>
      <c r="Q34" s="465"/>
      <c r="R34" s="442"/>
      <c r="S34" s="480"/>
      <c r="T34" s="442"/>
      <c r="U34" s="465"/>
      <c r="V34" s="465"/>
      <c r="W34" s="442"/>
      <c r="X34" s="480"/>
      <c r="Y34" s="442"/>
      <c r="Z34" s="465"/>
      <c r="AA34" s="465"/>
      <c r="AB34" s="442"/>
      <c r="AC34" s="480"/>
      <c r="AD34" s="442"/>
      <c r="AE34" s="465"/>
      <c r="AF34" s="465"/>
      <c r="AG34" s="442"/>
      <c r="AH34" s="480"/>
      <c r="AI34" s="442"/>
      <c r="AJ34" s="465"/>
      <c r="AK34" s="465"/>
      <c r="AL34" s="442"/>
      <c r="AM34" s="480"/>
      <c r="AN34" s="442"/>
      <c r="AO34" s="465"/>
      <c r="AP34" s="465"/>
      <c r="AQ34" s="442"/>
      <c r="AR34" s="480"/>
      <c r="AS34" s="442"/>
      <c r="AT34" s="465"/>
      <c r="AU34" s="465"/>
      <c r="AV34" s="442"/>
      <c r="AW34" s="480"/>
      <c r="AX34" s="442"/>
      <c r="AY34" s="465"/>
      <c r="AZ34" s="465"/>
      <c r="BA34" s="442"/>
      <c r="BB34" s="480"/>
      <c r="BC34" s="442"/>
      <c r="BD34" s="465"/>
      <c r="BE34" s="465"/>
      <c r="BF34" s="442"/>
      <c r="BG34" s="480"/>
      <c r="BH34" s="442"/>
      <c r="BI34" s="465"/>
      <c r="BJ34" s="465"/>
      <c r="BK34" s="442"/>
      <c r="BL34" s="480"/>
      <c r="BM34" s="442"/>
      <c r="BN34" s="465"/>
      <c r="BO34" s="465"/>
      <c r="BP34" s="442"/>
      <c r="BQ34" s="480"/>
      <c r="BR34" s="442"/>
      <c r="BS34" s="465"/>
      <c r="BT34" s="465"/>
      <c r="BU34" s="442"/>
      <c r="BV34" s="480"/>
      <c r="BW34" s="442"/>
      <c r="BX34" s="465"/>
      <c r="BY34" s="465"/>
      <c r="BZ34" s="486"/>
      <c r="CA34" s="480"/>
      <c r="CB34" s="442"/>
      <c r="CC34" s="465"/>
      <c r="CD34" s="465"/>
      <c r="CE34" s="442"/>
      <c r="CF34" s="480"/>
      <c r="CG34" s="442"/>
      <c r="CH34" s="465"/>
      <c r="CI34" s="465"/>
      <c r="CJ34" s="442"/>
      <c r="CK34" s="480"/>
      <c r="CL34" s="442"/>
      <c r="CM34" s="465"/>
      <c r="CN34" s="465"/>
      <c r="CO34" s="442"/>
      <c r="CP34" s="480"/>
      <c r="CQ34" s="442"/>
      <c r="CR34" s="465"/>
      <c r="CS34" s="465"/>
      <c r="CT34" s="442"/>
      <c r="CU34" s="480"/>
      <c r="CV34" s="442"/>
      <c r="CW34" s="465"/>
      <c r="CX34" s="465"/>
      <c r="CY34" s="442"/>
      <c r="CZ34" s="480"/>
      <c r="DA34" s="442"/>
      <c r="DB34" s="465"/>
      <c r="DC34" s="465"/>
      <c r="DD34" s="442"/>
      <c r="DE34" s="480"/>
      <c r="DF34" s="442"/>
      <c r="DG34" s="465"/>
      <c r="DH34" s="465"/>
      <c r="DI34" s="442"/>
      <c r="DJ34" s="480"/>
      <c r="DK34" s="442"/>
      <c r="DL34" s="465"/>
      <c r="DM34" s="465"/>
      <c r="DN34" s="442"/>
      <c r="DO34" s="480"/>
      <c r="DP34" s="442"/>
      <c r="DQ34" s="465"/>
      <c r="DR34" s="465"/>
      <c r="DS34" s="442"/>
      <c r="DT34" s="480"/>
      <c r="DU34" s="442"/>
      <c r="DV34" s="465"/>
      <c r="DW34" s="465"/>
      <c r="DX34" s="442"/>
      <c r="DY34" s="480"/>
      <c r="DZ34" s="442"/>
      <c r="EA34" s="465"/>
      <c r="EB34" s="465"/>
      <c r="EC34" s="442"/>
      <c r="ED34" s="480"/>
      <c r="EE34" s="442"/>
      <c r="EF34" s="465"/>
      <c r="EG34" s="465"/>
      <c r="EH34" s="442"/>
      <c r="EI34" s="480"/>
      <c r="EJ34" s="442"/>
      <c r="EK34" s="465"/>
      <c r="EL34" s="465"/>
      <c r="EM34" s="442"/>
      <c r="EN34" s="480"/>
      <c r="EO34" s="442"/>
      <c r="EP34" s="455"/>
      <c r="ES34" s="472"/>
      <c r="ET34" s="472">
        <f t="shared" si="0"/>
        <v>0</v>
      </c>
    </row>
    <row r="35" spans="1:150" x14ac:dyDescent="0.2">
      <c r="A35" s="442"/>
      <c r="B35" s="442"/>
      <c r="C35" s="455" t="s">
        <v>310</v>
      </c>
      <c r="D35" s="442"/>
      <c r="E35" s="499"/>
      <c r="F35" s="500"/>
      <c r="G35" s="500"/>
      <c r="H35" s="442">
        <f>SUM(H36:H37)</f>
        <v>0</v>
      </c>
      <c r="I35" s="480"/>
      <c r="J35" s="442"/>
      <c r="K35" s="465"/>
      <c r="L35" s="465"/>
      <c r="M35" s="442">
        <f>SUM(M36:M37)</f>
        <v>0</v>
      </c>
      <c r="N35" s="480"/>
      <c r="O35" s="442"/>
      <c r="P35" s="465"/>
      <c r="Q35" s="465"/>
      <c r="R35" s="442">
        <f>SUM(R36:R37)</f>
        <v>0</v>
      </c>
      <c r="S35" s="480"/>
      <c r="T35" s="442"/>
      <c r="U35" s="465"/>
      <c r="V35" s="465"/>
      <c r="W35" s="442">
        <f>SUM(W36:W37)</f>
        <v>0</v>
      </c>
      <c r="X35" s="480"/>
      <c r="Y35" s="442"/>
      <c r="Z35" s="465"/>
      <c r="AA35" s="465"/>
      <c r="AB35" s="442">
        <f>SUM(AB36:AB37)</f>
        <v>0</v>
      </c>
      <c r="AC35" s="480"/>
      <c r="AD35" s="442"/>
      <c r="AE35" s="465"/>
      <c r="AF35" s="465"/>
      <c r="AG35" s="442">
        <f>SUM(AG36:AG37)</f>
        <v>0</v>
      </c>
      <c r="AH35" s="480"/>
      <c r="AI35" s="442"/>
      <c r="AJ35" s="465"/>
      <c r="AK35" s="465"/>
      <c r="AL35" s="442">
        <f>SUM(AL36:AL37)</f>
        <v>0</v>
      </c>
      <c r="AM35" s="480"/>
      <c r="AN35" s="442"/>
      <c r="AO35" s="465"/>
      <c r="AP35" s="465"/>
      <c r="AQ35" s="442">
        <f>SUM(AQ36:AQ37)</f>
        <v>0</v>
      </c>
      <c r="AR35" s="480"/>
      <c r="AS35" s="442"/>
      <c r="AT35" s="465"/>
      <c r="AU35" s="465"/>
      <c r="AV35" s="442">
        <f>SUM(AV36:AV37)</f>
        <v>0</v>
      </c>
      <c r="AW35" s="480"/>
      <c r="AX35" s="442"/>
      <c r="AY35" s="465"/>
      <c r="AZ35" s="465"/>
      <c r="BA35" s="442">
        <f>SUM(BA36:BA37)</f>
        <v>0</v>
      </c>
      <c r="BB35" s="480"/>
      <c r="BC35" s="442"/>
      <c r="BD35" s="465"/>
      <c r="BE35" s="465"/>
      <c r="BF35" s="442">
        <f>SUM(BF36:BF37)</f>
        <v>0</v>
      </c>
      <c r="BG35" s="480"/>
      <c r="BH35" s="442"/>
      <c r="BI35" s="465"/>
      <c r="BJ35" s="465"/>
      <c r="BK35" s="442">
        <f>SUM(BK36:BK37)</f>
        <v>0</v>
      </c>
      <c r="BL35" s="480"/>
      <c r="BM35" s="442"/>
      <c r="BN35" s="465"/>
      <c r="BO35" s="465"/>
      <c r="BP35" s="442">
        <f>SUM(BP36:BP37)</f>
        <v>0</v>
      </c>
      <c r="BQ35" s="480"/>
      <c r="BR35" s="442"/>
      <c r="BS35" s="465"/>
      <c r="BT35" s="465"/>
      <c r="BU35" s="442">
        <f>SUM(BU36:BU37)</f>
        <v>0</v>
      </c>
      <c r="BV35" s="480"/>
      <c r="BW35" s="442"/>
      <c r="BX35" s="465"/>
      <c r="BY35" s="465"/>
      <c r="BZ35" s="486">
        <f>SUM(BZ36:BZ37)</f>
        <v>0</v>
      </c>
      <c r="CA35" s="480"/>
      <c r="CB35" s="442"/>
      <c r="CC35" s="465"/>
      <c r="CD35" s="465"/>
      <c r="CE35" s="442">
        <f>SUM(CE36:CE37)</f>
        <v>0</v>
      </c>
      <c r="CF35" s="480"/>
      <c r="CG35" s="442"/>
      <c r="CH35" s="465"/>
      <c r="CI35" s="465"/>
      <c r="CJ35" s="442">
        <f>SUM(CJ36:CJ37)</f>
        <v>0</v>
      </c>
      <c r="CK35" s="480"/>
      <c r="CL35" s="442"/>
      <c r="CM35" s="465"/>
      <c r="CN35" s="465"/>
      <c r="CO35" s="442">
        <f>SUM(CO36:CO37)</f>
        <v>0</v>
      </c>
      <c r="CP35" s="480"/>
      <c r="CQ35" s="442"/>
      <c r="CR35" s="465"/>
      <c r="CS35" s="465"/>
      <c r="CT35" s="442">
        <f>SUM(CT36:CT37)</f>
        <v>0</v>
      </c>
      <c r="CU35" s="480"/>
      <c r="CV35" s="442"/>
      <c r="CW35" s="465"/>
      <c r="CX35" s="465"/>
      <c r="CY35" s="442">
        <f>SUM(CY36:CY37)</f>
        <v>0</v>
      </c>
      <c r="CZ35" s="480"/>
      <c r="DA35" s="442"/>
      <c r="DB35" s="465"/>
      <c r="DC35" s="465"/>
      <c r="DD35" s="442">
        <f>SUM(DD36:DD37)</f>
        <v>0</v>
      </c>
      <c r="DE35" s="480"/>
      <c r="DF35" s="442"/>
      <c r="DG35" s="465"/>
      <c r="DH35" s="465"/>
      <c r="DI35" s="442">
        <f>SUM(DI36:DI37)</f>
        <v>0</v>
      </c>
      <c r="DJ35" s="480"/>
      <c r="DK35" s="442"/>
      <c r="DL35" s="465"/>
      <c r="DM35" s="465"/>
      <c r="DN35" s="442">
        <f>SUM(DN36:DN37)</f>
        <v>0</v>
      </c>
      <c r="DO35" s="480"/>
      <c r="DP35" s="442"/>
      <c r="DQ35" s="465"/>
      <c r="DR35" s="465"/>
      <c r="DS35" s="442">
        <f>SUM(DS36:DS37)</f>
        <v>0</v>
      </c>
      <c r="DT35" s="480"/>
      <c r="DU35" s="442"/>
      <c r="DV35" s="465"/>
      <c r="DW35" s="465"/>
      <c r="DX35" s="442">
        <f>SUM(DX36:DX37)</f>
        <v>0</v>
      </c>
      <c r="DY35" s="480"/>
      <c r="DZ35" s="442"/>
      <c r="EA35" s="465"/>
      <c r="EB35" s="465"/>
      <c r="EC35" s="442">
        <f>SUM(EC36:EC37)</f>
        <v>0</v>
      </c>
      <c r="ED35" s="480"/>
      <c r="EE35" s="442"/>
      <c r="EF35" s="465"/>
      <c r="EG35" s="465"/>
      <c r="EH35" s="442">
        <f>SUM(EH36:EH37)</f>
        <v>0</v>
      </c>
      <c r="EI35" s="480"/>
      <c r="EJ35" s="442"/>
      <c r="EK35" s="465"/>
      <c r="EL35" s="465"/>
      <c r="EM35" s="442">
        <f>SUM(EM36:EM37)</f>
        <v>0</v>
      </c>
      <c r="EN35" s="480"/>
      <c r="EO35" s="442"/>
      <c r="EP35" s="455"/>
      <c r="ES35" s="472"/>
      <c r="ET35" s="472">
        <f t="shared" si="0"/>
        <v>0</v>
      </c>
    </row>
    <row r="36" spans="1:150" x14ac:dyDescent="0.2">
      <c r="A36" s="442"/>
      <c r="B36" s="442"/>
      <c r="C36" s="455" t="s">
        <v>311</v>
      </c>
      <c r="D36" s="442"/>
      <c r="E36" s="497" t="s">
        <v>301</v>
      </c>
      <c r="F36" s="498"/>
      <c r="G36" s="498"/>
      <c r="H36" s="481">
        <f>[12]domlongtermissues!G15</f>
        <v>0</v>
      </c>
      <c r="I36" s="480"/>
      <c r="J36" s="442"/>
      <c r="K36" s="465"/>
      <c r="L36" s="465"/>
      <c r="M36" s="481">
        <f>[12]domlongtermissues!L15</f>
        <v>487336</v>
      </c>
      <c r="N36" s="480"/>
      <c r="O36" s="442"/>
      <c r="P36" s="465"/>
      <c r="Q36" s="465"/>
      <c r="R36" s="481">
        <f>[12]domlongtermissues!Q15</f>
        <v>29682</v>
      </c>
      <c r="S36" s="480"/>
      <c r="T36" s="442"/>
      <c r="U36" s="465"/>
      <c r="V36" s="465"/>
      <c r="W36" s="481">
        <f>[12]domlongtermissues!V15</f>
        <v>0</v>
      </c>
      <c r="X36" s="480"/>
      <c r="Y36" s="442"/>
      <c r="Z36" s="465"/>
      <c r="AA36" s="465"/>
      <c r="AB36" s="481">
        <f>[12]domlongtermissues!AA15</f>
        <v>0</v>
      </c>
      <c r="AC36" s="480"/>
      <c r="AD36" s="442"/>
      <c r="AE36" s="465"/>
      <c r="AF36" s="465"/>
      <c r="AG36" s="481">
        <f>[12]domlongtermissues!AF15</f>
        <v>0</v>
      </c>
      <c r="AH36" s="480"/>
      <c r="AI36" s="442"/>
      <c r="AJ36" s="465"/>
      <c r="AK36" s="465"/>
      <c r="AL36" s="481">
        <f>[12]domlongtermissues!AK15</f>
        <v>0</v>
      </c>
      <c r="AM36" s="480"/>
      <c r="AN36" s="442"/>
      <c r="AO36" s="465"/>
      <c r="AP36" s="465"/>
      <c r="AQ36" s="481">
        <f>[12]domlongtermissues!AP15</f>
        <v>0</v>
      </c>
      <c r="AR36" s="480"/>
      <c r="AS36" s="442"/>
      <c r="AT36" s="465"/>
      <c r="AU36" s="465"/>
      <c r="AV36" s="481">
        <f>[12]domlongtermissues!AU15</f>
        <v>0</v>
      </c>
      <c r="AW36" s="480"/>
      <c r="AX36" s="442"/>
      <c r="AY36" s="465"/>
      <c r="AZ36" s="465"/>
      <c r="BA36" s="481">
        <f>[12]domlongtermissues!AZ15</f>
        <v>0</v>
      </c>
      <c r="BB36" s="480"/>
      <c r="BC36" s="442"/>
      <c r="BD36" s="465"/>
      <c r="BE36" s="465"/>
      <c r="BF36" s="481">
        <f>[12]domlongtermissues!BE15</f>
        <v>0</v>
      </c>
      <c r="BG36" s="480"/>
      <c r="BH36" s="442"/>
      <c r="BI36" s="465"/>
      <c r="BJ36" s="465"/>
      <c r="BK36" s="481">
        <f>[12]domlongtermissues!BJ15</f>
        <v>0</v>
      </c>
      <c r="BL36" s="480"/>
      <c r="BM36" s="442"/>
      <c r="BN36" s="465"/>
      <c r="BO36" s="465"/>
      <c r="BP36" s="481">
        <f>[12]domlongtermissues!BO15</f>
        <v>0</v>
      </c>
      <c r="BQ36" s="480"/>
      <c r="BR36" s="442"/>
      <c r="BS36" s="465"/>
      <c r="BT36" s="465"/>
      <c r="BU36" s="481">
        <f>[12]domlongtermissues!BT15</f>
        <v>517018</v>
      </c>
      <c r="BV36" s="480"/>
      <c r="BW36" s="442"/>
      <c r="BX36" s="465"/>
      <c r="BY36" s="465"/>
      <c r="BZ36" s="479">
        <f>+[12]domlongtermissues!BY15</f>
        <v>4361282</v>
      </c>
      <c r="CA36" s="480"/>
      <c r="CB36" s="442"/>
      <c r="CC36" s="465"/>
      <c r="CD36" s="465"/>
      <c r="CE36" s="481">
        <f>[12]domlongtermissues!CD15</f>
        <v>3109689</v>
      </c>
      <c r="CF36" s="480"/>
      <c r="CG36" s="442"/>
      <c r="CH36" s="465"/>
      <c r="CI36" s="465"/>
      <c r="CJ36" s="481">
        <f>[12]domlongtermissues!CI15</f>
        <v>0</v>
      </c>
      <c r="CK36" s="480"/>
      <c r="CL36" s="442"/>
      <c r="CM36" s="465"/>
      <c r="CN36" s="465"/>
      <c r="CO36" s="481">
        <f>[12]domlongtermissues!CN15</f>
        <v>0</v>
      </c>
      <c r="CP36" s="480"/>
      <c r="CQ36" s="442"/>
      <c r="CR36" s="465"/>
      <c r="CS36" s="465"/>
      <c r="CT36" s="481">
        <f>[12]domlongtermissues!CS15</f>
        <v>0</v>
      </c>
      <c r="CU36" s="480"/>
      <c r="CV36" s="442"/>
      <c r="CW36" s="465"/>
      <c r="CX36" s="465"/>
      <c r="CY36" s="481">
        <f>[12]domlongtermissues!CX15</f>
        <v>289217</v>
      </c>
      <c r="CZ36" s="480"/>
      <c r="DA36" s="442"/>
      <c r="DB36" s="465"/>
      <c r="DC36" s="465"/>
      <c r="DD36" s="481">
        <f>[12]domlongtermissues!DC15</f>
        <v>235010</v>
      </c>
      <c r="DE36" s="480"/>
      <c r="DF36" s="442"/>
      <c r="DG36" s="465"/>
      <c r="DH36" s="465"/>
      <c r="DI36" s="481">
        <f>[12]domlongtermissues!DH15</f>
        <v>0</v>
      </c>
      <c r="DJ36" s="480"/>
      <c r="DK36" s="442"/>
      <c r="DL36" s="465"/>
      <c r="DM36" s="465"/>
      <c r="DN36" s="481">
        <f>[12]domlongtermissues!DM15</f>
        <v>64127</v>
      </c>
      <c r="DO36" s="480"/>
      <c r="DP36" s="442"/>
      <c r="DQ36" s="465"/>
      <c r="DR36" s="465"/>
      <c r="DS36" s="481">
        <f>[12]domlongtermissues!DR15</f>
        <v>0</v>
      </c>
      <c r="DT36" s="480"/>
      <c r="DU36" s="442"/>
      <c r="DV36" s="465"/>
      <c r="DW36" s="465"/>
      <c r="DX36" s="481">
        <f>[12]domlongtermissues!DW15</f>
        <v>0</v>
      </c>
      <c r="DY36" s="480"/>
      <c r="DZ36" s="442"/>
      <c r="EA36" s="465"/>
      <c r="EB36" s="465"/>
      <c r="EC36" s="481">
        <f>[12]domlongtermissues!EB15</f>
        <v>0</v>
      </c>
      <c r="ED36" s="480"/>
      <c r="EE36" s="442"/>
      <c r="EF36" s="465"/>
      <c r="EG36" s="465"/>
      <c r="EH36" s="481">
        <f>[12]domlongtermissues!EG15</f>
        <v>663239</v>
      </c>
      <c r="EI36" s="480"/>
      <c r="EJ36" s="442"/>
      <c r="EK36" s="465"/>
      <c r="EL36" s="465"/>
      <c r="EM36" s="481">
        <f>[12]domlongtermissues!EL15</f>
        <v>3109689</v>
      </c>
      <c r="EN36" s="480"/>
      <c r="EO36" s="442"/>
      <c r="EP36" s="455"/>
      <c r="ES36" s="472"/>
      <c r="ET36" s="472">
        <f t="shared" si="0"/>
        <v>-1251593</v>
      </c>
    </row>
    <row r="37" spans="1:150" x14ac:dyDescent="0.2">
      <c r="A37" s="442"/>
      <c r="B37" s="442"/>
      <c r="C37" s="455" t="s">
        <v>312</v>
      </c>
      <c r="D37" s="442"/>
      <c r="E37" s="497" t="s">
        <v>304</v>
      </c>
      <c r="F37" s="498"/>
      <c r="G37" s="498"/>
      <c r="H37" s="485">
        <f>-[12]domredemp!G15</f>
        <v>0</v>
      </c>
      <c r="I37" s="480"/>
      <c r="J37" s="442"/>
      <c r="K37" s="465"/>
      <c r="L37" s="465"/>
      <c r="M37" s="485">
        <f>-[12]domredemp!L15</f>
        <v>-487336</v>
      </c>
      <c r="N37" s="480"/>
      <c r="O37" s="442"/>
      <c r="P37" s="465"/>
      <c r="Q37" s="465"/>
      <c r="R37" s="485">
        <f>-[12]domredemp!Q15</f>
        <v>-29682</v>
      </c>
      <c r="S37" s="480"/>
      <c r="T37" s="442"/>
      <c r="U37" s="465"/>
      <c r="V37" s="465"/>
      <c r="W37" s="485">
        <f>-[12]domredemp!V15</f>
        <v>0</v>
      </c>
      <c r="X37" s="480"/>
      <c r="Y37" s="442"/>
      <c r="Z37" s="465"/>
      <c r="AA37" s="465"/>
      <c r="AB37" s="485">
        <f>-[12]domredemp!AA15</f>
        <v>0</v>
      </c>
      <c r="AC37" s="480"/>
      <c r="AD37" s="442"/>
      <c r="AE37" s="465"/>
      <c r="AF37" s="465"/>
      <c r="AG37" s="485">
        <f>-[12]domredemp!AF15</f>
        <v>0</v>
      </c>
      <c r="AH37" s="480"/>
      <c r="AI37" s="442"/>
      <c r="AJ37" s="465"/>
      <c r="AK37" s="465"/>
      <c r="AL37" s="485">
        <f>-[12]domredemp!AK15</f>
        <v>0</v>
      </c>
      <c r="AM37" s="480"/>
      <c r="AN37" s="442"/>
      <c r="AO37" s="465"/>
      <c r="AP37" s="465"/>
      <c r="AQ37" s="485">
        <f>-[12]domredemp!AP15</f>
        <v>0</v>
      </c>
      <c r="AR37" s="480"/>
      <c r="AS37" s="442"/>
      <c r="AT37" s="465"/>
      <c r="AU37" s="465"/>
      <c r="AV37" s="485">
        <f>-[12]domredemp!AU15</f>
        <v>0</v>
      </c>
      <c r="AW37" s="480"/>
      <c r="AX37" s="442"/>
      <c r="AY37" s="465"/>
      <c r="AZ37" s="465"/>
      <c r="BA37" s="485">
        <f>-[12]domredemp!AZ15</f>
        <v>0</v>
      </c>
      <c r="BB37" s="480"/>
      <c r="BC37" s="442"/>
      <c r="BD37" s="465"/>
      <c r="BE37" s="465"/>
      <c r="BF37" s="485">
        <f>-[12]domredemp!BE15</f>
        <v>0</v>
      </c>
      <c r="BG37" s="480"/>
      <c r="BH37" s="442"/>
      <c r="BI37" s="465"/>
      <c r="BJ37" s="465"/>
      <c r="BK37" s="485">
        <f>-[12]domredemp!BJ15</f>
        <v>0</v>
      </c>
      <c r="BL37" s="480"/>
      <c r="BM37" s="442"/>
      <c r="BN37" s="465"/>
      <c r="BO37" s="465"/>
      <c r="BP37" s="485">
        <f>-[12]domredemp!BO15</f>
        <v>0</v>
      </c>
      <c r="BQ37" s="480"/>
      <c r="BR37" s="442"/>
      <c r="BS37" s="465"/>
      <c r="BT37" s="465"/>
      <c r="BU37" s="485">
        <f>-[12]domredemp!BT15</f>
        <v>-517018</v>
      </c>
      <c r="BV37" s="480"/>
      <c r="BW37" s="442"/>
      <c r="BX37" s="465"/>
      <c r="BY37" s="465"/>
      <c r="BZ37" s="484">
        <f>-[12]domredemp!BY15</f>
        <v>-4361282</v>
      </c>
      <c r="CA37" s="480"/>
      <c r="CB37" s="442"/>
      <c r="CC37" s="465"/>
      <c r="CD37" s="465"/>
      <c r="CE37" s="485">
        <f>-[12]domredemp!CD15</f>
        <v>-3109689</v>
      </c>
      <c r="CF37" s="480"/>
      <c r="CG37" s="442"/>
      <c r="CH37" s="465"/>
      <c r="CI37" s="465"/>
      <c r="CJ37" s="485">
        <f>-[12]domredemp!CI15</f>
        <v>0</v>
      </c>
      <c r="CK37" s="480"/>
      <c r="CL37" s="442"/>
      <c r="CM37" s="465"/>
      <c r="CN37" s="465"/>
      <c r="CO37" s="485">
        <f>-[12]domredemp!CN15</f>
        <v>0</v>
      </c>
      <c r="CP37" s="480"/>
      <c r="CQ37" s="442"/>
      <c r="CR37" s="465"/>
      <c r="CS37" s="465"/>
      <c r="CT37" s="485">
        <f>-[12]domredemp!CS15</f>
        <v>0</v>
      </c>
      <c r="CU37" s="480"/>
      <c r="CV37" s="442"/>
      <c r="CW37" s="465"/>
      <c r="CX37" s="465"/>
      <c r="CY37" s="485">
        <f>-[12]domredemp!CX15</f>
        <v>-289217</v>
      </c>
      <c r="CZ37" s="480"/>
      <c r="DA37" s="442"/>
      <c r="DB37" s="465"/>
      <c r="DC37" s="465"/>
      <c r="DD37" s="485">
        <f>-[12]domredemp!DC15</f>
        <v>-235010</v>
      </c>
      <c r="DE37" s="480"/>
      <c r="DF37" s="442"/>
      <c r="DG37" s="465"/>
      <c r="DH37" s="465"/>
      <c r="DI37" s="485">
        <f>-[12]domredemp!DH15</f>
        <v>0</v>
      </c>
      <c r="DJ37" s="480"/>
      <c r="DK37" s="442"/>
      <c r="DL37" s="465"/>
      <c r="DM37" s="465"/>
      <c r="DN37" s="485">
        <f>-[12]domredemp!DM15</f>
        <v>-64127</v>
      </c>
      <c r="DO37" s="480"/>
      <c r="DP37" s="442"/>
      <c r="DQ37" s="465"/>
      <c r="DR37" s="465"/>
      <c r="DS37" s="485">
        <f>-[12]domredemp!DR15</f>
        <v>0</v>
      </c>
      <c r="DT37" s="480"/>
      <c r="DU37" s="442"/>
      <c r="DV37" s="465"/>
      <c r="DW37" s="465"/>
      <c r="DX37" s="485">
        <f>-[12]domredemp!DW15</f>
        <v>0</v>
      </c>
      <c r="DY37" s="480"/>
      <c r="DZ37" s="442"/>
      <c r="EA37" s="465"/>
      <c r="EB37" s="465"/>
      <c r="EC37" s="485">
        <f>-[12]domredemp!EB15</f>
        <v>0</v>
      </c>
      <c r="ED37" s="480"/>
      <c r="EE37" s="442"/>
      <c r="EF37" s="465"/>
      <c r="EG37" s="465"/>
      <c r="EH37" s="485">
        <f>-[12]domredemp!EG15</f>
        <v>-663239</v>
      </c>
      <c r="EI37" s="480"/>
      <c r="EJ37" s="442"/>
      <c r="EK37" s="465"/>
      <c r="EL37" s="465"/>
      <c r="EM37" s="485">
        <f>-[12]domredemp!EL15</f>
        <v>-3109689</v>
      </c>
      <c r="EN37" s="480"/>
      <c r="EO37" s="442"/>
      <c r="EP37" s="455"/>
      <c r="ES37" s="472"/>
      <c r="ET37" s="472">
        <f t="shared" si="0"/>
        <v>1251593</v>
      </c>
    </row>
    <row r="38" spans="1:150" ht="12.75" hidden="1" customHeight="1" x14ac:dyDescent="0.2">
      <c r="A38" s="442"/>
      <c r="B38" s="442"/>
      <c r="C38" s="455"/>
      <c r="D38" s="442"/>
      <c r="E38" s="497"/>
      <c r="F38" s="498"/>
      <c r="G38" s="498"/>
      <c r="H38" s="442"/>
      <c r="I38" s="480"/>
      <c r="J38" s="442"/>
      <c r="K38" s="465"/>
      <c r="L38" s="465"/>
      <c r="M38" s="442"/>
      <c r="N38" s="480"/>
      <c r="O38" s="442"/>
      <c r="P38" s="465"/>
      <c r="Q38" s="465"/>
      <c r="R38" s="442"/>
      <c r="S38" s="480"/>
      <c r="T38" s="442"/>
      <c r="U38" s="465"/>
      <c r="V38" s="465"/>
      <c r="W38" s="442"/>
      <c r="X38" s="480"/>
      <c r="Y38" s="442"/>
      <c r="Z38" s="465"/>
      <c r="AA38" s="465"/>
      <c r="AB38" s="442"/>
      <c r="AC38" s="480"/>
      <c r="AD38" s="442"/>
      <c r="AE38" s="465"/>
      <c r="AF38" s="465"/>
      <c r="AG38" s="442"/>
      <c r="AH38" s="480"/>
      <c r="AI38" s="442"/>
      <c r="AJ38" s="465"/>
      <c r="AK38" s="465"/>
      <c r="AL38" s="442"/>
      <c r="AM38" s="480"/>
      <c r="AN38" s="442"/>
      <c r="AO38" s="465"/>
      <c r="AP38" s="465"/>
      <c r="AQ38" s="442"/>
      <c r="AR38" s="480"/>
      <c r="AS38" s="442"/>
      <c r="AT38" s="465"/>
      <c r="AU38" s="465"/>
      <c r="AV38" s="442"/>
      <c r="AW38" s="480"/>
      <c r="AX38" s="442"/>
      <c r="AY38" s="465"/>
      <c r="AZ38" s="465"/>
      <c r="BA38" s="442"/>
      <c r="BB38" s="480"/>
      <c r="BC38" s="442"/>
      <c r="BD38" s="465"/>
      <c r="BE38" s="465"/>
      <c r="BF38" s="442"/>
      <c r="BG38" s="480"/>
      <c r="BH38" s="442"/>
      <c r="BI38" s="465"/>
      <c r="BJ38" s="465"/>
      <c r="BK38" s="442"/>
      <c r="BL38" s="480"/>
      <c r="BM38" s="442"/>
      <c r="BN38" s="465"/>
      <c r="BO38" s="465"/>
      <c r="BP38" s="442"/>
      <c r="BQ38" s="480"/>
      <c r="BR38" s="442"/>
      <c r="BS38" s="465"/>
      <c r="BT38" s="465"/>
      <c r="BU38" s="442"/>
      <c r="BV38" s="480"/>
      <c r="BW38" s="442"/>
      <c r="BX38" s="465"/>
      <c r="BY38" s="465"/>
      <c r="BZ38" s="486"/>
      <c r="CA38" s="480"/>
      <c r="CB38" s="442"/>
      <c r="CC38" s="465"/>
      <c r="CD38" s="465"/>
      <c r="CE38" s="442"/>
      <c r="CF38" s="480"/>
      <c r="CG38" s="442"/>
      <c r="CH38" s="465"/>
      <c r="CI38" s="465"/>
      <c r="CJ38" s="442"/>
      <c r="CK38" s="480"/>
      <c r="CL38" s="442"/>
      <c r="CM38" s="465"/>
      <c r="CN38" s="465"/>
      <c r="CO38" s="442"/>
      <c r="CP38" s="480"/>
      <c r="CQ38" s="442"/>
      <c r="CR38" s="465"/>
      <c r="CS38" s="465"/>
      <c r="CT38" s="442"/>
      <c r="CU38" s="480"/>
      <c r="CV38" s="442"/>
      <c r="CW38" s="465"/>
      <c r="CX38" s="465"/>
      <c r="CY38" s="442"/>
      <c r="CZ38" s="480"/>
      <c r="DA38" s="442"/>
      <c r="DB38" s="465"/>
      <c r="DC38" s="465"/>
      <c r="DD38" s="442"/>
      <c r="DE38" s="480"/>
      <c r="DF38" s="442"/>
      <c r="DG38" s="465"/>
      <c r="DH38" s="465"/>
      <c r="DI38" s="442"/>
      <c r="DJ38" s="480"/>
      <c r="DK38" s="442"/>
      <c r="DL38" s="465"/>
      <c r="DM38" s="465"/>
      <c r="DN38" s="442"/>
      <c r="DO38" s="480"/>
      <c r="DP38" s="442"/>
      <c r="DQ38" s="465"/>
      <c r="DR38" s="465"/>
      <c r="DS38" s="442"/>
      <c r="DT38" s="480"/>
      <c r="DU38" s="442"/>
      <c r="DV38" s="465"/>
      <c r="DW38" s="465"/>
      <c r="DX38" s="442"/>
      <c r="DY38" s="480"/>
      <c r="DZ38" s="442"/>
      <c r="EA38" s="465"/>
      <c r="EB38" s="465"/>
      <c r="EC38" s="442"/>
      <c r="ED38" s="480"/>
      <c r="EE38" s="442"/>
      <c r="EF38" s="465"/>
      <c r="EG38" s="465"/>
      <c r="EH38" s="442"/>
      <c r="EI38" s="480"/>
      <c r="EJ38" s="442"/>
      <c r="EK38" s="465"/>
      <c r="EL38" s="465"/>
      <c r="EM38" s="442"/>
      <c r="EN38" s="480"/>
      <c r="EO38" s="442"/>
      <c r="EP38" s="455"/>
      <c r="ES38" s="472"/>
      <c r="ET38" s="472">
        <f t="shared" si="0"/>
        <v>0</v>
      </c>
    </row>
    <row r="39" spans="1:150" ht="12.75" hidden="1" customHeight="1" x14ac:dyDescent="0.2">
      <c r="A39" s="442"/>
      <c r="B39" s="442"/>
      <c r="C39" s="455" t="s">
        <v>313</v>
      </c>
      <c r="D39" s="501" t="s">
        <v>87</v>
      </c>
      <c r="E39" s="499"/>
      <c r="F39" s="500"/>
      <c r="G39" s="500"/>
      <c r="H39" s="442">
        <v>0</v>
      </c>
      <c r="I39" s="480"/>
      <c r="J39" s="442"/>
      <c r="K39" s="465"/>
      <c r="L39" s="465"/>
      <c r="M39" s="442">
        <f>SUM(M40:M40)</f>
        <v>0</v>
      </c>
      <c r="N39" s="480"/>
      <c r="O39" s="442"/>
      <c r="P39" s="465"/>
      <c r="Q39" s="465"/>
      <c r="R39" s="442">
        <f>SUM(R40:R40)</f>
        <v>0</v>
      </c>
      <c r="S39" s="480"/>
      <c r="T39" s="442"/>
      <c r="U39" s="465"/>
      <c r="V39" s="465"/>
      <c r="W39" s="442">
        <f>SUM(W40:W40)</f>
        <v>0</v>
      </c>
      <c r="X39" s="480"/>
      <c r="Y39" s="442"/>
      <c r="Z39" s="465"/>
      <c r="AA39" s="465"/>
      <c r="AB39" s="442">
        <f>SUM(AB40:AB40)</f>
        <v>0</v>
      </c>
      <c r="AC39" s="480"/>
      <c r="AD39" s="442"/>
      <c r="AE39" s="465"/>
      <c r="AF39" s="465"/>
      <c r="AG39" s="442">
        <f>SUM(AG40:AG40)</f>
        <v>0</v>
      </c>
      <c r="AH39" s="480"/>
      <c r="AI39" s="442"/>
      <c r="AJ39" s="465"/>
      <c r="AK39" s="465"/>
      <c r="AL39" s="442">
        <f>SUM(AL40:AL40)</f>
        <v>0</v>
      </c>
      <c r="AM39" s="480"/>
      <c r="AN39" s="442"/>
      <c r="AO39" s="465"/>
      <c r="AP39" s="465"/>
      <c r="AQ39" s="442">
        <f>SUM(AQ40:AQ40)</f>
        <v>0</v>
      </c>
      <c r="AR39" s="480"/>
      <c r="AS39" s="442"/>
      <c r="AT39" s="465"/>
      <c r="AU39" s="465"/>
      <c r="AV39" s="442">
        <f>SUM(AV40:AV40)</f>
        <v>0</v>
      </c>
      <c r="AW39" s="480"/>
      <c r="AX39" s="442"/>
      <c r="AY39" s="465"/>
      <c r="AZ39" s="465"/>
      <c r="BA39" s="442">
        <f>SUM(BA40:BA40)</f>
        <v>0</v>
      </c>
      <c r="BB39" s="480"/>
      <c r="BC39" s="442"/>
      <c r="BD39" s="465"/>
      <c r="BE39" s="465"/>
      <c r="BF39" s="442">
        <f>SUM(BF40:BF40)</f>
        <v>0</v>
      </c>
      <c r="BG39" s="480"/>
      <c r="BH39" s="442"/>
      <c r="BI39" s="465"/>
      <c r="BJ39" s="465"/>
      <c r="BK39" s="442">
        <f>SUM(BK40:BK40)</f>
        <v>0</v>
      </c>
      <c r="BL39" s="480"/>
      <c r="BM39" s="442"/>
      <c r="BN39" s="465"/>
      <c r="BO39" s="465"/>
      <c r="BP39" s="442">
        <f>SUM(BP40:BP40)</f>
        <v>0</v>
      </c>
      <c r="BQ39" s="480"/>
      <c r="BR39" s="442"/>
      <c r="BS39" s="465"/>
      <c r="BT39" s="465"/>
      <c r="BU39" s="442">
        <f>SUM(BU40:BU40)</f>
        <v>0</v>
      </c>
      <c r="BV39" s="480"/>
      <c r="BW39" s="442"/>
      <c r="BX39" s="465"/>
      <c r="BY39" s="465"/>
      <c r="BZ39" s="486">
        <v>0</v>
      </c>
      <c r="CA39" s="480"/>
      <c r="CB39" s="442"/>
      <c r="CC39" s="465"/>
      <c r="CD39" s="465"/>
      <c r="CE39" s="442">
        <f>SUM(CE40:CE40)</f>
        <v>0</v>
      </c>
      <c r="CF39" s="480"/>
      <c r="CG39" s="442"/>
      <c r="CH39" s="465"/>
      <c r="CI39" s="465"/>
      <c r="CJ39" s="442">
        <f>SUM(CJ40:CJ40)</f>
        <v>0</v>
      </c>
      <c r="CK39" s="480"/>
      <c r="CL39" s="442"/>
      <c r="CM39" s="465"/>
      <c r="CN39" s="465"/>
      <c r="CO39" s="442">
        <f>SUM(CO40:CO40)</f>
        <v>0</v>
      </c>
      <c r="CP39" s="480"/>
      <c r="CQ39" s="442"/>
      <c r="CR39" s="465"/>
      <c r="CS39" s="465"/>
      <c r="CT39" s="442">
        <f>SUM(CT40:CT40)</f>
        <v>0</v>
      </c>
      <c r="CU39" s="480"/>
      <c r="CV39" s="442"/>
      <c r="CW39" s="465"/>
      <c r="CX39" s="465"/>
      <c r="CY39" s="442">
        <f>SUM(CY40:CY40)</f>
        <v>0</v>
      </c>
      <c r="CZ39" s="480"/>
      <c r="DA39" s="442"/>
      <c r="DB39" s="465"/>
      <c r="DC39" s="465"/>
      <c r="DD39" s="442">
        <f>SUM(DD40:DD40)</f>
        <v>0</v>
      </c>
      <c r="DE39" s="480"/>
      <c r="DF39" s="442"/>
      <c r="DG39" s="465"/>
      <c r="DH39" s="465"/>
      <c r="DI39" s="442">
        <f>SUM(DI40:DI40)</f>
        <v>0</v>
      </c>
      <c r="DJ39" s="480"/>
      <c r="DK39" s="442"/>
      <c r="DL39" s="465"/>
      <c r="DM39" s="465"/>
      <c r="DN39" s="442">
        <f>SUM(DN40:DN40)</f>
        <v>0</v>
      </c>
      <c r="DO39" s="480"/>
      <c r="DP39" s="442"/>
      <c r="DQ39" s="465"/>
      <c r="DR39" s="465"/>
      <c r="DS39" s="442">
        <f>SUM(DS40:DS40)</f>
        <v>0</v>
      </c>
      <c r="DT39" s="480"/>
      <c r="DU39" s="442"/>
      <c r="DV39" s="465"/>
      <c r="DW39" s="465"/>
      <c r="DX39" s="442">
        <f>SUM(DX40:DX40)</f>
        <v>0</v>
      </c>
      <c r="DY39" s="480"/>
      <c r="DZ39" s="442"/>
      <c r="EA39" s="465"/>
      <c r="EB39" s="465"/>
      <c r="EC39" s="442">
        <f>SUM(EC40:EC40)</f>
        <v>0</v>
      </c>
      <c r="ED39" s="480"/>
      <c r="EE39" s="442"/>
      <c r="EF39" s="465"/>
      <c r="EG39" s="465"/>
      <c r="EH39" s="442">
        <f>SUM(EH40:EH40)</f>
        <v>0</v>
      </c>
      <c r="EI39" s="480"/>
      <c r="EJ39" s="442"/>
      <c r="EK39" s="465"/>
      <c r="EL39" s="465"/>
      <c r="EM39" s="442">
        <f>SUM(EM40:EM40)</f>
        <v>0</v>
      </c>
      <c r="EN39" s="480"/>
      <c r="EO39" s="442"/>
      <c r="EP39" s="455"/>
      <c r="ES39" s="472"/>
      <c r="ET39" s="472">
        <f t="shared" si="0"/>
        <v>0</v>
      </c>
    </row>
    <row r="40" spans="1:150" ht="12.75" hidden="1" customHeight="1" x14ac:dyDescent="0.2">
      <c r="A40" s="442"/>
      <c r="B40" s="442"/>
      <c r="C40" s="455" t="s">
        <v>307</v>
      </c>
      <c r="D40" s="442"/>
      <c r="E40" s="497" t="s">
        <v>301</v>
      </c>
      <c r="F40" s="498"/>
      <c r="G40" s="498"/>
      <c r="H40" s="502">
        <v>0</v>
      </c>
      <c r="I40" s="480"/>
      <c r="J40" s="442"/>
      <c r="K40" s="465"/>
      <c r="L40" s="465"/>
      <c r="M40" s="502">
        <f>[12]domlongtermissues!L16</f>
        <v>0</v>
      </c>
      <c r="N40" s="480"/>
      <c r="O40" s="442"/>
      <c r="P40" s="465"/>
      <c r="Q40" s="465"/>
      <c r="R40" s="502">
        <f>[12]domlongtermissues!Q16</f>
        <v>0</v>
      </c>
      <c r="S40" s="480"/>
      <c r="T40" s="442"/>
      <c r="U40" s="465"/>
      <c r="V40" s="465"/>
      <c r="W40" s="502">
        <f>[12]domlongtermissues!V16</f>
        <v>0</v>
      </c>
      <c r="X40" s="480"/>
      <c r="Y40" s="442"/>
      <c r="Z40" s="465"/>
      <c r="AA40" s="465"/>
      <c r="AB40" s="502">
        <f>[12]domlongtermissues!AA16</f>
        <v>0</v>
      </c>
      <c r="AC40" s="480"/>
      <c r="AD40" s="442"/>
      <c r="AE40" s="465"/>
      <c r="AF40" s="465"/>
      <c r="AG40" s="502">
        <f>[12]domlongtermissues!AF16</f>
        <v>0</v>
      </c>
      <c r="AH40" s="480"/>
      <c r="AI40" s="442"/>
      <c r="AJ40" s="465"/>
      <c r="AK40" s="465"/>
      <c r="AL40" s="502">
        <f>[12]domlongtermissues!AK16</f>
        <v>0</v>
      </c>
      <c r="AM40" s="480"/>
      <c r="AN40" s="442"/>
      <c r="AO40" s="465"/>
      <c r="AP40" s="465"/>
      <c r="AQ40" s="502">
        <f>[12]domlongtermissues!AP16</f>
        <v>0</v>
      </c>
      <c r="AR40" s="480"/>
      <c r="AS40" s="442"/>
      <c r="AT40" s="465"/>
      <c r="AU40" s="465"/>
      <c r="AV40" s="502">
        <f>[12]domlongtermissues!AU16</f>
        <v>0</v>
      </c>
      <c r="AW40" s="480"/>
      <c r="AX40" s="442"/>
      <c r="AY40" s="465"/>
      <c r="AZ40" s="465"/>
      <c r="BA40" s="502">
        <f>[12]domlongtermissues!AZ16</f>
        <v>0</v>
      </c>
      <c r="BB40" s="480"/>
      <c r="BC40" s="442"/>
      <c r="BD40" s="465"/>
      <c r="BE40" s="465"/>
      <c r="BF40" s="502">
        <f>[12]domlongtermissues!BE16</f>
        <v>0</v>
      </c>
      <c r="BG40" s="480"/>
      <c r="BH40" s="442"/>
      <c r="BI40" s="465"/>
      <c r="BJ40" s="465"/>
      <c r="BK40" s="502">
        <f>[12]domlongtermissues!BJ16</f>
        <v>0</v>
      </c>
      <c r="BL40" s="480"/>
      <c r="BM40" s="442"/>
      <c r="BN40" s="465"/>
      <c r="BO40" s="465"/>
      <c r="BP40" s="442">
        <f>[12]domlongtermissues!BO16</f>
        <v>0</v>
      </c>
      <c r="BQ40" s="480"/>
      <c r="BR40" s="442"/>
      <c r="BS40" s="465"/>
      <c r="BT40" s="465"/>
      <c r="BU40" s="502">
        <f>[12]domlongtermissues!BT16</f>
        <v>0</v>
      </c>
      <c r="BV40" s="480"/>
      <c r="BW40" s="442"/>
      <c r="BX40" s="465"/>
      <c r="BY40" s="465"/>
      <c r="BZ40" s="503">
        <v>0</v>
      </c>
      <c r="CA40" s="480"/>
      <c r="CB40" s="442"/>
      <c r="CC40" s="465"/>
      <c r="CD40" s="465"/>
      <c r="CE40" s="502">
        <f>[12]domlongtermissues!CD16</f>
        <v>0</v>
      </c>
      <c r="CF40" s="480"/>
      <c r="CG40" s="442"/>
      <c r="CH40" s="465"/>
      <c r="CI40" s="465"/>
      <c r="CJ40" s="502">
        <f>[12]domlongtermissues!CI16</f>
        <v>0</v>
      </c>
      <c r="CK40" s="480"/>
      <c r="CL40" s="442"/>
      <c r="CM40" s="465"/>
      <c r="CN40" s="465"/>
      <c r="CO40" s="502">
        <f>[12]domlongtermissues!CN16</f>
        <v>0</v>
      </c>
      <c r="CP40" s="480"/>
      <c r="CQ40" s="442"/>
      <c r="CR40" s="465"/>
      <c r="CS40" s="465"/>
      <c r="CT40" s="502">
        <f>[12]domlongtermissues!CS16</f>
        <v>0</v>
      </c>
      <c r="CU40" s="480"/>
      <c r="CV40" s="442"/>
      <c r="CW40" s="465"/>
      <c r="CX40" s="465"/>
      <c r="CY40" s="502">
        <f>[12]domlongtermissues!CX16</f>
        <v>0</v>
      </c>
      <c r="CZ40" s="480"/>
      <c r="DA40" s="442"/>
      <c r="DB40" s="465"/>
      <c r="DC40" s="465"/>
      <c r="DD40" s="502">
        <f>[12]domlongtermissues!DC16</f>
        <v>0</v>
      </c>
      <c r="DE40" s="480"/>
      <c r="DF40" s="442"/>
      <c r="DG40" s="465"/>
      <c r="DH40" s="465"/>
      <c r="DI40" s="502">
        <f>[12]domlongtermissues!DH16</f>
        <v>0</v>
      </c>
      <c r="DJ40" s="480"/>
      <c r="DK40" s="442"/>
      <c r="DL40" s="465"/>
      <c r="DM40" s="465"/>
      <c r="DN40" s="502">
        <f>[12]domlongtermissues!DM16</f>
        <v>0</v>
      </c>
      <c r="DO40" s="480"/>
      <c r="DP40" s="442"/>
      <c r="DQ40" s="465"/>
      <c r="DR40" s="465"/>
      <c r="DS40" s="502">
        <f>[12]domlongtermissues!DR16</f>
        <v>0</v>
      </c>
      <c r="DT40" s="480"/>
      <c r="DU40" s="442"/>
      <c r="DV40" s="465"/>
      <c r="DW40" s="465"/>
      <c r="DX40" s="502">
        <f>[12]domlongtermissues!DW16</f>
        <v>0</v>
      </c>
      <c r="DY40" s="480"/>
      <c r="DZ40" s="442"/>
      <c r="EA40" s="465"/>
      <c r="EB40" s="465"/>
      <c r="EC40" s="502">
        <f>[12]domlongtermissues!EB16</f>
        <v>0</v>
      </c>
      <c r="ED40" s="480"/>
      <c r="EE40" s="442"/>
      <c r="EF40" s="465"/>
      <c r="EG40" s="465"/>
      <c r="EH40" s="502">
        <f>[12]domlongtermissues!EG16</f>
        <v>0</v>
      </c>
      <c r="EI40" s="480"/>
      <c r="EJ40" s="442"/>
      <c r="EK40" s="465"/>
      <c r="EL40" s="465"/>
      <c r="EM40" s="502">
        <f>[12]domlongtermissues!EL16</f>
        <v>0</v>
      </c>
      <c r="EN40" s="480"/>
      <c r="EO40" s="442"/>
      <c r="EP40" s="455"/>
      <c r="ES40" s="472"/>
      <c r="ET40" s="472">
        <f t="shared" si="0"/>
        <v>0</v>
      </c>
    </row>
    <row r="41" spans="1:150" x14ac:dyDescent="0.2">
      <c r="A41" s="442"/>
      <c r="B41" s="442"/>
      <c r="C41" s="455"/>
      <c r="D41" s="442"/>
      <c r="E41" s="499"/>
      <c r="F41" s="500"/>
      <c r="G41" s="504"/>
      <c r="H41" s="491"/>
      <c r="I41" s="490"/>
      <c r="J41" s="442"/>
      <c r="K41" s="465"/>
      <c r="L41" s="488"/>
      <c r="M41" s="491"/>
      <c r="N41" s="490"/>
      <c r="O41" s="442"/>
      <c r="P41" s="465"/>
      <c r="Q41" s="488"/>
      <c r="R41" s="491"/>
      <c r="S41" s="490"/>
      <c r="T41" s="442"/>
      <c r="U41" s="465"/>
      <c r="V41" s="488"/>
      <c r="W41" s="491"/>
      <c r="X41" s="490"/>
      <c r="Y41" s="442"/>
      <c r="Z41" s="465"/>
      <c r="AA41" s="488"/>
      <c r="AB41" s="491"/>
      <c r="AC41" s="490"/>
      <c r="AD41" s="442"/>
      <c r="AE41" s="465"/>
      <c r="AF41" s="488"/>
      <c r="AG41" s="491"/>
      <c r="AH41" s="490"/>
      <c r="AI41" s="442"/>
      <c r="AJ41" s="465"/>
      <c r="AK41" s="488"/>
      <c r="AL41" s="491"/>
      <c r="AM41" s="490"/>
      <c r="AN41" s="442"/>
      <c r="AO41" s="465"/>
      <c r="AP41" s="488"/>
      <c r="AQ41" s="491"/>
      <c r="AR41" s="490"/>
      <c r="AS41" s="442"/>
      <c r="AT41" s="465"/>
      <c r="AU41" s="488"/>
      <c r="AV41" s="491"/>
      <c r="AW41" s="490"/>
      <c r="AX41" s="442"/>
      <c r="AY41" s="465"/>
      <c r="AZ41" s="488"/>
      <c r="BA41" s="491"/>
      <c r="BB41" s="490"/>
      <c r="BC41" s="442"/>
      <c r="BD41" s="465"/>
      <c r="BE41" s="488"/>
      <c r="BF41" s="491"/>
      <c r="BG41" s="490"/>
      <c r="BH41" s="442"/>
      <c r="BI41" s="465"/>
      <c r="BJ41" s="488"/>
      <c r="BK41" s="491"/>
      <c r="BL41" s="490"/>
      <c r="BM41" s="442"/>
      <c r="BN41" s="465"/>
      <c r="BO41" s="488"/>
      <c r="BP41" s="491"/>
      <c r="BQ41" s="490"/>
      <c r="BR41" s="442"/>
      <c r="BS41" s="465"/>
      <c r="BT41" s="488"/>
      <c r="BU41" s="491"/>
      <c r="BV41" s="490"/>
      <c r="BW41" s="442"/>
      <c r="BX41" s="465"/>
      <c r="BY41" s="488"/>
      <c r="BZ41" s="489"/>
      <c r="CA41" s="490"/>
      <c r="CB41" s="442"/>
      <c r="CC41" s="465"/>
      <c r="CD41" s="488"/>
      <c r="CE41" s="491"/>
      <c r="CF41" s="490"/>
      <c r="CG41" s="442"/>
      <c r="CH41" s="465"/>
      <c r="CI41" s="488"/>
      <c r="CJ41" s="491"/>
      <c r="CK41" s="490"/>
      <c r="CL41" s="442"/>
      <c r="CM41" s="465"/>
      <c r="CN41" s="488"/>
      <c r="CO41" s="491"/>
      <c r="CP41" s="490"/>
      <c r="CQ41" s="442"/>
      <c r="CR41" s="465"/>
      <c r="CS41" s="488"/>
      <c r="CT41" s="491"/>
      <c r="CU41" s="490"/>
      <c r="CV41" s="442"/>
      <c r="CW41" s="465"/>
      <c r="CX41" s="488"/>
      <c r="CY41" s="491"/>
      <c r="CZ41" s="490"/>
      <c r="DA41" s="442"/>
      <c r="DB41" s="465"/>
      <c r="DC41" s="488"/>
      <c r="DD41" s="491"/>
      <c r="DE41" s="490"/>
      <c r="DF41" s="442"/>
      <c r="DG41" s="465"/>
      <c r="DH41" s="488"/>
      <c r="DI41" s="491"/>
      <c r="DJ41" s="490"/>
      <c r="DK41" s="442"/>
      <c r="DL41" s="465"/>
      <c r="DM41" s="488"/>
      <c r="DN41" s="491"/>
      <c r="DO41" s="490"/>
      <c r="DP41" s="442"/>
      <c r="DQ41" s="465"/>
      <c r="DR41" s="488"/>
      <c r="DS41" s="491"/>
      <c r="DT41" s="490"/>
      <c r="DU41" s="442"/>
      <c r="DV41" s="465"/>
      <c r="DW41" s="488"/>
      <c r="DX41" s="491"/>
      <c r="DY41" s="490"/>
      <c r="DZ41" s="442"/>
      <c r="EA41" s="465"/>
      <c r="EB41" s="488"/>
      <c r="EC41" s="491"/>
      <c r="ED41" s="490"/>
      <c r="EE41" s="442"/>
      <c r="EF41" s="465"/>
      <c r="EG41" s="488"/>
      <c r="EH41" s="491"/>
      <c r="EI41" s="490"/>
      <c r="EJ41" s="442"/>
      <c r="EK41" s="465"/>
      <c r="EL41" s="488"/>
      <c r="EM41" s="491"/>
      <c r="EN41" s="490"/>
      <c r="EO41" s="442"/>
      <c r="EP41" s="455"/>
      <c r="ES41" s="472"/>
      <c r="ET41" s="472">
        <f t="shared" si="0"/>
        <v>0</v>
      </c>
    </row>
    <row r="42" spans="1:150" hidden="1" x14ac:dyDescent="0.2">
      <c r="A42" s="442"/>
      <c r="B42" s="442"/>
      <c r="C42" s="455"/>
      <c r="D42" s="442"/>
      <c r="E42" s="499"/>
      <c r="F42" s="500"/>
      <c r="G42" s="505"/>
      <c r="H42" s="442"/>
      <c r="I42" s="442"/>
      <c r="J42" s="442"/>
      <c r="K42" s="465"/>
      <c r="L42" s="442"/>
      <c r="M42" s="442"/>
      <c r="N42" s="442"/>
      <c r="O42" s="442"/>
      <c r="P42" s="465"/>
      <c r="Q42" s="442"/>
      <c r="R42" s="442"/>
      <c r="S42" s="442"/>
      <c r="T42" s="442"/>
      <c r="U42" s="465"/>
      <c r="V42" s="442"/>
      <c r="W42" s="442"/>
      <c r="X42" s="442"/>
      <c r="Y42" s="442"/>
      <c r="Z42" s="465"/>
      <c r="AA42" s="442"/>
      <c r="AB42" s="442"/>
      <c r="AC42" s="442"/>
      <c r="AD42" s="442"/>
      <c r="AE42" s="465"/>
      <c r="AF42" s="442"/>
      <c r="AG42" s="442"/>
      <c r="AH42" s="442"/>
      <c r="AI42" s="442"/>
      <c r="AJ42" s="465"/>
      <c r="AK42" s="442"/>
      <c r="AL42" s="442"/>
      <c r="AM42" s="442"/>
      <c r="AN42" s="442"/>
      <c r="AO42" s="465"/>
      <c r="AP42" s="442"/>
      <c r="AQ42" s="442"/>
      <c r="AR42" s="442"/>
      <c r="AS42" s="442"/>
      <c r="AT42" s="465"/>
      <c r="AU42" s="442"/>
      <c r="AV42" s="442"/>
      <c r="AW42" s="442"/>
      <c r="AX42" s="442"/>
      <c r="AY42" s="465"/>
      <c r="AZ42" s="442"/>
      <c r="BA42" s="442"/>
      <c r="BB42" s="442"/>
      <c r="BC42" s="442"/>
      <c r="BD42" s="465"/>
      <c r="BE42" s="442"/>
      <c r="BF42" s="442"/>
      <c r="BG42" s="442"/>
      <c r="BH42" s="442"/>
      <c r="BI42" s="465"/>
      <c r="BJ42" s="442"/>
      <c r="BK42" s="442"/>
      <c r="BL42" s="442"/>
      <c r="BM42" s="442"/>
      <c r="BN42" s="465"/>
      <c r="BO42" s="442"/>
      <c r="BP42" s="442"/>
      <c r="BQ42" s="442"/>
      <c r="BR42" s="442"/>
      <c r="BS42" s="465"/>
      <c r="BT42" s="442"/>
      <c r="BU42" s="442"/>
      <c r="BV42" s="442"/>
      <c r="BW42" s="442"/>
      <c r="BX42" s="465"/>
      <c r="BY42" s="442"/>
      <c r="BZ42" s="486"/>
      <c r="CA42" s="442"/>
      <c r="CB42" s="442"/>
      <c r="CC42" s="465"/>
      <c r="CD42" s="442"/>
      <c r="CE42" s="442"/>
      <c r="CF42" s="442"/>
      <c r="CG42" s="442"/>
      <c r="CH42" s="465"/>
      <c r="CI42" s="442"/>
      <c r="CJ42" s="442"/>
      <c r="CK42" s="442"/>
      <c r="CL42" s="442"/>
      <c r="CM42" s="465"/>
      <c r="CN42" s="442"/>
      <c r="CO42" s="442"/>
      <c r="CP42" s="442"/>
      <c r="CQ42" s="442"/>
      <c r="CR42" s="465"/>
      <c r="CS42" s="442"/>
      <c r="CT42" s="442"/>
      <c r="CU42" s="442"/>
      <c r="CV42" s="442"/>
      <c r="CW42" s="465"/>
      <c r="CX42" s="442"/>
      <c r="CY42" s="442"/>
      <c r="CZ42" s="442"/>
      <c r="DA42" s="442"/>
      <c r="DB42" s="465"/>
      <c r="DC42" s="442"/>
      <c r="DD42" s="442"/>
      <c r="DE42" s="442"/>
      <c r="DF42" s="442"/>
      <c r="DG42" s="465"/>
      <c r="DH42" s="442"/>
      <c r="DI42" s="442"/>
      <c r="DJ42" s="442"/>
      <c r="DK42" s="442"/>
      <c r="DL42" s="465"/>
      <c r="DM42" s="442"/>
      <c r="DN42" s="442"/>
      <c r="DO42" s="442"/>
      <c r="DP42" s="442"/>
      <c r="DQ42" s="465"/>
      <c r="DR42" s="442"/>
      <c r="DS42" s="442"/>
      <c r="DT42" s="442"/>
      <c r="DU42" s="442"/>
      <c r="DV42" s="465"/>
      <c r="DW42" s="442"/>
      <c r="DX42" s="442"/>
      <c r="DY42" s="442"/>
      <c r="DZ42" s="442"/>
      <c r="EA42" s="465"/>
      <c r="EB42" s="442"/>
      <c r="EC42" s="442"/>
      <c r="ED42" s="442"/>
      <c r="EE42" s="442"/>
      <c r="EF42" s="465"/>
      <c r="EG42" s="442"/>
      <c r="EH42" s="442"/>
      <c r="EI42" s="442"/>
      <c r="EJ42" s="442"/>
      <c r="EK42" s="465"/>
      <c r="EL42" s="442"/>
      <c r="EM42" s="442"/>
      <c r="EN42" s="442"/>
      <c r="EO42" s="442"/>
      <c r="EP42" s="455"/>
      <c r="ES42" s="472"/>
      <c r="ET42" s="472">
        <f t="shared" si="0"/>
        <v>0</v>
      </c>
    </row>
    <row r="43" spans="1:150" x14ac:dyDescent="0.2">
      <c r="A43" s="442"/>
      <c r="B43" s="442"/>
      <c r="C43" s="455"/>
      <c r="D43" s="442"/>
      <c r="E43" s="499"/>
      <c r="F43" s="500"/>
      <c r="G43" s="505"/>
      <c r="H43" s="442"/>
      <c r="I43" s="442"/>
      <c r="J43" s="442"/>
      <c r="K43" s="465"/>
      <c r="L43" s="442"/>
      <c r="M43" s="442"/>
      <c r="N43" s="442"/>
      <c r="O43" s="442"/>
      <c r="P43" s="465"/>
      <c r="Q43" s="442"/>
      <c r="R43" s="442"/>
      <c r="S43" s="442"/>
      <c r="T43" s="442"/>
      <c r="U43" s="465"/>
      <c r="V43" s="442"/>
      <c r="W43" s="442"/>
      <c r="X43" s="442"/>
      <c r="Y43" s="442"/>
      <c r="Z43" s="465"/>
      <c r="AA43" s="442"/>
      <c r="AB43" s="442"/>
      <c r="AC43" s="442"/>
      <c r="AD43" s="442"/>
      <c r="AE43" s="465"/>
      <c r="AF43" s="442"/>
      <c r="AG43" s="442"/>
      <c r="AH43" s="442"/>
      <c r="AI43" s="442"/>
      <c r="AJ43" s="465"/>
      <c r="AK43" s="442"/>
      <c r="AL43" s="442"/>
      <c r="AM43" s="442"/>
      <c r="AN43" s="442"/>
      <c r="AO43" s="465"/>
      <c r="AP43" s="442"/>
      <c r="AQ43" s="442"/>
      <c r="AR43" s="442"/>
      <c r="AS43" s="442"/>
      <c r="AT43" s="465"/>
      <c r="AU43" s="442"/>
      <c r="AV43" s="442"/>
      <c r="AW43" s="442"/>
      <c r="AX43" s="442"/>
      <c r="AY43" s="465"/>
      <c r="AZ43" s="442"/>
      <c r="BA43" s="442"/>
      <c r="BB43" s="442"/>
      <c r="BC43" s="442"/>
      <c r="BD43" s="465"/>
      <c r="BE43" s="442"/>
      <c r="BF43" s="442"/>
      <c r="BG43" s="442"/>
      <c r="BH43" s="442"/>
      <c r="BI43" s="465"/>
      <c r="BJ43" s="442"/>
      <c r="BK43" s="442"/>
      <c r="BL43" s="442"/>
      <c r="BM43" s="442"/>
      <c r="BN43" s="465"/>
      <c r="BO43" s="442"/>
      <c r="BP43" s="442"/>
      <c r="BQ43" s="442"/>
      <c r="BR43" s="442"/>
      <c r="BS43" s="465"/>
      <c r="BT43" s="442"/>
      <c r="BU43" s="442"/>
      <c r="BV43" s="442"/>
      <c r="BW43" s="442"/>
      <c r="BX43" s="465"/>
      <c r="BY43" s="442"/>
      <c r="BZ43" s="486"/>
      <c r="CA43" s="442"/>
      <c r="CB43" s="442"/>
      <c r="CC43" s="465"/>
      <c r="CD43" s="442"/>
      <c r="CE43" s="442"/>
      <c r="CF43" s="442"/>
      <c r="CG43" s="442"/>
      <c r="CH43" s="465"/>
      <c r="CI43" s="442"/>
      <c r="CJ43" s="442"/>
      <c r="CK43" s="442"/>
      <c r="CL43" s="442"/>
      <c r="CM43" s="465"/>
      <c r="CN43" s="442"/>
      <c r="CO43" s="442"/>
      <c r="CP43" s="442"/>
      <c r="CQ43" s="442"/>
      <c r="CR43" s="465"/>
      <c r="CS43" s="442"/>
      <c r="CT43" s="442"/>
      <c r="CU43" s="442"/>
      <c r="CV43" s="442"/>
      <c r="CW43" s="465"/>
      <c r="CX43" s="442"/>
      <c r="CY43" s="442"/>
      <c r="CZ43" s="442"/>
      <c r="DA43" s="442"/>
      <c r="DB43" s="465"/>
      <c r="DC43" s="442"/>
      <c r="DD43" s="442"/>
      <c r="DE43" s="442"/>
      <c r="DF43" s="442"/>
      <c r="DG43" s="465"/>
      <c r="DH43" s="442"/>
      <c r="DI43" s="442"/>
      <c r="DJ43" s="442"/>
      <c r="DK43" s="442"/>
      <c r="DL43" s="465"/>
      <c r="DM43" s="442"/>
      <c r="DN43" s="442"/>
      <c r="DO43" s="442"/>
      <c r="DP43" s="442"/>
      <c r="DQ43" s="465"/>
      <c r="DR43" s="442"/>
      <c r="DS43" s="442"/>
      <c r="DT43" s="442"/>
      <c r="DU43" s="442"/>
      <c r="DV43" s="465"/>
      <c r="DW43" s="442"/>
      <c r="DX43" s="442"/>
      <c r="DY43" s="442"/>
      <c r="DZ43" s="442"/>
      <c r="EA43" s="465"/>
      <c r="EB43" s="442"/>
      <c r="EC43" s="442"/>
      <c r="ED43" s="442"/>
      <c r="EE43" s="442"/>
      <c r="EF43" s="465"/>
      <c r="EG43" s="442"/>
      <c r="EH43" s="442"/>
      <c r="EI43" s="442"/>
      <c r="EJ43" s="442"/>
      <c r="EK43" s="465"/>
      <c r="EL43" s="442"/>
      <c r="EM43" s="442"/>
      <c r="EN43" s="442"/>
      <c r="EO43" s="442"/>
      <c r="EP43" s="455"/>
      <c r="ES43" s="472"/>
      <c r="ET43" s="472">
        <f t="shared" si="0"/>
        <v>0</v>
      </c>
    </row>
    <row r="44" spans="1:150" s="472" customFormat="1" x14ac:dyDescent="0.2">
      <c r="A44" s="443"/>
      <c r="B44" s="443"/>
      <c r="C44" s="466" t="s">
        <v>314</v>
      </c>
      <c r="D44" s="443"/>
      <c r="E44" s="497" t="s">
        <v>315</v>
      </c>
      <c r="F44" s="498"/>
      <c r="G44" s="506"/>
      <c r="H44" s="443">
        <f>+H45+H52+H59</f>
        <v>17026000</v>
      </c>
      <c r="I44" s="443"/>
      <c r="J44" s="443"/>
      <c r="K44" s="468"/>
      <c r="L44" s="506"/>
      <c r="M44" s="443">
        <f>+M45+M52+M59</f>
        <v>-777665</v>
      </c>
      <c r="N44" s="443"/>
      <c r="O44" s="443"/>
      <c r="P44" s="468"/>
      <c r="Q44" s="506"/>
      <c r="R44" s="443">
        <f>+R45+R52+R59</f>
        <v>-4931986</v>
      </c>
      <c r="S44" s="443"/>
      <c r="T44" s="443"/>
      <c r="U44" s="468"/>
      <c r="V44" s="506"/>
      <c r="W44" s="443">
        <f>+W45+W52+W59</f>
        <v>0</v>
      </c>
      <c r="X44" s="443"/>
      <c r="Y44" s="443"/>
      <c r="Z44" s="468"/>
      <c r="AA44" s="506"/>
      <c r="AB44" s="443">
        <f>+AB45+AB52+AB59</f>
        <v>0</v>
      </c>
      <c r="AC44" s="443"/>
      <c r="AD44" s="443"/>
      <c r="AE44" s="468"/>
      <c r="AF44" s="506"/>
      <c r="AG44" s="443">
        <f>+AG45+AG52+AG59</f>
        <v>0</v>
      </c>
      <c r="AH44" s="443"/>
      <c r="AI44" s="443"/>
      <c r="AJ44" s="468"/>
      <c r="AK44" s="506"/>
      <c r="AL44" s="443">
        <f>+AL45+AL52+AL59</f>
        <v>0</v>
      </c>
      <c r="AM44" s="443"/>
      <c r="AN44" s="443"/>
      <c r="AO44" s="468"/>
      <c r="AP44" s="506"/>
      <c r="AQ44" s="443">
        <f>+AQ45+AQ52+AQ59</f>
        <v>0</v>
      </c>
      <c r="AR44" s="443"/>
      <c r="AS44" s="443"/>
      <c r="AT44" s="468"/>
      <c r="AU44" s="506"/>
      <c r="AV44" s="443">
        <f>+AV45+AV52+AV59</f>
        <v>0</v>
      </c>
      <c r="AW44" s="443"/>
      <c r="AX44" s="443"/>
      <c r="AY44" s="468"/>
      <c r="AZ44" s="506"/>
      <c r="BA44" s="443">
        <f>+BA45+BA52+BA59</f>
        <v>0</v>
      </c>
      <c r="BB44" s="443"/>
      <c r="BC44" s="443"/>
      <c r="BD44" s="468"/>
      <c r="BE44" s="506"/>
      <c r="BF44" s="443">
        <f>+BF45+BF52+BF59</f>
        <v>0</v>
      </c>
      <c r="BG44" s="443"/>
      <c r="BH44" s="443"/>
      <c r="BI44" s="468"/>
      <c r="BJ44" s="506"/>
      <c r="BK44" s="443">
        <f>+BK45+BK52+BK59</f>
        <v>0</v>
      </c>
      <c r="BL44" s="443"/>
      <c r="BM44" s="443"/>
      <c r="BN44" s="468"/>
      <c r="BO44" s="506"/>
      <c r="BP44" s="443">
        <f>+BP45+BP52+BP59</f>
        <v>0</v>
      </c>
      <c r="BQ44" s="443"/>
      <c r="BR44" s="443"/>
      <c r="BS44" s="468"/>
      <c r="BT44" s="506"/>
      <c r="BU44" s="443">
        <f>+BU45+BU52+BU59</f>
        <v>-5709651</v>
      </c>
      <c r="BV44" s="443"/>
      <c r="BW44" s="443"/>
      <c r="BX44" s="468"/>
      <c r="BY44" s="506"/>
      <c r="BZ44" s="471">
        <f>+BZ45+BZ52+BZ59</f>
        <v>24823043</v>
      </c>
      <c r="CA44" s="443"/>
      <c r="CB44" s="443"/>
      <c r="CC44" s="468"/>
      <c r="CD44" s="506"/>
      <c r="CE44" s="443">
        <f>+CE45+CE52+CE59</f>
        <v>-628449</v>
      </c>
      <c r="CF44" s="443"/>
      <c r="CG44" s="443"/>
      <c r="CH44" s="468"/>
      <c r="CI44" s="506"/>
      <c r="CJ44" s="443">
        <f>+CJ45+CJ52+CJ59</f>
        <v>-25247385</v>
      </c>
      <c r="CK44" s="443"/>
      <c r="CL44" s="443"/>
      <c r="CM44" s="468"/>
      <c r="CN44" s="506"/>
      <c r="CO44" s="443">
        <f>+CO45+CO52+CO59</f>
        <v>0</v>
      </c>
      <c r="CP44" s="443"/>
      <c r="CQ44" s="443"/>
      <c r="CR44" s="468"/>
      <c r="CS44" s="506"/>
      <c r="CT44" s="443">
        <f>+CT45+CT52+CT59</f>
        <v>0</v>
      </c>
      <c r="CU44" s="443"/>
      <c r="CV44" s="443"/>
      <c r="CW44" s="468"/>
      <c r="CX44" s="506"/>
      <c r="CY44" s="443">
        <f>+CY45+CY52+CY59</f>
        <v>0</v>
      </c>
      <c r="CZ44" s="443"/>
      <c r="DA44" s="443"/>
      <c r="DB44" s="468"/>
      <c r="DC44" s="506"/>
      <c r="DD44" s="443">
        <f>+DD45+DD52+DD59</f>
        <v>76052000</v>
      </c>
      <c r="DE44" s="443"/>
      <c r="DF44" s="443"/>
      <c r="DG44" s="468"/>
      <c r="DH44" s="506"/>
      <c r="DI44" s="443">
        <f>+DI45+DI52+DI59</f>
        <v>-654491</v>
      </c>
      <c r="DJ44" s="443"/>
      <c r="DK44" s="443"/>
      <c r="DL44" s="468"/>
      <c r="DM44" s="506"/>
      <c r="DN44" s="443">
        <f>+DN45+DN52+DN59</f>
        <v>-6365</v>
      </c>
      <c r="DO44" s="443"/>
      <c r="DP44" s="443"/>
      <c r="DQ44" s="468"/>
      <c r="DR44" s="506"/>
      <c r="DS44" s="443">
        <f>+DS45+DS52+DS59</f>
        <v>0</v>
      </c>
      <c r="DT44" s="443"/>
      <c r="DU44" s="443"/>
      <c r="DV44" s="468"/>
      <c r="DW44" s="506"/>
      <c r="DX44" s="443">
        <f>+DX45+DX52+DX59</f>
        <v>0</v>
      </c>
      <c r="DY44" s="443"/>
      <c r="DZ44" s="443"/>
      <c r="EA44" s="468"/>
      <c r="EB44" s="506"/>
      <c r="EC44" s="443">
        <f>+EC45+EC52+EC59</f>
        <v>0</v>
      </c>
      <c r="ED44" s="443"/>
      <c r="EE44" s="443"/>
      <c r="EF44" s="468"/>
      <c r="EG44" s="506"/>
      <c r="EH44" s="443">
        <f>+EH45+EH52+EH59</f>
        <v>-24692267</v>
      </c>
      <c r="EI44" s="443"/>
      <c r="EJ44" s="443"/>
      <c r="EK44" s="468"/>
      <c r="EL44" s="506"/>
      <c r="EM44" s="443">
        <f>+EM45+EM52+EM59</f>
        <v>-25875834</v>
      </c>
      <c r="EN44" s="443"/>
      <c r="EO44" s="443"/>
      <c r="EP44" s="466"/>
      <c r="EQ44" s="443"/>
      <c r="ET44" s="472">
        <f t="shared" si="0"/>
        <v>-50698877</v>
      </c>
    </row>
    <row r="45" spans="1:150" x14ac:dyDescent="0.2">
      <c r="A45" s="442"/>
      <c r="B45" s="442"/>
      <c r="C45" s="455" t="s">
        <v>299</v>
      </c>
      <c r="D45" s="442"/>
      <c r="E45" s="499"/>
      <c r="F45" s="500"/>
      <c r="G45" s="507"/>
      <c r="H45" s="474">
        <f>SUM(H46:H50)</f>
        <v>17026000</v>
      </c>
      <c r="I45" s="475"/>
      <c r="J45" s="442"/>
      <c r="K45" s="465"/>
      <c r="L45" s="507"/>
      <c r="M45" s="474">
        <f>SUM(M46:M50)</f>
        <v>-777665</v>
      </c>
      <c r="N45" s="475"/>
      <c r="O45" s="442"/>
      <c r="P45" s="465"/>
      <c r="Q45" s="507"/>
      <c r="R45" s="474">
        <f>SUM(R46:R50)</f>
        <v>-4931986</v>
      </c>
      <c r="S45" s="475"/>
      <c r="T45" s="442"/>
      <c r="U45" s="465"/>
      <c r="V45" s="507"/>
      <c r="W45" s="474">
        <f>SUM(W46:W50)</f>
        <v>0</v>
      </c>
      <c r="X45" s="475"/>
      <c r="Y45" s="442"/>
      <c r="Z45" s="465"/>
      <c r="AA45" s="507"/>
      <c r="AB45" s="474">
        <f>SUM(AB46:AB50)</f>
        <v>0</v>
      </c>
      <c r="AC45" s="475"/>
      <c r="AD45" s="442"/>
      <c r="AE45" s="465"/>
      <c r="AF45" s="507"/>
      <c r="AG45" s="474">
        <f>SUM(AG46:AG50)</f>
        <v>0</v>
      </c>
      <c r="AH45" s="475"/>
      <c r="AI45" s="442"/>
      <c r="AJ45" s="465"/>
      <c r="AK45" s="507"/>
      <c r="AL45" s="474">
        <f>SUM(AL46:AL50)</f>
        <v>0</v>
      </c>
      <c r="AM45" s="475"/>
      <c r="AN45" s="442"/>
      <c r="AO45" s="465"/>
      <c r="AP45" s="507"/>
      <c r="AQ45" s="474">
        <f>SUM(AQ46:AQ50)</f>
        <v>0</v>
      </c>
      <c r="AR45" s="475"/>
      <c r="AS45" s="442"/>
      <c r="AT45" s="465"/>
      <c r="AU45" s="507"/>
      <c r="AV45" s="474">
        <f>SUM(AV46:AV50)</f>
        <v>0</v>
      </c>
      <c r="AW45" s="475"/>
      <c r="AX45" s="442"/>
      <c r="AY45" s="465"/>
      <c r="AZ45" s="507"/>
      <c r="BA45" s="474">
        <f>SUM(BA46:BA50)</f>
        <v>0</v>
      </c>
      <c r="BB45" s="475"/>
      <c r="BC45" s="442"/>
      <c r="BD45" s="465"/>
      <c r="BE45" s="507"/>
      <c r="BF45" s="474">
        <f>SUM(BF46:BF50)</f>
        <v>0</v>
      </c>
      <c r="BG45" s="475"/>
      <c r="BH45" s="442"/>
      <c r="BI45" s="465"/>
      <c r="BJ45" s="507"/>
      <c r="BK45" s="474">
        <f>SUM(BK46:BK50)</f>
        <v>0</v>
      </c>
      <c r="BL45" s="475"/>
      <c r="BM45" s="442"/>
      <c r="BN45" s="465"/>
      <c r="BO45" s="507"/>
      <c r="BP45" s="474">
        <f>SUM(BP46:BP50)</f>
        <v>0</v>
      </c>
      <c r="BQ45" s="475"/>
      <c r="BR45" s="442"/>
      <c r="BS45" s="465"/>
      <c r="BT45" s="507"/>
      <c r="BU45" s="474">
        <f>SUM(BU46:BU50)</f>
        <v>-5709651</v>
      </c>
      <c r="BV45" s="475"/>
      <c r="BW45" s="442"/>
      <c r="BX45" s="465"/>
      <c r="BY45" s="507"/>
      <c r="BZ45" s="478">
        <f>SUM(BZ46:BZ50)</f>
        <v>24823043</v>
      </c>
      <c r="CA45" s="475"/>
      <c r="CB45" s="442"/>
      <c r="CC45" s="465"/>
      <c r="CD45" s="507"/>
      <c r="CE45" s="474">
        <f>SUM(CE46:CE50)</f>
        <v>-628449</v>
      </c>
      <c r="CF45" s="475"/>
      <c r="CG45" s="442"/>
      <c r="CH45" s="465"/>
      <c r="CI45" s="507"/>
      <c r="CJ45" s="474">
        <f>SUM(CJ46:CJ50)</f>
        <v>-25247385</v>
      </c>
      <c r="CK45" s="475"/>
      <c r="CL45" s="442"/>
      <c r="CM45" s="465"/>
      <c r="CN45" s="507"/>
      <c r="CO45" s="474">
        <f>SUM(CO46:CO50)</f>
        <v>0</v>
      </c>
      <c r="CP45" s="475"/>
      <c r="CQ45" s="442"/>
      <c r="CR45" s="465"/>
      <c r="CS45" s="507"/>
      <c r="CT45" s="474">
        <f>SUM(CT46:CT50)</f>
        <v>0</v>
      </c>
      <c r="CU45" s="475"/>
      <c r="CV45" s="442"/>
      <c r="CW45" s="465"/>
      <c r="CX45" s="507"/>
      <c r="CY45" s="474">
        <f>SUM(CY46:CY50)</f>
        <v>0</v>
      </c>
      <c r="CZ45" s="475"/>
      <c r="DA45" s="442"/>
      <c r="DB45" s="465"/>
      <c r="DC45" s="507"/>
      <c r="DD45" s="474">
        <f>SUM(DD46:DD50)</f>
        <v>76052000</v>
      </c>
      <c r="DE45" s="475"/>
      <c r="DF45" s="442"/>
      <c r="DG45" s="465"/>
      <c r="DH45" s="507"/>
      <c r="DI45" s="474">
        <f>SUM(DI46:DI50)</f>
        <v>-654491</v>
      </c>
      <c r="DJ45" s="475"/>
      <c r="DK45" s="442"/>
      <c r="DL45" s="465"/>
      <c r="DM45" s="507"/>
      <c r="DN45" s="474">
        <f>SUM(DN46:DN50)</f>
        <v>-6365</v>
      </c>
      <c r="DO45" s="475"/>
      <c r="DP45" s="442"/>
      <c r="DQ45" s="465"/>
      <c r="DR45" s="507"/>
      <c r="DS45" s="474">
        <f>SUM(DS46:DS50)</f>
        <v>0</v>
      </c>
      <c r="DT45" s="475"/>
      <c r="DU45" s="442"/>
      <c r="DV45" s="465"/>
      <c r="DW45" s="507"/>
      <c r="DX45" s="474">
        <f>SUM(DX46:DX50)</f>
        <v>0</v>
      </c>
      <c r="DY45" s="475"/>
      <c r="DZ45" s="442"/>
      <c r="EA45" s="465"/>
      <c r="EB45" s="507"/>
      <c r="EC45" s="474">
        <f>SUM(EC46:EC50)</f>
        <v>0</v>
      </c>
      <c r="ED45" s="475"/>
      <c r="EE45" s="442"/>
      <c r="EF45" s="465"/>
      <c r="EG45" s="507"/>
      <c r="EH45" s="474">
        <f>SUM(EH46:EH50)</f>
        <v>-24692267</v>
      </c>
      <c r="EI45" s="475"/>
      <c r="EJ45" s="442"/>
      <c r="EK45" s="465"/>
      <c r="EL45" s="507"/>
      <c r="EM45" s="474">
        <f>SUM(EM46:EM50)</f>
        <v>-25875834</v>
      </c>
      <c r="EN45" s="475"/>
      <c r="EO45" s="442"/>
      <c r="EP45" s="455"/>
      <c r="ES45" s="472"/>
      <c r="ET45" s="472">
        <f>EM45-BZ45</f>
        <v>-50698877</v>
      </c>
    </row>
    <row r="46" spans="1:150" x14ac:dyDescent="0.2">
      <c r="A46" s="442"/>
      <c r="B46" s="442"/>
      <c r="C46" s="455" t="s">
        <v>300</v>
      </c>
      <c r="D46" s="442"/>
      <c r="E46" s="464"/>
      <c r="F46" s="492"/>
      <c r="G46" s="492"/>
      <c r="H46" s="481">
        <f>+[12]foreigndebt!G17</f>
        <v>29260000</v>
      </c>
      <c r="I46" s="480"/>
      <c r="J46" s="442"/>
      <c r="K46" s="465"/>
      <c r="L46" s="492"/>
      <c r="M46" s="481">
        <f>+[12]foreigndebt!L17</f>
        <v>0</v>
      </c>
      <c r="N46" s="480"/>
      <c r="O46" s="442"/>
      <c r="P46" s="465"/>
      <c r="Q46" s="492"/>
      <c r="R46" s="481">
        <f>+[12]foreigndebt!Q17</f>
        <v>0</v>
      </c>
      <c r="S46" s="480"/>
      <c r="T46" s="442"/>
      <c r="U46" s="465"/>
      <c r="V46" s="492"/>
      <c r="W46" s="481">
        <f>+[12]foreigndebt!V17</f>
        <v>0</v>
      </c>
      <c r="X46" s="480"/>
      <c r="Y46" s="442"/>
      <c r="Z46" s="465"/>
      <c r="AA46" s="492"/>
      <c r="AB46" s="481">
        <f>+[12]foreigndebt!AA17</f>
        <v>0</v>
      </c>
      <c r="AC46" s="480"/>
      <c r="AD46" s="442"/>
      <c r="AE46" s="465"/>
      <c r="AF46" s="492"/>
      <c r="AG46" s="481">
        <f>+[12]foreigndebt!AF17</f>
        <v>0</v>
      </c>
      <c r="AH46" s="480"/>
      <c r="AI46" s="442"/>
      <c r="AJ46" s="465"/>
      <c r="AK46" s="492"/>
      <c r="AL46" s="481">
        <f>+[12]foreigndebt!AK17</f>
        <v>0</v>
      </c>
      <c r="AM46" s="480"/>
      <c r="AN46" s="442"/>
      <c r="AO46" s="465"/>
      <c r="AP46" s="492"/>
      <c r="AQ46" s="481">
        <f>+[12]foreigndebt!AP17</f>
        <v>0</v>
      </c>
      <c r="AR46" s="480"/>
      <c r="AS46" s="442"/>
      <c r="AT46" s="465"/>
      <c r="AU46" s="492"/>
      <c r="AV46" s="481">
        <f>+[12]foreigndebt!AU17</f>
        <v>0</v>
      </c>
      <c r="AW46" s="480"/>
      <c r="AX46" s="442"/>
      <c r="AY46" s="465"/>
      <c r="AZ46" s="492"/>
      <c r="BA46" s="481">
        <f>+[12]foreigndebt!AZ17</f>
        <v>0</v>
      </c>
      <c r="BB46" s="480"/>
      <c r="BC46" s="442"/>
      <c r="BD46" s="465"/>
      <c r="BE46" s="492"/>
      <c r="BF46" s="481">
        <f>+[12]foreigndebt!BE17</f>
        <v>0</v>
      </c>
      <c r="BG46" s="480"/>
      <c r="BH46" s="442"/>
      <c r="BI46" s="465"/>
      <c r="BJ46" s="492"/>
      <c r="BK46" s="481">
        <f>+[12]foreigndebt!BJ17</f>
        <v>0</v>
      </c>
      <c r="BL46" s="480"/>
      <c r="BM46" s="442"/>
      <c r="BN46" s="465"/>
      <c r="BO46" s="492"/>
      <c r="BP46" s="481">
        <f>+[12]foreigndebt!BO17</f>
        <v>0</v>
      </c>
      <c r="BQ46" s="480"/>
      <c r="BR46" s="442"/>
      <c r="BS46" s="465"/>
      <c r="BT46" s="492"/>
      <c r="BU46" s="481">
        <f>+[12]foreigndebt!BT17</f>
        <v>0</v>
      </c>
      <c r="BV46" s="480"/>
      <c r="BW46" s="442"/>
      <c r="BX46" s="465"/>
      <c r="BY46" s="492"/>
      <c r="BZ46" s="479">
        <f>[12]foreigndebt!BY13</f>
        <v>76052000</v>
      </c>
      <c r="CA46" s="480"/>
      <c r="CB46" s="442"/>
      <c r="CC46" s="465"/>
      <c r="CD46" s="492"/>
      <c r="CE46" s="481">
        <f>+[12]foreigndebt!CD17</f>
        <v>0</v>
      </c>
      <c r="CF46" s="480"/>
      <c r="CG46" s="442"/>
      <c r="CH46" s="465"/>
      <c r="CI46" s="492"/>
      <c r="CJ46" s="481">
        <f>+[12]foreigndebt!CI17</f>
        <v>0</v>
      </c>
      <c r="CK46" s="480"/>
      <c r="CL46" s="442"/>
      <c r="CM46" s="465"/>
      <c r="CN46" s="492"/>
      <c r="CO46" s="481">
        <f>+[12]foreigndebt!CN17</f>
        <v>0</v>
      </c>
      <c r="CP46" s="480"/>
      <c r="CQ46" s="442"/>
      <c r="CR46" s="465"/>
      <c r="CS46" s="492"/>
      <c r="CT46" s="481">
        <f>+[12]foreigndebt!CS17</f>
        <v>0</v>
      </c>
      <c r="CU46" s="480"/>
      <c r="CV46" s="442"/>
      <c r="CW46" s="465"/>
      <c r="CX46" s="492"/>
      <c r="CY46" s="481">
        <f>+[12]foreigndebt!CX17</f>
        <v>0</v>
      </c>
      <c r="CZ46" s="480"/>
      <c r="DA46" s="442"/>
      <c r="DB46" s="465"/>
      <c r="DC46" s="492"/>
      <c r="DD46" s="481">
        <f>+[12]foreigndebt!DC17</f>
        <v>76052000</v>
      </c>
      <c r="DE46" s="480"/>
      <c r="DF46" s="442"/>
      <c r="DG46" s="465"/>
      <c r="DH46" s="492"/>
      <c r="DI46" s="481">
        <f>+[12]foreigndebt!DH17</f>
        <v>0</v>
      </c>
      <c r="DJ46" s="480"/>
      <c r="DK46" s="442"/>
      <c r="DL46" s="465"/>
      <c r="DM46" s="492"/>
      <c r="DN46" s="481">
        <f>+[12]foreigndebt!DM17</f>
        <v>0</v>
      </c>
      <c r="DO46" s="480"/>
      <c r="DP46" s="442"/>
      <c r="DQ46" s="465"/>
      <c r="DR46" s="492"/>
      <c r="DS46" s="481">
        <f>+[12]foreigndebt!DR17</f>
        <v>0</v>
      </c>
      <c r="DT46" s="480"/>
      <c r="DU46" s="442"/>
      <c r="DV46" s="465"/>
      <c r="DW46" s="492"/>
      <c r="DX46" s="481">
        <f>+[12]foreigndebt!DW17</f>
        <v>0</v>
      </c>
      <c r="DY46" s="480"/>
      <c r="DZ46" s="442"/>
      <c r="EA46" s="465"/>
      <c r="EB46" s="492"/>
      <c r="EC46" s="481">
        <f>+[12]foreigndebt!EB17</f>
        <v>0</v>
      </c>
      <c r="ED46" s="480"/>
      <c r="EE46" s="442"/>
      <c r="EF46" s="465"/>
      <c r="EG46" s="492"/>
      <c r="EH46" s="481">
        <f>+[12]foreigndebt!EG17</f>
        <v>0</v>
      </c>
      <c r="EI46" s="480"/>
      <c r="EJ46" s="442"/>
      <c r="EK46" s="465"/>
      <c r="EL46" s="492"/>
      <c r="EM46" s="481">
        <f>+[12]foreigndebt!EL17</f>
        <v>0</v>
      </c>
      <c r="EN46" s="480"/>
      <c r="EO46" s="442"/>
      <c r="EP46" s="455"/>
      <c r="ES46" s="472"/>
      <c r="ET46" s="472">
        <f t="shared" si="0"/>
        <v>-76052000</v>
      </c>
    </row>
    <row r="47" spans="1:150" x14ac:dyDescent="0.2">
      <c r="A47" s="442"/>
      <c r="B47" s="442"/>
      <c r="C47" s="455" t="s">
        <v>302</v>
      </c>
      <c r="D47" s="442"/>
      <c r="E47" s="464"/>
      <c r="F47" s="492"/>
      <c r="G47" s="492"/>
      <c r="H47" s="482">
        <f>-[12]foreigndebt!G19</f>
        <v>0</v>
      </c>
      <c r="I47" s="480"/>
      <c r="J47" s="442"/>
      <c r="K47" s="465"/>
      <c r="L47" s="492"/>
      <c r="M47" s="482">
        <f>-[12]foreigndebt!L19</f>
        <v>0</v>
      </c>
      <c r="N47" s="480"/>
      <c r="O47" s="442"/>
      <c r="P47" s="465"/>
      <c r="Q47" s="492"/>
      <c r="R47" s="482">
        <f>-[12]foreigndebt!Q19</f>
        <v>0</v>
      </c>
      <c r="S47" s="480"/>
      <c r="T47" s="442"/>
      <c r="U47" s="465"/>
      <c r="V47" s="492"/>
      <c r="W47" s="482">
        <f>-[12]foreigndebt!V19</f>
        <v>0</v>
      </c>
      <c r="X47" s="480"/>
      <c r="Y47" s="442"/>
      <c r="Z47" s="465"/>
      <c r="AA47" s="492"/>
      <c r="AB47" s="482">
        <f>-[12]foreigndebt!AA19</f>
        <v>0</v>
      </c>
      <c r="AC47" s="480"/>
      <c r="AD47" s="442"/>
      <c r="AE47" s="465"/>
      <c r="AF47" s="492"/>
      <c r="AG47" s="482">
        <f>-[12]foreigndebt!AF19</f>
        <v>0</v>
      </c>
      <c r="AH47" s="480"/>
      <c r="AI47" s="442"/>
      <c r="AJ47" s="465"/>
      <c r="AK47" s="492"/>
      <c r="AL47" s="482">
        <f>-[12]foreigndebt!AK19</f>
        <v>0</v>
      </c>
      <c r="AM47" s="480"/>
      <c r="AN47" s="442"/>
      <c r="AO47" s="465"/>
      <c r="AP47" s="492"/>
      <c r="AQ47" s="482">
        <f>-[12]foreigndebt!AP19</f>
        <v>0</v>
      </c>
      <c r="AR47" s="480"/>
      <c r="AS47" s="442"/>
      <c r="AT47" s="465"/>
      <c r="AU47" s="492"/>
      <c r="AV47" s="482">
        <f>-[12]foreigndebt!AU19</f>
        <v>0</v>
      </c>
      <c r="AW47" s="480"/>
      <c r="AX47" s="442"/>
      <c r="AY47" s="465"/>
      <c r="AZ47" s="492"/>
      <c r="BA47" s="482">
        <f>-[12]foreigndebt!AZ19</f>
        <v>0</v>
      </c>
      <c r="BB47" s="480"/>
      <c r="BC47" s="442"/>
      <c r="BD47" s="465"/>
      <c r="BE47" s="492"/>
      <c r="BF47" s="482">
        <f>-[12]foreigndebt!BE19</f>
        <v>0</v>
      </c>
      <c r="BG47" s="480"/>
      <c r="BH47" s="442"/>
      <c r="BI47" s="465"/>
      <c r="BJ47" s="492"/>
      <c r="BK47" s="482">
        <f>-[12]foreigndebt!BJ19</f>
        <v>0</v>
      </c>
      <c r="BL47" s="480"/>
      <c r="BM47" s="442"/>
      <c r="BN47" s="465"/>
      <c r="BO47" s="492"/>
      <c r="BP47" s="482">
        <f>-[12]foreigndebt!BO19</f>
        <v>0</v>
      </c>
      <c r="BQ47" s="480"/>
      <c r="BR47" s="442"/>
      <c r="BS47" s="465"/>
      <c r="BT47" s="492"/>
      <c r="BU47" s="482">
        <f>-[12]foreigndebt!BT19</f>
        <v>0</v>
      </c>
      <c r="BV47" s="480"/>
      <c r="BW47" s="442"/>
      <c r="BX47" s="465"/>
      <c r="BY47" s="492"/>
      <c r="BZ47" s="483">
        <f>-[12]foreigndebt!BY19</f>
        <v>0</v>
      </c>
      <c r="CA47" s="480"/>
      <c r="CB47" s="442"/>
      <c r="CC47" s="465"/>
      <c r="CD47" s="492"/>
      <c r="CE47" s="482">
        <f>-[12]foreigndebt!CD19</f>
        <v>0</v>
      </c>
      <c r="CF47" s="480"/>
      <c r="CG47" s="442"/>
      <c r="CH47" s="465"/>
      <c r="CI47" s="492"/>
      <c r="CJ47" s="482">
        <f>-[12]foreigndebt!CI19</f>
        <v>0</v>
      </c>
      <c r="CK47" s="480"/>
      <c r="CL47" s="442"/>
      <c r="CM47" s="465"/>
      <c r="CN47" s="492"/>
      <c r="CO47" s="482">
        <f>-[12]foreigndebt!CN19</f>
        <v>0</v>
      </c>
      <c r="CP47" s="480"/>
      <c r="CQ47" s="442"/>
      <c r="CR47" s="465"/>
      <c r="CS47" s="492"/>
      <c r="CT47" s="482">
        <f>-[12]foreigndebt!CS19</f>
        <v>0</v>
      </c>
      <c r="CU47" s="480"/>
      <c r="CV47" s="442"/>
      <c r="CW47" s="465"/>
      <c r="CX47" s="492"/>
      <c r="CY47" s="482">
        <f>-[12]foreigndebt!CX19</f>
        <v>0</v>
      </c>
      <c r="CZ47" s="480"/>
      <c r="DA47" s="442"/>
      <c r="DB47" s="465"/>
      <c r="DC47" s="492"/>
      <c r="DD47" s="482">
        <f>-[12]foreigndebt!DC19</f>
        <v>0</v>
      </c>
      <c r="DE47" s="480"/>
      <c r="DF47" s="442"/>
      <c r="DG47" s="465"/>
      <c r="DH47" s="492"/>
      <c r="DI47" s="482">
        <f>-[12]foreigndebt!DH19</f>
        <v>0</v>
      </c>
      <c r="DJ47" s="480"/>
      <c r="DK47" s="442"/>
      <c r="DL47" s="465"/>
      <c r="DM47" s="492"/>
      <c r="DN47" s="482">
        <f>-[12]foreigndebt!DM19</f>
        <v>0</v>
      </c>
      <c r="DO47" s="480"/>
      <c r="DP47" s="442"/>
      <c r="DQ47" s="465"/>
      <c r="DR47" s="492"/>
      <c r="DS47" s="482">
        <f>-[12]foreigndebt!DR19</f>
        <v>0</v>
      </c>
      <c r="DT47" s="480"/>
      <c r="DU47" s="442"/>
      <c r="DV47" s="465"/>
      <c r="DW47" s="492"/>
      <c r="DX47" s="482">
        <f>-[12]foreigndebt!DW19</f>
        <v>0</v>
      </c>
      <c r="DY47" s="480"/>
      <c r="DZ47" s="442"/>
      <c r="EA47" s="465"/>
      <c r="EB47" s="492"/>
      <c r="EC47" s="482">
        <f>-[12]foreigndebt!EB19</f>
        <v>0</v>
      </c>
      <c r="ED47" s="480"/>
      <c r="EE47" s="442"/>
      <c r="EF47" s="465"/>
      <c r="EG47" s="492"/>
      <c r="EH47" s="482">
        <f>-[12]foreigndebt!EG19</f>
        <v>0</v>
      </c>
      <c r="EI47" s="480"/>
      <c r="EJ47" s="442"/>
      <c r="EK47" s="465"/>
      <c r="EL47" s="492"/>
      <c r="EM47" s="482">
        <f>-[12]foreigndebt!EL19</f>
        <v>0</v>
      </c>
      <c r="EN47" s="480"/>
      <c r="EO47" s="442"/>
      <c r="EP47" s="455"/>
      <c r="ES47" s="472"/>
      <c r="ET47" s="472">
        <f t="shared" si="0"/>
        <v>0</v>
      </c>
    </row>
    <row r="48" spans="1:150" x14ac:dyDescent="0.2">
      <c r="A48" s="442"/>
      <c r="B48" s="442"/>
      <c r="C48" s="455" t="s">
        <v>303</v>
      </c>
      <c r="D48" s="442"/>
      <c r="E48" s="464"/>
      <c r="F48" s="492"/>
      <c r="G48" s="492"/>
      <c r="H48" s="482"/>
      <c r="I48" s="480"/>
      <c r="J48" s="442"/>
      <c r="K48" s="465"/>
      <c r="L48" s="492"/>
      <c r="M48" s="482"/>
      <c r="N48" s="480"/>
      <c r="O48" s="442"/>
      <c r="P48" s="465"/>
      <c r="Q48" s="492"/>
      <c r="R48" s="482"/>
      <c r="S48" s="480"/>
      <c r="T48" s="442"/>
      <c r="U48" s="465"/>
      <c r="V48" s="492"/>
      <c r="W48" s="482"/>
      <c r="X48" s="480"/>
      <c r="Y48" s="442"/>
      <c r="Z48" s="465"/>
      <c r="AA48" s="492"/>
      <c r="AB48" s="482"/>
      <c r="AC48" s="480"/>
      <c r="AD48" s="442"/>
      <c r="AE48" s="465"/>
      <c r="AF48" s="492"/>
      <c r="AG48" s="482"/>
      <c r="AH48" s="480"/>
      <c r="AI48" s="442"/>
      <c r="AJ48" s="465"/>
      <c r="AK48" s="492"/>
      <c r="AL48" s="482"/>
      <c r="AM48" s="480"/>
      <c r="AN48" s="442"/>
      <c r="AO48" s="465"/>
      <c r="AP48" s="492"/>
      <c r="AQ48" s="482"/>
      <c r="AR48" s="480"/>
      <c r="AS48" s="442"/>
      <c r="AT48" s="465"/>
      <c r="AU48" s="492"/>
      <c r="AV48" s="482"/>
      <c r="AW48" s="480"/>
      <c r="AX48" s="442"/>
      <c r="AY48" s="465"/>
      <c r="AZ48" s="492"/>
      <c r="BA48" s="482"/>
      <c r="BB48" s="480"/>
      <c r="BC48" s="442"/>
      <c r="BD48" s="465"/>
      <c r="BE48" s="492"/>
      <c r="BF48" s="482"/>
      <c r="BG48" s="480"/>
      <c r="BH48" s="442"/>
      <c r="BI48" s="465"/>
      <c r="BJ48" s="492"/>
      <c r="BK48" s="482"/>
      <c r="BL48" s="480"/>
      <c r="BM48" s="442"/>
      <c r="BN48" s="465"/>
      <c r="BO48" s="492"/>
      <c r="BP48" s="482"/>
      <c r="BQ48" s="480"/>
      <c r="BR48" s="442"/>
      <c r="BS48" s="465"/>
      <c r="BT48" s="492"/>
      <c r="BU48" s="482"/>
      <c r="BV48" s="480"/>
      <c r="BW48" s="442"/>
      <c r="BX48" s="465"/>
      <c r="BY48" s="492"/>
      <c r="BZ48" s="483"/>
      <c r="CA48" s="480"/>
      <c r="CB48" s="442"/>
      <c r="CC48" s="465"/>
      <c r="CD48" s="492"/>
      <c r="CE48" s="482"/>
      <c r="CF48" s="480"/>
      <c r="CG48" s="442"/>
      <c r="CH48" s="465"/>
      <c r="CI48" s="492"/>
      <c r="CJ48" s="482"/>
      <c r="CK48" s="480"/>
      <c r="CL48" s="442"/>
      <c r="CM48" s="465"/>
      <c r="CN48" s="492"/>
      <c r="CO48" s="482"/>
      <c r="CP48" s="480"/>
      <c r="CQ48" s="442"/>
      <c r="CR48" s="465"/>
      <c r="CS48" s="492"/>
      <c r="CT48" s="482"/>
      <c r="CU48" s="480"/>
      <c r="CV48" s="442"/>
      <c r="CW48" s="465"/>
      <c r="CX48" s="492"/>
      <c r="CY48" s="482"/>
      <c r="CZ48" s="480"/>
      <c r="DA48" s="442"/>
      <c r="DB48" s="465"/>
      <c r="DC48" s="492"/>
      <c r="DD48" s="482"/>
      <c r="DE48" s="480"/>
      <c r="DF48" s="442"/>
      <c r="DG48" s="465"/>
      <c r="DH48" s="492"/>
      <c r="DI48" s="482"/>
      <c r="DJ48" s="480"/>
      <c r="DK48" s="442"/>
      <c r="DL48" s="465"/>
      <c r="DM48" s="492"/>
      <c r="DN48" s="482"/>
      <c r="DO48" s="480"/>
      <c r="DP48" s="442"/>
      <c r="DQ48" s="465"/>
      <c r="DR48" s="492"/>
      <c r="DS48" s="482"/>
      <c r="DT48" s="480"/>
      <c r="DU48" s="442"/>
      <c r="DV48" s="465"/>
      <c r="DW48" s="492"/>
      <c r="DX48" s="482"/>
      <c r="DY48" s="480"/>
      <c r="DZ48" s="442"/>
      <c r="EA48" s="465"/>
      <c r="EB48" s="492"/>
      <c r="EC48" s="482"/>
      <c r="ED48" s="480"/>
      <c r="EE48" s="442"/>
      <c r="EF48" s="465"/>
      <c r="EG48" s="492"/>
      <c r="EH48" s="482"/>
      <c r="EI48" s="480"/>
      <c r="EJ48" s="442"/>
      <c r="EK48" s="465"/>
      <c r="EL48" s="492"/>
      <c r="EM48" s="482"/>
      <c r="EN48" s="480"/>
      <c r="EO48" s="442"/>
      <c r="EP48" s="455"/>
      <c r="ES48" s="472"/>
      <c r="ET48" s="472">
        <f t="shared" si="0"/>
        <v>0</v>
      </c>
    </row>
    <row r="49" spans="1:150" x14ac:dyDescent="0.2">
      <c r="A49" s="442"/>
      <c r="B49" s="442"/>
      <c r="C49" s="319" t="s">
        <v>316</v>
      </c>
      <c r="D49" s="442"/>
      <c r="E49" s="464"/>
      <c r="F49" s="492"/>
      <c r="G49" s="492"/>
      <c r="H49" s="482">
        <f>-[12]foreigndebt!G109</f>
        <v>-7961000</v>
      </c>
      <c r="I49" s="480"/>
      <c r="J49" s="442"/>
      <c r="K49" s="465"/>
      <c r="L49" s="492"/>
      <c r="M49" s="482">
        <f>-[12]foreigndebt!L109</f>
        <v>-391647</v>
      </c>
      <c r="N49" s="480"/>
      <c r="O49" s="442"/>
      <c r="P49" s="465"/>
      <c r="Q49" s="492"/>
      <c r="R49" s="482">
        <f>-[12]foreigndebt!Q109</f>
        <v>-1962723</v>
      </c>
      <c r="S49" s="480"/>
      <c r="T49" s="442"/>
      <c r="U49" s="465"/>
      <c r="V49" s="492"/>
      <c r="W49" s="482">
        <f>-[12]foreigndebt!V109</f>
        <v>0</v>
      </c>
      <c r="X49" s="480"/>
      <c r="Y49" s="442"/>
      <c r="Z49" s="465"/>
      <c r="AA49" s="492"/>
      <c r="AB49" s="482">
        <f>-[12]foreigndebt!AA109</f>
        <v>0</v>
      </c>
      <c r="AC49" s="480"/>
      <c r="AD49" s="442"/>
      <c r="AE49" s="465"/>
      <c r="AF49" s="492"/>
      <c r="AG49" s="482">
        <f>-[12]foreigndebt!AF109</f>
        <v>0</v>
      </c>
      <c r="AH49" s="480"/>
      <c r="AI49" s="442"/>
      <c r="AJ49" s="465"/>
      <c r="AK49" s="492"/>
      <c r="AL49" s="482">
        <f>-[12]foreigndebt!AK109</f>
        <v>0</v>
      </c>
      <c r="AM49" s="480"/>
      <c r="AN49" s="442"/>
      <c r="AO49" s="465"/>
      <c r="AP49" s="492"/>
      <c r="AQ49" s="482">
        <f>-[12]foreigndebt!AP109</f>
        <v>0</v>
      </c>
      <c r="AR49" s="480"/>
      <c r="AS49" s="442"/>
      <c r="AT49" s="465"/>
      <c r="AU49" s="492"/>
      <c r="AV49" s="482">
        <f>-[12]foreigndebt!AU109</f>
        <v>0</v>
      </c>
      <c r="AW49" s="480"/>
      <c r="AX49" s="442"/>
      <c r="AY49" s="465"/>
      <c r="AZ49" s="492"/>
      <c r="BA49" s="482">
        <f>-[12]foreigndebt!AZ109</f>
        <v>0</v>
      </c>
      <c r="BB49" s="480"/>
      <c r="BC49" s="442"/>
      <c r="BD49" s="465"/>
      <c r="BE49" s="492"/>
      <c r="BF49" s="482">
        <f>-[12]foreigndebt!BE109</f>
        <v>0</v>
      </c>
      <c r="BG49" s="480"/>
      <c r="BH49" s="442"/>
      <c r="BI49" s="465"/>
      <c r="BJ49" s="492"/>
      <c r="BK49" s="482">
        <f>-[12]foreigndebt!BJ109</f>
        <v>0</v>
      </c>
      <c r="BL49" s="480"/>
      <c r="BM49" s="442"/>
      <c r="BN49" s="465"/>
      <c r="BO49" s="492"/>
      <c r="BP49" s="482">
        <f>-[12]foreigndebt!BO109</f>
        <v>0</v>
      </c>
      <c r="BQ49" s="480"/>
      <c r="BR49" s="442"/>
      <c r="BS49" s="465"/>
      <c r="BT49" s="492"/>
      <c r="BU49" s="482">
        <f>-[12]foreigndebt!BT109</f>
        <v>-2354370</v>
      </c>
      <c r="BV49" s="480"/>
      <c r="BW49" s="442"/>
      <c r="BX49" s="465"/>
      <c r="BY49" s="492"/>
      <c r="BZ49" s="483">
        <f>-[12]foreigndebt!BY109</f>
        <v>-26952291</v>
      </c>
      <c r="CA49" s="480"/>
      <c r="CB49" s="442"/>
      <c r="CC49" s="465"/>
      <c r="CD49" s="492"/>
      <c r="CE49" s="482">
        <f>-[12]foreigndebt!CD109</f>
        <v>-391647</v>
      </c>
      <c r="CF49" s="480"/>
      <c r="CG49" s="442"/>
      <c r="CH49" s="465"/>
      <c r="CI49" s="492"/>
      <c r="CJ49" s="482">
        <f>-[12]foreigndebt!CI109</f>
        <v>-14120864</v>
      </c>
      <c r="CK49" s="480"/>
      <c r="CL49" s="442"/>
      <c r="CM49" s="465"/>
      <c r="CN49" s="492"/>
      <c r="CO49" s="482">
        <f>-[12]foreigndebt!CN109</f>
        <v>0</v>
      </c>
      <c r="CP49" s="480"/>
      <c r="CQ49" s="442"/>
      <c r="CR49" s="465"/>
      <c r="CS49" s="492"/>
      <c r="CT49" s="482">
        <f>-[12]foreigndebt!CS109</f>
        <v>0</v>
      </c>
      <c r="CU49" s="480"/>
      <c r="CV49" s="442"/>
      <c r="CW49" s="465"/>
      <c r="CX49" s="492"/>
      <c r="CY49" s="482">
        <f>-[12]foreigndebt!CX109</f>
        <v>0</v>
      </c>
      <c r="CZ49" s="480"/>
      <c r="DA49" s="442"/>
      <c r="DB49" s="465"/>
      <c r="DC49" s="492"/>
      <c r="DD49" s="482">
        <f>-[12]foreigndebt!DC109</f>
        <v>0</v>
      </c>
      <c r="DE49" s="480"/>
      <c r="DF49" s="442"/>
      <c r="DG49" s="465"/>
      <c r="DH49" s="492"/>
      <c r="DI49" s="482">
        <f>-[12]foreigndebt!DH109</f>
        <v>-391647</v>
      </c>
      <c r="DJ49" s="480"/>
      <c r="DK49" s="442"/>
      <c r="DL49" s="465"/>
      <c r="DM49" s="492"/>
      <c r="DN49" s="482">
        <f>-[12]foreigndebt!DM109</f>
        <v>-1940</v>
      </c>
      <c r="DO49" s="480"/>
      <c r="DP49" s="442"/>
      <c r="DQ49" s="465"/>
      <c r="DR49" s="492"/>
      <c r="DS49" s="482">
        <f>-[12]foreigndebt!DR109</f>
        <v>0</v>
      </c>
      <c r="DT49" s="480"/>
      <c r="DU49" s="442"/>
      <c r="DV49" s="465"/>
      <c r="DW49" s="492"/>
      <c r="DX49" s="482">
        <f>-[12]foreigndebt!DW109</f>
        <v>0</v>
      </c>
      <c r="DY49" s="480"/>
      <c r="DZ49" s="442"/>
      <c r="EA49" s="465"/>
      <c r="EB49" s="492"/>
      <c r="EC49" s="482">
        <f>-[12]foreigndebt!EB109</f>
        <v>0</v>
      </c>
      <c r="ED49" s="480"/>
      <c r="EE49" s="442"/>
      <c r="EF49" s="465"/>
      <c r="EG49" s="492"/>
      <c r="EH49" s="482">
        <f>-[12]foreigndebt!EG109</f>
        <v>-12046193</v>
      </c>
      <c r="EI49" s="480"/>
      <c r="EJ49" s="442"/>
      <c r="EK49" s="465"/>
      <c r="EL49" s="492"/>
      <c r="EM49" s="482">
        <f>-[12]foreigndebt!EL109</f>
        <v>-14512511</v>
      </c>
      <c r="EN49" s="480"/>
      <c r="EO49" s="442"/>
      <c r="EP49" s="455"/>
      <c r="ES49" s="472"/>
      <c r="ET49" s="472">
        <f t="shared" si="0"/>
        <v>12439780</v>
      </c>
    </row>
    <row r="50" spans="1:150" x14ac:dyDescent="0.2">
      <c r="A50" s="442"/>
      <c r="B50" s="442"/>
      <c r="C50" s="319" t="s">
        <v>317</v>
      </c>
      <c r="D50" s="442"/>
      <c r="E50" s="464"/>
      <c r="F50" s="492"/>
      <c r="G50" s="492"/>
      <c r="H50" s="485">
        <f>-[12]foreigndebt!G110</f>
        <v>-4273000</v>
      </c>
      <c r="I50" s="480"/>
      <c r="J50" s="442"/>
      <c r="K50" s="465"/>
      <c r="L50" s="492"/>
      <c r="M50" s="485">
        <f>-[12]foreigndebt!L110</f>
        <v>-386018</v>
      </c>
      <c r="N50" s="480"/>
      <c r="O50" s="442"/>
      <c r="P50" s="465"/>
      <c r="Q50" s="492"/>
      <c r="R50" s="485">
        <f>-[12]foreigndebt!Q110</f>
        <v>-2969263</v>
      </c>
      <c r="S50" s="480"/>
      <c r="T50" s="442"/>
      <c r="U50" s="465"/>
      <c r="V50" s="492"/>
      <c r="W50" s="485">
        <f>-[12]foreigndebt!V110</f>
        <v>0</v>
      </c>
      <c r="X50" s="480"/>
      <c r="Y50" s="442"/>
      <c r="Z50" s="465"/>
      <c r="AA50" s="492"/>
      <c r="AB50" s="485">
        <f>-[12]foreigndebt!AA110</f>
        <v>0</v>
      </c>
      <c r="AC50" s="480"/>
      <c r="AD50" s="442"/>
      <c r="AE50" s="465"/>
      <c r="AF50" s="492"/>
      <c r="AG50" s="485">
        <f>-[12]foreigndebt!AF110</f>
        <v>0</v>
      </c>
      <c r="AH50" s="480"/>
      <c r="AI50" s="442"/>
      <c r="AJ50" s="465"/>
      <c r="AK50" s="492"/>
      <c r="AL50" s="485">
        <f>-[12]foreigndebt!AK110</f>
        <v>0</v>
      </c>
      <c r="AM50" s="480"/>
      <c r="AN50" s="442"/>
      <c r="AO50" s="465"/>
      <c r="AP50" s="492"/>
      <c r="AQ50" s="485">
        <f>-[12]foreigndebt!AP110</f>
        <v>0</v>
      </c>
      <c r="AR50" s="480"/>
      <c r="AS50" s="442"/>
      <c r="AT50" s="465"/>
      <c r="AU50" s="492"/>
      <c r="AV50" s="485">
        <f>-[12]foreigndebt!AU110</f>
        <v>0</v>
      </c>
      <c r="AW50" s="480"/>
      <c r="AX50" s="442"/>
      <c r="AY50" s="465"/>
      <c r="AZ50" s="492"/>
      <c r="BA50" s="485">
        <f>-[12]foreigndebt!AZ110</f>
        <v>0</v>
      </c>
      <c r="BB50" s="480"/>
      <c r="BC50" s="442"/>
      <c r="BD50" s="465"/>
      <c r="BE50" s="492"/>
      <c r="BF50" s="485">
        <f>-[12]foreigndebt!BE110</f>
        <v>0</v>
      </c>
      <c r="BG50" s="480"/>
      <c r="BH50" s="442"/>
      <c r="BI50" s="465"/>
      <c r="BJ50" s="492"/>
      <c r="BK50" s="485">
        <f>-[12]foreigndebt!BJ110</f>
        <v>0</v>
      </c>
      <c r="BL50" s="480"/>
      <c r="BM50" s="442"/>
      <c r="BN50" s="465"/>
      <c r="BO50" s="492"/>
      <c r="BP50" s="485">
        <f>-[12]foreigndebt!BO110</f>
        <v>0</v>
      </c>
      <c r="BQ50" s="480"/>
      <c r="BR50" s="442"/>
      <c r="BS50" s="465"/>
      <c r="BT50" s="492"/>
      <c r="BU50" s="485">
        <f>-[12]foreigndebt!BT110</f>
        <v>-3355281</v>
      </c>
      <c r="BV50" s="480"/>
      <c r="BW50" s="442"/>
      <c r="BX50" s="465"/>
      <c r="BY50" s="492"/>
      <c r="BZ50" s="484">
        <f>-[12]foreigndebt!BY110</f>
        <v>-24276666</v>
      </c>
      <c r="CA50" s="480"/>
      <c r="CB50" s="442"/>
      <c r="CC50" s="465"/>
      <c r="CD50" s="492"/>
      <c r="CE50" s="485">
        <f>-[12]foreigndebt!CD110</f>
        <v>-236802</v>
      </c>
      <c r="CF50" s="480"/>
      <c r="CG50" s="442"/>
      <c r="CH50" s="465"/>
      <c r="CI50" s="492"/>
      <c r="CJ50" s="485">
        <f>-[12]foreigndebt!CI110</f>
        <v>-11126521</v>
      </c>
      <c r="CK50" s="480"/>
      <c r="CL50" s="442"/>
      <c r="CM50" s="465"/>
      <c r="CN50" s="492"/>
      <c r="CO50" s="485">
        <f>-[12]foreigndebt!CN110</f>
        <v>0</v>
      </c>
      <c r="CP50" s="480"/>
      <c r="CQ50" s="442"/>
      <c r="CR50" s="465"/>
      <c r="CS50" s="492"/>
      <c r="CT50" s="485">
        <f>-[12]foreigndebt!CS110</f>
        <v>0</v>
      </c>
      <c r="CU50" s="480"/>
      <c r="CV50" s="442"/>
      <c r="CW50" s="465"/>
      <c r="CX50" s="492"/>
      <c r="CY50" s="485">
        <f>-[12]foreigndebt!CX110</f>
        <v>0</v>
      </c>
      <c r="CZ50" s="480"/>
      <c r="DA50" s="442"/>
      <c r="DB50" s="465"/>
      <c r="DC50" s="492"/>
      <c r="DD50" s="485">
        <f>-[12]foreigndebt!DC110</f>
        <v>0</v>
      </c>
      <c r="DE50" s="480"/>
      <c r="DF50" s="442"/>
      <c r="DG50" s="465"/>
      <c r="DH50" s="492"/>
      <c r="DI50" s="485">
        <f>-[12]foreigndebt!DH110</f>
        <v>-262844</v>
      </c>
      <c r="DJ50" s="480"/>
      <c r="DK50" s="442"/>
      <c r="DL50" s="465"/>
      <c r="DM50" s="492"/>
      <c r="DN50" s="485">
        <f>-[12]foreigndebt!DM110</f>
        <v>-4425</v>
      </c>
      <c r="DO50" s="480"/>
      <c r="DP50" s="442"/>
      <c r="DQ50" s="465"/>
      <c r="DR50" s="492"/>
      <c r="DS50" s="485">
        <f>-[12]foreigndebt!DR110</f>
        <v>0</v>
      </c>
      <c r="DT50" s="480"/>
      <c r="DU50" s="442"/>
      <c r="DV50" s="465"/>
      <c r="DW50" s="492"/>
      <c r="DX50" s="485">
        <f>-[12]foreigndebt!DW110</f>
        <v>0</v>
      </c>
      <c r="DY50" s="480"/>
      <c r="DZ50" s="442"/>
      <c r="EA50" s="465"/>
      <c r="EB50" s="492"/>
      <c r="EC50" s="485">
        <f>-[12]foreigndebt!EB110</f>
        <v>0</v>
      </c>
      <c r="ED50" s="480"/>
      <c r="EE50" s="442"/>
      <c r="EF50" s="465"/>
      <c r="EG50" s="492"/>
      <c r="EH50" s="485">
        <f>-[12]foreigndebt!EG110</f>
        <v>-12646074</v>
      </c>
      <c r="EI50" s="480"/>
      <c r="EJ50" s="442"/>
      <c r="EK50" s="465"/>
      <c r="EL50" s="492"/>
      <c r="EM50" s="485">
        <f>-[12]foreigndebt!EL110</f>
        <v>-11363323</v>
      </c>
      <c r="EN50" s="480"/>
      <c r="EO50" s="442"/>
      <c r="EP50" s="455"/>
      <c r="ES50" s="472"/>
      <c r="ET50" s="472">
        <f t="shared" si="0"/>
        <v>12913343</v>
      </c>
    </row>
    <row r="51" spans="1:150" ht="13.9" hidden="1" customHeight="1" x14ac:dyDescent="0.2">
      <c r="A51" s="442"/>
      <c r="B51" s="442"/>
      <c r="C51" s="455"/>
      <c r="D51" s="442"/>
      <c r="E51" s="464"/>
      <c r="F51" s="492"/>
      <c r="G51" s="492"/>
      <c r="H51" s="442"/>
      <c r="I51" s="480"/>
      <c r="J51" s="442"/>
      <c r="K51" s="465"/>
      <c r="L51" s="492"/>
      <c r="M51" s="442"/>
      <c r="N51" s="480"/>
      <c r="O51" s="442"/>
      <c r="P51" s="465"/>
      <c r="Q51" s="492"/>
      <c r="R51" s="442"/>
      <c r="S51" s="480"/>
      <c r="T51" s="442"/>
      <c r="U51" s="465"/>
      <c r="V51" s="492"/>
      <c r="W51" s="442"/>
      <c r="X51" s="480"/>
      <c r="Y51" s="442"/>
      <c r="Z51" s="465"/>
      <c r="AA51" s="492"/>
      <c r="AB51" s="442"/>
      <c r="AC51" s="480"/>
      <c r="AD51" s="442"/>
      <c r="AE51" s="465"/>
      <c r="AF51" s="492"/>
      <c r="AG51" s="442"/>
      <c r="AH51" s="480"/>
      <c r="AI51" s="442"/>
      <c r="AJ51" s="465"/>
      <c r="AK51" s="492"/>
      <c r="AL51" s="442"/>
      <c r="AM51" s="480"/>
      <c r="AN51" s="442"/>
      <c r="AO51" s="465"/>
      <c r="AP51" s="492"/>
      <c r="AQ51" s="442"/>
      <c r="AR51" s="480"/>
      <c r="AS51" s="442"/>
      <c r="AT51" s="465"/>
      <c r="AU51" s="492"/>
      <c r="AV51" s="442"/>
      <c r="AW51" s="480"/>
      <c r="AX51" s="442"/>
      <c r="AY51" s="465"/>
      <c r="AZ51" s="492"/>
      <c r="BA51" s="442"/>
      <c r="BB51" s="480"/>
      <c r="BC51" s="442"/>
      <c r="BD51" s="465"/>
      <c r="BE51" s="492"/>
      <c r="BF51" s="442"/>
      <c r="BG51" s="480"/>
      <c r="BH51" s="442"/>
      <c r="BI51" s="465"/>
      <c r="BJ51" s="492"/>
      <c r="BK51" s="442"/>
      <c r="BL51" s="480"/>
      <c r="BM51" s="442"/>
      <c r="BN51" s="465"/>
      <c r="BO51" s="492"/>
      <c r="BP51" s="442"/>
      <c r="BQ51" s="480"/>
      <c r="BR51" s="442"/>
      <c r="BS51" s="465"/>
      <c r="BT51" s="492"/>
      <c r="BU51" s="442"/>
      <c r="BV51" s="480"/>
      <c r="BW51" s="442"/>
      <c r="BX51" s="465"/>
      <c r="BY51" s="492"/>
      <c r="BZ51" s="486"/>
      <c r="CA51" s="480"/>
      <c r="CB51" s="442"/>
      <c r="CC51" s="465"/>
      <c r="CD51" s="492"/>
      <c r="CE51" s="442"/>
      <c r="CF51" s="480"/>
      <c r="CG51" s="442"/>
      <c r="CH51" s="465"/>
      <c r="CI51" s="492"/>
      <c r="CJ51" s="442"/>
      <c r="CK51" s="480"/>
      <c r="CL51" s="442"/>
      <c r="CM51" s="465"/>
      <c r="CN51" s="492"/>
      <c r="CO51" s="442"/>
      <c r="CP51" s="480"/>
      <c r="CQ51" s="442"/>
      <c r="CR51" s="465"/>
      <c r="CS51" s="492"/>
      <c r="CT51" s="442"/>
      <c r="CU51" s="480"/>
      <c r="CV51" s="442"/>
      <c r="CW51" s="465"/>
      <c r="CX51" s="492"/>
      <c r="CY51" s="442"/>
      <c r="CZ51" s="480"/>
      <c r="DA51" s="442"/>
      <c r="DB51" s="465"/>
      <c r="DC51" s="492"/>
      <c r="DD51" s="442"/>
      <c r="DE51" s="480"/>
      <c r="DF51" s="442"/>
      <c r="DG51" s="465"/>
      <c r="DH51" s="492"/>
      <c r="DI51" s="442"/>
      <c r="DJ51" s="480"/>
      <c r="DK51" s="442"/>
      <c r="DL51" s="465"/>
      <c r="DM51" s="492"/>
      <c r="DN51" s="442"/>
      <c r="DO51" s="480"/>
      <c r="DP51" s="442"/>
      <c r="DQ51" s="465"/>
      <c r="DR51" s="492"/>
      <c r="DS51" s="442"/>
      <c r="DT51" s="480"/>
      <c r="DU51" s="442"/>
      <c r="DV51" s="465"/>
      <c r="DW51" s="492"/>
      <c r="DX51" s="442"/>
      <c r="DY51" s="480"/>
      <c r="DZ51" s="442"/>
      <c r="EA51" s="465"/>
      <c r="EB51" s="492"/>
      <c r="EC51" s="442"/>
      <c r="ED51" s="480"/>
      <c r="EE51" s="442"/>
      <c r="EF51" s="465"/>
      <c r="EG51" s="492"/>
      <c r="EH51" s="442"/>
      <c r="EI51" s="480"/>
      <c r="EJ51" s="442"/>
      <c r="EK51" s="465"/>
      <c r="EL51" s="492"/>
      <c r="EM51" s="442"/>
      <c r="EN51" s="480"/>
      <c r="EO51" s="442"/>
      <c r="EP51" s="455"/>
      <c r="ES51" s="472"/>
      <c r="ET51" s="472">
        <f t="shared" si="0"/>
        <v>0</v>
      </c>
    </row>
    <row r="52" spans="1:150" ht="13.9" hidden="1" customHeight="1" x14ac:dyDescent="0.2">
      <c r="A52" s="442"/>
      <c r="B52" s="442"/>
      <c r="C52" s="455" t="s">
        <v>306</v>
      </c>
      <c r="D52" s="442"/>
      <c r="E52" s="464"/>
      <c r="F52" s="492"/>
      <c r="G52" s="492"/>
      <c r="H52" s="442">
        <f>SUM(H53:H57)</f>
        <v>0</v>
      </c>
      <c r="I52" s="480"/>
      <c r="J52" s="442"/>
      <c r="K52" s="465"/>
      <c r="L52" s="492"/>
      <c r="M52" s="442">
        <f>SUM(M53:M57)</f>
        <v>0</v>
      </c>
      <c r="N52" s="480"/>
      <c r="O52" s="442"/>
      <c r="P52" s="465"/>
      <c r="Q52" s="492"/>
      <c r="R52" s="442">
        <f>SUM(R53:R57)</f>
        <v>0</v>
      </c>
      <c r="S52" s="480"/>
      <c r="T52" s="442"/>
      <c r="U52" s="465"/>
      <c r="V52" s="492"/>
      <c r="W52" s="442">
        <f>SUM(W53:W57)</f>
        <v>0</v>
      </c>
      <c r="X52" s="480"/>
      <c r="Y52" s="442"/>
      <c r="Z52" s="465"/>
      <c r="AA52" s="492"/>
      <c r="AB52" s="442">
        <f>SUM(AB53:AB57)</f>
        <v>0</v>
      </c>
      <c r="AC52" s="480"/>
      <c r="AD52" s="442"/>
      <c r="AE52" s="465"/>
      <c r="AF52" s="492"/>
      <c r="AG52" s="442">
        <f>SUM(AG53:AG57)</f>
        <v>0</v>
      </c>
      <c r="AH52" s="480"/>
      <c r="AI52" s="442"/>
      <c r="AJ52" s="465"/>
      <c r="AK52" s="492"/>
      <c r="AL52" s="442">
        <f>SUM(AL53:AL57)</f>
        <v>0</v>
      </c>
      <c r="AM52" s="480"/>
      <c r="AN52" s="442"/>
      <c r="AO52" s="465"/>
      <c r="AP52" s="492"/>
      <c r="AQ52" s="442">
        <f>SUM(AQ53:AQ57)</f>
        <v>0</v>
      </c>
      <c r="AR52" s="480"/>
      <c r="AS52" s="442"/>
      <c r="AT52" s="465"/>
      <c r="AU52" s="492"/>
      <c r="AV52" s="442">
        <f>SUM(AV53:AV57)</f>
        <v>0</v>
      </c>
      <c r="AW52" s="480"/>
      <c r="AX52" s="442"/>
      <c r="AY52" s="465"/>
      <c r="AZ52" s="492"/>
      <c r="BA52" s="442">
        <f>SUM(BA53:BA57)</f>
        <v>0</v>
      </c>
      <c r="BB52" s="480"/>
      <c r="BC52" s="442"/>
      <c r="BD52" s="465"/>
      <c r="BE52" s="492"/>
      <c r="BF52" s="442">
        <f>SUM(BF53:BF57)</f>
        <v>0</v>
      </c>
      <c r="BG52" s="480"/>
      <c r="BH52" s="442"/>
      <c r="BI52" s="465"/>
      <c r="BJ52" s="492"/>
      <c r="BK52" s="442">
        <f>SUM(BK53:BK57)</f>
        <v>0</v>
      </c>
      <c r="BL52" s="480"/>
      <c r="BM52" s="442"/>
      <c r="BN52" s="465"/>
      <c r="BO52" s="492"/>
      <c r="BP52" s="442">
        <f>SUM(BP53:BP57)</f>
        <v>0</v>
      </c>
      <c r="BQ52" s="480"/>
      <c r="BR52" s="442"/>
      <c r="BS52" s="465"/>
      <c r="BT52" s="492"/>
      <c r="BU52" s="442">
        <f>SUM(BU53:BU57)</f>
        <v>0</v>
      </c>
      <c r="BV52" s="480"/>
      <c r="BW52" s="442"/>
      <c r="BX52" s="465"/>
      <c r="BY52" s="492"/>
      <c r="BZ52" s="486">
        <f>SUM(BZ53:BZ57)</f>
        <v>0</v>
      </c>
      <c r="CA52" s="480"/>
      <c r="CB52" s="442"/>
      <c r="CC52" s="465"/>
      <c r="CD52" s="492"/>
      <c r="CE52" s="442">
        <f>SUM(CE53:CE57)</f>
        <v>0</v>
      </c>
      <c r="CF52" s="480"/>
      <c r="CG52" s="442"/>
      <c r="CH52" s="465"/>
      <c r="CI52" s="492"/>
      <c r="CJ52" s="442">
        <f>SUM(CJ53:CJ57)</f>
        <v>0</v>
      </c>
      <c r="CK52" s="480"/>
      <c r="CL52" s="442"/>
      <c r="CM52" s="465"/>
      <c r="CN52" s="492"/>
      <c r="CO52" s="442">
        <f>SUM(CO53:CO57)</f>
        <v>0</v>
      </c>
      <c r="CP52" s="480"/>
      <c r="CQ52" s="442"/>
      <c r="CR52" s="465"/>
      <c r="CS52" s="492"/>
      <c r="CT52" s="442">
        <f>SUM(CT53:CT57)</f>
        <v>0</v>
      </c>
      <c r="CU52" s="480"/>
      <c r="CV52" s="442"/>
      <c r="CW52" s="465"/>
      <c r="CX52" s="492"/>
      <c r="CY52" s="442">
        <f>SUM(CY53:CY57)</f>
        <v>0</v>
      </c>
      <c r="CZ52" s="480"/>
      <c r="DA52" s="442"/>
      <c r="DB52" s="465"/>
      <c r="DC52" s="492"/>
      <c r="DD52" s="442">
        <f>SUM(DD53:DD57)</f>
        <v>0</v>
      </c>
      <c r="DE52" s="480"/>
      <c r="DF52" s="442"/>
      <c r="DG52" s="465"/>
      <c r="DH52" s="492"/>
      <c r="DI52" s="442">
        <f>SUM(DI53:DI57)</f>
        <v>0</v>
      </c>
      <c r="DJ52" s="480"/>
      <c r="DK52" s="442"/>
      <c r="DL52" s="465"/>
      <c r="DM52" s="492"/>
      <c r="DN52" s="442">
        <f>SUM(DN53:DN57)</f>
        <v>0</v>
      </c>
      <c r="DO52" s="480"/>
      <c r="DP52" s="442"/>
      <c r="DQ52" s="465"/>
      <c r="DR52" s="492"/>
      <c r="DS52" s="442">
        <f>SUM(DS53:DS57)</f>
        <v>0</v>
      </c>
      <c r="DT52" s="480"/>
      <c r="DU52" s="442"/>
      <c r="DV52" s="465"/>
      <c r="DW52" s="492"/>
      <c r="DX52" s="442">
        <f>SUM(DX53:DX57)</f>
        <v>0</v>
      </c>
      <c r="DY52" s="480"/>
      <c r="DZ52" s="442"/>
      <c r="EA52" s="465"/>
      <c r="EB52" s="492"/>
      <c r="EC52" s="442">
        <f>SUM(EC53:EC57)</f>
        <v>0</v>
      </c>
      <c r="ED52" s="480"/>
      <c r="EE52" s="442"/>
      <c r="EF52" s="465"/>
      <c r="EG52" s="492"/>
      <c r="EH52" s="442">
        <f>SUM(EH53:EH57)</f>
        <v>0</v>
      </c>
      <c r="EI52" s="480"/>
      <c r="EJ52" s="442"/>
      <c r="EK52" s="465"/>
      <c r="EL52" s="492"/>
      <c r="EM52" s="442">
        <f>SUM(EM53:EM57)</f>
        <v>0</v>
      </c>
      <c r="EN52" s="480"/>
      <c r="EO52" s="442"/>
      <c r="EP52" s="455"/>
      <c r="ES52" s="472"/>
      <c r="ET52" s="472">
        <f t="shared" si="0"/>
        <v>0</v>
      </c>
    </row>
    <row r="53" spans="1:150" ht="13.9" hidden="1" customHeight="1" x14ac:dyDescent="0.2">
      <c r="A53" s="442"/>
      <c r="B53" s="442"/>
      <c r="C53" s="455" t="s">
        <v>300</v>
      </c>
      <c r="D53" s="442"/>
      <c r="E53" s="464"/>
      <c r="F53" s="492"/>
      <c r="G53" s="492"/>
      <c r="H53" s="481">
        <f>[12]foreigndebt!G63</f>
        <v>0</v>
      </c>
      <c r="I53" s="480"/>
      <c r="J53" s="442"/>
      <c r="K53" s="465"/>
      <c r="L53" s="492"/>
      <c r="M53" s="481">
        <f>[12]foreigndebt!L63</f>
        <v>0</v>
      </c>
      <c r="N53" s="480"/>
      <c r="O53" s="442"/>
      <c r="P53" s="465"/>
      <c r="Q53" s="492"/>
      <c r="R53" s="481">
        <f>[12]foreigndebt!Q63</f>
        <v>0</v>
      </c>
      <c r="S53" s="480"/>
      <c r="T53" s="442"/>
      <c r="U53" s="465"/>
      <c r="V53" s="492"/>
      <c r="W53" s="481">
        <f>[12]foreigndebt!V63</f>
        <v>0</v>
      </c>
      <c r="X53" s="480"/>
      <c r="Y53" s="442"/>
      <c r="Z53" s="465"/>
      <c r="AA53" s="492"/>
      <c r="AB53" s="481">
        <f>[12]foreigndebt!AA63</f>
        <v>0</v>
      </c>
      <c r="AC53" s="480"/>
      <c r="AD53" s="442"/>
      <c r="AE53" s="465"/>
      <c r="AF53" s="492"/>
      <c r="AG53" s="481">
        <f>[12]foreigndebt!AF63</f>
        <v>0</v>
      </c>
      <c r="AH53" s="480"/>
      <c r="AI53" s="442"/>
      <c r="AJ53" s="465"/>
      <c r="AK53" s="492"/>
      <c r="AL53" s="481">
        <f>[12]foreigndebt!AK63</f>
        <v>0</v>
      </c>
      <c r="AM53" s="480"/>
      <c r="AN53" s="442"/>
      <c r="AO53" s="465"/>
      <c r="AP53" s="492"/>
      <c r="AQ53" s="481">
        <f>[12]foreigndebt!AP63</f>
        <v>0</v>
      </c>
      <c r="AR53" s="480"/>
      <c r="AS53" s="442"/>
      <c r="AT53" s="465"/>
      <c r="AU53" s="492"/>
      <c r="AV53" s="481">
        <f>[12]foreigndebt!AU63</f>
        <v>0</v>
      </c>
      <c r="AW53" s="480"/>
      <c r="AX53" s="442"/>
      <c r="AY53" s="465"/>
      <c r="AZ53" s="492"/>
      <c r="BA53" s="481">
        <f>[12]foreigndebt!AZ63</f>
        <v>0</v>
      </c>
      <c r="BB53" s="480"/>
      <c r="BC53" s="442"/>
      <c r="BD53" s="465"/>
      <c r="BE53" s="492"/>
      <c r="BF53" s="481">
        <f>[12]foreigndebt!BE63</f>
        <v>0</v>
      </c>
      <c r="BG53" s="480"/>
      <c r="BH53" s="442"/>
      <c r="BI53" s="465"/>
      <c r="BJ53" s="492"/>
      <c r="BK53" s="481">
        <f>[12]foreigndebt!BJ63</f>
        <v>0</v>
      </c>
      <c r="BL53" s="480"/>
      <c r="BM53" s="442"/>
      <c r="BN53" s="465"/>
      <c r="BO53" s="492"/>
      <c r="BP53" s="481">
        <f>[12]foreigndebt!BO63</f>
        <v>0</v>
      </c>
      <c r="BQ53" s="480"/>
      <c r="BR53" s="442"/>
      <c r="BS53" s="465"/>
      <c r="BT53" s="492"/>
      <c r="BU53" s="481">
        <f>[12]foreigndebt!BT63</f>
        <v>0</v>
      </c>
      <c r="BV53" s="480"/>
      <c r="BW53" s="442"/>
      <c r="BX53" s="465"/>
      <c r="BY53" s="492"/>
      <c r="BZ53" s="479">
        <f>[12]foreigndebt!BY64</f>
        <v>0</v>
      </c>
      <c r="CA53" s="480"/>
      <c r="CB53" s="442"/>
      <c r="CC53" s="465"/>
      <c r="CD53" s="492"/>
      <c r="CE53" s="481">
        <f>[12]foreigndebt!CD63</f>
        <v>0</v>
      </c>
      <c r="CF53" s="480"/>
      <c r="CG53" s="442"/>
      <c r="CH53" s="465"/>
      <c r="CI53" s="492"/>
      <c r="CJ53" s="481">
        <f>[12]foreigndebt!CI63</f>
        <v>0</v>
      </c>
      <c r="CK53" s="480"/>
      <c r="CL53" s="442"/>
      <c r="CM53" s="465"/>
      <c r="CN53" s="492"/>
      <c r="CO53" s="481">
        <f>[12]foreigndebt!CN63</f>
        <v>0</v>
      </c>
      <c r="CP53" s="480"/>
      <c r="CQ53" s="442"/>
      <c r="CR53" s="465"/>
      <c r="CS53" s="492"/>
      <c r="CT53" s="481">
        <f>[12]foreigndebt!CS63</f>
        <v>0</v>
      </c>
      <c r="CU53" s="480"/>
      <c r="CV53" s="442"/>
      <c r="CW53" s="465"/>
      <c r="CX53" s="492"/>
      <c r="CY53" s="481">
        <f>[12]foreigndebt!CX63</f>
        <v>0</v>
      </c>
      <c r="CZ53" s="480"/>
      <c r="DA53" s="442"/>
      <c r="DB53" s="465"/>
      <c r="DC53" s="492"/>
      <c r="DD53" s="481">
        <f>[12]foreigndebt!DC63</f>
        <v>0</v>
      </c>
      <c r="DE53" s="480"/>
      <c r="DF53" s="442"/>
      <c r="DG53" s="465"/>
      <c r="DH53" s="492"/>
      <c r="DI53" s="481">
        <f>[12]foreigndebt!DH63</f>
        <v>0</v>
      </c>
      <c r="DJ53" s="480"/>
      <c r="DK53" s="442"/>
      <c r="DL53" s="465"/>
      <c r="DM53" s="492"/>
      <c r="DN53" s="481">
        <f>[12]foreigndebt!DM63</f>
        <v>0</v>
      </c>
      <c r="DO53" s="480"/>
      <c r="DP53" s="442"/>
      <c r="DQ53" s="465"/>
      <c r="DR53" s="492"/>
      <c r="DS53" s="481">
        <f>[12]foreigndebt!DR63</f>
        <v>0</v>
      </c>
      <c r="DT53" s="480"/>
      <c r="DU53" s="442"/>
      <c r="DV53" s="465"/>
      <c r="DW53" s="492"/>
      <c r="DX53" s="481">
        <f>[12]foreigndebt!DW63</f>
        <v>0</v>
      </c>
      <c r="DY53" s="480"/>
      <c r="DZ53" s="442"/>
      <c r="EA53" s="465"/>
      <c r="EB53" s="492"/>
      <c r="EC53" s="481">
        <f>[12]foreigndebt!EB63</f>
        <v>0</v>
      </c>
      <c r="ED53" s="480"/>
      <c r="EE53" s="442"/>
      <c r="EF53" s="465"/>
      <c r="EG53" s="492"/>
      <c r="EH53" s="481">
        <f>[12]foreigndebt!EG63</f>
        <v>0</v>
      </c>
      <c r="EI53" s="480"/>
      <c r="EJ53" s="442"/>
      <c r="EK53" s="465"/>
      <c r="EL53" s="492"/>
      <c r="EM53" s="481">
        <f>[12]foreigndebt!EL63</f>
        <v>0</v>
      </c>
      <c r="EN53" s="480"/>
      <c r="EO53" s="442"/>
      <c r="EP53" s="455"/>
      <c r="ES53" s="472"/>
      <c r="ET53" s="472">
        <f t="shared" si="0"/>
        <v>0</v>
      </c>
    </row>
    <row r="54" spans="1:150" ht="13.9" hidden="1" customHeight="1" x14ac:dyDescent="0.2">
      <c r="A54" s="442"/>
      <c r="B54" s="442"/>
      <c r="C54" s="455" t="s">
        <v>302</v>
      </c>
      <c r="D54" s="442"/>
      <c r="E54" s="464"/>
      <c r="F54" s="492"/>
      <c r="G54" s="492"/>
      <c r="H54" s="482">
        <f>-[12]foreigndebt!G65</f>
        <v>0</v>
      </c>
      <c r="I54" s="480"/>
      <c r="J54" s="442"/>
      <c r="K54" s="465"/>
      <c r="L54" s="492"/>
      <c r="M54" s="482">
        <f>-[12]foreigndebt!L65</f>
        <v>0</v>
      </c>
      <c r="N54" s="480"/>
      <c r="O54" s="442"/>
      <c r="P54" s="465"/>
      <c r="Q54" s="492"/>
      <c r="R54" s="482">
        <f>-[12]foreigndebt!Q65</f>
        <v>0</v>
      </c>
      <c r="S54" s="480"/>
      <c r="T54" s="442"/>
      <c r="U54" s="465"/>
      <c r="V54" s="492"/>
      <c r="W54" s="482">
        <f>-[12]foreigndebt!V65</f>
        <v>0</v>
      </c>
      <c r="X54" s="480"/>
      <c r="Y54" s="442"/>
      <c r="Z54" s="465"/>
      <c r="AA54" s="492"/>
      <c r="AB54" s="482">
        <f>-[12]foreigndebt!AA65</f>
        <v>0</v>
      </c>
      <c r="AC54" s="480"/>
      <c r="AD54" s="442"/>
      <c r="AE54" s="465"/>
      <c r="AF54" s="492"/>
      <c r="AG54" s="482">
        <f>-[12]foreigndebt!AF65</f>
        <v>0</v>
      </c>
      <c r="AH54" s="480"/>
      <c r="AI54" s="442"/>
      <c r="AJ54" s="465"/>
      <c r="AK54" s="492"/>
      <c r="AL54" s="482">
        <f>-[12]foreigndebt!AK65</f>
        <v>0</v>
      </c>
      <c r="AM54" s="480"/>
      <c r="AN54" s="442"/>
      <c r="AO54" s="465"/>
      <c r="AP54" s="492"/>
      <c r="AQ54" s="482">
        <f>-[12]foreigndebt!AP65</f>
        <v>0</v>
      </c>
      <c r="AR54" s="480"/>
      <c r="AS54" s="442"/>
      <c r="AT54" s="465"/>
      <c r="AU54" s="492"/>
      <c r="AV54" s="482">
        <f>-[12]foreigndebt!AU65</f>
        <v>0</v>
      </c>
      <c r="AW54" s="480"/>
      <c r="AX54" s="442"/>
      <c r="AY54" s="465"/>
      <c r="AZ54" s="492"/>
      <c r="BA54" s="482">
        <f>-[12]foreigndebt!AZ65</f>
        <v>0</v>
      </c>
      <c r="BB54" s="480"/>
      <c r="BC54" s="442"/>
      <c r="BD54" s="465"/>
      <c r="BE54" s="492"/>
      <c r="BF54" s="482">
        <f>-[12]foreigndebt!BE65</f>
        <v>0</v>
      </c>
      <c r="BG54" s="480"/>
      <c r="BH54" s="442"/>
      <c r="BI54" s="465"/>
      <c r="BJ54" s="492"/>
      <c r="BK54" s="482">
        <f>-[12]foreigndebt!BJ65</f>
        <v>0</v>
      </c>
      <c r="BL54" s="480"/>
      <c r="BM54" s="442"/>
      <c r="BN54" s="465"/>
      <c r="BO54" s="492"/>
      <c r="BP54" s="482">
        <f>-[12]foreigndebt!BO65</f>
        <v>0</v>
      </c>
      <c r="BQ54" s="480"/>
      <c r="BR54" s="442"/>
      <c r="BS54" s="465"/>
      <c r="BT54" s="492"/>
      <c r="BU54" s="482">
        <f>-[12]foreigndebt!BT65</f>
        <v>0</v>
      </c>
      <c r="BV54" s="480"/>
      <c r="BW54" s="442"/>
      <c r="BX54" s="465"/>
      <c r="BY54" s="492"/>
      <c r="BZ54" s="483">
        <v>0</v>
      </c>
      <c r="CA54" s="480"/>
      <c r="CB54" s="442"/>
      <c r="CC54" s="465"/>
      <c r="CD54" s="492"/>
      <c r="CE54" s="482">
        <f>-[12]foreigndebt!CD65</f>
        <v>0</v>
      </c>
      <c r="CF54" s="480"/>
      <c r="CG54" s="442"/>
      <c r="CH54" s="465"/>
      <c r="CI54" s="492"/>
      <c r="CJ54" s="482">
        <f>-[12]foreigndebt!CI65</f>
        <v>0</v>
      </c>
      <c r="CK54" s="480"/>
      <c r="CL54" s="442"/>
      <c r="CM54" s="465"/>
      <c r="CN54" s="492"/>
      <c r="CO54" s="482">
        <f>-[12]foreigndebt!CN65</f>
        <v>0</v>
      </c>
      <c r="CP54" s="480"/>
      <c r="CQ54" s="442"/>
      <c r="CR54" s="465"/>
      <c r="CS54" s="492"/>
      <c r="CT54" s="482">
        <f>-[12]foreigndebt!CS65</f>
        <v>0</v>
      </c>
      <c r="CU54" s="480"/>
      <c r="CV54" s="442"/>
      <c r="CW54" s="465"/>
      <c r="CX54" s="492"/>
      <c r="CY54" s="482">
        <f>-[12]foreigndebt!CX65</f>
        <v>0</v>
      </c>
      <c r="CZ54" s="480"/>
      <c r="DA54" s="442"/>
      <c r="DB54" s="465"/>
      <c r="DC54" s="492"/>
      <c r="DD54" s="482">
        <f>-[12]foreigndebt!DC65</f>
        <v>0</v>
      </c>
      <c r="DE54" s="480"/>
      <c r="DF54" s="442"/>
      <c r="DG54" s="465"/>
      <c r="DH54" s="492"/>
      <c r="DI54" s="482">
        <f>-[12]foreigndebt!DH65</f>
        <v>0</v>
      </c>
      <c r="DJ54" s="480"/>
      <c r="DK54" s="442"/>
      <c r="DL54" s="465"/>
      <c r="DM54" s="492"/>
      <c r="DN54" s="482">
        <f>-[12]foreigndebt!DM65</f>
        <v>0</v>
      </c>
      <c r="DO54" s="480"/>
      <c r="DP54" s="442"/>
      <c r="DQ54" s="465"/>
      <c r="DR54" s="492"/>
      <c r="DS54" s="482">
        <f>-[12]foreigndebt!DR65</f>
        <v>0</v>
      </c>
      <c r="DT54" s="480"/>
      <c r="DU54" s="442"/>
      <c r="DV54" s="465"/>
      <c r="DW54" s="492"/>
      <c r="DX54" s="482">
        <f>-[12]foreigndebt!DW65</f>
        <v>0</v>
      </c>
      <c r="DY54" s="480"/>
      <c r="DZ54" s="442"/>
      <c r="EA54" s="465"/>
      <c r="EB54" s="492"/>
      <c r="EC54" s="482">
        <f>-[12]foreigndebt!EB65</f>
        <v>0</v>
      </c>
      <c r="ED54" s="480"/>
      <c r="EE54" s="442"/>
      <c r="EF54" s="465"/>
      <c r="EG54" s="492"/>
      <c r="EH54" s="482">
        <f>-[12]foreigndebt!EG65</f>
        <v>0</v>
      </c>
      <c r="EI54" s="480"/>
      <c r="EJ54" s="442"/>
      <c r="EK54" s="465"/>
      <c r="EL54" s="492"/>
      <c r="EM54" s="482">
        <f>-[12]foreigndebt!EL65</f>
        <v>0</v>
      </c>
      <c r="EN54" s="480"/>
      <c r="EO54" s="442"/>
      <c r="EP54" s="455"/>
      <c r="ES54" s="472"/>
      <c r="ET54" s="472">
        <f t="shared" si="0"/>
        <v>0</v>
      </c>
    </row>
    <row r="55" spans="1:150" ht="13.9" hidden="1" customHeight="1" x14ac:dyDescent="0.2">
      <c r="A55" s="442"/>
      <c r="B55" s="442"/>
      <c r="C55" s="455" t="s">
        <v>318</v>
      </c>
      <c r="D55" s="442"/>
      <c r="E55" s="464"/>
      <c r="F55" s="492"/>
      <c r="G55" s="492"/>
      <c r="H55" s="482"/>
      <c r="I55" s="480"/>
      <c r="J55" s="442"/>
      <c r="K55" s="465"/>
      <c r="L55" s="492"/>
      <c r="M55" s="482"/>
      <c r="N55" s="480"/>
      <c r="O55" s="442"/>
      <c r="P55" s="465"/>
      <c r="Q55" s="492"/>
      <c r="R55" s="482"/>
      <c r="S55" s="480"/>
      <c r="T55" s="442"/>
      <c r="U55" s="465"/>
      <c r="V55" s="492"/>
      <c r="W55" s="482"/>
      <c r="X55" s="480"/>
      <c r="Y55" s="442"/>
      <c r="Z55" s="465"/>
      <c r="AA55" s="492"/>
      <c r="AB55" s="482"/>
      <c r="AC55" s="480"/>
      <c r="AD55" s="442"/>
      <c r="AE55" s="465"/>
      <c r="AF55" s="492"/>
      <c r="AG55" s="482"/>
      <c r="AH55" s="480"/>
      <c r="AI55" s="442"/>
      <c r="AJ55" s="465"/>
      <c r="AK55" s="492"/>
      <c r="AL55" s="482"/>
      <c r="AM55" s="480"/>
      <c r="AN55" s="442"/>
      <c r="AO55" s="465"/>
      <c r="AP55" s="492"/>
      <c r="AQ55" s="482"/>
      <c r="AR55" s="480"/>
      <c r="AS55" s="442"/>
      <c r="AT55" s="465"/>
      <c r="AU55" s="492"/>
      <c r="AV55" s="482"/>
      <c r="AW55" s="480"/>
      <c r="AX55" s="442"/>
      <c r="AY55" s="465"/>
      <c r="AZ55" s="492"/>
      <c r="BA55" s="482"/>
      <c r="BB55" s="480"/>
      <c r="BC55" s="442"/>
      <c r="BD55" s="465"/>
      <c r="BE55" s="492"/>
      <c r="BF55" s="482"/>
      <c r="BG55" s="480"/>
      <c r="BH55" s="442"/>
      <c r="BI55" s="465"/>
      <c r="BJ55" s="492"/>
      <c r="BK55" s="482"/>
      <c r="BL55" s="480"/>
      <c r="BM55" s="442"/>
      <c r="BN55" s="465"/>
      <c r="BO55" s="492"/>
      <c r="BP55" s="482"/>
      <c r="BQ55" s="480"/>
      <c r="BR55" s="442"/>
      <c r="BS55" s="465"/>
      <c r="BT55" s="492"/>
      <c r="BU55" s="482"/>
      <c r="BV55" s="480"/>
      <c r="BW55" s="442"/>
      <c r="BX55" s="465"/>
      <c r="BY55" s="492"/>
      <c r="BZ55" s="483"/>
      <c r="CA55" s="480"/>
      <c r="CB55" s="442"/>
      <c r="CC55" s="465"/>
      <c r="CD55" s="492"/>
      <c r="CE55" s="482"/>
      <c r="CF55" s="480"/>
      <c r="CG55" s="442"/>
      <c r="CH55" s="465"/>
      <c r="CI55" s="492"/>
      <c r="CJ55" s="482"/>
      <c r="CK55" s="480"/>
      <c r="CL55" s="442"/>
      <c r="CM55" s="465"/>
      <c r="CN55" s="492"/>
      <c r="CO55" s="482"/>
      <c r="CP55" s="480"/>
      <c r="CQ55" s="442"/>
      <c r="CR55" s="465"/>
      <c r="CS55" s="492"/>
      <c r="CT55" s="482"/>
      <c r="CU55" s="480"/>
      <c r="CV55" s="442"/>
      <c r="CW55" s="465"/>
      <c r="CX55" s="492"/>
      <c r="CY55" s="482"/>
      <c r="CZ55" s="480"/>
      <c r="DA55" s="442"/>
      <c r="DB55" s="465"/>
      <c r="DC55" s="492"/>
      <c r="DD55" s="482"/>
      <c r="DE55" s="480"/>
      <c r="DF55" s="442"/>
      <c r="DG55" s="465"/>
      <c r="DH55" s="492"/>
      <c r="DI55" s="482"/>
      <c r="DJ55" s="480"/>
      <c r="DK55" s="442"/>
      <c r="DL55" s="465"/>
      <c r="DM55" s="492"/>
      <c r="DN55" s="482"/>
      <c r="DO55" s="480"/>
      <c r="DP55" s="442"/>
      <c r="DQ55" s="465"/>
      <c r="DR55" s="492"/>
      <c r="DS55" s="482"/>
      <c r="DT55" s="480"/>
      <c r="DU55" s="442"/>
      <c r="DV55" s="465"/>
      <c r="DW55" s="492"/>
      <c r="DX55" s="482"/>
      <c r="DY55" s="480"/>
      <c r="DZ55" s="442"/>
      <c r="EA55" s="465"/>
      <c r="EB55" s="492"/>
      <c r="EC55" s="482"/>
      <c r="ED55" s="480"/>
      <c r="EE55" s="442"/>
      <c r="EF55" s="465"/>
      <c r="EG55" s="492"/>
      <c r="EH55" s="482"/>
      <c r="EI55" s="480"/>
      <c r="EJ55" s="442"/>
      <c r="EK55" s="465"/>
      <c r="EL55" s="492"/>
      <c r="EM55" s="482"/>
      <c r="EN55" s="480"/>
      <c r="EO55" s="442"/>
      <c r="EP55" s="455"/>
      <c r="ES55" s="472"/>
      <c r="ET55" s="472">
        <f t="shared" si="0"/>
        <v>0</v>
      </c>
    </row>
    <row r="56" spans="1:150" ht="13.9" hidden="1" customHeight="1" x14ac:dyDescent="0.2">
      <c r="A56" s="442"/>
      <c r="B56" s="442"/>
      <c r="C56" s="319" t="s">
        <v>319</v>
      </c>
      <c r="D56" s="442"/>
      <c r="E56" s="464"/>
      <c r="F56" s="492"/>
      <c r="G56" s="492"/>
      <c r="H56" s="482">
        <f>-[12]foreigndebt!G157</f>
        <v>0</v>
      </c>
      <c r="I56" s="480"/>
      <c r="J56" s="442"/>
      <c r="K56" s="465"/>
      <c r="L56" s="492"/>
      <c r="M56" s="482">
        <f>-[12]foreigndebt!L157</f>
        <v>0</v>
      </c>
      <c r="N56" s="480"/>
      <c r="O56" s="442"/>
      <c r="P56" s="465"/>
      <c r="Q56" s="492"/>
      <c r="R56" s="482">
        <f>-[12]foreigndebt!Q157</f>
        <v>0</v>
      </c>
      <c r="S56" s="480"/>
      <c r="T56" s="442"/>
      <c r="U56" s="465"/>
      <c r="V56" s="492"/>
      <c r="W56" s="482">
        <f>-[12]foreigndebt!V157</f>
        <v>0</v>
      </c>
      <c r="X56" s="480"/>
      <c r="Y56" s="442"/>
      <c r="Z56" s="465"/>
      <c r="AA56" s="492"/>
      <c r="AB56" s="482">
        <f>-[12]foreigndebt!AA157</f>
        <v>0</v>
      </c>
      <c r="AC56" s="480"/>
      <c r="AD56" s="442"/>
      <c r="AE56" s="465"/>
      <c r="AF56" s="492"/>
      <c r="AG56" s="482">
        <f>-[12]foreigndebt!AF157</f>
        <v>0</v>
      </c>
      <c r="AH56" s="480"/>
      <c r="AI56" s="442"/>
      <c r="AJ56" s="465"/>
      <c r="AK56" s="492"/>
      <c r="AL56" s="482">
        <f>-[12]foreigndebt!AK157</f>
        <v>0</v>
      </c>
      <c r="AM56" s="480"/>
      <c r="AN56" s="442"/>
      <c r="AO56" s="465"/>
      <c r="AP56" s="492"/>
      <c r="AQ56" s="482">
        <f>-[12]foreigndebt!AP157</f>
        <v>0</v>
      </c>
      <c r="AR56" s="480"/>
      <c r="AS56" s="442"/>
      <c r="AT56" s="465"/>
      <c r="AU56" s="492"/>
      <c r="AV56" s="482">
        <f>-[12]foreigndebt!AU157</f>
        <v>0</v>
      </c>
      <c r="AW56" s="480"/>
      <c r="AX56" s="442"/>
      <c r="AY56" s="465"/>
      <c r="AZ56" s="492"/>
      <c r="BA56" s="482">
        <f>-[12]foreigndebt!AZ157</f>
        <v>0</v>
      </c>
      <c r="BB56" s="480"/>
      <c r="BC56" s="442"/>
      <c r="BD56" s="465"/>
      <c r="BE56" s="492"/>
      <c r="BF56" s="482">
        <f>-[12]foreigndebt!BE157</f>
        <v>0</v>
      </c>
      <c r="BG56" s="480"/>
      <c r="BH56" s="442"/>
      <c r="BI56" s="465"/>
      <c r="BJ56" s="492"/>
      <c r="BK56" s="482">
        <f>-[12]foreigndebt!BJ157</f>
        <v>0</v>
      </c>
      <c r="BL56" s="480"/>
      <c r="BM56" s="442"/>
      <c r="BN56" s="465"/>
      <c r="BO56" s="492"/>
      <c r="BP56" s="482">
        <f>-[12]foreigndebt!BO157</f>
        <v>0</v>
      </c>
      <c r="BQ56" s="480"/>
      <c r="BR56" s="442"/>
      <c r="BS56" s="465"/>
      <c r="BT56" s="492"/>
      <c r="BU56" s="482">
        <f>-[12]foreigndebt!BT157</f>
        <v>0</v>
      </c>
      <c r="BV56" s="480"/>
      <c r="BW56" s="442"/>
      <c r="BX56" s="465"/>
      <c r="BY56" s="492"/>
      <c r="BZ56" s="483">
        <f>-[12]foreigndebt!BY157</f>
        <v>0</v>
      </c>
      <c r="CA56" s="480"/>
      <c r="CB56" s="442"/>
      <c r="CC56" s="465"/>
      <c r="CD56" s="492"/>
      <c r="CE56" s="482">
        <f>-[12]foreigndebt!CD157</f>
        <v>0</v>
      </c>
      <c r="CF56" s="480"/>
      <c r="CG56" s="442"/>
      <c r="CH56" s="465"/>
      <c r="CI56" s="492"/>
      <c r="CJ56" s="482">
        <f>-[12]foreigndebt!CI157</f>
        <v>0</v>
      </c>
      <c r="CK56" s="480"/>
      <c r="CL56" s="442"/>
      <c r="CM56" s="465"/>
      <c r="CN56" s="492"/>
      <c r="CO56" s="482">
        <f>-[12]foreigndebt!CN157</f>
        <v>0</v>
      </c>
      <c r="CP56" s="480"/>
      <c r="CQ56" s="442"/>
      <c r="CR56" s="465"/>
      <c r="CS56" s="492"/>
      <c r="CT56" s="482">
        <f>-[12]foreigndebt!CS157</f>
        <v>0</v>
      </c>
      <c r="CU56" s="480"/>
      <c r="CV56" s="442"/>
      <c r="CW56" s="465"/>
      <c r="CX56" s="492"/>
      <c r="CY56" s="482">
        <f>-[12]foreigndebt!CX157</f>
        <v>0</v>
      </c>
      <c r="CZ56" s="480"/>
      <c r="DA56" s="442"/>
      <c r="DB56" s="465"/>
      <c r="DC56" s="492"/>
      <c r="DD56" s="482">
        <f>-[12]foreigndebt!DC157</f>
        <v>0</v>
      </c>
      <c r="DE56" s="480"/>
      <c r="DF56" s="442"/>
      <c r="DG56" s="465"/>
      <c r="DH56" s="492"/>
      <c r="DI56" s="482">
        <f>-[12]foreigndebt!DH157</f>
        <v>0</v>
      </c>
      <c r="DJ56" s="480"/>
      <c r="DK56" s="442"/>
      <c r="DL56" s="465"/>
      <c r="DM56" s="492"/>
      <c r="DN56" s="482">
        <f>-[12]foreigndebt!DM157</f>
        <v>0</v>
      </c>
      <c r="DO56" s="480"/>
      <c r="DP56" s="442"/>
      <c r="DQ56" s="465"/>
      <c r="DR56" s="492"/>
      <c r="DS56" s="482">
        <f>-[12]foreigndebt!DR157</f>
        <v>0</v>
      </c>
      <c r="DT56" s="480"/>
      <c r="DU56" s="442"/>
      <c r="DV56" s="465"/>
      <c r="DW56" s="492"/>
      <c r="DX56" s="482">
        <f>-[12]foreigndebt!DW157</f>
        <v>0</v>
      </c>
      <c r="DY56" s="480"/>
      <c r="DZ56" s="442"/>
      <c r="EA56" s="465"/>
      <c r="EB56" s="492"/>
      <c r="EC56" s="482">
        <f>-[12]foreigndebt!EB157</f>
        <v>0</v>
      </c>
      <c r="ED56" s="480"/>
      <c r="EE56" s="442"/>
      <c r="EF56" s="465"/>
      <c r="EG56" s="492"/>
      <c r="EH56" s="482">
        <f>-[12]foreigndebt!EG157</f>
        <v>0</v>
      </c>
      <c r="EI56" s="480"/>
      <c r="EJ56" s="442"/>
      <c r="EK56" s="465"/>
      <c r="EL56" s="492"/>
      <c r="EM56" s="482">
        <f>-[12]foreigndebt!EL157</f>
        <v>0</v>
      </c>
      <c r="EN56" s="480"/>
      <c r="EO56" s="442"/>
      <c r="EP56" s="455"/>
      <c r="ES56" s="472"/>
      <c r="ET56" s="472">
        <f t="shared" si="0"/>
        <v>0</v>
      </c>
    </row>
    <row r="57" spans="1:150" ht="13.9" hidden="1" customHeight="1" x14ac:dyDescent="0.2">
      <c r="A57" s="442"/>
      <c r="B57" s="442"/>
      <c r="C57" s="319" t="s">
        <v>320</v>
      </c>
      <c r="D57" s="442"/>
      <c r="E57" s="464"/>
      <c r="F57" s="492"/>
      <c r="G57" s="492"/>
      <c r="H57" s="485">
        <f>-[12]foreigndebt!G158</f>
        <v>0</v>
      </c>
      <c r="I57" s="480"/>
      <c r="J57" s="442"/>
      <c r="K57" s="465"/>
      <c r="L57" s="492"/>
      <c r="M57" s="485">
        <f>-[12]foreigndebt!L158</f>
        <v>0</v>
      </c>
      <c r="N57" s="480"/>
      <c r="O57" s="442"/>
      <c r="P57" s="465"/>
      <c r="Q57" s="492"/>
      <c r="R57" s="485">
        <f>-[12]foreigndebt!Q158</f>
        <v>0</v>
      </c>
      <c r="S57" s="480"/>
      <c r="T57" s="442"/>
      <c r="U57" s="465"/>
      <c r="V57" s="492"/>
      <c r="W57" s="485">
        <f>-[12]foreigndebt!V158</f>
        <v>0</v>
      </c>
      <c r="X57" s="480"/>
      <c r="Y57" s="442"/>
      <c r="Z57" s="465"/>
      <c r="AA57" s="492"/>
      <c r="AB57" s="485">
        <f>-[12]foreigndebt!AA158</f>
        <v>0</v>
      </c>
      <c r="AC57" s="480"/>
      <c r="AD57" s="442"/>
      <c r="AE57" s="465"/>
      <c r="AF57" s="492"/>
      <c r="AG57" s="485">
        <f>-[12]foreigndebt!AF158</f>
        <v>0</v>
      </c>
      <c r="AH57" s="480"/>
      <c r="AI57" s="442"/>
      <c r="AJ57" s="465"/>
      <c r="AK57" s="492"/>
      <c r="AL57" s="485">
        <f>-[12]foreigndebt!AK158</f>
        <v>0</v>
      </c>
      <c r="AM57" s="480"/>
      <c r="AN57" s="442"/>
      <c r="AO57" s="465"/>
      <c r="AP57" s="492"/>
      <c r="AQ57" s="485">
        <f>-[12]foreigndebt!AP158</f>
        <v>0</v>
      </c>
      <c r="AR57" s="480"/>
      <c r="AS57" s="442"/>
      <c r="AT57" s="465"/>
      <c r="AU57" s="492"/>
      <c r="AV57" s="485">
        <f>-[12]foreigndebt!AU158</f>
        <v>0</v>
      </c>
      <c r="AW57" s="480"/>
      <c r="AX57" s="442"/>
      <c r="AY57" s="465"/>
      <c r="AZ57" s="492"/>
      <c r="BA57" s="485">
        <f>-[12]foreigndebt!AZ158</f>
        <v>0</v>
      </c>
      <c r="BB57" s="480"/>
      <c r="BC57" s="442"/>
      <c r="BD57" s="465"/>
      <c r="BE57" s="492"/>
      <c r="BF57" s="485">
        <f>-[12]foreigndebt!BE158</f>
        <v>0</v>
      </c>
      <c r="BG57" s="480"/>
      <c r="BH57" s="442"/>
      <c r="BI57" s="465"/>
      <c r="BJ57" s="492"/>
      <c r="BK57" s="485">
        <f>-[12]foreigndebt!BJ158</f>
        <v>0</v>
      </c>
      <c r="BL57" s="480"/>
      <c r="BM57" s="442"/>
      <c r="BN57" s="465"/>
      <c r="BO57" s="492"/>
      <c r="BP57" s="485">
        <f>-[12]foreigndebt!BO158</f>
        <v>0</v>
      </c>
      <c r="BQ57" s="480"/>
      <c r="BR57" s="442"/>
      <c r="BS57" s="465"/>
      <c r="BT57" s="492"/>
      <c r="BU57" s="485">
        <f>-[12]foreigndebt!BT158</f>
        <v>0</v>
      </c>
      <c r="BV57" s="480"/>
      <c r="BW57" s="442"/>
      <c r="BX57" s="465"/>
      <c r="BY57" s="492"/>
      <c r="BZ57" s="484">
        <f>-[12]foreigndebt!BY158</f>
        <v>0</v>
      </c>
      <c r="CA57" s="480"/>
      <c r="CB57" s="442"/>
      <c r="CC57" s="465"/>
      <c r="CD57" s="492"/>
      <c r="CE57" s="485">
        <f>-[12]foreigndebt!CD158</f>
        <v>0</v>
      </c>
      <c r="CF57" s="480"/>
      <c r="CG57" s="442"/>
      <c r="CH57" s="465"/>
      <c r="CI57" s="492"/>
      <c r="CJ57" s="485">
        <f>-[12]foreigndebt!CI158</f>
        <v>0</v>
      </c>
      <c r="CK57" s="480"/>
      <c r="CL57" s="442"/>
      <c r="CM57" s="465"/>
      <c r="CN57" s="492"/>
      <c r="CO57" s="485">
        <f>-[12]foreigndebt!CN158</f>
        <v>0</v>
      </c>
      <c r="CP57" s="480"/>
      <c r="CQ57" s="442"/>
      <c r="CR57" s="465"/>
      <c r="CS57" s="492"/>
      <c r="CT57" s="485">
        <f>-[12]foreigndebt!CS158</f>
        <v>0</v>
      </c>
      <c r="CU57" s="480"/>
      <c r="CV57" s="442"/>
      <c r="CW57" s="465"/>
      <c r="CX57" s="492"/>
      <c r="CY57" s="485">
        <f>-[12]foreigndebt!CX158</f>
        <v>0</v>
      </c>
      <c r="CZ57" s="480"/>
      <c r="DA57" s="442"/>
      <c r="DB57" s="465"/>
      <c r="DC57" s="492"/>
      <c r="DD57" s="485">
        <f>-[12]foreigndebt!DC158</f>
        <v>0</v>
      </c>
      <c r="DE57" s="480"/>
      <c r="DF57" s="442"/>
      <c r="DG57" s="465"/>
      <c r="DH57" s="492"/>
      <c r="DI57" s="485">
        <f>-[12]foreigndebt!DH158</f>
        <v>0</v>
      </c>
      <c r="DJ57" s="480"/>
      <c r="DK57" s="442"/>
      <c r="DL57" s="465"/>
      <c r="DM57" s="492"/>
      <c r="DN57" s="485">
        <f>-[12]foreigndebt!DM158</f>
        <v>0</v>
      </c>
      <c r="DO57" s="480"/>
      <c r="DP57" s="442"/>
      <c r="DQ57" s="465"/>
      <c r="DR57" s="492"/>
      <c r="DS57" s="485">
        <f>-[12]foreigndebt!DR158</f>
        <v>0</v>
      </c>
      <c r="DT57" s="480"/>
      <c r="DU57" s="442"/>
      <c r="DV57" s="465"/>
      <c r="DW57" s="492"/>
      <c r="DX57" s="485">
        <f>-[12]foreigndebt!DW158</f>
        <v>0</v>
      </c>
      <c r="DY57" s="480"/>
      <c r="DZ57" s="442"/>
      <c r="EA57" s="465"/>
      <c r="EB57" s="492"/>
      <c r="EC57" s="485">
        <f>-[12]foreigndebt!EB158</f>
        <v>0</v>
      </c>
      <c r="ED57" s="480"/>
      <c r="EE57" s="442"/>
      <c r="EF57" s="465"/>
      <c r="EG57" s="492"/>
      <c r="EH57" s="485">
        <f>-[12]foreigndebt!EG158</f>
        <v>0</v>
      </c>
      <c r="EI57" s="480"/>
      <c r="EJ57" s="442"/>
      <c r="EK57" s="465"/>
      <c r="EL57" s="492"/>
      <c r="EM57" s="485">
        <f>-[12]foreigndebt!EL158</f>
        <v>0</v>
      </c>
      <c r="EN57" s="480"/>
      <c r="EO57" s="442"/>
      <c r="EP57" s="455"/>
      <c r="ES57" s="472"/>
      <c r="ET57" s="472">
        <f t="shared" si="0"/>
        <v>0</v>
      </c>
    </row>
    <row r="58" spans="1:150" ht="13.9" hidden="1" customHeight="1" x14ac:dyDescent="0.2">
      <c r="A58" s="442"/>
      <c r="B58" s="442"/>
      <c r="C58" s="455"/>
      <c r="D58" s="442"/>
      <c r="E58" s="464"/>
      <c r="F58" s="492"/>
      <c r="G58" s="492"/>
      <c r="H58" s="442"/>
      <c r="I58" s="480"/>
      <c r="J58" s="442"/>
      <c r="K58" s="465"/>
      <c r="L58" s="492"/>
      <c r="M58" s="442"/>
      <c r="N58" s="480"/>
      <c r="O58" s="442"/>
      <c r="P58" s="465"/>
      <c r="Q58" s="492"/>
      <c r="R58" s="442"/>
      <c r="S58" s="480"/>
      <c r="T58" s="442"/>
      <c r="U58" s="465"/>
      <c r="V58" s="492"/>
      <c r="W58" s="442"/>
      <c r="X58" s="480"/>
      <c r="Y58" s="442"/>
      <c r="Z58" s="465"/>
      <c r="AA58" s="492"/>
      <c r="AB58" s="442"/>
      <c r="AC58" s="480"/>
      <c r="AD58" s="442"/>
      <c r="AE58" s="465"/>
      <c r="AF58" s="492"/>
      <c r="AG58" s="442"/>
      <c r="AH58" s="480"/>
      <c r="AI58" s="442"/>
      <c r="AJ58" s="465"/>
      <c r="AK58" s="492"/>
      <c r="AL58" s="442"/>
      <c r="AM58" s="480"/>
      <c r="AN58" s="442"/>
      <c r="AO58" s="465"/>
      <c r="AP58" s="492"/>
      <c r="AQ58" s="442"/>
      <c r="AR58" s="480"/>
      <c r="AS58" s="442"/>
      <c r="AT58" s="465"/>
      <c r="AU58" s="492"/>
      <c r="AV58" s="442"/>
      <c r="AW58" s="480"/>
      <c r="AX58" s="442"/>
      <c r="AY58" s="465"/>
      <c r="AZ58" s="492"/>
      <c r="BA58" s="442"/>
      <c r="BB58" s="480"/>
      <c r="BC58" s="442"/>
      <c r="BD58" s="465"/>
      <c r="BE58" s="492"/>
      <c r="BF58" s="442"/>
      <c r="BG58" s="480"/>
      <c r="BH58" s="442"/>
      <c r="BI58" s="465"/>
      <c r="BJ58" s="492"/>
      <c r="BK58" s="442"/>
      <c r="BL58" s="480"/>
      <c r="BM58" s="442"/>
      <c r="BN58" s="465"/>
      <c r="BO58" s="492"/>
      <c r="BP58" s="442"/>
      <c r="BQ58" s="480"/>
      <c r="BR58" s="442"/>
      <c r="BS58" s="465"/>
      <c r="BT58" s="492"/>
      <c r="BU58" s="442"/>
      <c r="BV58" s="480"/>
      <c r="BW58" s="442"/>
      <c r="BX58" s="465"/>
      <c r="BY58" s="492"/>
      <c r="BZ58" s="486"/>
      <c r="CA58" s="480"/>
      <c r="CB58" s="442"/>
      <c r="CC58" s="465"/>
      <c r="CD58" s="492"/>
      <c r="CE58" s="442"/>
      <c r="CF58" s="480"/>
      <c r="CG58" s="442"/>
      <c r="CH58" s="465"/>
      <c r="CI58" s="492"/>
      <c r="CJ58" s="442"/>
      <c r="CK58" s="480"/>
      <c r="CL58" s="442"/>
      <c r="CM58" s="465"/>
      <c r="CN58" s="492"/>
      <c r="CO58" s="442"/>
      <c r="CP58" s="480"/>
      <c r="CQ58" s="442"/>
      <c r="CR58" s="465"/>
      <c r="CS58" s="492"/>
      <c r="CT58" s="442"/>
      <c r="CU58" s="480"/>
      <c r="CV58" s="442"/>
      <c r="CW58" s="465"/>
      <c r="CX58" s="492"/>
      <c r="CY58" s="442"/>
      <c r="CZ58" s="480"/>
      <c r="DA58" s="442"/>
      <c r="DB58" s="465"/>
      <c r="DC58" s="492"/>
      <c r="DD58" s="442"/>
      <c r="DE58" s="480"/>
      <c r="DF58" s="442"/>
      <c r="DG58" s="465"/>
      <c r="DH58" s="492"/>
      <c r="DI58" s="442"/>
      <c r="DJ58" s="480"/>
      <c r="DK58" s="442"/>
      <c r="DL58" s="465"/>
      <c r="DM58" s="492"/>
      <c r="DN58" s="442"/>
      <c r="DO58" s="480"/>
      <c r="DP58" s="442"/>
      <c r="DQ58" s="465"/>
      <c r="DR58" s="492"/>
      <c r="DS58" s="442"/>
      <c r="DT58" s="480"/>
      <c r="DU58" s="442"/>
      <c r="DV58" s="465"/>
      <c r="DW58" s="492"/>
      <c r="DX58" s="442"/>
      <c r="DY58" s="480"/>
      <c r="DZ58" s="442"/>
      <c r="EA58" s="465"/>
      <c r="EB58" s="492"/>
      <c r="EC58" s="442"/>
      <c r="ED58" s="480"/>
      <c r="EE58" s="442"/>
      <c r="EF58" s="465"/>
      <c r="EG58" s="492"/>
      <c r="EH58" s="442"/>
      <c r="EI58" s="480"/>
      <c r="EJ58" s="442"/>
      <c r="EK58" s="465"/>
      <c r="EL58" s="492"/>
      <c r="EM58" s="442"/>
      <c r="EN58" s="480"/>
      <c r="EO58" s="442"/>
      <c r="EP58" s="455"/>
      <c r="ES58" s="472"/>
      <c r="ET58" s="472">
        <f t="shared" si="0"/>
        <v>0</v>
      </c>
    </row>
    <row r="59" spans="1:150" ht="12.75" hidden="1" customHeight="1" x14ac:dyDescent="0.2">
      <c r="A59" s="442"/>
      <c r="B59" s="442"/>
      <c r="C59" s="455" t="s">
        <v>321</v>
      </c>
      <c r="D59" s="442"/>
      <c r="E59" s="464"/>
      <c r="F59" s="492"/>
      <c r="G59" s="492"/>
      <c r="H59" s="442">
        <v>0</v>
      </c>
      <c r="I59" s="480"/>
      <c r="J59" s="442"/>
      <c r="K59" s="465"/>
      <c r="L59" s="492"/>
      <c r="M59" s="442">
        <f>SUM(M60:M64)</f>
        <v>0</v>
      </c>
      <c r="N59" s="480"/>
      <c r="O59" s="442"/>
      <c r="P59" s="465"/>
      <c r="Q59" s="492"/>
      <c r="R59" s="442">
        <f>SUM(R60:R64)</f>
        <v>0</v>
      </c>
      <c r="S59" s="480"/>
      <c r="T59" s="442"/>
      <c r="U59" s="465"/>
      <c r="V59" s="492"/>
      <c r="W59" s="442">
        <f>SUM(W60:W64)</f>
        <v>0</v>
      </c>
      <c r="X59" s="480"/>
      <c r="Y59" s="442"/>
      <c r="Z59" s="465"/>
      <c r="AA59" s="492"/>
      <c r="AB59" s="442">
        <f>SUM(AB60:AB64)</f>
        <v>0</v>
      </c>
      <c r="AC59" s="480"/>
      <c r="AD59" s="442"/>
      <c r="AE59" s="465"/>
      <c r="AF59" s="492"/>
      <c r="AG59" s="442">
        <f>SUM(AG60:AG64)</f>
        <v>0</v>
      </c>
      <c r="AH59" s="480"/>
      <c r="AI59" s="442"/>
      <c r="AJ59" s="465"/>
      <c r="AK59" s="492"/>
      <c r="AL59" s="442">
        <f>SUM(AL60:AL64)</f>
        <v>0</v>
      </c>
      <c r="AM59" s="480"/>
      <c r="AN59" s="442"/>
      <c r="AO59" s="465"/>
      <c r="AP59" s="492"/>
      <c r="AQ59" s="442">
        <f>SUM(AQ60:AQ64)</f>
        <v>0</v>
      </c>
      <c r="AR59" s="480"/>
      <c r="AS59" s="442"/>
      <c r="AT59" s="465"/>
      <c r="AU59" s="492"/>
      <c r="AV59" s="442">
        <f>SUM(AV60:AV64)</f>
        <v>0</v>
      </c>
      <c r="AW59" s="480"/>
      <c r="AX59" s="442"/>
      <c r="AY59" s="465"/>
      <c r="AZ59" s="492"/>
      <c r="BA59" s="442">
        <f>SUM(BA60:BA64)</f>
        <v>0</v>
      </c>
      <c r="BB59" s="480"/>
      <c r="BC59" s="442"/>
      <c r="BD59" s="465"/>
      <c r="BE59" s="492"/>
      <c r="BF59" s="442">
        <f>SUM(BF60:BF64)</f>
        <v>0</v>
      </c>
      <c r="BG59" s="480"/>
      <c r="BH59" s="442"/>
      <c r="BI59" s="465"/>
      <c r="BJ59" s="492"/>
      <c r="BK59" s="442">
        <f>SUM(BK60:BK64)</f>
        <v>0</v>
      </c>
      <c r="BL59" s="480"/>
      <c r="BM59" s="442"/>
      <c r="BN59" s="465"/>
      <c r="BO59" s="492"/>
      <c r="BP59" s="442">
        <f>SUM(BP60:BP64)</f>
        <v>0</v>
      </c>
      <c r="BQ59" s="480"/>
      <c r="BR59" s="442"/>
      <c r="BS59" s="465"/>
      <c r="BT59" s="492"/>
      <c r="BU59" s="442">
        <f>SUM(BU60:BU64)</f>
        <v>0</v>
      </c>
      <c r="BV59" s="480"/>
      <c r="BW59" s="442"/>
      <c r="BX59" s="465"/>
      <c r="BY59" s="492"/>
      <c r="BZ59" s="486">
        <v>0</v>
      </c>
      <c r="CA59" s="480"/>
      <c r="CB59" s="442"/>
      <c r="CC59" s="465"/>
      <c r="CD59" s="492"/>
      <c r="CE59" s="442">
        <f>SUM(CE60:CE64)</f>
        <v>0</v>
      </c>
      <c r="CF59" s="480"/>
      <c r="CG59" s="442"/>
      <c r="CH59" s="465"/>
      <c r="CI59" s="492"/>
      <c r="CJ59" s="442">
        <f>SUM(CJ60:CJ64)</f>
        <v>0</v>
      </c>
      <c r="CK59" s="480"/>
      <c r="CL59" s="442"/>
      <c r="CM59" s="465"/>
      <c r="CN59" s="492"/>
      <c r="CO59" s="442">
        <f>SUM(CO60:CO64)</f>
        <v>0</v>
      </c>
      <c r="CP59" s="480"/>
      <c r="CQ59" s="442"/>
      <c r="CR59" s="465"/>
      <c r="CS59" s="492"/>
      <c r="CT59" s="442">
        <f>SUM(CT60:CT64)</f>
        <v>0</v>
      </c>
      <c r="CU59" s="480"/>
      <c r="CV59" s="442"/>
      <c r="CW59" s="465"/>
      <c r="CX59" s="492"/>
      <c r="CY59" s="442">
        <f>SUM(CY60:CY64)</f>
        <v>0</v>
      </c>
      <c r="CZ59" s="480"/>
      <c r="DA59" s="442"/>
      <c r="DB59" s="465"/>
      <c r="DC59" s="492"/>
      <c r="DD59" s="442">
        <f>SUM(DD60:DD64)</f>
        <v>0</v>
      </c>
      <c r="DE59" s="480"/>
      <c r="DF59" s="442"/>
      <c r="DG59" s="465"/>
      <c r="DH59" s="492"/>
      <c r="DI59" s="442">
        <f>SUM(DI60:DI64)</f>
        <v>0</v>
      </c>
      <c r="DJ59" s="480"/>
      <c r="DK59" s="442"/>
      <c r="DL59" s="465"/>
      <c r="DM59" s="492"/>
      <c r="DN59" s="442">
        <f>SUM(DN60:DN64)</f>
        <v>0</v>
      </c>
      <c r="DO59" s="480"/>
      <c r="DP59" s="442"/>
      <c r="DQ59" s="465"/>
      <c r="DR59" s="492"/>
      <c r="DS59" s="442">
        <f>SUM(DS60:DS64)</f>
        <v>0</v>
      </c>
      <c r="DT59" s="480"/>
      <c r="DU59" s="442"/>
      <c r="DV59" s="465"/>
      <c r="DW59" s="492"/>
      <c r="DX59" s="442">
        <f>SUM(DX60:DX64)</f>
        <v>0</v>
      </c>
      <c r="DY59" s="480"/>
      <c r="DZ59" s="442"/>
      <c r="EA59" s="465"/>
      <c r="EB59" s="492"/>
      <c r="EC59" s="442">
        <f>SUM(EC60:EC64)</f>
        <v>0</v>
      </c>
      <c r="ED59" s="480"/>
      <c r="EE59" s="442"/>
      <c r="EF59" s="465"/>
      <c r="EG59" s="492"/>
      <c r="EH59" s="442">
        <f>SUM(EH60:EH64)</f>
        <v>0</v>
      </c>
      <c r="EI59" s="480"/>
      <c r="EJ59" s="442"/>
      <c r="EK59" s="465"/>
      <c r="EL59" s="492"/>
      <c r="EM59" s="442">
        <f>SUM(EM60:EM64)</f>
        <v>0</v>
      </c>
      <c r="EN59" s="480"/>
      <c r="EO59" s="442"/>
      <c r="EP59" s="455"/>
      <c r="ES59" s="472"/>
      <c r="ET59" s="472">
        <f t="shared" si="0"/>
        <v>0</v>
      </c>
    </row>
    <row r="60" spans="1:150" ht="13.9" hidden="1" customHeight="1" x14ac:dyDescent="0.2">
      <c r="A60" s="442"/>
      <c r="B60" s="442"/>
      <c r="C60" s="455" t="s">
        <v>300</v>
      </c>
      <c r="D60" s="442"/>
      <c r="E60" s="464"/>
      <c r="F60" s="492"/>
      <c r="G60" s="492"/>
      <c r="H60" s="481">
        <v>0</v>
      </c>
      <c r="I60" s="480"/>
      <c r="J60" s="442"/>
      <c r="K60" s="465"/>
      <c r="L60" s="492"/>
      <c r="M60" s="481">
        <f>[12]foreigndebt!L73</f>
        <v>0</v>
      </c>
      <c r="N60" s="480"/>
      <c r="O60" s="442"/>
      <c r="P60" s="465"/>
      <c r="Q60" s="492"/>
      <c r="R60" s="481">
        <f>[12]foreigndebt!Q73</f>
        <v>0</v>
      </c>
      <c r="S60" s="480"/>
      <c r="T60" s="442"/>
      <c r="U60" s="465"/>
      <c r="V60" s="492"/>
      <c r="W60" s="481">
        <f>[12]foreigndebt!V73</f>
        <v>0</v>
      </c>
      <c r="X60" s="480"/>
      <c r="Y60" s="442"/>
      <c r="Z60" s="465"/>
      <c r="AA60" s="492"/>
      <c r="AB60" s="481">
        <f>[12]foreigndebt!AA73</f>
        <v>0</v>
      </c>
      <c r="AC60" s="480"/>
      <c r="AD60" s="442"/>
      <c r="AE60" s="465"/>
      <c r="AF60" s="492"/>
      <c r="AG60" s="481">
        <f>[12]foreigndebt!AF73</f>
        <v>0</v>
      </c>
      <c r="AH60" s="480"/>
      <c r="AI60" s="442"/>
      <c r="AJ60" s="465"/>
      <c r="AK60" s="492"/>
      <c r="AL60" s="481">
        <f>[12]foreigndebt!AK73</f>
        <v>0</v>
      </c>
      <c r="AM60" s="480"/>
      <c r="AN60" s="442"/>
      <c r="AO60" s="465"/>
      <c r="AP60" s="492"/>
      <c r="AQ60" s="481">
        <f>[12]foreigndebt!AP73</f>
        <v>0</v>
      </c>
      <c r="AR60" s="480"/>
      <c r="AS60" s="442"/>
      <c r="AT60" s="465"/>
      <c r="AU60" s="492"/>
      <c r="AV60" s="481">
        <f>[12]foreigndebt!AU73</f>
        <v>0</v>
      </c>
      <c r="AW60" s="480"/>
      <c r="AX60" s="442"/>
      <c r="AY60" s="465"/>
      <c r="AZ60" s="492"/>
      <c r="BA60" s="481">
        <f>[12]foreigndebt!AZ73</f>
        <v>0</v>
      </c>
      <c r="BB60" s="480"/>
      <c r="BC60" s="442"/>
      <c r="BD60" s="465"/>
      <c r="BE60" s="492"/>
      <c r="BF60" s="481">
        <f>[12]foreigndebt!BE73</f>
        <v>0</v>
      </c>
      <c r="BG60" s="480"/>
      <c r="BH60" s="442"/>
      <c r="BI60" s="465"/>
      <c r="BJ60" s="492"/>
      <c r="BK60" s="481">
        <f>[12]foreigndebt!BJ73</f>
        <v>0</v>
      </c>
      <c r="BL60" s="480"/>
      <c r="BM60" s="442"/>
      <c r="BN60" s="465"/>
      <c r="BO60" s="492"/>
      <c r="BP60" s="481">
        <f>[12]foreigndebt!BO73</f>
        <v>0</v>
      </c>
      <c r="BQ60" s="480"/>
      <c r="BR60" s="442"/>
      <c r="BS60" s="465"/>
      <c r="BT60" s="492"/>
      <c r="BU60" s="481">
        <f>[12]foreigndebt!BT73</f>
        <v>0</v>
      </c>
      <c r="BV60" s="480"/>
      <c r="BW60" s="442"/>
      <c r="BX60" s="465"/>
      <c r="BY60" s="492"/>
      <c r="BZ60" s="479">
        <v>0</v>
      </c>
      <c r="CA60" s="480"/>
      <c r="CB60" s="442"/>
      <c r="CC60" s="465"/>
      <c r="CD60" s="492"/>
      <c r="CE60" s="481">
        <f>[12]foreigndebt!CD73</f>
        <v>0</v>
      </c>
      <c r="CF60" s="480"/>
      <c r="CG60" s="442"/>
      <c r="CH60" s="465"/>
      <c r="CI60" s="492"/>
      <c r="CJ60" s="481">
        <f>[12]foreigndebt!CI73</f>
        <v>0</v>
      </c>
      <c r="CK60" s="480"/>
      <c r="CL60" s="442"/>
      <c r="CM60" s="465"/>
      <c r="CN60" s="492"/>
      <c r="CO60" s="481">
        <f>[12]foreigndebt!CN73</f>
        <v>0</v>
      </c>
      <c r="CP60" s="480"/>
      <c r="CQ60" s="442"/>
      <c r="CR60" s="465"/>
      <c r="CS60" s="492"/>
      <c r="CT60" s="481">
        <f>[12]foreigndebt!CS73</f>
        <v>0</v>
      </c>
      <c r="CU60" s="480"/>
      <c r="CV60" s="442"/>
      <c r="CW60" s="465"/>
      <c r="CX60" s="492"/>
      <c r="CY60" s="481">
        <f>[12]foreigndebt!CX73</f>
        <v>0</v>
      </c>
      <c r="CZ60" s="480"/>
      <c r="DA60" s="442"/>
      <c r="DB60" s="465"/>
      <c r="DC60" s="492"/>
      <c r="DD60" s="481">
        <f>[12]foreigndebt!DC73</f>
        <v>0</v>
      </c>
      <c r="DE60" s="480"/>
      <c r="DF60" s="442"/>
      <c r="DG60" s="465"/>
      <c r="DH60" s="492"/>
      <c r="DI60" s="481">
        <f>[12]foreigndebt!DH73</f>
        <v>0</v>
      </c>
      <c r="DJ60" s="480"/>
      <c r="DK60" s="442"/>
      <c r="DL60" s="465"/>
      <c r="DM60" s="492"/>
      <c r="DN60" s="481">
        <f>[12]foreigndebt!DM73</f>
        <v>0</v>
      </c>
      <c r="DO60" s="480"/>
      <c r="DP60" s="442"/>
      <c r="DQ60" s="465"/>
      <c r="DR60" s="492"/>
      <c r="DS60" s="481">
        <f>[12]foreigndebt!DR73</f>
        <v>0</v>
      </c>
      <c r="DT60" s="480"/>
      <c r="DU60" s="442"/>
      <c r="DV60" s="465"/>
      <c r="DW60" s="492"/>
      <c r="DX60" s="481">
        <f>[12]foreigndebt!DW73</f>
        <v>0</v>
      </c>
      <c r="DY60" s="480"/>
      <c r="DZ60" s="442"/>
      <c r="EA60" s="465"/>
      <c r="EB60" s="492"/>
      <c r="EC60" s="481">
        <f>[12]foreigndebt!EB73</f>
        <v>0</v>
      </c>
      <c r="ED60" s="480"/>
      <c r="EE60" s="442"/>
      <c r="EF60" s="465"/>
      <c r="EG60" s="492"/>
      <c r="EH60" s="481">
        <f>[12]foreigndebt!EG73</f>
        <v>0</v>
      </c>
      <c r="EI60" s="480"/>
      <c r="EJ60" s="442"/>
      <c r="EK60" s="465"/>
      <c r="EL60" s="492"/>
      <c r="EM60" s="481">
        <f>[12]foreigndebt!EL73</f>
        <v>0</v>
      </c>
      <c r="EN60" s="480"/>
      <c r="EO60" s="442"/>
      <c r="EP60" s="455"/>
      <c r="ES60" s="472"/>
      <c r="ET60" s="472">
        <f t="shared" si="0"/>
        <v>0</v>
      </c>
    </row>
    <row r="61" spans="1:150" ht="13.9" hidden="1" customHeight="1" x14ac:dyDescent="0.2">
      <c r="A61" s="442"/>
      <c r="B61" s="442"/>
      <c r="C61" s="455" t="s">
        <v>302</v>
      </c>
      <c r="D61" s="442"/>
      <c r="E61" s="464"/>
      <c r="F61" s="492"/>
      <c r="G61" s="492"/>
      <c r="H61" s="482">
        <v>0</v>
      </c>
      <c r="I61" s="480"/>
      <c r="J61" s="442"/>
      <c r="K61" s="465"/>
      <c r="L61" s="492"/>
      <c r="M61" s="482">
        <f>-[12]foreigndebt!L75</f>
        <v>0</v>
      </c>
      <c r="N61" s="480"/>
      <c r="O61" s="442"/>
      <c r="P61" s="465"/>
      <c r="Q61" s="492"/>
      <c r="R61" s="482">
        <f>-[12]foreigndebt!Q75</f>
        <v>0</v>
      </c>
      <c r="S61" s="480"/>
      <c r="T61" s="442"/>
      <c r="U61" s="465"/>
      <c r="V61" s="492"/>
      <c r="W61" s="482">
        <f>-[12]foreigndebt!V75</f>
        <v>0</v>
      </c>
      <c r="X61" s="480"/>
      <c r="Y61" s="442"/>
      <c r="Z61" s="465"/>
      <c r="AA61" s="492"/>
      <c r="AB61" s="482">
        <f>-[12]foreigndebt!AA75</f>
        <v>0</v>
      </c>
      <c r="AC61" s="480"/>
      <c r="AD61" s="442"/>
      <c r="AE61" s="465"/>
      <c r="AF61" s="492"/>
      <c r="AG61" s="482">
        <f>-[12]foreigndebt!AF75</f>
        <v>0</v>
      </c>
      <c r="AH61" s="480"/>
      <c r="AI61" s="442"/>
      <c r="AJ61" s="465"/>
      <c r="AK61" s="492"/>
      <c r="AL61" s="482">
        <f>-[12]foreigndebt!AK75</f>
        <v>0</v>
      </c>
      <c r="AM61" s="480"/>
      <c r="AN61" s="442"/>
      <c r="AO61" s="465"/>
      <c r="AP61" s="492"/>
      <c r="AQ61" s="482">
        <f>-[12]foreigndebt!AP75</f>
        <v>0</v>
      </c>
      <c r="AR61" s="480"/>
      <c r="AS61" s="442"/>
      <c r="AT61" s="465"/>
      <c r="AU61" s="492"/>
      <c r="AV61" s="482">
        <f>-[12]foreigndebt!AU75</f>
        <v>0</v>
      </c>
      <c r="AW61" s="480"/>
      <c r="AX61" s="442"/>
      <c r="AY61" s="465"/>
      <c r="AZ61" s="492"/>
      <c r="BA61" s="482">
        <f>-[12]foreigndebt!AZ75</f>
        <v>0</v>
      </c>
      <c r="BB61" s="480"/>
      <c r="BC61" s="442"/>
      <c r="BD61" s="465"/>
      <c r="BE61" s="492"/>
      <c r="BF61" s="482">
        <f>-[12]foreigndebt!BE75</f>
        <v>0</v>
      </c>
      <c r="BG61" s="480"/>
      <c r="BH61" s="442"/>
      <c r="BI61" s="465"/>
      <c r="BJ61" s="492"/>
      <c r="BK61" s="482">
        <f>-[12]foreigndebt!BJ75</f>
        <v>0</v>
      </c>
      <c r="BL61" s="480"/>
      <c r="BM61" s="442"/>
      <c r="BN61" s="465"/>
      <c r="BO61" s="492"/>
      <c r="BP61" s="482">
        <f>-[12]foreigndebt!BO75</f>
        <v>0</v>
      </c>
      <c r="BQ61" s="480"/>
      <c r="BR61" s="442"/>
      <c r="BS61" s="465"/>
      <c r="BT61" s="492"/>
      <c r="BU61" s="482">
        <f>-[12]foreigndebt!BT75</f>
        <v>0</v>
      </c>
      <c r="BV61" s="480"/>
      <c r="BW61" s="442"/>
      <c r="BX61" s="465"/>
      <c r="BY61" s="492"/>
      <c r="BZ61" s="483">
        <v>0</v>
      </c>
      <c r="CA61" s="480"/>
      <c r="CB61" s="442"/>
      <c r="CC61" s="465"/>
      <c r="CD61" s="492"/>
      <c r="CE61" s="482">
        <f>-[12]foreigndebt!CD75</f>
        <v>0</v>
      </c>
      <c r="CF61" s="480"/>
      <c r="CG61" s="442"/>
      <c r="CH61" s="465"/>
      <c r="CI61" s="492"/>
      <c r="CJ61" s="482">
        <f>-[12]foreigndebt!CI75</f>
        <v>0</v>
      </c>
      <c r="CK61" s="480"/>
      <c r="CL61" s="442"/>
      <c r="CM61" s="465"/>
      <c r="CN61" s="492"/>
      <c r="CO61" s="482">
        <f>-[12]foreigndebt!CN75</f>
        <v>0</v>
      </c>
      <c r="CP61" s="480"/>
      <c r="CQ61" s="442"/>
      <c r="CR61" s="465"/>
      <c r="CS61" s="492"/>
      <c r="CT61" s="482">
        <f>-[12]foreigndebt!CS75</f>
        <v>0</v>
      </c>
      <c r="CU61" s="480"/>
      <c r="CV61" s="442"/>
      <c r="CW61" s="465"/>
      <c r="CX61" s="492"/>
      <c r="CY61" s="482">
        <f>-[12]foreigndebt!CX75</f>
        <v>0</v>
      </c>
      <c r="CZ61" s="480"/>
      <c r="DA61" s="442"/>
      <c r="DB61" s="465"/>
      <c r="DC61" s="492"/>
      <c r="DD61" s="482">
        <f>-[12]foreigndebt!DC75</f>
        <v>0</v>
      </c>
      <c r="DE61" s="480"/>
      <c r="DF61" s="442"/>
      <c r="DG61" s="465"/>
      <c r="DH61" s="492"/>
      <c r="DI61" s="482">
        <f>-[12]foreigndebt!DH75</f>
        <v>0</v>
      </c>
      <c r="DJ61" s="480"/>
      <c r="DK61" s="442"/>
      <c r="DL61" s="465"/>
      <c r="DM61" s="492"/>
      <c r="DN61" s="482">
        <f>-[12]foreigndebt!DM75</f>
        <v>0</v>
      </c>
      <c r="DO61" s="480"/>
      <c r="DP61" s="442"/>
      <c r="DQ61" s="465"/>
      <c r="DR61" s="492"/>
      <c r="DS61" s="482">
        <f>-[12]foreigndebt!DR75</f>
        <v>0</v>
      </c>
      <c r="DT61" s="480"/>
      <c r="DU61" s="442"/>
      <c r="DV61" s="465"/>
      <c r="DW61" s="492"/>
      <c r="DX61" s="482">
        <f>-[12]foreigndebt!DW75</f>
        <v>0</v>
      </c>
      <c r="DY61" s="480"/>
      <c r="DZ61" s="442"/>
      <c r="EA61" s="465"/>
      <c r="EB61" s="492"/>
      <c r="EC61" s="482">
        <f>-[12]foreigndebt!EB75</f>
        <v>0</v>
      </c>
      <c r="ED61" s="480"/>
      <c r="EE61" s="442"/>
      <c r="EF61" s="465"/>
      <c r="EG61" s="492"/>
      <c r="EH61" s="482">
        <f>-[12]foreigndebt!EG75</f>
        <v>0</v>
      </c>
      <c r="EI61" s="480"/>
      <c r="EJ61" s="442"/>
      <c r="EK61" s="465"/>
      <c r="EL61" s="492"/>
      <c r="EM61" s="482">
        <f>-[12]foreigndebt!EL75</f>
        <v>0</v>
      </c>
      <c r="EN61" s="480"/>
      <c r="EO61" s="442"/>
      <c r="EP61" s="455"/>
      <c r="ES61" s="472"/>
      <c r="ET61" s="472">
        <f t="shared" si="0"/>
        <v>0</v>
      </c>
    </row>
    <row r="62" spans="1:150" ht="13.9" hidden="1" customHeight="1" x14ac:dyDescent="0.2">
      <c r="A62" s="442"/>
      <c r="B62" s="442"/>
      <c r="C62" s="455" t="s">
        <v>305</v>
      </c>
      <c r="D62" s="442"/>
      <c r="E62" s="464"/>
      <c r="F62" s="492"/>
      <c r="G62" s="492"/>
      <c r="H62" s="482"/>
      <c r="I62" s="480"/>
      <c r="J62" s="442"/>
      <c r="K62" s="465"/>
      <c r="L62" s="492"/>
      <c r="M62" s="482"/>
      <c r="N62" s="480"/>
      <c r="O62" s="442"/>
      <c r="P62" s="465"/>
      <c r="Q62" s="492"/>
      <c r="R62" s="482"/>
      <c r="S62" s="480"/>
      <c r="T62" s="442"/>
      <c r="U62" s="465"/>
      <c r="V62" s="492"/>
      <c r="W62" s="482"/>
      <c r="X62" s="480"/>
      <c r="Y62" s="442"/>
      <c r="Z62" s="465"/>
      <c r="AA62" s="492"/>
      <c r="AB62" s="482"/>
      <c r="AC62" s="480"/>
      <c r="AD62" s="442"/>
      <c r="AE62" s="465"/>
      <c r="AF62" s="492"/>
      <c r="AG62" s="482"/>
      <c r="AH62" s="480"/>
      <c r="AI62" s="442"/>
      <c r="AJ62" s="465"/>
      <c r="AK62" s="492"/>
      <c r="AL62" s="482"/>
      <c r="AM62" s="480"/>
      <c r="AN62" s="442"/>
      <c r="AO62" s="465"/>
      <c r="AP62" s="492"/>
      <c r="AQ62" s="482"/>
      <c r="AR62" s="480"/>
      <c r="AS62" s="442"/>
      <c r="AT62" s="465"/>
      <c r="AU62" s="492"/>
      <c r="AV62" s="482"/>
      <c r="AW62" s="480"/>
      <c r="AX62" s="442"/>
      <c r="AY62" s="465"/>
      <c r="AZ62" s="492"/>
      <c r="BA62" s="482"/>
      <c r="BB62" s="480"/>
      <c r="BC62" s="442"/>
      <c r="BD62" s="465"/>
      <c r="BE62" s="492"/>
      <c r="BF62" s="482"/>
      <c r="BG62" s="480"/>
      <c r="BH62" s="442"/>
      <c r="BI62" s="465"/>
      <c r="BJ62" s="492"/>
      <c r="BK62" s="482"/>
      <c r="BL62" s="480"/>
      <c r="BM62" s="442"/>
      <c r="BN62" s="465"/>
      <c r="BO62" s="492"/>
      <c r="BP62" s="482"/>
      <c r="BQ62" s="480"/>
      <c r="BR62" s="442"/>
      <c r="BS62" s="465"/>
      <c r="BT62" s="492"/>
      <c r="BU62" s="482"/>
      <c r="BV62" s="480"/>
      <c r="BW62" s="442"/>
      <c r="BX62" s="465"/>
      <c r="BY62" s="492"/>
      <c r="BZ62" s="483"/>
      <c r="CA62" s="480"/>
      <c r="CB62" s="442"/>
      <c r="CC62" s="465"/>
      <c r="CD62" s="492"/>
      <c r="CE62" s="482"/>
      <c r="CF62" s="480"/>
      <c r="CG62" s="442"/>
      <c r="CH62" s="465"/>
      <c r="CI62" s="492"/>
      <c r="CJ62" s="482"/>
      <c r="CK62" s="480"/>
      <c r="CL62" s="442"/>
      <c r="CM62" s="465"/>
      <c r="CN62" s="492"/>
      <c r="CO62" s="482"/>
      <c r="CP62" s="480"/>
      <c r="CQ62" s="442"/>
      <c r="CR62" s="465"/>
      <c r="CS62" s="492"/>
      <c r="CT62" s="482"/>
      <c r="CU62" s="480"/>
      <c r="CV62" s="442"/>
      <c r="CW62" s="465"/>
      <c r="CX62" s="492"/>
      <c r="CY62" s="482"/>
      <c r="CZ62" s="480"/>
      <c r="DA62" s="442"/>
      <c r="DB62" s="465"/>
      <c r="DC62" s="492"/>
      <c r="DD62" s="482"/>
      <c r="DE62" s="480"/>
      <c r="DF62" s="442"/>
      <c r="DG62" s="465"/>
      <c r="DH62" s="492"/>
      <c r="DI62" s="482"/>
      <c r="DJ62" s="480"/>
      <c r="DK62" s="442"/>
      <c r="DL62" s="465"/>
      <c r="DM62" s="492"/>
      <c r="DN62" s="482"/>
      <c r="DO62" s="480"/>
      <c r="DP62" s="442"/>
      <c r="DQ62" s="465"/>
      <c r="DR62" s="492"/>
      <c r="DS62" s="482"/>
      <c r="DT62" s="480"/>
      <c r="DU62" s="442"/>
      <c r="DV62" s="465"/>
      <c r="DW62" s="492"/>
      <c r="DX62" s="482"/>
      <c r="DY62" s="480"/>
      <c r="DZ62" s="442"/>
      <c r="EA62" s="465"/>
      <c r="EB62" s="492"/>
      <c r="EC62" s="482"/>
      <c r="ED62" s="480"/>
      <c r="EE62" s="442"/>
      <c r="EF62" s="465"/>
      <c r="EG62" s="492"/>
      <c r="EH62" s="482"/>
      <c r="EI62" s="480"/>
      <c r="EJ62" s="442"/>
      <c r="EK62" s="465"/>
      <c r="EL62" s="492"/>
      <c r="EM62" s="482"/>
      <c r="EN62" s="480"/>
      <c r="EO62" s="442"/>
      <c r="EP62" s="455"/>
      <c r="ES62" s="472"/>
      <c r="ET62" s="472">
        <f t="shared" si="0"/>
        <v>0</v>
      </c>
    </row>
    <row r="63" spans="1:150" ht="13.9" hidden="1" customHeight="1" x14ac:dyDescent="0.2">
      <c r="A63" s="442"/>
      <c r="B63" s="442"/>
      <c r="C63" s="319" t="s">
        <v>319</v>
      </c>
      <c r="D63" s="442"/>
      <c r="E63" s="464"/>
      <c r="F63" s="492"/>
      <c r="G63" s="492"/>
      <c r="H63" s="482">
        <v>0</v>
      </c>
      <c r="I63" s="480"/>
      <c r="J63" s="442"/>
      <c r="K63" s="465"/>
      <c r="L63" s="492"/>
      <c r="M63" s="482">
        <f>-[12]foreigndebt!L169</f>
        <v>0</v>
      </c>
      <c r="N63" s="480"/>
      <c r="O63" s="442"/>
      <c r="P63" s="465"/>
      <c r="Q63" s="492"/>
      <c r="R63" s="482">
        <f>-[12]foreigndebt!Q169</f>
        <v>0</v>
      </c>
      <c r="S63" s="480"/>
      <c r="T63" s="442"/>
      <c r="U63" s="465"/>
      <c r="V63" s="492"/>
      <c r="W63" s="482">
        <f>-[12]foreigndebt!V169</f>
        <v>0</v>
      </c>
      <c r="X63" s="480"/>
      <c r="Y63" s="442"/>
      <c r="Z63" s="465"/>
      <c r="AA63" s="492"/>
      <c r="AB63" s="482">
        <f>-[12]foreigndebt!AA169</f>
        <v>0</v>
      </c>
      <c r="AC63" s="480"/>
      <c r="AD63" s="442"/>
      <c r="AE63" s="465"/>
      <c r="AF63" s="492"/>
      <c r="AG63" s="482">
        <f>-[12]foreigndebt!AF169</f>
        <v>0</v>
      </c>
      <c r="AH63" s="480"/>
      <c r="AI63" s="442"/>
      <c r="AJ63" s="465"/>
      <c r="AK63" s="492"/>
      <c r="AL63" s="482">
        <f>-[12]foreigndebt!AK169</f>
        <v>0</v>
      </c>
      <c r="AM63" s="480"/>
      <c r="AN63" s="442"/>
      <c r="AO63" s="465"/>
      <c r="AP63" s="492"/>
      <c r="AQ63" s="482">
        <f>-[12]foreigndebt!AP169</f>
        <v>0</v>
      </c>
      <c r="AR63" s="480"/>
      <c r="AS63" s="442"/>
      <c r="AT63" s="465"/>
      <c r="AU63" s="492"/>
      <c r="AV63" s="482">
        <f>-[12]foreigndebt!AU169</f>
        <v>0</v>
      </c>
      <c r="AW63" s="480"/>
      <c r="AX63" s="442"/>
      <c r="AY63" s="465"/>
      <c r="AZ63" s="492"/>
      <c r="BA63" s="482">
        <f>-[12]foreigndebt!AZ169</f>
        <v>0</v>
      </c>
      <c r="BB63" s="480"/>
      <c r="BC63" s="442"/>
      <c r="BD63" s="465"/>
      <c r="BE63" s="492"/>
      <c r="BF63" s="482">
        <f>-[12]foreigndebt!BE169</f>
        <v>0</v>
      </c>
      <c r="BG63" s="480"/>
      <c r="BH63" s="442"/>
      <c r="BI63" s="465"/>
      <c r="BJ63" s="492"/>
      <c r="BK63" s="482">
        <f>-[12]foreigndebt!BJ169</f>
        <v>0</v>
      </c>
      <c r="BL63" s="480"/>
      <c r="BM63" s="442"/>
      <c r="BN63" s="465"/>
      <c r="BO63" s="492"/>
      <c r="BP63" s="482">
        <f>-[12]foreigndebt!BO169</f>
        <v>0</v>
      </c>
      <c r="BQ63" s="480"/>
      <c r="BR63" s="442"/>
      <c r="BS63" s="465"/>
      <c r="BT63" s="492"/>
      <c r="BU63" s="482">
        <f>-[12]foreigndebt!BT169</f>
        <v>0</v>
      </c>
      <c r="BV63" s="480"/>
      <c r="BW63" s="442"/>
      <c r="BX63" s="465"/>
      <c r="BY63" s="492"/>
      <c r="BZ63" s="483">
        <v>0</v>
      </c>
      <c r="CA63" s="480"/>
      <c r="CB63" s="442"/>
      <c r="CC63" s="465"/>
      <c r="CD63" s="492"/>
      <c r="CE63" s="482">
        <f>-[12]foreigndebt!CD169</f>
        <v>0</v>
      </c>
      <c r="CF63" s="480"/>
      <c r="CG63" s="442"/>
      <c r="CH63" s="465"/>
      <c r="CI63" s="492"/>
      <c r="CJ63" s="482">
        <f>-[12]foreigndebt!CI169</f>
        <v>0</v>
      </c>
      <c r="CK63" s="480"/>
      <c r="CL63" s="442"/>
      <c r="CM63" s="465"/>
      <c r="CN63" s="492"/>
      <c r="CO63" s="482">
        <f>-[12]foreigndebt!CN169</f>
        <v>0</v>
      </c>
      <c r="CP63" s="480"/>
      <c r="CQ63" s="442"/>
      <c r="CR63" s="465"/>
      <c r="CS63" s="492"/>
      <c r="CT63" s="482">
        <f>-[12]foreigndebt!CS169</f>
        <v>0</v>
      </c>
      <c r="CU63" s="480"/>
      <c r="CV63" s="442"/>
      <c r="CW63" s="465"/>
      <c r="CX63" s="492"/>
      <c r="CY63" s="482">
        <f>-[12]foreigndebt!CX169</f>
        <v>0</v>
      </c>
      <c r="CZ63" s="480"/>
      <c r="DA63" s="442"/>
      <c r="DB63" s="465"/>
      <c r="DC63" s="492"/>
      <c r="DD63" s="482">
        <f>-[12]foreigndebt!DC169</f>
        <v>0</v>
      </c>
      <c r="DE63" s="480"/>
      <c r="DF63" s="442"/>
      <c r="DG63" s="465"/>
      <c r="DH63" s="492"/>
      <c r="DI63" s="482">
        <f>-[12]foreigndebt!DH169</f>
        <v>0</v>
      </c>
      <c r="DJ63" s="480"/>
      <c r="DK63" s="442"/>
      <c r="DL63" s="465"/>
      <c r="DM63" s="492"/>
      <c r="DN63" s="482">
        <f>-[12]foreigndebt!DM169</f>
        <v>0</v>
      </c>
      <c r="DO63" s="480"/>
      <c r="DP63" s="442"/>
      <c r="DQ63" s="465"/>
      <c r="DR63" s="492"/>
      <c r="DS63" s="482">
        <f>-[12]foreigndebt!DR169</f>
        <v>0</v>
      </c>
      <c r="DT63" s="480"/>
      <c r="DU63" s="442"/>
      <c r="DV63" s="465"/>
      <c r="DW63" s="492"/>
      <c r="DX63" s="482">
        <f>-[12]foreigndebt!DW169</f>
        <v>0</v>
      </c>
      <c r="DY63" s="480"/>
      <c r="DZ63" s="442"/>
      <c r="EA63" s="465"/>
      <c r="EB63" s="492"/>
      <c r="EC63" s="482">
        <f>-[12]foreigndebt!EB169</f>
        <v>0</v>
      </c>
      <c r="ED63" s="480"/>
      <c r="EE63" s="442"/>
      <c r="EF63" s="465"/>
      <c r="EG63" s="492"/>
      <c r="EH63" s="482">
        <f>-[12]foreigndebt!EG169</f>
        <v>0</v>
      </c>
      <c r="EI63" s="480"/>
      <c r="EJ63" s="442"/>
      <c r="EK63" s="465"/>
      <c r="EL63" s="492"/>
      <c r="EM63" s="482">
        <f>-[12]foreigndebt!EL169</f>
        <v>0</v>
      </c>
      <c r="EN63" s="480"/>
      <c r="EO63" s="442"/>
      <c r="EP63" s="455"/>
      <c r="ES63" s="472"/>
      <c r="ET63" s="472">
        <f t="shared" si="0"/>
        <v>0</v>
      </c>
    </row>
    <row r="64" spans="1:150" ht="13.9" hidden="1" customHeight="1" x14ac:dyDescent="0.2">
      <c r="A64" s="442"/>
      <c r="B64" s="442"/>
      <c r="C64" s="319" t="s">
        <v>320</v>
      </c>
      <c r="D64" s="442"/>
      <c r="E64" s="464"/>
      <c r="F64" s="492"/>
      <c r="G64" s="492"/>
      <c r="H64" s="485">
        <v>0</v>
      </c>
      <c r="I64" s="480"/>
      <c r="J64" s="442"/>
      <c r="K64" s="465"/>
      <c r="L64" s="492"/>
      <c r="M64" s="485">
        <f>-[12]foreigndebt!L170</f>
        <v>0</v>
      </c>
      <c r="N64" s="480"/>
      <c r="O64" s="442"/>
      <c r="P64" s="465"/>
      <c r="Q64" s="492"/>
      <c r="R64" s="485">
        <f>-[12]foreigndebt!Q170</f>
        <v>0</v>
      </c>
      <c r="S64" s="480"/>
      <c r="T64" s="442"/>
      <c r="U64" s="465"/>
      <c r="V64" s="492"/>
      <c r="W64" s="485">
        <f>-[12]foreigndebt!V170</f>
        <v>0</v>
      </c>
      <c r="X64" s="480"/>
      <c r="Y64" s="442"/>
      <c r="Z64" s="465"/>
      <c r="AA64" s="492"/>
      <c r="AB64" s="485">
        <f>-[12]foreigndebt!AA170</f>
        <v>0</v>
      </c>
      <c r="AC64" s="480"/>
      <c r="AD64" s="442"/>
      <c r="AE64" s="465"/>
      <c r="AF64" s="492"/>
      <c r="AG64" s="485">
        <f>-[12]foreigndebt!AF170</f>
        <v>0</v>
      </c>
      <c r="AH64" s="480"/>
      <c r="AI64" s="442"/>
      <c r="AJ64" s="465"/>
      <c r="AK64" s="492"/>
      <c r="AL64" s="485">
        <f>-[12]foreigndebt!AK170</f>
        <v>0</v>
      </c>
      <c r="AM64" s="480"/>
      <c r="AN64" s="442"/>
      <c r="AO64" s="465"/>
      <c r="AP64" s="492"/>
      <c r="AQ64" s="485">
        <f>-[12]foreigndebt!AP170</f>
        <v>0</v>
      </c>
      <c r="AR64" s="480"/>
      <c r="AS64" s="442"/>
      <c r="AT64" s="465"/>
      <c r="AU64" s="492"/>
      <c r="AV64" s="485">
        <f>-[12]foreigndebt!AU170</f>
        <v>0</v>
      </c>
      <c r="AW64" s="480"/>
      <c r="AX64" s="442"/>
      <c r="AY64" s="465"/>
      <c r="AZ64" s="492"/>
      <c r="BA64" s="485">
        <f>-[12]foreigndebt!AZ170</f>
        <v>0</v>
      </c>
      <c r="BB64" s="480"/>
      <c r="BC64" s="442"/>
      <c r="BD64" s="465"/>
      <c r="BE64" s="492"/>
      <c r="BF64" s="485">
        <f>-[12]foreigndebt!BE170</f>
        <v>0</v>
      </c>
      <c r="BG64" s="480"/>
      <c r="BH64" s="442"/>
      <c r="BI64" s="465"/>
      <c r="BJ64" s="492"/>
      <c r="BK64" s="485">
        <f>-[12]foreigndebt!BJ170</f>
        <v>0</v>
      </c>
      <c r="BL64" s="480"/>
      <c r="BM64" s="442"/>
      <c r="BN64" s="465"/>
      <c r="BO64" s="492"/>
      <c r="BP64" s="485">
        <f>-[12]foreigndebt!BO170</f>
        <v>0</v>
      </c>
      <c r="BQ64" s="480"/>
      <c r="BR64" s="442"/>
      <c r="BS64" s="465"/>
      <c r="BT64" s="492"/>
      <c r="BU64" s="485">
        <f>-[12]foreigndebt!BT170</f>
        <v>0</v>
      </c>
      <c r="BV64" s="480"/>
      <c r="BW64" s="442"/>
      <c r="BX64" s="465"/>
      <c r="BY64" s="492"/>
      <c r="BZ64" s="484">
        <v>0</v>
      </c>
      <c r="CA64" s="480"/>
      <c r="CB64" s="442"/>
      <c r="CC64" s="465"/>
      <c r="CD64" s="492"/>
      <c r="CE64" s="485">
        <f>-[12]foreigndebt!CD170</f>
        <v>0</v>
      </c>
      <c r="CF64" s="480"/>
      <c r="CG64" s="442"/>
      <c r="CH64" s="465"/>
      <c r="CI64" s="492"/>
      <c r="CJ64" s="485">
        <f>-[12]foreigndebt!CI170</f>
        <v>0</v>
      </c>
      <c r="CK64" s="480"/>
      <c r="CL64" s="442"/>
      <c r="CM64" s="465"/>
      <c r="CN64" s="492"/>
      <c r="CO64" s="485">
        <f>-[12]foreigndebt!CN170</f>
        <v>0</v>
      </c>
      <c r="CP64" s="480"/>
      <c r="CQ64" s="442"/>
      <c r="CR64" s="465"/>
      <c r="CS64" s="492"/>
      <c r="CT64" s="485">
        <f>-[12]foreigndebt!CS170</f>
        <v>0</v>
      </c>
      <c r="CU64" s="480"/>
      <c r="CV64" s="442"/>
      <c r="CW64" s="465"/>
      <c r="CX64" s="492"/>
      <c r="CY64" s="485">
        <f>-[12]foreigndebt!CX170</f>
        <v>0</v>
      </c>
      <c r="CZ64" s="480"/>
      <c r="DA64" s="442"/>
      <c r="DB64" s="465"/>
      <c r="DC64" s="492"/>
      <c r="DD64" s="485">
        <f>-[12]foreigndebt!DC170</f>
        <v>0</v>
      </c>
      <c r="DE64" s="480"/>
      <c r="DF64" s="442"/>
      <c r="DG64" s="465"/>
      <c r="DH64" s="492"/>
      <c r="DI64" s="485">
        <f>-[12]foreigndebt!DH170</f>
        <v>0</v>
      </c>
      <c r="DJ64" s="480"/>
      <c r="DK64" s="442"/>
      <c r="DL64" s="465"/>
      <c r="DM64" s="492"/>
      <c r="DN64" s="485">
        <f>-[12]foreigndebt!DM170</f>
        <v>0</v>
      </c>
      <c r="DO64" s="480"/>
      <c r="DP64" s="442"/>
      <c r="DQ64" s="465"/>
      <c r="DR64" s="492"/>
      <c r="DS64" s="485">
        <f>-[12]foreigndebt!DR170</f>
        <v>0</v>
      </c>
      <c r="DT64" s="480"/>
      <c r="DU64" s="442"/>
      <c r="DV64" s="465"/>
      <c r="DW64" s="492"/>
      <c r="DX64" s="485">
        <f>-[12]foreigndebt!DW170</f>
        <v>0</v>
      </c>
      <c r="DY64" s="480"/>
      <c r="DZ64" s="442"/>
      <c r="EA64" s="465"/>
      <c r="EB64" s="492"/>
      <c r="EC64" s="485">
        <f>-[12]foreigndebt!EB170</f>
        <v>0</v>
      </c>
      <c r="ED64" s="480"/>
      <c r="EE64" s="442"/>
      <c r="EF64" s="465"/>
      <c r="EG64" s="492"/>
      <c r="EH64" s="485">
        <f>-[12]foreigndebt!EG170</f>
        <v>0</v>
      </c>
      <c r="EI64" s="480"/>
      <c r="EJ64" s="442"/>
      <c r="EK64" s="465"/>
      <c r="EL64" s="492"/>
      <c r="EM64" s="485">
        <f>-[12]foreigndebt!EL170</f>
        <v>0</v>
      </c>
      <c r="EN64" s="480"/>
      <c r="EO64" s="442"/>
      <c r="EP64" s="455"/>
      <c r="ES64" s="472"/>
      <c r="ET64" s="472">
        <f t="shared" si="0"/>
        <v>0</v>
      </c>
    </row>
    <row r="65" spans="1:150" x14ac:dyDescent="0.2">
      <c r="A65" s="442"/>
      <c r="B65" s="442"/>
      <c r="C65" s="455"/>
      <c r="D65" s="442"/>
      <c r="E65" s="464"/>
      <c r="F65" s="492"/>
      <c r="G65" s="508"/>
      <c r="H65" s="491"/>
      <c r="I65" s="490"/>
      <c r="J65" s="442"/>
      <c r="K65" s="465"/>
      <c r="L65" s="508"/>
      <c r="M65" s="491"/>
      <c r="N65" s="490"/>
      <c r="O65" s="442"/>
      <c r="P65" s="465"/>
      <c r="Q65" s="508"/>
      <c r="R65" s="491"/>
      <c r="S65" s="490"/>
      <c r="T65" s="442"/>
      <c r="U65" s="465"/>
      <c r="V65" s="508"/>
      <c r="W65" s="491"/>
      <c r="X65" s="490"/>
      <c r="Y65" s="442"/>
      <c r="Z65" s="465"/>
      <c r="AA65" s="508"/>
      <c r="AB65" s="491"/>
      <c r="AC65" s="490"/>
      <c r="AD65" s="442"/>
      <c r="AE65" s="465"/>
      <c r="AF65" s="508"/>
      <c r="AG65" s="491"/>
      <c r="AH65" s="490"/>
      <c r="AI65" s="442"/>
      <c r="AJ65" s="465"/>
      <c r="AK65" s="508"/>
      <c r="AL65" s="491"/>
      <c r="AM65" s="490"/>
      <c r="AN65" s="442"/>
      <c r="AO65" s="465"/>
      <c r="AP65" s="508"/>
      <c r="AQ65" s="491"/>
      <c r="AR65" s="490"/>
      <c r="AS65" s="442"/>
      <c r="AT65" s="465"/>
      <c r="AU65" s="508"/>
      <c r="AV65" s="491"/>
      <c r="AW65" s="490"/>
      <c r="AX65" s="442"/>
      <c r="AY65" s="465"/>
      <c r="AZ65" s="508"/>
      <c r="BA65" s="491"/>
      <c r="BB65" s="490"/>
      <c r="BC65" s="442"/>
      <c r="BD65" s="465"/>
      <c r="BE65" s="508"/>
      <c r="BF65" s="491"/>
      <c r="BG65" s="490"/>
      <c r="BH65" s="442"/>
      <c r="BI65" s="465"/>
      <c r="BJ65" s="508"/>
      <c r="BK65" s="491"/>
      <c r="BL65" s="490"/>
      <c r="BM65" s="442"/>
      <c r="BN65" s="465"/>
      <c r="BO65" s="508"/>
      <c r="BP65" s="491"/>
      <c r="BQ65" s="490"/>
      <c r="BR65" s="442"/>
      <c r="BS65" s="465"/>
      <c r="BT65" s="508"/>
      <c r="BU65" s="491"/>
      <c r="BV65" s="490"/>
      <c r="BW65" s="442"/>
      <c r="BX65" s="465"/>
      <c r="BY65" s="508"/>
      <c r="BZ65" s="489"/>
      <c r="CA65" s="490"/>
      <c r="CB65" s="442"/>
      <c r="CC65" s="465"/>
      <c r="CD65" s="508"/>
      <c r="CE65" s="491"/>
      <c r="CF65" s="490"/>
      <c r="CG65" s="442"/>
      <c r="CH65" s="465"/>
      <c r="CI65" s="508"/>
      <c r="CJ65" s="491"/>
      <c r="CK65" s="490"/>
      <c r="CL65" s="442"/>
      <c r="CM65" s="465"/>
      <c r="CN65" s="508"/>
      <c r="CO65" s="491"/>
      <c r="CP65" s="490"/>
      <c r="CQ65" s="442"/>
      <c r="CR65" s="465"/>
      <c r="CS65" s="508"/>
      <c r="CT65" s="491"/>
      <c r="CU65" s="490"/>
      <c r="CV65" s="442"/>
      <c r="CW65" s="465"/>
      <c r="CX65" s="508"/>
      <c r="CY65" s="491"/>
      <c r="CZ65" s="490"/>
      <c r="DA65" s="442"/>
      <c r="DB65" s="465"/>
      <c r="DC65" s="508"/>
      <c r="DD65" s="491"/>
      <c r="DE65" s="490"/>
      <c r="DF65" s="442"/>
      <c r="DG65" s="465"/>
      <c r="DH65" s="508"/>
      <c r="DI65" s="491"/>
      <c r="DJ65" s="490"/>
      <c r="DK65" s="442"/>
      <c r="DL65" s="465"/>
      <c r="DM65" s="508"/>
      <c r="DN65" s="491"/>
      <c r="DO65" s="490"/>
      <c r="DP65" s="442"/>
      <c r="DQ65" s="465"/>
      <c r="DR65" s="508"/>
      <c r="DS65" s="491"/>
      <c r="DT65" s="490"/>
      <c r="DU65" s="442"/>
      <c r="DV65" s="465"/>
      <c r="DW65" s="508"/>
      <c r="DX65" s="491"/>
      <c r="DY65" s="490"/>
      <c r="DZ65" s="442"/>
      <c r="EA65" s="465"/>
      <c r="EB65" s="508"/>
      <c r="EC65" s="491"/>
      <c r="ED65" s="490"/>
      <c r="EE65" s="442"/>
      <c r="EF65" s="465"/>
      <c r="EG65" s="508"/>
      <c r="EH65" s="491"/>
      <c r="EI65" s="490"/>
      <c r="EJ65" s="442"/>
      <c r="EK65" s="465"/>
      <c r="EL65" s="508"/>
      <c r="EM65" s="491"/>
      <c r="EN65" s="490"/>
      <c r="EO65" s="442"/>
      <c r="EP65" s="455"/>
      <c r="ES65" s="472"/>
      <c r="ET65" s="472">
        <f t="shared" si="0"/>
        <v>0</v>
      </c>
    </row>
    <row r="66" spans="1:150" x14ac:dyDescent="0.2">
      <c r="A66" s="442"/>
      <c r="B66" s="442"/>
      <c r="C66" s="455"/>
      <c r="D66" s="442"/>
      <c r="E66" s="464"/>
      <c r="F66" s="492"/>
      <c r="G66" s="493"/>
      <c r="H66" s="442"/>
      <c r="I66" s="442"/>
      <c r="J66" s="442"/>
      <c r="K66" s="465"/>
      <c r="L66" s="442"/>
      <c r="M66" s="442"/>
      <c r="N66" s="442"/>
      <c r="O66" s="442"/>
      <c r="P66" s="465"/>
      <c r="Q66" s="442"/>
      <c r="R66" s="442"/>
      <c r="S66" s="442"/>
      <c r="T66" s="442"/>
      <c r="U66" s="465"/>
      <c r="V66" s="442"/>
      <c r="W66" s="442"/>
      <c r="X66" s="442"/>
      <c r="Y66" s="442"/>
      <c r="Z66" s="465"/>
      <c r="AA66" s="442"/>
      <c r="AB66" s="442"/>
      <c r="AC66" s="442"/>
      <c r="AD66" s="442"/>
      <c r="AE66" s="465"/>
      <c r="AF66" s="442"/>
      <c r="AG66" s="442"/>
      <c r="AH66" s="442"/>
      <c r="AI66" s="442"/>
      <c r="AJ66" s="465"/>
      <c r="AK66" s="442"/>
      <c r="AL66" s="442"/>
      <c r="AM66" s="442"/>
      <c r="AN66" s="442"/>
      <c r="AO66" s="465"/>
      <c r="AP66" s="442"/>
      <c r="AQ66" s="442"/>
      <c r="AR66" s="442"/>
      <c r="AS66" s="442"/>
      <c r="AT66" s="465"/>
      <c r="AU66" s="442"/>
      <c r="AV66" s="442"/>
      <c r="AW66" s="442"/>
      <c r="AX66" s="442"/>
      <c r="AY66" s="465"/>
      <c r="AZ66" s="442"/>
      <c r="BA66" s="442"/>
      <c r="BB66" s="442"/>
      <c r="BC66" s="442"/>
      <c r="BD66" s="465"/>
      <c r="BE66" s="442"/>
      <c r="BF66" s="442"/>
      <c r="BG66" s="442"/>
      <c r="BH66" s="442"/>
      <c r="BI66" s="465"/>
      <c r="BJ66" s="442"/>
      <c r="BK66" s="442"/>
      <c r="BL66" s="442"/>
      <c r="BM66" s="442"/>
      <c r="BN66" s="465"/>
      <c r="BO66" s="442"/>
      <c r="BP66" s="442"/>
      <c r="BQ66" s="442"/>
      <c r="BR66" s="442"/>
      <c r="BS66" s="465"/>
      <c r="BT66" s="442"/>
      <c r="BU66" s="442"/>
      <c r="BV66" s="442"/>
      <c r="BW66" s="442"/>
      <c r="BX66" s="465"/>
      <c r="BY66" s="442"/>
      <c r="BZ66" s="486"/>
      <c r="CA66" s="442"/>
      <c r="CB66" s="442"/>
      <c r="CC66" s="465"/>
      <c r="CD66" s="442"/>
      <c r="CE66" s="442"/>
      <c r="CF66" s="442"/>
      <c r="CG66" s="442"/>
      <c r="CH66" s="465"/>
      <c r="CI66" s="442"/>
      <c r="CJ66" s="442"/>
      <c r="CK66" s="442"/>
      <c r="CL66" s="442"/>
      <c r="CM66" s="465"/>
      <c r="CN66" s="442"/>
      <c r="CO66" s="442"/>
      <c r="CP66" s="442"/>
      <c r="CQ66" s="442"/>
      <c r="CR66" s="465"/>
      <c r="CS66" s="442"/>
      <c r="CT66" s="442"/>
      <c r="CU66" s="442"/>
      <c r="CV66" s="442"/>
      <c r="CW66" s="465"/>
      <c r="CX66" s="442"/>
      <c r="CY66" s="442"/>
      <c r="CZ66" s="442"/>
      <c r="DA66" s="442"/>
      <c r="DB66" s="465"/>
      <c r="DC66" s="442"/>
      <c r="DD66" s="442"/>
      <c r="DE66" s="442"/>
      <c r="DF66" s="442"/>
      <c r="DG66" s="465"/>
      <c r="DH66" s="442"/>
      <c r="DI66" s="442"/>
      <c r="DJ66" s="442"/>
      <c r="DK66" s="442"/>
      <c r="DL66" s="465"/>
      <c r="DM66" s="442"/>
      <c r="DN66" s="442"/>
      <c r="DO66" s="442"/>
      <c r="DP66" s="442"/>
      <c r="DQ66" s="465"/>
      <c r="DR66" s="442"/>
      <c r="DS66" s="442"/>
      <c r="DT66" s="442"/>
      <c r="DU66" s="442"/>
      <c r="DV66" s="465"/>
      <c r="DW66" s="442"/>
      <c r="DX66" s="442"/>
      <c r="DY66" s="442"/>
      <c r="DZ66" s="442"/>
      <c r="EA66" s="465"/>
      <c r="EB66" s="442"/>
      <c r="EC66" s="442"/>
      <c r="ED66" s="442"/>
      <c r="EE66" s="442"/>
      <c r="EF66" s="465"/>
      <c r="EG66" s="442"/>
      <c r="EH66" s="442"/>
      <c r="EI66" s="442"/>
      <c r="EJ66" s="442"/>
      <c r="EK66" s="465"/>
      <c r="EL66" s="442"/>
      <c r="EM66" s="442"/>
      <c r="EN66" s="442"/>
      <c r="EO66" s="442"/>
      <c r="EP66" s="455"/>
      <c r="ES66" s="472"/>
      <c r="ET66" s="472">
        <f t="shared" si="0"/>
        <v>0</v>
      </c>
    </row>
    <row r="67" spans="1:150" s="472" customFormat="1" x14ac:dyDescent="0.2">
      <c r="A67" s="443"/>
      <c r="B67" s="443"/>
      <c r="C67" s="466" t="s">
        <v>322</v>
      </c>
      <c r="D67" s="443"/>
      <c r="E67" s="497" t="s">
        <v>323</v>
      </c>
      <c r="F67" s="498"/>
      <c r="G67" s="506"/>
      <c r="H67" s="469">
        <f>SUM(H68:H75)</f>
        <v>17737850.182999998</v>
      </c>
      <c r="I67" s="469"/>
      <c r="J67" s="469"/>
      <c r="K67" s="470"/>
      <c r="L67" s="469"/>
      <c r="M67" s="443">
        <f>SUM(M68:M75)</f>
        <v>-18499278.953769997</v>
      </c>
      <c r="N67" s="443"/>
      <c r="O67" s="443"/>
      <c r="P67" s="468"/>
      <c r="Q67" s="443"/>
      <c r="R67" s="443">
        <f>SUM(R68:R75)</f>
        <v>537410.36356998235</v>
      </c>
      <c r="S67" s="443"/>
      <c r="T67" s="443"/>
      <c r="U67" s="468"/>
      <c r="V67" s="443"/>
      <c r="W67" s="443">
        <f>SUM(W68:W75)</f>
        <v>250795984</v>
      </c>
      <c r="X67" s="443"/>
      <c r="Y67" s="443"/>
      <c r="Z67" s="468"/>
      <c r="AA67" s="443"/>
      <c r="AB67" s="443">
        <f>SUM(AB68:AB75)</f>
        <v>0</v>
      </c>
      <c r="AC67" s="443"/>
      <c r="AD67" s="443"/>
      <c r="AE67" s="468"/>
      <c r="AF67" s="443"/>
      <c r="AG67" s="443">
        <f>SUM(AG68:AG75)</f>
        <v>0</v>
      </c>
      <c r="AH67" s="443"/>
      <c r="AI67" s="443"/>
      <c r="AJ67" s="468"/>
      <c r="AK67" s="443"/>
      <c r="AL67" s="443">
        <f>SUM(AL68:AL75)</f>
        <v>0</v>
      </c>
      <c r="AM67" s="443"/>
      <c r="AN67" s="443"/>
      <c r="AO67" s="468"/>
      <c r="AP67" s="443"/>
      <c r="AQ67" s="443">
        <f>SUM(AQ68:AQ75)</f>
        <v>0</v>
      </c>
      <c r="AR67" s="443"/>
      <c r="AS67" s="443"/>
      <c r="AT67" s="468"/>
      <c r="AU67" s="443"/>
      <c r="AV67" s="443">
        <f>SUM(AV68:AV75)</f>
        <v>0</v>
      </c>
      <c r="AW67" s="443"/>
      <c r="AX67" s="443"/>
      <c r="AY67" s="468"/>
      <c r="AZ67" s="443"/>
      <c r="BA67" s="443">
        <f>SUM(BA68:BA75)</f>
        <v>0</v>
      </c>
      <c r="BB67" s="443"/>
      <c r="BC67" s="443"/>
      <c r="BD67" s="468"/>
      <c r="BE67" s="443"/>
      <c r="BF67" s="443">
        <f>SUM(BF68:BF75)</f>
        <v>0</v>
      </c>
      <c r="BG67" s="443"/>
      <c r="BH67" s="443"/>
      <c r="BI67" s="468"/>
      <c r="BJ67" s="443"/>
      <c r="BK67" s="443">
        <f>SUM(BK68:BK75)</f>
        <v>0</v>
      </c>
      <c r="BL67" s="443"/>
      <c r="BM67" s="443"/>
      <c r="BN67" s="468"/>
      <c r="BO67" s="443"/>
      <c r="BP67" s="443">
        <f>SUM(BP68:BP75)</f>
        <v>0</v>
      </c>
      <c r="BQ67" s="443"/>
      <c r="BR67" s="443"/>
      <c r="BS67" s="468"/>
      <c r="BT67" s="443"/>
      <c r="BU67" s="443">
        <f>SUM(BU68:BU75)</f>
        <v>-17961868.590200014</v>
      </c>
      <c r="BV67" s="443"/>
      <c r="BW67" s="443"/>
      <c r="BX67" s="468"/>
      <c r="BY67" s="443"/>
      <c r="BZ67" s="471">
        <f>SUM(BZ68:BZ75)</f>
        <v>-648893.04534983635</v>
      </c>
      <c r="CA67" s="469"/>
      <c r="CB67" s="469"/>
      <c r="CC67" s="470"/>
      <c r="CD67" s="469"/>
      <c r="CE67" s="469">
        <f>SUM(CE68:CE75)</f>
        <v>12935068.914269969</v>
      </c>
      <c r="CF67" s="469"/>
      <c r="CG67" s="469"/>
      <c r="CH67" s="470"/>
      <c r="CI67" s="469"/>
      <c r="CJ67" s="443">
        <f>SUM(CJ68:CJ75)</f>
        <v>6028814.930979982</v>
      </c>
      <c r="CK67" s="443"/>
      <c r="CL67" s="443"/>
      <c r="CM67" s="468"/>
      <c r="CN67" s="443"/>
      <c r="CO67" s="443">
        <f>SUM(CO68:CO75)</f>
        <v>-64456252.997280002</v>
      </c>
      <c r="CP67" s="443"/>
      <c r="CQ67" s="443"/>
      <c r="CR67" s="468"/>
      <c r="CS67" s="443"/>
      <c r="CT67" s="443">
        <f>SUM(CT68:CT75)</f>
        <v>71916201.470700011</v>
      </c>
      <c r="CU67" s="443"/>
      <c r="CV67" s="443"/>
      <c r="CW67" s="468"/>
      <c r="CX67" s="443"/>
      <c r="CY67" s="443">
        <f>SUM(CY68:CY75)</f>
        <v>-5938593.6452499926</v>
      </c>
      <c r="CZ67" s="443"/>
      <c r="DA67" s="443"/>
      <c r="DB67" s="468"/>
      <c r="DC67" s="443"/>
      <c r="DD67" s="443">
        <f>SUM(DD68:DD75)</f>
        <v>-87185842.274320006</v>
      </c>
      <c r="DE67" s="443"/>
      <c r="DF67" s="443"/>
      <c r="DG67" s="468"/>
      <c r="DH67" s="443"/>
      <c r="DI67" s="443">
        <f>SUM(DI68:DI75)</f>
        <v>4292248.2650700212</v>
      </c>
      <c r="DJ67" s="443"/>
      <c r="DK67" s="443"/>
      <c r="DL67" s="468"/>
      <c r="DM67" s="443"/>
      <c r="DN67" s="443">
        <f>SUM(DN68:DN75)</f>
        <v>-21698105.034100011</v>
      </c>
      <c r="DO67" s="443"/>
      <c r="DP67" s="443"/>
      <c r="DQ67" s="468"/>
      <c r="DR67" s="443"/>
      <c r="DS67" s="443">
        <f>SUM(DS68:DS75)</f>
        <v>-5176181.425060004</v>
      </c>
      <c r="DT67" s="443"/>
      <c r="DU67" s="443"/>
      <c r="DV67" s="468"/>
      <c r="DW67" s="443"/>
      <c r="DX67" s="443">
        <f>SUM(DX68:DX75)</f>
        <v>31144738.333759978</v>
      </c>
      <c r="DY67" s="443"/>
      <c r="DZ67" s="443"/>
      <c r="EA67" s="468"/>
      <c r="EB67" s="443"/>
      <c r="EC67" s="443">
        <f>SUM(EC68:EC75)</f>
        <v>-28811986.091639996</v>
      </c>
      <c r="ED67" s="443"/>
      <c r="EE67" s="443"/>
      <c r="EF67" s="468"/>
      <c r="EG67" s="443"/>
      <c r="EH67" s="443">
        <f>SUM(EH68:EH75)</f>
        <v>86300996.50752002</v>
      </c>
      <c r="EI67" s="443"/>
      <c r="EJ67" s="443"/>
      <c r="EK67" s="468"/>
      <c r="EL67" s="443"/>
      <c r="EM67" s="443">
        <f>SUM(EM68:EM75)</f>
        <v>18963883.845249951</v>
      </c>
      <c r="EN67" s="443"/>
      <c r="EO67" s="443"/>
      <c r="EP67" s="466"/>
      <c r="EQ67" s="443"/>
      <c r="ET67" s="472">
        <f>EM67-BZ67</f>
        <v>19612776.890599787</v>
      </c>
    </row>
    <row r="68" spans="1:150" ht="12.75" customHeight="1" x14ac:dyDescent="0.2">
      <c r="A68" s="442"/>
      <c r="B68" s="442"/>
      <c r="C68" s="455" t="s">
        <v>324</v>
      </c>
      <c r="D68" s="442"/>
      <c r="E68" s="464"/>
      <c r="F68" s="492"/>
      <c r="G68" s="496"/>
      <c r="H68" s="474">
        <f>+[12]cashbalances!H12</f>
        <v>12596000</v>
      </c>
      <c r="I68" s="475"/>
      <c r="J68" s="442"/>
      <c r="K68" s="465"/>
      <c r="L68" s="473"/>
      <c r="M68" s="474">
        <f>+[12]cashbalances!M12</f>
        <v>-18484170</v>
      </c>
      <c r="N68" s="475"/>
      <c r="O68" s="442"/>
      <c r="P68" s="465"/>
      <c r="Q68" s="473"/>
      <c r="R68" s="474">
        <f>+[12]cashbalances!R12</f>
        <v>3349854</v>
      </c>
      <c r="S68" s="475"/>
      <c r="T68" s="442"/>
      <c r="U68" s="465"/>
      <c r="V68" s="473"/>
      <c r="W68" s="474">
        <f>+[12]cashbalances!W12</f>
        <v>250795984</v>
      </c>
      <c r="X68" s="475"/>
      <c r="Y68" s="442"/>
      <c r="Z68" s="465"/>
      <c r="AA68" s="473"/>
      <c r="AB68" s="474">
        <f>+[12]cashbalances!AB12</f>
        <v>0</v>
      </c>
      <c r="AC68" s="475"/>
      <c r="AD68" s="442"/>
      <c r="AE68" s="465"/>
      <c r="AF68" s="473"/>
      <c r="AG68" s="474">
        <f>+[12]cashbalances!AG12</f>
        <v>0</v>
      </c>
      <c r="AH68" s="475"/>
      <c r="AI68" s="442"/>
      <c r="AJ68" s="465"/>
      <c r="AK68" s="473"/>
      <c r="AL68" s="474">
        <f>+[12]cashbalances!AL12</f>
        <v>0</v>
      </c>
      <c r="AM68" s="475"/>
      <c r="AN68" s="442"/>
      <c r="AO68" s="465"/>
      <c r="AP68" s="473"/>
      <c r="AQ68" s="474">
        <f>+[12]cashbalances!AQ12</f>
        <v>0</v>
      </c>
      <c r="AR68" s="475"/>
      <c r="AS68" s="442"/>
      <c r="AT68" s="465"/>
      <c r="AU68" s="473"/>
      <c r="AV68" s="474">
        <f>+[12]cashbalances!AV12</f>
        <v>0</v>
      </c>
      <c r="AW68" s="475"/>
      <c r="AX68" s="442"/>
      <c r="AY68" s="465"/>
      <c r="AZ68" s="473"/>
      <c r="BA68" s="474">
        <f>+[12]cashbalances!BA12</f>
        <v>0</v>
      </c>
      <c r="BB68" s="475"/>
      <c r="BC68" s="442"/>
      <c r="BD68" s="465"/>
      <c r="BE68" s="473"/>
      <c r="BF68" s="474">
        <f>+[12]cashbalances!BF12</f>
        <v>0</v>
      </c>
      <c r="BG68" s="475"/>
      <c r="BH68" s="442"/>
      <c r="BI68" s="465"/>
      <c r="BJ68" s="473"/>
      <c r="BK68" s="474">
        <f>+[12]cashbalances!BK12</f>
        <v>0</v>
      </c>
      <c r="BL68" s="475"/>
      <c r="BM68" s="442"/>
      <c r="BN68" s="465"/>
      <c r="BO68" s="473"/>
      <c r="BP68" s="474">
        <f>+[12]cashbalances!BP12</f>
        <v>0</v>
      </c>
      <c r="BQ68" s="475"/>
      <c r="BR68" s="442"/>
      <c r="BS68" s="465"/>
      <c r="BT68" s="473"/>
      <c r="BU68" s="474">
        <f>+[12]cashbalances!BU12</f>
        <v>-15134316</v>
      </c>
      <c r="BV68" s="475"/>
      <c r="BW68" s="442"/>
      <c r="BX68" s="465"/>
      <c r="BY68" s="473"/>
      <c r="BZ68" s="478">
        <f>+[12]cashbalances!BZ12</f>
        <v>2473985</v>
      </c>
      <c r="CA68" s="475"/>
      <c r="CB68" s="442"/>
      <c r="CC68" s="465"/>
      <c r="CD68" s="473"/>
      <c r="CE68" s="476">
        <f>+[12]cashbalances!CE12</f>
        <v>39161985</v>
      </c>
      <c r="CF68" s="509"/>
      <c r="CG68" s="510"/>
      <c r="CH68" s="511"/>
      <c r="CI68" s="512"/>
      <c r="CJ68" s="474">
        <f>+[12]cashbalances!CJ12</f>
        <v>6533576</v>
      </c>
      <c r="CK68" s="475"/>
      <c r="CL68" s="442"/>
      <c r="CM68" s="465"/>
      <c r="CN68" s="473"/>
      <c r="CO68" s="474">
        <f>+[12]cashbalances!CO12</f>
        <v>-80194837</v>
      </c>
      <c r="CP68" s="475"/>
      <c r="CQ68" s="442"/>
      <c r="CR68" s="465"/>
      <c r="CS68" s="473"/>
      <c r="CT68" s="474">
        <f>+[12]cashbalances!CT12</f>
        <v>71485782</v>
      </c>
      <c r="CU68" s="475"/>
      <c r="CV68" s="442"/>
      <c r="CW68" s="465"/>
      <c r="CX68" s="473"/>
      <c r="CY68" s="474">
        <f>+[12]cashbalances!CY12</f>
        <v>10515236</v>
      </c>
      <c r="CZ68" s="475"/>
      <c r="DA68" s="442"/>
      <c r="DB68" s="465"/>
      <c r="DC68" s="473"/>
      <c r="DD68" s="474">
        <f>+[12]cashbalances!DD12</f>
        <v>-104528279</v>
      </c>
      <c r="DE68" s="475"/>
      <c r="DF68" s="442"/>
      <c r="DG68" s="465"/>
      <c r="DH68" s="473"/>
      <c r="DI68" s="474">
        <f>+[12]cashbalances!DI12</f>
        <v>2731873</v>
      </c>
      <c r="DJ68" s="475"/>
      <c r="DK68" s="442"/>
      <c r="DL68" s="465"/>
      <c r="DM68" s="473"/>
      <c r="DN68" s="474">
        <f>+[12]cashbalances!DN12</f>
        <v>-9369739</v>
      </c>
      <c r="DO68" s="475"/>
      <c r="DP68" s="442"/>
      <c r="DQ68" s="465"/>
      <c r="DR68" s="473"/>
      <c r="DS68" s="474">
        <f>+[12]cashbalances!DS12</f>
        <v>-7896523</v>
      </c>
      <c r="DT68" s="475"/>
      <c r="DU68" s="442"/>
      <c r="DV68" s="465"/>
      <c r="DW68" s="473"/>
      <c r="DX68" s="474">
        <f>+[12]cashbalances!DX12</f>
        <v>33364654</v>
      </c>
      <c r="DY68" s="475"/>
      <c r="DZ68" s="442"/>
      <c r="EA68" s="465"/>
      <c r="EB68" s="473"/>
      <c r="EC68" s="474">
        <f>+[12]cashbalances!EC12</f>
        <v>-27939762</v>
      </c>
      <c r="ED68" s="475"/>
      <c r="EE68" s="442"/>
      <c r="EF68" s="465"/>
      <c r="EG68" s="473"/>
      <c r="EH68" s="474">
        <f>+[12]cashbalances!EH12</f>
        <v>68610019</v>
      </c>
      <c r="EI68" s="475"/>
      <c r="EJ68" s="442"/>
      <c r="EK68" s="465"/>
      <c r="EL68" s="473"/>
      <c r="EM68" s="474">
        <f>+[12]cashbalances!EM12</f>
        <v>45695561</v>
      </c>
      <c r="EN68" s="475"/>
      <c r="EO68" s="442"/>
      <c r="EP68" s="455"/>
      <c r="ES68" s="472"/>
      <c r="ET68" s="472">
        <f t="shared" si="0"/>
        <v>43221576</v>
      </c>
    </row>
    <row r="69" spans="1:150" ht="12.75" hidden="1" customHeight="1" x14ac:dyDescent="0.2">
      <c r="A69" s="442"/>
      <c r="B69" s="442"/>
      <c r="C69" s="455" t="s">
        <v>325</v>
      </c>
      <c r="D69" s="442"/>
      <c r="E69" s="464"/>
      <c r="F69" s="492"/>
      <c r="G69" s="492"/>
      <c r="H69" s="442"/>
      <c r="I69" s="480"/>
      <c r="J69" s="442"/>
      <c r="K69" s="465"/>
      <c r="L69" s="465"/>
      <c r="M69" s="442"/>
      <c r="N69" s="480"/>
      <c r="O69" s="442"/>
      <c r="P69" s="465"/>
      <c r="Q69" s="465"/>
      <c r="R69" s="442"/>
      <c r="S69" s="480"/>
      <c r="T69" s="442"/>
      <c r="U69" s="465"/>
      <c r="V69" s="465"/>
      <c r="W69" s="442"/>
      <c r="X69" s="480"/>
      <c r="Y69" s="442"/>
      <c r="Z69" s="465"/>
      <c r="AA69" s="465"/>
      <c r="AB69" s="442"/>
      <c r="AC69" s="480"/>
      <c r="AD69" s="442"/>
      <c r="AE69" s="465"/>
      <c r="AF69" s="465"/>
      <c r="AG69" s="442"/>
      <c r="AH69" s="480"/>
      <c r="AI69" s="442"/>
      <c r="AJ69" s="465"/>
      <c r="AK69" s="465"/>
      <c r="AL69" s="442"/>
      <c r="AM69" s="480"/>
      <c r="AN69" s="442"/>
      <c r="AO69" s="465"/>
      <c r="AP69" s="465"/>
      <c r="AQ69" s="442"/>
      <c r="AR69" s="480"/>
      <c r="AS69" s="442"/>
      <c r="AT69" s="465"/>
      <c r="AU69" s="465"/>
      <c r="AV69" s="442"/>
      <c r="AW69" s="480"/>
      <c r="AX69" s="442"/>
      <c r="AY69" s="465"/>
      <c r="AZ69" s="465"/>
      <c r="BA69" s="442"/>
      <c r="BB69" s="480"/>
      <c r="BC69" s="442"/>
      <c r="BD69" s="465"/>
      <c r="BE69" s="465"/>
      <c r="BF69" s="442"/>
      <c r="BG69" s="480"/>
      <c r="BH69" s="442"/>
      <c r="BI69" s="465"/>
      <c r="BJ69" s="465"/>
      <c r="BK69" s="442"/>
      <c r="BL69" s="480"/>
      <c r="BM69" s="442"/>
      <c r="BN69" s="465"/>
      <c r="BO69" s="465"/>
      <c r="BP69" s="442"/>
      <c r="BQ69" s="480"/>
      <c r="BR69" s="442"/>
      <c r="BS69" s="465"/>
      <c r="BT69" s="465"/>
      <c r="BU69" s="442"/>
      <c r="BV69" s="480"/>
      <c r="BW69" s="442"/>
      <c r="BX69" s="465"/>
      <c r="BY69" s="465"/>
      <c r="BZ69" s="486"/>
      <c r="CA69" s="480"/>
      <c r="CB69" s="442"/>
      <c r="CC69" s="465"/>
      <c r="CD69" s="465"/>
      <c r="CE69" s="442"/>
      <c r="CF69" s="480"/>
      <c r="CG69" s="442"/>
      <c r="CH69" s="465"/>
      <c r="CI69" s="465"/>
      <c r="CJ69" s="442"/>
      <c r="CK69" s="480"/>
      <c r="CL69" s="442"/>
      <c r="CM69" s="465"/>
      <c r="CN69" s="465"/>
      <c r="CO69" s="442"/>
      <c r="CP69" s="480"/>
      <c r="CQ69" s="442"/>
      <c r="CR69" s="465"/>
      <c r="CS69" s="465"/>
      <c r="CT69" s="442"/>
      <c r="CU69" s="480"/>
      <c r="CV69" s="442"/>
      <c r="CW69" s="465"/>
      <c r="CX69" s="465"/>
      <c r="CY69" s="442"/>
      <c r="CZ69" s="480"/>
      <c r="DA69" s="442"/>
      <c r="DB69" s="465"/>
      <c r="DC69" s="465"/>
      <c r="DD69" s="442"/>
      <c r="DE69" s="480"/>
      <c r="DF69" s="442"/>
      <c r="DG69" s="465"/>
      <c r="DH69" s="465"/>
      <c r="DI69" s="442"/>
      <c r="DJ69" s="480"/>
      <c r="DK69" s="442"/>
      <c r="DL69" s="465"/>
      <c r="DM69" s="465"/>
      <c r="DN69" s="442"/>
      <c r="DO69" s="480"/>
      <c r="DP69" s="442"/>
      <c r="DQ69" s="465"/>
      <c r="DR69" s="465"/>
      <c r="DS69" s="442"/>
      <c r="DT69" s="480"/>
      <c r="DU69" s="442"/>
      <c r="DV69" s="465"/>
      <c r="DW69" s="465"/>
      <c r="DX69" s="442"/>
      <c r="DY69" s="480"/>
      <c r="DZ69" s="442"/>
      <c r="EA69" s="465"/>
      <c r="EB69" s="465"/>
      <c r="EC69" s="442"/>
      <c r="ED69" s="480"/>
      <c r="EE69" s="442"/>
      <c r="EF69" s="465"/>
      <c r="EG69" s="465"/>
      <c r="EH69" s="442"/>
      <c r="EI69" s="480"/>
      <c r="EJ69" s="442"/>
      <c r="EK69" s="465"/>
      <c r="EL69" s="465"/>
      <c r="EM69" s="442"/>
      <c r="EN69" s="480"/>
      <c r="EO69" s="442"/>
      <c r="EP69" s="455"/>
      <c r="ES69" s="472"/>
      <c r="ET69" s="472">
        <f t="shared" si="0"/>
        <v>0</v>
      </c>
    </row>
    <row r="70" spans="1:150" ht="12.75" customHeight="1" x14ac:dyDescent="0.2">
      <c r="A70" s="442"/>
      <c r="B70" s="442"/>
      <c r="C70" s="455" t="s">
        <v>325</v>
      </c>
      <c r="D70" s="442"/>
      <c r="E70" s="464"/>
      <c r="F70" s="492"/>
      <c r="G70" s="492"/>
      <c r="H70" s="442">
        <f>+[12]cashbalances!H23</f>
        <v>0</v>
      </c>
      <c r="I70" s="480"/>
      <c r="J70" s="442"/>
      <c r="K70" s="465"/>
      <c r="L70" s="465"/>
      <c r="M70" s="442">
        <f>+[12]cashbalances!M23</f>
        <v>34143659</v>
      </c>
      <c r="N70" s="480"/>
      <c r="O70" s="442"/>
      <c r="P70" s="465"/>
      <c r="Q70" s="465"/>
      <c r="R70" s="442">
        <f>+[12]cashbalances!R23</f>
        <v>-4349966</v>
      </c>
      <c r="S70" s="480"/>
      <c r="T70" s="442"/>
      <c r="U70" s="465"/>
      <c r="V70" s="465"/>
      <c r="W70" s="442">
        <f>+[12]cashbalances!W23</f>
        <v>0</v>
      </c>
      <c r="X70" s="480"/>
      <c r="Y70" s="442"/>
      <c r="Z70" s="465"/>
      <c r="AA70" s="465"/>
      <c r="AB70" s="442">
        <f>+[12]cashbalances!AB23</f>
        <v>0</v>
      </c>
      <c r="AC70" s="480"/>
      <c r="AD70" s="442"/>
      <c r="AE70" s="465"/>
      <c r="AF70" s="465"/>
      <c r="AG70" s="442">
        <f>+[12]cashbalances!AG23</f>
        <v>0</v>
      </c>
      <c r="AH70" s="480"/>
      <c r="AI70" s="442"/>
      <c r="AJ70" s="465"/>
      <c r="AK70" s="465"/>
      <c r="AL70" s="442">
        <f>+[12]cashbalances!AL23</f>
        <v>0</v>
      </c>
      <c r="AM70" s="480"/>
      <c r="AN70" s="442"/>
      <c r="AO70" s="465"/>
      <c r="AP70" s="465"/>
      <c r="AQ70" s="442">
        <f>+[12]cashbalances!AQ23</f>
        <v>0</v>
      </c>
      <c r="AR70" s="480"/>
      <c r="AS70" s="442"/>
      <c r="AT70" s="465"/>
      <c r="AU70" s="465"/>
      <c r="AV70" s="442">
        <f>+[12]cashbalances!AV23</f>
        <v>0</v>
      </c>
      <c r="AW70" s="480"/>
      <c r="AX70" s="442"/>
      <c r="AY70" s="465"/>
      <c r="AZ70" s="465"/>
      <c r="BA70" s="442">
        <f>+[12]cashbalances!BA23</f>
        <v>0</v>
      </c>
      <c r="BB70" s="480"/>
      <c r="BC70" s="442"/>
      <c r="BD70" s="465"/>
      <c r="BE70" s="465"/>
      <c r="BF70" s="442">
        <f>+[12]cashbalances!BF23</f>
        <v>0</v>
      </c>
      <c r="BG70" s="480"/>
      <c r="BH70" s="442"/>
      <c r="BI70" s="465"/>
      <c r="BJ70" s="465"/>
      <c r="BK70" s="442">
        <f>+[12]cashbalances!BK23</f>
        <v>0</v>
      </c>
      <c r="BL70" s="480"/>
      <c r="BM70" s="442"/>
      <c r="BN70" s="465"/>
      <c r="BO70" s="465"/>
      <c r="BP70" s="442">
        <f>+[12]cashbalances!BP23</f>
        <v>0</v>
      </c>
      <c r="BQ70" s="480"/>
      <c r="BR70" s="442"/>
      <c r="BS70" s="465"/>
      <c r="BT70" s="465"/>
      <c r="BU70" s="442">
        <f>+[12]cashbalances!BU23</f>
        <v>29793693</v>
      </c>
      <c r="BV70" s="480"/>
      <c r="BW70" s="442"/>
      <c r="BX70" s="465"/>
      <c r="BY70" s="465"/>
      <c r="BZ70" s="486">
        <f>+[12]cashbalances!BZ23</f>
        <v>-17008126</v>
      </c>
      <c r="CA70" s="480"/>
      <c r="CB70" s="442"/>
      <c r="CC70" s="465"/>
      <c r="CD70" s="465"/>
      <c r="CE70" s="442">
        <f>+[12]cashbalances!CE23</f>
        <v>-17895405</v>
      </c>
      <c r="CF70" s="480"/>
      <c r="CG70" s="442"/>
      <c r="CH70" s="465"/>
      <c r="CI70" s="465"/>
      <c r="CJ70" s="442">
        <f>+[12]cashbalances!CJ23</f>
        <v>-2162772</v>
      </c>
      <c r="CK70" s="480"/>
      <c r="CL70" s="442"/>
      <c r="CM70" s="465"/>
      <c r="CN70" s="465"/>
      <c r="CO70" s="442">
        <f>+[12]cashbalances!CO23</f>
        <v>1746060</v>
      </c>
      <c r="CP70" s="480"/>
      <c r="CQ70" s="442"/>
      <c r="CR70" s="465"/>
      <c r="CS70" s="465"/>
      <c r="CT70" s="442">
        <f>+[12]cashbalances!CT23</f>
        <v>9207825</v>
      </c>
      <c r="CU70" s="480"/>
      <c r="CV70" s="442"/>
      <c r="CW70" s="465"/>
      <c r="CX70" s="465"/>
      <c r="CY70" s="442">
        <f>+[12]cashbalances!CY23</f>
        <v>-8222766</v>
      </c>
      <c r="CZ70" s="480"/>
      <c r="DA70" s="442"/>
      <c r="DB70" s="465"/>
      <c r="DC70" s="465"/>
      <c r="DD70" s="442">
        <f>+[12]cashbalances!DD23</f>
        <v>21412052</v>
      </c>
      <c r="DE70" s="480"/>
      <c r="DF70" s="442"/>
      <c r="DG70" s="465"/>
      <c r="DH70" s="465"/>
      <c r="DI70" s="442">
        <f>+[12]cashbalances!DI23</f>
        <v>67094</v>
      </c>
      <c r="DJ70" s="480"/>
      <c r="DK70" s="442"/>
      <c r="DL70" s="465"/>
      <c r="DM70" s="465"/>
      <c r="DN70" s="442">
        <f>+[12]cashbalances!DN23</f>
        <v>5423083</v>
      </c>
      <c r="DO70" s="480"/>
      <c r="DP70" s="442"/>
      <c r="DQ70" s="465"/>
      <c r="DR70" s="465"/>
      <c r="DS70" s="442">
        <f>+[12]cashbalances!DS23</f>
        <v>3006040</v>
      </c>
      <c r="DT70" s="480"/>
      <c r="DU70" s="442"/>
      <c r="DV70" s="465"/>
      <c r="DW70" s="465"/>
      <c r="DX70" s="442">
        <f>+[12]cashbalances!DX23</f>
        <v>484408</v>
      </c>
      <c r="DY70" s="480"/>
      <c r="DZ70" s="442"/>
      <c r="EA70" s="465"/>
      <c r="EB70" s="465"/>
      <c r="EC70" s="442">
        <f>+[12]cashbalances!EC23</f>
        <v>4553332</v>
      </c>
      <c r="ED70" s="480"/>
      <c r="EE70" s="442"/>
      <c r="EF70" s="465"/>
      <c r="EG70" s="465"/>
      <c r="EH70" s="442">
        <f>+[12]cashbalances!EH23</f>
        <v>-34627077</v>
      </c>
      <c r="EI70" s="480"/>
      <c r="EJ70" s="442"/>
      <c r="EK70" s="465"/>
      <c r="EL70" s="465"/>
      <c r="EM70" s="442">
        <f>+[12]cashbalances!EM23</f>
        <v>-20058177</v>
      </c>
      <c r="EN70" s="480"/>
      <c r="EO70" s="442"/>
      <c r="EP70" s="455"/>
      <c r="ES70" s="472"/>
      <c r="ET70" s="472">
        <f t="shared" si="0"/>
        <v>-3050051</v>
      </c>
    </row>
    <row r="71" spans="1:150" ht="12.75" customHeight="1" x14ac:dyDescent="0.2">
      <c r="A71" s="442"/>
      <c r="B71" s="442"/>
      <c r="C71" s="319" t="s">
        <v>326</v>
      </c>
      <c r="D71" s="442"/>
      <c r="E71" s="464"/>
      <c r="F71" s="492"/>
      <c r="G71" s="492"/>
      <c r="H71" s="442">
        <f>+[12]cashbalances!H25</f>
        <v>0</v>
      </c>
      <c r="I71" s="480"/>
      <c r="J71" s="442"/>
      <c r="K71" s="465"/>
      <c r="L71" s="465"/>
      <c r="M71" s="442">
        <f>[12]cashbalances!M25</f>
        <v>0</v>
      </c>
      <c r="N71" s="480"/>
      <c r="O71" s="442"/>
      <c r="P71" s="465"/>
      <c r="Q71" s="465"/>
      <c r="R71" s="442">
        <f>[12]cashbalances!R25</f>
        <v>0</v>
      </c>
      <c r="S71" s="480"/>
      <c r="T71" s="442"/>
      <c r="U71" s="465"/>
      <c r="V71" s="465"/>
      <c r="W71" s="442">
        <f>[12]cashbalances!W25</f>
        <v>0</v>
      </c>
      <c r="X71" s="480"/>
      <c r="Y71" s="442"/>
      <c r="Z71" s="465"/>
      <c r="AA71" s="465"/>
      <c r="AB71" s="442">
        <f>[12]cashbalances!AB25</f>
        <v>0</v>
      </c>
      <c r="AC71" s="480"/>
      <c r="AD71" s="442"/>
      <c r="AE71" s="465"/>
      <c r="AF71" s="465"/>
      <c r="AG71" s="442">
        <f>[12]cashbalances!AG25</f>
        <v>0</v>
      </c>
      <c r="AH71" s="480"/>
      <c r="AI71" s="442"/>
      <c r="AJ71" s="465"/>
      <c r="AK71" s="465"/>
      <c r="AL71" s="442">
        <f>[12]cashbalances!AL25</f>
        <v>0</v>
      </c>
      <c r="AM71" s="480"/>
      <c r="AN71" s="442"/>
      <c r="AO71" s="465"/>
      <c r="AP71" s="465"/>
      <c r="AQ71" s="442">
        <f>[12]cashbalances!AQ25</f>
        <v>0</v>
      </c>
      <c r="AR71" s="480"/>
      <c r="AS71" s="442"/>
      <c r="AT71" s="465"/>
      <c r="AU71" s="465"/>
      <c r="AV71" s="442">
        <f>[12]cashbalances!AV25</f>
        <v>0</v>
      </c>
      <c r="AW71" s="480"/>
      <c r="AX71" s="442"/>
      <c r="AY71" s="465"/>
      <c r="AZ71" s="465"/>
      <c r="BA71" s="442">
        <f>[12]cashbalances!BA25</f>
        <v>0</v>
      </c>
      <c r="BB71" s="480"/>
      <c r="BC71" s="442"/>
      <c r="BD71" s="465"/>
      <c r="BE71" s="465"/>
      <c r="BF71" s="442">
        <f>[12]cashbalances!BF25</f>
        <v>0</v>
      </c>
      <c r="BG71" s="480"/>
      <c r="BH71" s="442"/>
      <c r="BI71" s="465"/>
      <c r="BJ71" s="465"/>
      <c r="BK71" s="442">
        <f>[12]cashbalances!BK25</f>
        <v>0</v>
      </c>
      <c r="BL71" s="480"/>
      <c r="BM71" s="442"/>
      <c r="BN71" s="465"/>
      <c r="BO71" s="465"/>
      <c r="BP71" s="442">
        <f>[12]cashbalances!BP25</f>
        <v>0</v>
      </c>
      <c r="BQ71" s="480"/>
      <c r="BR71" s="442"/>
      <c r="BS71" s="465"/>
      <c r="BT71" s="465"/>
      <c r="BU71" s="442">
        <f>[12]cashbalances!BU25</f>
        <v>0</v>
      </c>
      <c r="BV71" s="480"/>
      <c r="BW71" s="442"/>
      <c r="BX71" s="465"/>
      <c r="BY71" s="465"/>
      <c r="BZ71" s="486">
        <f>+[12]cashbalances!BZ25</f>
        <v>0</v>
      </c>
      <c r="CA71" s="480"/>
      <c r="CB71" s="442"/>
      <c r="CC71" s="465"/>
      <c r="CD71" s="465"/>
      <c r="CE71" s="442">
        <f>[12]cashbalances!CE25</f>
        <v>0</v>
      </c>
      <c r="CF71" s="480"/>
      <c r="CG71" s="442"/>
      <c r="CH71" s="465"/>
      <c r="CI71" s="465"/>
      <c r="CJ71" s="442">
        <f>[12]cashbalances!CJ25</f>
        <v>0</v>
      </c>
      <c r="CK71" s="480"/>
      <c r="CL71" s="442"/>
      <c r="CM71" s="465"/>
      <c r="CN71" s="465"/>
      <c r="CO71" s="442">
        <f>[12]cashbalances!CO25</f>
        <v>0</v>
      </c>
      <c r="CP71" s="480"/>
      <c r="CQ71" s="442"/>
      <c r="CR71" s="465"/>
      <c r="CS71" s="465"/>
      <c r="CT71" s="442">
        <f>[12]cashbalances!CT25</f>
        <v>0</v>
      </c>
      <c r="CU71" s="480"/>
      <c r="CV71" s="442"/>
      <c r="CW71" s="465"/>
      <c r="CX71" s="465"/>
      <c r="CY71" s="442">
        <f>[12]cashbalances!CY25</f>
        <v>0</v>
      </c>
      <c r="CZ71" s="480"/>
      <c r="DA71" s="442"/>
      <c r="DB71" s="465"/>
      <c r="DC71" s="465"/>
      <c r="DD71" s="442">
        <f>[12]cashbalances!DD25</f>
        <v>0</v>
      </c>
      <c r="DE71" s="480"/>
      <c r="DF71" s="442"/>
      <c r="DG71" s="465"/>
      <c r="DH71" s="465"/>
      <c r="DI71" s="442">
        <f>[12]cashbalances!DI25</f>
        <v>0</v>
      </c>
      <c r="DJ71" s="480"/>
      <c r="DK71" s="442"/>
      <c r="DL71" s="465"/>
      <c r="DM71" s="465"/>
      <c r="DN71" s="442">
        <f>[12]cashbalances!DN25</f>
        <v>0</v>
      </c>
      <c r="DO71" s="480"/>
      <c r="DP71" s="442"/>
      <c r="DQ71" s="465"/>
      <c r="DR71" s="465"/>
      <c r="DS71" s="442">
        <f>[12]cashbalances!DS25</f>
        <v>0</v>
      </c>
      <c r="DT71" s="480"/>
      <c r="DU71" s="442"/>
      <c r="DV71" s="465"/>
      <c r="DW71" s="465"/>
      <c r="DX71" s="442">
        <f>[12]cashbalances!DX25</f>
        <v>0</v>
      </c>
      <c r="DY71" s="480"/>
      <c r="DZ71" s="442"/>
      <c r="EA71" s="465"/>
      <c r="EB71" s="465"/>
      <c r="EC71" s="442">
        <f>[12]cashbalances!EC25</f>
        <v>0</v>
      </c>
      <c r="ED71" s="480"/>
      <c r="EE71" s="442"/>
      <c r="EF71" s="465"/>
      <c r="EG71" s="465"/>
      <c r="EH71" s="442">
        <f>[12]cashbalances!EH25</f>
        <v>0</v>
      </c>
      <c r="EI71" s="480"/>
      <c r="EJ71" s="442"/>
      <c r="EK71" s="465"/>
      <c r="EL71" s="465"/>
      <c r="EM71" s="442">
        <f>[12]cashbalances!EM25</f>
        <v>0</v>
      </c>
      <c r="EN71" s="480"/>
      <c r="EO71" s="442"/>
      <c r="EP71" s="455"/>
      <c r="ES71" s="472"/>
      <c r="ET71" s="472">
        <f>EM71-BZ71</f>
        <v>0</v>
      </c>
    </row>
    <row r="72" spans="1:150" ht="12.75" customHeight="1" x14ac:dyDescent="0.2">
      <c r="A72" s="442"/>
      <c r="B72" s="442"/>
      <c r="C72" s="455" t="s">
        <v>327</v>
      </c>
      <c r="D72" s="442"/>
      <c r="E72" s="464"/>
      <c r="F72" s="492"/>
      <c r="G72" s="492"/>
      <c r="H72" s="442">
        <f>+[12]cashbalances!H27</f>
        <v>5141850.1830000002</v>
      </c>
      <c r="I72" s="480"/>
      <c r="J72" s="442"/>
      <c r="K72" s="465"/>
      <c r="L72" s="465"/>
      <c r="M72" s="442">
        <f>+[12]cashbalances!M27</f>
        <v>0</v>
      </c>
      <c r="N72" s="480"/>
      <c r="O72" s="442"/>
      <c r="P72" s="465"/>
      <c r="Q72" s="465"/>
      <c r="R72" s="442">
        <f>+[12]cashbalances!R27</f>
        <v>871744.25600000005</v>
      </c>
      <c r="S72" s="480"/>
      <c r="T72" s="442"/>
      <c r="U72" s="465"/>
      <c r="V72" s="465"/>
      <c r="W72" s="442">
        <f>+[12]cashbalances!W27</f>
        <v>0</v>
      </c>
      <c r="X72" s="480"/>
      <c r="Y72" s="442"/>
      <c r="Z72" s="465"/>
      <c r="AA72" s="465"/>
      <c r="AB72" s="442">
        <f>+[12]cashbalances!AB27</f>
        <v>0</v>
      </c>
      <c r="AC72" s="480"/>
      <c r="AD72" s="442"/>
      <c r="AE72" s="465"/>
      <c r="AF72" s="465"/>
      <c r="AG72" s="442">
        <f>+[12]cashbalances!AG27</f>
        <v>0</v>
      </c>
      <c r="AH72" s="480"/>
      <c r="AI72" s="442"/>
      <c r="AJ72" s="465"/>
      <c r="AK72" s="465"/>
      <c r="AL72" s="442">
        <f>+[12]cashbalances!AL27</f>
        <v>0</v>
      </c>
      <c r="AM72" s="480"/>
      <c r="AN72" s="442"/>
      <c r="AO72" s="465"/>
      <c r="AP72" s="465"/>
      <c r="AQ72" s="442">
        <f>+[12]cashbalances!AQ27</f>
        <v>0</v>
      </c>
      <c r="AR72" s="480"/>
      <c r="AS72" s="442"/>
      <c r="AT72" s="465"/>
      <c r="AU72" s="465"/>
      <c r="AV72" s="442">
        <f>+[12]cashbalances!AV27</f>
        <v>0</v>
      </c>
      <c r="AW72" s="480"/>
      <c r="AX72" s="442"/>
      <c r="AY72" s="465"/>
      <c r="AZ72" s="465"/>
      <c r="BA72" s="442">
        <f>+[12]cashbalances!BA27</f>
        <v>0</v>
      </c>
      <c r="BB72" s="480"/>
      <c r="BC72" s="442"/>
      <c r="BD72" s="465"/>
      <c r="BE72" s="465"/>
      <c r="BF72" s="442">
        <f>+[12]cashbalances!BF27</f>
        <v>0</v>
      </c>
      <c r="BG72" s="480"/>
      <c r="BH72" s="442"/>
      <c r="BI72" s="465"/>
      <c r="BJ72" s="465"/>
      <c r="BK72" s="442">
        <f>+[12]cashbalances!BK27</f>
        <v>0</v>
      </c>
      <c r="BL72" s="480"/>
      <c r="BM72" s="442"/>
      <c r="BN72" s="465"/>
      <c r="BO72" s="465"/>
      <c r="BP72" s="442">
        <f>+[12]cashbalances!BP27</f>
        <v>0</v>
      </c>
      <c r="BQ72" s="480"/>
      <c r="BR72" s="442"/>
      <c r="BS72" s="465"/>
      <c r="BT72" s="465"/>
      <c r="BU72" s="442">
        <f>+[12]cashbalances!BU27</f>
        <v>871744.25600000005</v>
      </c>
      <c r="BV72" s="480"/>
      <c r="BW72" s="442"/>
      <c r="BX72" s="465"/>
      <c r="BY72" s="465"/>
      <c r="BZ72" s="486">
        <f>+[12]cashbalances!BZ28</f>
        <v>11826596</v>
      </c>
      <c r="CA72" s="480"/>
      <c r="CB72" s="442"/>
      <c r="CC72" s="465"/>
      <c r="CD72" s="465"/>
      <c r="CE72" s="442">
        <f>+[12]cashbalances!CE27</f>
        <v>1285536</v>
      </c>
      <c r="CF72" s="480"/>
      <c r="CG72" s="442"/>
      <c r="CH72" s="465"/>
      <c r="CI72" s="465"/>
      <c r="CJ72" s="442">
        <f>+[12]cashbalances!CJ27</f>
        <v>0</v>
      </c>
      <c r="CK72" s="480"/>
      <c r="CL72" s="442"/>
      <c r="CM72" s="465"/>
      <c r="CN72" s="465"/>
      <c r="CO72" s="442">
        <f>+[12]cashbalances!CO27</f>
        <v>12272</v>
      </c>
      <c r="CP72" s="480"/>
      <c r="CQ72" s="442"/>
      <c r="CR72" s="465"/>
      <c r="CS72" s="465"/>
      <c r="CT72" s="442">
        <f>+[12]cashbalances!CT27</f>
        <v>0</v>
      </c>
      <c r="CU72" s="480"/>
      <c r="CV72" s="442"/>
      <c r="CW72" s="465"/>
      <c r="CX72" s="465"/>
      <c r="CY72" s="442">
        <f>+[12]cashbalances!CY27</f>
        <v>1736919</v>
      </c>
      <c r="CZ72" s="480"/>
      <c r="DA72" s="442"/>
      <c r="DB72" s="465"/>
      <c r="DC72" s="465"/>
      <c r="DD72" s="442">
        <f>+[12]cashbalances!DD27</f>
        <v>245929</v>
      </c>
      <c r="DE72" s="480"/>
      <c r="DF72" s="442"/>
      <c r="DG72" s="465"/>
      <c r="DH72" s="465"/>
      <c r="DI72" s="442">
        <f>+[12]cashbalances!DI27</f>
        <v>2261765</v>
      </c>
      <c r="DJ72" s="480"/>
      <c r="DK72" s="442"/>
      <c r="DL72" s="465"/>
      <c r="DM72" s="465"/>
      <c r="DN72" s="442">
        <f>+[12]cashbalances!DN27</f>
        <v>1146180</v>
      </c>
      <c r="DO72" s="480"/>
      <c r="DP72" s="442"/>
      <c r="DQ72" s="465"/>
      <c r="DR72" s="465"/>
      <c r="DS72" s="442">
        <f>+[12]cashbalances!DS27</f>
        <v>1005353</v>
      </c>
      <c r="DT72" s="480"/>
      <c r="DU72" s="442"/>
      <c r="DV72" s="465"/>
      <c r="DW72" s="465"/>
      <c r="DX72" s="442">
        <f>+[12]cashbalances!DX27</f>
        <v>41798</v>
      </c>
      <c r="DY72" s="480"/>
      <c r="DZ72" s="442"/>
      <c r="EA72" s="465"/>
      <c r="EB72" s="465"/>
      <c r="EC72" s="442">
        <f>+[12]cashbalances!EC27</f>
        <v>360442</v>
      </c>
      <c r="ED72" s="480"/>
      <c r="EE72" s="442"/>
      <c r="EF72" s="465"/>
      <c r="EG72" s="465"/>
      <c r="EH72" s="442">
        <f>+[12]cashbalances!EH27</f>
        <v>3730402</v>
      </c>
      <c r="EI72" s="480"/>
      <c r="EJ72" s="442"/>
      <c r="EK72" s="465"/>
      <c r="EL72" s="465"/>
      <c r="EM72" s="442">
        <f>+[12]cashbalances!EM27</f>
        <v>1285536</v>
      </c>
      <c r="EN72" s="480"/>
      <c r="EO72" s="442"/>
      <c r="EP72" s="455"/>
      <c r="ES72" s="472"/>
      <c r="ET72" s="472">
        <f t="shared" si="0"/>
        <v>-10541060</v>
      </c>
    </row>
    <row r="73" spans="1:150" ht="12.75" customHeight="1" x14ac:dyDescent="0.2">
      <c r="A73" s="442"/>
      <c r="B73" s="442"/>
      <c r="C73" s="455" t="s">
        <v>328</v>
      </c>
      <c r="D73" s="442"/>
      <c r="E73" s="464"/>
      <c r="F73" s="492"/>
      <c r="G73" s="492"/>
      <c r="H73" s="442">
        <f>+[12]cashbalances!H32</f>
        <v>0</v>
      </c>
      <c r="I73" s="480"/>
      <c r="J73" s="442"/>
      <c r="K73" s="465"/>
      <c r="L73" s="465"/>
      <c r="M73" s="442">
        <f>+[12]cashbalances!M32</f>
        <v>0</v>
      </c>
      <c r="N73" s="480"/>
      <c r="O73" s="442"/>
      <c r="P73" s="465"/>
      <c r="Q73" s="465"/>
      <c r="R73" s="442">
        <f>+[12]cashbalances!R32</f>
        <v>0</v>
      </c>
      <c r="S73" s="480"/>
      <c r="T73" s="442"/>
      <c r="U73" s="465"/>
      <c r="V73" s="465"/>
      <c r="W73" s="442">
        <f>+[12]cashbalances!W32</f>
        <v>0</v>
      </c>
      <c r="X73" s="480"/>
      <c r="Y73" s="442"/>
      <c r="Z73" s="465"/>
      <c r="AA73" s="465"/>
      <c r="AB73" s="442">
        <f>+[12]cashbalances!AB32</f>
        <v>0</v>
      </c>
      <c r="AC73" s="480"/>
      <c r="AD73" s="442"/>
      <c r="AE73" s="465"/>
      <c r="AF73" s="465"/>
      <c r="AG73" s="442">
        <f>+[12]cashbalances!AG32</f>
        <v>0</v>
      </c>
      <c r="AH73" s="480"/>
      <c r="AI73" s="442"/>
      <c r="AJ73" s="465"/>
      <c r="AK73" s="465"/>
      <c r="AL73" s="442">
        <f>+[12]cashbalances!AL32</f>
        <v>0</v>
      </c>
      <c r="AM73" s="480"/>
      <c r="AN73" s="442"/>
      <c r="AO73" s="465"/>
      <c r="AP73" s="465"/>
      <c r="AQ73" s="442">
        <f>+[12]cashbalances!AQ32</f>
        <v>0</v>
      </c>
      <c r="AR73" s="480"/>
      <c r="AS73" s="442"/>
      <c r="AT73" s="465"/>
      <c r="AU73" s="465"/>
      <c r="AV73" s="442">
        <f>+[12]cashbalances!AV32</f>
        <v>0</v>
      </c>
      <c r="AW73" s="480"/>
      <c r="AX73" s="442"/>
      <c r="AY73" s="465"/>
      <c r="AZ73" s="465"/>
      <c r="BA73" s="442">
        <f>+[12]cashbalances!BA32</f>
        <v>0</v>
      </c>
      <c r="BB73" s="480"/>
      <c r="BC73" s="442"/>
      <c r="BD73" s="465"/>
      <c r="BE73" s="465"/>
      <c r="BF73" s="442">
        <f>+[12]cashbalances!BF32</f>
        <v>0</v>
      </c>
      <c r="BG73" s="480"/>
      <c r="BH73" s="442"/>
      <c r="BI73" s="465"/>
      <c r="BJ73" s="465"/>
      <c r="BK73" s="442">
        <f>+[12]cashbalances!BK32</f>
        <v>0</v>
      </c>
      <c r="BL73" s="480"/>
      <c r="BM73" s="442"/>
      <c r="BN73" s="465"/>
      <c r="BO73" s="465"/>
      <c r="BP73" s="442">
        <f>+[12]cashbalances!BP32</f>
        <v>0</v>
      </c>
      <c r="BQ73" s="480"/>
      <c r="BR73" s="442"/>
      <c r="BS73" s="465"/>
      <c r="BT73" s="465"/>
      <c r="BU73" s="442">
        <f>+[12]cashbalances!BU32</f>
        <v>0</v>
      </c>
      <c r="BV73" s="480"/>
      <c r="BW73" s="442"/>
      <c r="BX73" s="465"/>
      <c r="BY73" s="465"/>
      <c r="BZ73" s="486">
        <f>+[12]cashbalances!BZ32</f>
        <v>-372703</v>
      </c>
      <c r="CA73" s="480"/>
      <c r="CB73" s="442"/>
      <c r="CC73" s="465"/>
      <c r="CD73" s="465"/>
      <c r="CE73" s="510">
        <f>+[12]cashbalances!CE32</f>
        <v>0</v>
      </c>
      <c r="CF73" s="513"/>
      <c r="CG73" s="510"/>
      <c r="CH73" s="511"/>
      <c r="CI73" s="511"/>
      <c r="CJ73" s="442">
        <f>+[12]cashbalances!CJ32</f>
        <v>0</v>
      </c>
      <c r="CK73" s="480"/>
      <c r="CL73" s="442"/>
      <c r="CM73" s="465"/>
      <c r="CN73" s="465"/>
      <c r="CO73" s="442">
        <f>+[12]cashbalances!CO32</f>
        <v>0</v>
      </c>
      <c r="CP73" s="480"/>
      <c r="CQ73" s="442"/>
      <c r="CR73" s="465"/>
      <c r="CS73" s="465"/>
      <c r="CT73" s="442">
        <f>+[12]cashbalances!CT32</f>
        <v>0</v>
      </c>
      <c r="CU73" s="480"/>
      <c r="CV73" s="442"/>
      <c r="CW73" s="465"/>
      <c r="CX73" s="465"/>
      <c r="CY73" s="442">
        <f>+[12]cashbalances!CY32</f>
        <v>-98</v>
      </c>
      <c r="CZ73" s="480"/>
      <c r="DA73" s="442"/>
      <c r="DB73" s="465"/>
      <c r="DC73" s="465"/>
      <c r="DD73" s="442">
        <f>+[12]cashbalances!DD32</f>
        <v>0</v>
      </c>
      <c r="DE73" s="480"/>
      <c r="DF73" s="442"/>
      <c r="DG73" s="465"/>
      <c r="DH73" s="465"/>
      <c r="DI73" s="442">
        <f>+[12]cashbalances!DI32</f>
        <v>-372528</v>
      </c>
      <c r="DJ73" s="480"/>
      <c r="DK73" s="442"/>
      <c r="DL73" s="465"/>
      <c r="DM73" s="465"/>
      <c r="DN73" s="442">
        <f>+[12]cashbalances!DN32</f>
        <v>0</v>
      </c>
      <c r="DO73" s="480"/>
      <c r="DP73" s="442"/>
      <c r="DQ73" s="465"/>
      <c r="DR73" s="465"/>
      <c r="DS73" s="442">
        <f>+[12]cashbalances!DS32</f>
        <v>0</v>
      </c>
      <c r="DT73" s="480"/>
      <c r="DU73" s="442"/>
      <c r="DV73" s="465"/>
      <c r="DW73" s="465"/>
      <c r="DX73" s="442">
        <f>+[12]cashbalances!DX32</f>
        <v>0</v>
      </c>
      <c r="DY73" s="480"/>
      <c r="DZ73" s="442"/>
      <c r="EA73" s="465"/>
      <c r="EB73" s="465"/>
      <c r="EC73" s="442">
        <f>+[12]cashbalances!EC32</f>
        <v>0</v>
      </c>
      <c r="ED73" s="480"/>
      <c r="EE73" s="442"/>
      <c r="EF73" s="465"/>
      <c r="EG73" s="465"/>
      <c r="EH73" s="442">
        <f>+[12]cashbalances!EH32</f>
        <v>-77</v>
      </c>
      <c r="EI73" s="480"/>
      <c r="EJ73" s="442"/>
      <c r="EK73" s="465"/>
      <c r="EL73" s="465"/>
      <c r="EM73" s="442">
        <f>+[12]cashbalances!EM32</f>
        <v>0</v>
      </c>
      <c r="EN73" s="480"/>
      <c r="EO73" s="442"/>
      <c r="EP73" s="455"/>
      <c r="ES73" s="472"/>
      <c r="ET73" s="472">
        <f t="shared" si="0"/>
        <v>372703</v>
      </c>
    </row>
    <row r="74" spans="1:150" ht="12.75" hidden="1" customHeight="1" x14ac:dyDescent="0.2">
      <c r="A74" s="442"/>
      <c r="B74" s="442"/>
      <c r="C74" s="455" t="s">
        <v>329</v>
      </c>
      <c r="D74" s="442"/>
      <c r="E74" s="464"/>
      <c r="F74" s="492"/>
      <c r="G74" s="492"/>
      <c r="H74" s="442"/>
      <c r="I74" s="480"/>
      <c r="J74" s="442"/>
      <c r="K74" s="465"/>
      <c r="L74" s="465"/>
      <c r="M74" s="442"/>
      <c r="N74" s="480"/>
      <c r="O74" s="442"/>
      <c r="P74" s="465"/>
      <c r="Q74" s="465"/>
      <c r="R74" s="442"/>
      <c r="S74" s="480"/>
      <c r="T74" s="442"/>
      <c r="U74" s="465"/>
      <c r="V74" s="465"/>
      <c r="W74" s="442"/>
      <c r="X74" s="480"/>
      <c r="Y74" s="442"/>
      <c r="Z74" s="465"/>
      <c r="AA74" s="465"/>
      <c r="AB74" s="442"/>
      <c r="AC74" s="480"/>
      <c r="AD74" s="442"/>
      <c r="AE74" s="465"/>
      <c r="AF74" s="465"/>
      <c r="AG74" s="442"/>
      <c r="AH74" s="480"/>
      <c r="AI74" s="442"/>
      <c r="AJ74" s="465"/>
      <c r="AK74" s="465"/>
      <c r="AL74" s="442"/>
      <c r="AM74" s="480"/>
      <c r="AN74" s="442"/>
      <c r="AO74" s="465"/>
      <c r="AP74" s="465"/>
      <c r="AQ74" s="442"/>
      <c r="AR74" s="480"/>
      <c r="AS74" s="442"/>
      <c r="AT74" s="465"/>
      <c r="AU74" s="465"/>
      <c r="AV74" s="442"/>
      <c r="AW74" s="480"/>
      <c r="AX74" s="442"/>
      <c r="AY74" s="465"/>
      <c r="AZ74" s="465"/>
      <c r="BA74" s="442"/>
      <c r="BB74" s="480"/>
      <c r="BC74" s="442"/>
      <c r="BD74" s="465"/>
      <c r="BE74" s="465"/>
      <c r="BF74" s="442"/>
      <c r="BG74" s="480"/>
      <c r="BH74" s="442"/>
      <c r="BI74" s="465"/>
      <c r="BJ74" s="465"/>
      <c r="BK74" s="442"/>
      <c r="BL74" s="480"/>
      <c r="BM74" s="442"/>
      <c r="BN74" s="465"/>
      <c r="BO74" s="465"/>
      <c r="BP74" s="442"/>
      <c r="BQ74" s="480"/>
      <c r="BR74" s="442"/>
      <c r="BS74" s="465"/>
      <c r="BT74" s="465"/>
      <c r="BU74" s="442"/>
      <c r="BV74" s="480"/>
      <c r="BW74" s="442"/>
      <c r="BX74" s="465"/>
      <c r="BY74" s="465"/>
      <c r="BZ74" s="514"/>
      <c r="CA74" s="480"/>
      <c r="CB74" s="442"/>
      <c r="CC74" s="465"/>
      <c r="CD74" s="465"/>
      <c r="CE74" s="442"/>
      <c r="CF74" s="480"/>
      <c r="CG74" s="442"/>
      <c r="CH74" s="465"/>
      <c r="CI74" s="465"/>
      <c r="CJ74" s="442"/>
      <c r="CK74" s="480"/>
      <c r="CL74" s="442"/>
      <c r="CM74" s="465"/>
      <c r="CN74" s="465"/>
      <c r="CO74" s="442"/>
      <c r="CP74" s="480"/>
      <c r="CQ74" s="442"/>
      <c r="CR74" s="465"/>
      <c r="CS74" s="465"/>
      <c r="CT74" s="442"/>
      <c r="CU74" s="480"/>
      <c r="CV74" s="442"/>
      <c r="CW74" s="465"/>
      <c r="CX74" s="465"/>
      <c r="CY74" s="442"/>
      <c r="CZ74" s="480"/>
      <c r="DA74" s="442"/>
      <c r="DB74" s="465"/>
      <c r="DC74" s="465"/>
      <c r="DD74" s="442"/>
      <c r="DE74" s="480"/>
      <c r="DF74" s="442"/>
      <c r="DG74" s="465"/>
      <c r="DH74" s="465"/>
      <c r="DI74" s="442"/>
      <c r="DJ74" s="480"/>
      <c r="DK74" s="442"/>
      <c r="DL74" s="465"/>
      <c r="DM74" s="465"/>
      <c r="DN74" s="442"/>
      <c r="DO74" s="480"/>
      <c r="DP74" s="442"/>
      <c r="DQ74" s="465"/>
      <c r="DR74" s="465"/>
      <c r="DS74" s="442"/>
      <c r="DT74" s="480"/>
      <c r="DU74" s="442"/>
      <c r="DV74" s="465"/>
      <c r="DW74" s="465"/>
      <c r="DX74" s="442"/>
      <c r="DY74" s="480"/>
      <c r="DZ74" s="442"/>
      <c r="EA74" s="465"/>
      <c r="EB74" s="465"/>
      <c r="EC74" s="442"/>
      <c r="ED74" s="480"/>
      <c r="EE74" s="442"/>
      <c r="EF74" s="465"/>
      <c r="EG74" s="465"/>
      <c r="EH74" s="442"/>
      <c r="EI74" s="480"/>
      <c r="EJ74" s="442"/>
      <c r="EK74" s="465"/>
      <c r="EL74" s="465"/>
      <c r="EM74" s="442"/>
      <c r="EN74" s="480"/>
      <c r="EO74" s="442"/>
      <c r="EP74" s="455"/>
      <c r="ES74" s="472"/>
      <c r="ET74" s="472">
        <f t="shared" si="0"/>
        <v>0</v>
      </c>
    </row>
    <row r="75" spans="1:150" ht="12.75" customHeight="1" x14ac:dyDescent="0.2">
      <c r="A75" s="442"/>
      <c r="B75" s="442"/>
      <c r="C75" s="455" t="s">
        <v>329</v>
      </c>
      <c r="D75" s="442"/>
      <c r="E75" s="464"/>
      <c r="F75" s="492"/>
      <c r="G75" s="508"/>
      <c r="H75" s="491">
        <f>+[12]cashbalances!H38</f>
        <v>0</v>
      </c>
      <c r="I75" s="490"/>
      <c r="J75" s="442"/>
      <c r="K75" s="465"/>
      <c r="L75" s="488"/>
      <c r="M75" s="491">
        <f>+[12]cashbalances!M38</f>
        <v>-34158767.953769997</v>
      </c>
      <c r="N75" s="490"/>
      <c r="O75" s="442"/>
      <c r="P75" s="465"/>
      <c r="Q75" s="488"/>
      <c r="R75" s="491">
        <f>+[12]cashbalances!R38</f>
        <v>665778.1075699823</v>
      </c>
      <c r="S75" s="490"/>
      <c r="T75" s="442"/>
      <c r="U75" s="465"/>
      <c r="V75" s="488"/>
      <c r="W75" s="491">
        <f>+[12]cashbalances!W38</f>
        <v>0</v>
      </c>
      <c r="X75" s="490"/>
      <c r="Y75" s="442"/>
      <c r="Z75" s="465"/>
      <c r="AA75" s="488"/>
      <c r="AB75" s="491">
        <f>+[12]cashbalances!AB38</f>
        <v>0</v>
      </c>
      <c r="AC75" s="490"/>
      <c r="AD75" s="442"/>
      <c r="AE75" s="465"/>
      <c r="AF75" s="488"/>
      <c r="AG75" s="491">
        <f>+[12]cashbalances!AG38</f>
        <v>0</v>
      </c>
      <c r="AH75" s="490"/>
      <c r="AI75" s="442"/>
      <c r="AJ75" s="465"/>
      <c r="AK75" s="488"/>
      <c r="AL75" s="491">
        <f>+[12]cashbalances!AL38</f>
        <v>0</v>
      </c>
      <c r="AM75" s="490"/>
      <c r="AN75" s="442"/>
      <c r="AO75" s="465"/>
      <c r="AP75" s="488"/>
      <c r="AQ75" s="491">
        <f>+[12]cashbalances!AQ38</f>
        <v>0</v>
      </c>
      <c r="AR75" s="490"/>
      <c r="AS75" s="442"/>
      <c r="AT75" s="465"/>
      <c r="AU75" s="488"/>
      <c r="AV75" s="491">
        <f>+[12]cashbalances!AV38</f>
        <v>0</v>
      </c>
      <c r="AW75" s="490"/>
      <c r="AX75" s="442"/>
      <c r="AY75" s="465"/>
      <c r="AZ75" s="488"/>
      <c r="BA75" s="491">
        <f>+[12]cashbalances!BA38</f>
        <v>0</v>
      </c>
      <c r="BB75" s="490"/>
      <c r="BC75" s="442"/>
      <c r="BD75" s="465"/>
      <c r="BE75" s="488"/>
      <c r="BF75" s="491">
        <f>+[12]cashbalances!BF38</f>
        <v>0</v>
      </c>
      <c r="BG75" s="490"/>
      <c r="BH75" s="442"/>
      <c r="BI75" s="465"/>
      <c r="BJ75" s="488"/>
      <c r="BK75" s="491">
        <f>+[12]cashbalances!BK38</f>
        <v>0</v>
      </c>
      <c r="BL75" s="490"/>
      <c r="BM75" s="442"/>
      <c r="BN75" s="465"/>
      <c r="BO75" s="488"/>
      <c r="BP75" s="491">
        <f>+[12]cashbalances!BP38</f>
        <v>0</v>
      </c>
      <c r="BQ75" s="490"/>
      <c r="BR75" s="442"/>
      <c r="BS75" s="465"/>
      <c r="BT75" s="488"/>
      <c r="BU75" s="491">
        <f>+[12]cashbalances!BU38</f>
        <v>-33492989.846200015</v>
      </c>
      <c r="BV75" s="490"/>
      <c r="BW75" s="442"/>
      <c r="BX75" s="465"/>
      <c r="BY75" s="488"/>
      <c r="BZ75" s="489">
        <f>+[12]cashbalances!BZ38</f>
        <v>2431354.9546501637</v>
      </c>
      <c r="CA75" s="490"/>
      <c r="CB75" s="442"/>
      <c r="CC75" s="465"/>
      <c r="CD75" s="488"/>
      <c r="CE75" s="491">
        <f>+[12]cashbalances!CE38</f>
        <v>-9617047.0857300311</v>
      </c>
      <c r="CF75" s="490"/>
      <c r="CG75" s="442"/>
      <c r="CH75" s="465"/>
      <c r="CI75" s="488"/>
      <c r="CJ75" s="491">
        <f>+[12]cashbalances!CJ38</f>
        <v>1658010.930979982</v>
      </c>
      <c r="CK75" s="490"/>
      <c r="CL75" s="442"/>
      <c r="CM75" s="465"/>
      <c r="CN75" s="488"/>
      <c r="CO75" s="491">
        <f>+[12]cashbalances!CO38</f>
        <v>13980252.002719998</v>
      </c>
      <c r="CP75" s="490"/>
      <c r="CQ75" s="442"/>
      <c r="CR75" s="465"/>
      <c r="CS75" s="488"/>
      <c r="CT75" s="491">
        <f>+[12]cashbalances!CT38</f>
        <v>-8777405.5292999893</v>
      </c>
      <c r="CU75" s="490"/>
      <c r="CV75" s="442"/>
      <c r="CW75" s="465"/>
      <c r="CX75" s="488"/>
      <c r="CY75" s="491">
        <f>+[12]cashbalances!CY38</f>
        <v>-9967884.6452499926</v>
      </c>
      <c r="CZ75" s="490"/>
      <c r="DA75" s="442"/>
      <c r="DB75" s="465"/>
      <c r="DC75" s="488"/>
      <c r="DD75" s="491">
        <f>+[12]cashbalances!DD38</f>
        <v>-4315544.2743200064</v>
      </c>
      <c r="DE75" s="490"/>
      <c r="DF75" s="442"/>
      <c r="DG75" s="465"/>
      <c r="DH75" s="488"/>
      <c r="DI75" s="491">
        <f>+[12]cashbalances!DI38</f>
        <v>-395955.73492997885</v>
      </c>
      <c r="DJ75" s="490"/>
      <c r="DK75" s="442"/>
      <c r="DL75" s="465"/>
      <c r="DM75" s="488"/>
      <c r="DN75" s="491">
        <f>+[12]cashbalances!DN38</f>
        <v>-18897629.034100011</v>
      </c>
      <c r="DO75" s="490"/>
      <c r="DP75" s="442"/>
      <c r="DQ75" s="465"/>
      <c r="DR75" s="488"/>
      <c r="DS75" s="491">
        <f>+[12]cashbalances!DS38</f>
        <v>-1291051.425060004</v>
      </c>
      <c r="DT75" s="490"/>
      <c r="DU75" s="442"/>
      <c r="DV75" s="465"/>
      <c r="DW75" s="488"/>
      <c r="DX75" s="491">
        <f>+[12]cashbalances!DX38</f>
        <v>-2746121.6662400216</v>
      </c>
      <c r="DY75" s="490"/>
      <c r="DZ75" s="442"/>
      <c r="EA75" s="465"/>
      <c r="EB75" s="488"/>
      <c r="EC75" s="491">
        <f>+[12]cashbalances!EC38</f>
        <v>-5785998.0916399956</v>
      </c>
      <c r="ED75" s="490"/>
      <c r="EE75" s="442"/>
      <c r="EF75" s="465"/>
      <c r="EG75" s="488"/>
      <c r="EH75" s="491">
        <f>+[12]cashbalances!EH38+1</f>
        <v>48587729.50752002</v>
      </c>
      <c r="EI75" s="490"/>
      <c r="EJ75" s="442"/>
      <c r="EK75" s="465"/>
      <c r="EL75" s="488"/>
      <c r="EM75" s="491">
        <f>[12]cashbalances!EM38</f>
        <v>-7959036.1547500491</v>
      </c>
      <c r="EN75" s="490"/>
      <c r="EO75" s="442"/>
      <c r="EP75" s="455"/>
      <c r="ES75" s="472"/>
      <c r="ET75" s="472">
        <f>EM75-BZ75</f>
        <v>-10390391.109400213</v>
      </c>
    </row>
    <row r="76" spans="1:150" x14ac:dyDescent="0.2">
      <c r="A76" s="442"/>
      <c r="B76" s="442"/>
      <c r="C76" s="455"/>
      <c r="D76" s="442"/>
      <c r="E76" s="464"/>
      <c r="F76" s="492"/>
      <c r="G76" s="493"/>
      <c r="H76" s="442"/>
      <c r="I76" s="442"/>
      <c r="J76" s="442"/>
      <c r="K76" s="465"/>
      <c r="L76" s="442"/>
      <c r="M76" s="442"/>
      <c r="N76" s="442"/>
      <c r="O76" s="442"/>
      <c r="P76" s="465"/>
      <c r="Q76" s="442"/>
      <c r="R76" s="442"/>
      <c r="S76" s="442"/>
      <c r="T76" s="442"/>
      <c r="U76" s="465"/>
      <c r="V76" s="442"/>
      <c r="W76" s="442"/>
      <c r="X76" s="442"/>
      <c r="Y76" s="442"/>
      <c r="Z76" s="465"/>
      <c r="AA76" s="442"/>
      <c r="AB76" s="442"/>
      <c r="AC76" s="442"/>
      <c r="AD76" s="442"/>
      <c r="AE76" s="465"/>
      <c r="AF76" s="442"/>
      <c r="AG76" s="442"/>
      <c r="AH76" s="442"/>
      <c r="AI76" s="442"/>
      <c r="AJ76" s="465"/>
      <c r="AK76" s="442"/>
      <c r="AL76" s="442"/>
      <c r="AM76" s="442"/>
      <c r="AN76" s="442"/>
      <c r="AO76" s="465"/>
      <c r="AP76" s="442"/>
      <c r="AQ76" s="442"/>
      <c r="AR76" s="442"/>
      <c r="AS76" s="442"/>
      <c r="AT76" s="465"/>
      <c r="AU76" s="442"/>
      <c r="AV76" s="442"/>
      <c r="AW76" s="442"/>
      <c r="AX76" s="442"/>
      <c r="AY76" s="465"/>
      <c r="AZ76" s="442"/>
      <c r="BA76" s="442"/>
      <c r="BB76" s="442"/>
      <c r="BC76" s="442"/>
      <c r="BD76" s="465"/>
      <c r="BE76" s="442"/>
      <c r="BF76" s="442"/>
      <c r="BG76" s="442"/>
      <c r="BH76" s="442"/>
      <c r="BI76" s="465"/>
      <c r="BJ76" s="442"/>
      <c r="BK76" s="442"/>
      <c r="BL76" s="442"/>
      <c r="BM76" s="442"/>
      <c r="BN76" s="465"/>
      <c r="BO76" s="442"/>
      <c r="BP76" s="442"/>
      <c r="BQ76" s="442"/>
      <c r="BR76" s="442"/>
      <c r="BS76" s="465"/>
      <c r="BT76" s="442"/>
      <c r="BU76" s="442"/>
      <c r="BV76" s="442"/>
      <c r="BW76" s="442"/>
      <c r="BX76" s="465"/>
      <c r="BY76" s="442"/>
      <c r="BZ76" s="486"/>
      <c r="CA76" s="442"/>
      <c r="CB76" s="442"/>
      <c r="CC76" s="465"/>
      <c r="CD76" s="442"/>
      <c r="CE76" s="442"/>
      <c r="CF76" s="442"/>
      <c r="CG76" s="442"/>
      <c r="CH76" s="465"/>
      <c r="CI76" s="442"/>
      <c r="CJ76" s="442"/>
      <c r="CK76" s="442"/>
      <c r="CL76" s="442"/>
      <c r="CM76" s="465"/>
      <c r="CN76" s="442"/>
      <c r="CO76" s="442"/>
      <c r="CP76" s="442"/>
      <c r="CQ76" s="442"/>
      <c r="CR76" s="465"/>
      <c r="CS76" s="442"/>
      <c r="CT76" s="442"/>
      <c r="CU76" s="442"/>
      <c r="CV76" s="442"/>
      <c r="CW76" s="465"/>
      <c r="CX76" s="442"/>
      <c r="CY76" s="442"/>
      <c r="CZ76" s="442"/>
      <c r="DA76" s="442"/>
      <c r="DB76" s="465"/>
      <c r="DC76" s="442"/>
      <c r="DD76" s="442"/>
      <c r="DE76" s="442"/>
      <c r="DF76" s="442"/>
      <c r="DG76" s="465"/>
      <c r="DH76" s="442"/>
      <c r="DI76" s="442"/>
      <c r="DJ76" s="442"/>
      <c r="DK76" s="442"/>
      <c r="DL76" s="465"/>
      <c r="DM76" s="442"/>
      <c r="DN76" s="442"/>
      <c r="DO76" s="442"/>
      <c r="DP76" s="442"/>
      <c r="DQ76" s="465"/>
      <c r="DR76" s="442"/>
      <c r="DS76" s="442"/>
      <c r="DT76" s="442"/>
      <c r="DU76" s="442"/>
      <c r="DV76" s="465"/>
      <c r="DW76" s="442"/>
      <c r="DX76" s="442"/>
      <c r="DY76" s="442"/>
      <c r="DZ76" s="442"/>
      <c r="EA76" s="465"/>
      <c r="EB76" s="442"/>
      <c r="EC76" s="442"/>
      <c r="ED76" s="442"/>
      <c r="EE76" s="442"/>
      <c r="EF76" s="465"/>
      <c r="EG76" s="442"/>
      <c r="EH76" s="442"/>
      <c r="EI76" s="442"/>
      <c r="EJ76" s="442"/>
      <c r="EK76" s="465"/>
      <c r="EL76" s="442"/>
      <c r="EM76" s="442"/>
      <c r="EN76" s="442"/>
      <c r="EO76" s="442"/>
      <c r="EP76" s="455"/>
      <c r="ES76" s="472"/>
      <c r="ET76" s="472">
        <f>EM76-BZ76</f>
        <v>0</v>
      </c>
    </row>
    <row r="77" spans="1:150" s="472" customFormat="1" x14ac:dyDescent="0.2">
      <c r="A77" s="443"/>
      <c r="B77" s="443"/>
      <c r="C77" s="515" t="s">
        <v>330</v>
      </c>
      <c r="D77" s="516"/>
      <c r="E77" s="467"/>
      <c r="F77" s="517"/>
      <c r="G77" s="518"/>
      <c r="H77" s="519">
        <f>+H13+H23+H44+H67</f>
        <v>367998850.18299997</v>
      </c>
      <c r="I77" s="519"/>
      <c r="J77" s="519"/>
      <c r="K77" s="520"/>
      <c r="L77" s="519"/>
      <c r="M77" s="519">
        <f>+M13+M23+M44+M67</f>
        <v>51156457.046230003</v>
      </c>
      <c r="N77" s="519"/>
      <c r="O77" s="519"/>
      <c r="P77" s="520"/>
      <c r="Q77" s="519"/>
      <c r="R77" s="519">
        <f>+R13+R23+R44+R67</f>
        <v>52369080.107569978</v>
      </c>
      <c r="S77" s="519"/>
      <c r="T77" s="519"/>
      <c r="U77" s="520"/>
      <c r="V77" s="519"/>
      <c r="W77" s="519">
        <f>+W13+W23+W44+W67</f>
        <v>250795984</v>
      </c>
      <c r="X77" s="519"/>
      <c r="Y77" s="519"/>
      <c r="Z77" s="520"/>
      <c r="AA77" s="519"/>
      <c r="AB77" s="519">
        <f>+AB13+AB23+AB44+AB67</f>
        <v>0</v>
      </c>
      <c r="AC77" s="519"/>
      <c r="AD77" s="519"/>
      <c r="AE77" s="520"/>
      <c r="AF77" s="519"/>
      <c r="AG77" s="519">
        <f>+AG13+AG23+AG44+AG67</f>
        <v>0</v>
      </c>
      <c r="AH77" s="519"/>
      <c r="AI77" s="519"/>
      <c r="AJ77" s="520"/>
      <c r="AK77" s="519"/>
      <c r="AL77" s="519">
        <f>+AL13+AL23+AL44+AL67</f>
        <v>0</v>
      </c>
      <c r="AM77" s="519"/>
      <c r="AN77" s="519"/>
      <c r="AO77" s="520"/>
      <c r="AP77" s="519"/>
      <c r="AQ77" s="519">
        <f>+AQ13+AQ23+AQ44+AQ67</f>
        <v>0</v>
      </c>
      <c r="AR77" s="519"/>
      <c r="AS77" s="519"/>
      <c r="AT77" s="520"/>
      <c r="AU77" s="519"/>
      <c r="AV77" s="519">
        <f>+AV13+AV23+AV44+AV67</f>
        <v>0</v>
      </c>
      <c r="AW77" s="519"/>
      <c r="AX77" s="519"/>
      <c r="AY77" s="520"/>
      <c r="AZ77" s="519"/>
      <c r="BA77" s="519">
        <f>+BA13+BA23+BA44+BA67</f>
        <v>0</v>
      </c>
      <c r="BB77" s="519"/>
      <c r="BC77" s="519"/>
      <c r="BD77" s="520"/>
      <c r="BE77" s="519"/>
      <c r="BF77" s="519">
        <f>+BF13+BF23+BF44+BF67</f>
        <v>0</v>
      </c>
      <c r="BG77" s="519"/>
      <c r="BH77" s="519"/>
      <c r="BI77" s="520"/>
      <c r="BJ77" s="519"/>
      <c r="BK77" s="519">
        <f>+BK13+BK23+BK44+BK67</f>
        <v>0</v>
      </c>
      <c r="BL77" s="519"/>
      <c r="BM77" s="519"/>
      <c r="BN77" s="520"/>
      <c r="BO77" s="519"/>
      <c r="BP77" s="519">
        <f>+BP13+BP23+BP44+BP67</f>
        <v>0</v>
      </c>
      <c r="BQ77" s="519"/>
      <c r="BR77" s="519"/>
      <c r="BS77" s="520"/>
      <c r="BT77" s="519"/>
      <c r="BU77" s="519">
        <f>+BU13+BU23+BU44+BU67</f>
        <v>103525537.15379998</v>
      </c>
      <c r="BV77" s="519"/>
      <c r="BW77" s="519"/>
      <c r="BX77" s="520"/>
      <c r="BY77" s="519"/>
      <c r="BZ77" s="521">
        <f>+BZ13+BZ23+BZ44+BZ67</f>
        <v>346273232.95465016</v>
      </c>
      <c r="CA77" s="519"/>
      <c r="CB77" s="519"/>
      <c r="CC77" s="520"/>
      <c r="CD77" s="519"/>
      <c r="CE77" s="519">
        <f>+CE13+CE23+CE44+CE67</f>
        <v>63530124.914269969</v>
      </c>
      <c r="CF77" s="519"/>
      <c r="CG77" s="516"/>
      <c r="CH77" s="520"/>
      <c r="CI77" s="519"/>
      <c r="CJ77" s="519">
        <f>+CJ13+CJ23+CJ44+CJ67</f>
        <v>17540392.930979982</v>
      </c>
      <c r="CK77" s="519"/>
      <c r="CL77" s="519"/>
      <c r="CM77" s="520"/>
      <c r="CN77" s="519"/>
      <c r="CO77" s="519">
        <f>+CO13+CO23+CO44+CO67</f>
        <v>-23606007.997280002</v>
      </c>
      <c r="CP77" s="519"/>
      <c r="CQ77" s="519"/>
      <c r="CR77" s="520"/>
      <c r="CS77" s="519"/>
      <c r="CT77" s="519">
        <f>+CT13+CT23+CT44+CT67</f>
        <v>99103979.470700011</v>
      </c>
      <c r="CU77" s="519"/>
      <c r="CV77" s="519"/>
      <c r="CW77" s="520"/>
      <c r="CX77" s="519"/>
      <c r="CY77" s="519">
        <f>+CY13+CY23+CY44+CY67</f>
        <v>32839807.354750007</v>
      </c>
      <c r="CZ77" s="519"/>
      <c r="DA77" s="519"/>
      <c r="DB77" s="520"/>
      <c r="DC77" s="519"/>
      <c r="DD77" s="519">
        <f>+DD13+DD23+DD44+DD67</f>
        <v>649646.72567999363</v>
      </c>
      <c r="DE77" s="519"/>
      <c r="DF77" s="519"/>
      <c r="DG77" s="520"/>
      <c r="DH77" s="519"/>
      <c r="DI77" s="519">
        <f>+DI13+DI23+DI44+DI67</f>
        <v>42343200.265070021</v>
      </c>
      <c r="DJ77" s="519"/>
      <c r="DK77" s="519"/>
      <c r="DL77" s="520"/>
      <c r="DM77" s="519"/>
      <c r="DN77" s="519">
        <f>+DN13+DN23+DN44+DN67</f>
        <v>15141181.965899989</v>
      </c>
      <c r="DO77" s="519"/>
      <c r="DP77" s="519"/>
      <c r="DQ77" s="520"/>
      <c r="DR77" s="519"/>
      <c r="DS77" s="519">
        <f>+DS13+DS23+DS44+DS67</f>
        <v>2169109.574939996</v>
      </c>
      <c r="DT77" s="519"/>
      <c r="DU77" s="519"/>
      <c r="DV77" s="520"/>
      <c r="DW77" s="519"/>
      <c r="DX77" s="519">
        <f>+DX13+DX23+DX44+DX67</f>
        <v>47546404.333759978</v>
      </c>
      <c r="DY77" s="519"/>
      <c r="DZ77" s="519"/>
      <c r="EA77" s="520"/>
      <c r="EB77" s="519"/>
      <c r="EC77" s="519">
        <f>+EC13+EC23+EC44+EC67</f>
        <v>-2152970.0916399956</v>
      </c>
      <c r="ED77" s="519"/>
      <c r="EE77" s="519"/>
      <c r="EF77" s="520"/>
      <c r="EG77" s="519"/>
      <c r="EH77" s="519">
        <f>+EH13+EH23+EH44+EH67</f>
        <v>51168363.50752002</v>
      </c>
      <c r="EI77" s="519"/>
      <c r="EJ77" s="519"/>
      <c r="EK77" s="520"/>
      <c r="EL77" s="519"/>
      <c r="EM77" s="519">
        <f>+EM13+EM23+EM44+EM67</f>
        <v>81070517.845249951</v>
      </c>
      <c r="EN77" s="519"/>
      <c r="EO77" s="522"/>
      <c r="EP77" s="466"/>
      <c r="EQ77" s="443"/>
      <c r="ET77" s="472">
        <f>EM77-BZ77</f>
        <v>-265202715.10940021</v>
      </c>
    </row>
    <row r="78" spans="1:150" ht="15" customHeight="1" x14ac:dyDescent="0.2">
      <c r="A78" s="442"/>
      <c r="B78" s="442"/>
      <c r="C78" s="523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  <c r="AA78" s="524"/>
      <c r="AB78" s="524"/>
      <c r="AC78" s="524"/>
      <c r="AD78" s="524"/>
      <c r="AE78" s="524"/>
      <c r="AF78" s="524"/>
      <c r="AG78" s="524"/>
      <c r="AH78" s="524"/>
      <c r="AI78" s="524"/>
      <c r="AJ78" s="524"/>
      <c r="AK78" s="524"/>
      <c r="AL78" s="524"/>
      <c r="AM78" s="524"/>
      <c r="AN78" s="524"/>
      <c r="AO78" s="524"/>
      <c r="AP78" s="524"/>
      <c r="AQ78" s="524"/>
      <c r="AR78" s="524"/>
      <c r="AS78" s="524"/>
      <c r="AT78" s="524"/>
      <c r="AU78" s="524"/>
      <c r="AV78" s="524"/>
      <c r="AW78" s="524"/>
      <c r="AX78" s="524"/>
      <c r="AY78" s="524"/>
      <c r="AZ78" s="524"/>
      <c r="BA78" s="524"/>
      <c r="BB78" s="524"/>
      <c r="BC78" s="524"/>
      <c r="BD78" s="524"/>
      <c r="BE78" s="524"/>
      <c r="BF78" s="524"/>
      <c r="BG78" s="524"/>
      <c r="BH78" s="524"/>
      <c r="BI78" s="524"/>
      <c r="BJ78" s="524"/>
      <c r="BK78" s="524"/>
      <c r="BL78" s="524"/>
      <c r="BM78" s="524"/>
      <c r="BN78" s="524"/>
      <c r="BO78" s="524"/>
      <c r="BP78" s="524"/>
      <c r="BQ78" s="524"/>
      <c r="BR78" s="524"/>
      <c r="BS78" s="524"/>
      <c r="BT78" s="524"/>
      <c r="BU78" s="524"/>
      <c r="BV78" s="524"/>
      <c r="BW78" s="524"/>
      <c r="BX78" s="524"/>
      <c r="BY78" s="524"/>
      <c r="BZ78" s="524"/>
      <c r="CA78" s="524"/>
      <c r="CB78" s="524"/>
      <c r="CC78" s="524"/>
      <c r="CD78" s="524"/>
      <c r="CE78" s="524"/>
      <c r="CF78" s="524"/>
      <c r="CG78" s="524"/>
      <c r="CH78" s="524"/>
      <c r="CI78" s="524"/>
      <c r="CJ78" s="524"/>
      <c r="CK78" s="524"/>
      <c r="CL78" s="524"/>
      <c r="CM78" s="524"/>
      <c r="CN78" s="524"/>
      <c r="CO78" s="524"/>
      <c r="CP78" s="524"/>
      <c r="CQ78" s="524"/>
      <c r="CR78" s="524"/>
      <c r="CS78" s="524"/>
      <c r="CT78" s="524"/>
      <c r="CU78" s="524"/>
      <c r="CV78" s="524"/>
      <c r="CW78" s="524"/>
      <c r="CX78" s="524"/>
      <c r="CY78" s="524"/>
      <c r="CZ78" s="524"/>
      <c r="DA78" s="524"/>
      <c r="DB78" s="524"/>
      <c r="DC78" s="524"/>
      <c r="DD78" s="524"/>
      <c r="DE78" s="524"/>
      <c r="DF78" s="524"/>
      <c r="DG78" s="524"/>
      <c r="DH78" s="524"/>
      <c r="DI78" s="524"/>
      <c r="DJ78" s="524"/>
      <c r="DK78" s="524"/>
      <c r="DL78" s="524"/>
      <c r="DM78" s="524"/>
      <c r="DN78" s="524"/>
      <c r="DO78" s="524"/>
      <c r="DP78" s="524"/>
      <c r="DQ78" s="524"/>
      <c r="DR78" s="524"/>
      <c r="DS78" s="524"/>
      <c r="DT78" s="524"/>
      <c r="DU78" s="524"/>
      <c r="DV78" s="524"/>
      <c r="DW78" s="524"/>
      <c r="DX78" s="524"/>
      <c r="DY78" s="524"/>
      <c r="DZ78" s="524"/>
      <c r="EA78" s="524"/>
      <c r="EB78" s="524"/>
      <c r="EC78" s="524"/>
      <c r="ED78" s="524"/>
      <c r="EE78" s="524"/>
      <c r="EF78" s="524"/>
      <c r="EG78" s="524"/>
      <c r="EH78" s="524"/>
      <c r="EI78" s="524"/>
      <c r="EJ78" s="524"/>
      <c r="EK78" s="524"/>
      <c r="EL78" s="524"/>
      <c r="EM78" s="524"/>
      <c r="EN78" s="524"/>
      <c r="EO78" s="524"/>
      <c r="EP78" s="442"/>
      <c r="ET78" s="472">
        <f>EM78-BZ78</f>
        <v>0</v>
      </c>
    </row>
    <row r="79" spans="1:150" ht="5.25" customHeight="1" x14ac:dyDescent="0.2">
      <c r="A79" s="442"/>
      <c r="B79" s="442"/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F79" s="442"/>
      <c r="AG79" s="442"/>
      <c r="AH79" s="442"/>
      <c r="AI79" s="442"/>
      <c r="AJ79" s="442"/>
      <c r="AK79" s="442"/>
      <c r="AL79" s="442"/>
      <c r="AM79" s="442"/>
      <c r="AN79" s="442"/>
      <c r="AO79" s="442"/>
      <c r="AP79" s="442"/>
      <c r="AQ79" s="442"/>
      <c r="AR79" s="442"/>
      <c r="AS79" s="442"/>
      <c r="AT79" s="442"/>
      <c r="AU79" s="442"/>
      <c r="AV79" s="442"/>
      <c r="AW79" s="442"/>
      <c r="AX79" s="442"/>
      <c r="AY79" s="442"/>
      <c r="AZ79" s="442"/>
      <c r="BA79" s="442"/>
      <c r="BB79" s="442"/>
      <c r="BC79" s="442"/>
      <c r="BD79" s="442"/>
      <c r="BE79" s="442"/>
      <c r="BF79" s="442"/>
      <c r="BG79" s="442"/>
      <c r="BH79" s="442"/>
      <c r="BI79" s="442"/>
      <c r="BJ79" s="442"/>
      <c r="BK79" s="442"/>
      <c r="BL79" s="442"/>
      <c r="BM79" s="442"/>
      <c r="BN79" s="442"/>
      <c r="BO79" s="442"/>
      <c r="BP79" s="442"/>
      <c r="BQ79" s="442"/>
      <c r="BR79" s="442"/>
      <c r="BS79" s="442"/>
      <c r="BT79" s="442"/>
      <c r="BU79" s="442"/>
      <c r="BV79" s="442"/>
      <c r="BW79" s="442"/>
      <c r="BX79" s="442"/>
      <c r="BY79" s="442"/>
      <c r="BZ79" s="442"/>
      <c r="CA79" s="442"/>
      <c r="CB79" s="442"/>
      <c r="CC79" s="442"/>
      <c r="CD79" s="442"/>
      <c r="CE79" s="442"/>
      <c r="CF79" s="442"/>
      <c r="CG79" s="442"/>
      <c r="CH79" s="442"/>
      <c r="CI79" s="442"/>
      <c r="CJ79" s="442"/>
      <c r="CK79" s="442"/>
      <c r="CL79" s="442"/>
      <c r="CM79" s="442"/>
      <c r="CN79" s="442"/>
      <c r="CO79" s="442"/>
      <c r="CP79" s="442"/>
      <c r="CQ79" s="442"/>
      <c r="CR79" s="442"/>
      <c r="CS79" s="442"/>
      <c r="CT79" s="442"/>
      <c r="CU79" s="442"/>
      <c r="CV79" s="442"/>
      <c r="CW79" s="442"/>
      <c r="CX79" s="442"/>
      <c r="CY79" s="442"/>
      <c r="CZ79" s="442"/>
      <c r="DA79" s="442"/>
      <c r="DB79" s="442"/>
      <c r="DC79" s="442"/>
      <c r="DD79" s="442"/>
      <c r="DE79" s="442"/>
      <c r="DF79" s="442"/>
      <c r="DG79" s="442"/>
      <c r="DH79" s="442"/>
      <c r="DI79" s="442"/>
      <c r="DJ79" s="442"/>
      <c r="DK79" s="442"/>
      <c r="DL79" s="442"/>
      <c r="DM79" s="442"/>
      <c r="DN79" s="442"/>
      <c r="DO79" s="442"/>
      <c r="DP79" s="442"/>
      <c r="DQ79" s="442"/>
      <c r="DR79" s="442"/>
      <c r="DS79" s="442"/>
      <c r="DT79" s="442"/>
      <c r="DU79" s="442"/>
      <c r="DV79" s="442"/>
      <c r="DW79" s="442"/>
      <c r="DX79" s="442"/>
      <c r="DY79" s="442"/>
      <c r="DZ79" s="442"/>
      <c r="EA79" s="442"/>
      <c r="EB79" s="442"/>
      <c r="EC79" s="442"/>
      <c r="ED79" s="442"/>
      <c r="EE79" s="442"/>
      <c r="EF79" s="442"/>
      <c r="EG79" s="442"/>
      <c r="EH79" s="442"/>
      <c r="EI79" s="442"/>
      <c r="EJ79" s="442"/>
      <c r="EK79" s="442"/>
      <c r="EL79" s="442"/>
      <c r="EM79" s="442"/>
      <c r="EN79" s="442"/>
      <c r="EO79" s="442"/>
      <c r="EP79" s="442"/>
    </row>
    <row r="80" spans="1:150" ht="15" customHeight="1" x14ac:dyDescent="0.2"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42"/>
      <c r="AC80" s="442"/>
      <c r="AD80" s="442"/>
      <c r="AE80" s="442"/>
      <c r="AF80" s="442"/>
      <c r="AG80" s="442"/>
      <c r="AH80" s="442"/>
      <c r="AI80" s="442"/>
      <c r="AJ80" s="442"/>
      <c r="AK80" s="442"/>
      <c r="AL80" s="442"/>
      <c r="AM80" s="442"/>
      <c r="AN80" s="442"/>
      <c r="AO80" s="442"/>
      <c r="AP80" s="442"/>
      <c r="AQ80" s="442"/>
      <c r="AR80" s="442"/>
      <c r="AS80" s="442"/>
      <c r="AT80" s="442"/>
      <c r="AU80" s="442"/>
      <c r="AV80" s="442"/>
      <c r="AW80" s="442"/>
      <c r="AX80" s="442"/>
      <c r="AY80" s="442"/>
      <c r="AZ80" s="442"/>
      <c r="BA80" s="442"/>
      <c r="BB80" s="442"/>
      <c r="BC80" s="442"/>
      <c r="BD80" s="442"/>
      <c r="BE80" s="442"/>
      <c r="BF80" s="442"/>
      <c r="BG80" s="442"/>
      <c r="BH80" s="442"/>
      <c r="BI80" s="442"/>
      <c r="BJ80" s="442"/>
      <c r="BK80" s="442"/>
      <c r="BL80" s="442"/>
      <c r="BM80" s="442"/>
      <c r="BN80" s="442"/>
      <c r="BO80" s="442"/>
      <c r="BP80" s="442"/>
      <c r="BQ80" s="442"/>
      <c r="BR80" s="442"/>
      <c r="BS80" s="442"/>
      <c r="BT80" s="442"/>
      <c r="BU80" s="442"/>
      <c r="BV80" s="442"/>
      <c r="BW80" s="442"/>
      <c r="BX80" s="442"/>
      <c r="BY80" s="442"/>
      <c r="BZ80" s="442"/>
      <c r="CA80" s="442"/>
      <c r="CB80" s="442"/>
      <c r="CC80" s="442"/>
      <c r="CD80" s="442"/>
      <c r="CE80" s="442"/>
      <c r="CF80" s="442"/>
      <c r="CG80" s="442"/>
      <c r="CH80" s="442"/>
      <c r="CI80" s="442"/>
      <c r="CJ80" s="442"/>
      <c r="CK80" s="442"/>
      <c r="CL80" s="442"/>
      <c r="CM80" s="442"/>
      <c r="CN80" s="442"/>
      <c r="CO80" s="442"/>
      <c r="CP80" s="442"/>
      <c r="CQ80" s="442"/>
      <c r="CR80" s="442"/>
      <c r="CS80" s="442"/>
      <c r="CT80" s="442"/>
      <c r="CU80" s="442"/>
      <c r="CV80" s="442"/>
      <c r="CW80" s="442"/>
      <c r="CX80" s="442"/>
      <c r="CY80" s="442"/>
      <c r="CZ80" s="442"/>
      <c r="DA80" s="442"/>
      <c r="DB80" s="442"/>
      <c r="DC80" s="442"/>
      <c r="DD80" s="442"/>
      <c r="DE80" s="442"/>
      <c r="DF80" s="442"/>
      <c r="DG80" s="442"/>
      <c r="DH80" s="442"/>
      <c r="DI80" s="442"/>
      <c r="DJ80" s="442"/>
      <c r="DK80" s="442"/>
      <c r="DL80" s="442"/>
      <c r="DM80" s="442"/>
      <c r="DN80" s="442"/>
      <c r="DO80" s="442"/>
      <c r="DP80" s="442"/>
      <c r="DQ80" s="442"/>
      <c r="DR80" s="442"/>
      <c r="DS80" s="442"/>
      <c r="DT80" s="442"/>
      <c r="DU80" s="442"/>
      <c r="DV80" s="442"/>
      <c r="DW80" s="442"/>
      <c r="DX80" s="442"/>
      <c r="DY80" s="442"/>
      <c r="DZ80" s="442"/>
      <c r="EA80" s="442"/>
      <c r="EB80" s="442"/>
      <c r="EC80" s="442"/>
      <c r="ED80" s="442"/>
      <c r="EE80" s="442"/>
      <c r="EF80" s="442"/>
      <c r="EG80" s="442"/>
      <c r="EH80" s="442"/>
      <c r="EI80" s="442"/>
      <c r="EJ80" s="442"/>
      <c r="EK80" s="442"/>
      <c r="EL80" s="442"/>
      <c r="EM80" s="442"/>
      <c r="EN80" s="442"/>
      <c r="EO80" s="442"/>
      <c r="EP80" s="442"/>
    </row>
    <row r="81" spans="2:147" s="525" customFormat="1" ht="15" hidden="1" customHeight="1" x14ac:dyDescent="0.2">
      <c r="B81" s="526"/>
      <c r="D81" s="527"/>
      <c r="E81" s="526"/>
      <c r="F81" s="526"/>
      <c r="G81" s="526"/>
      <c r="H81" s="526"/>
      <c r="I81" s="526"/>
      <c r="J81" s="526"/>
      <c r="K81" s="526"/>
      <c r="L81" s="526"/>
      <c r="M81" s="526"/>
      <c r="N81" s="526"/>
      <c r="O81" s="526"/>
      <c r="P81" s="526"/>
      <c r="Q81" s="526"/>
      <c r="R81" s="526"/>
      <c r="S81" s="526"/>
      <c r="T81" s="526"/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6"/>
      <c r="AF81" s="526"/>
      <c r="AG81" s="526"/>
      <c r="AH81" s="526"/>
      <c r="AI81" s="526"/>
      <c r="AJ81" s="526"/>
      <c r="AK81" s="526"/>
      <c r="AL81" s="528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6"/>
      <c r="AZ81" s="526"/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6"/>
      <c r="BN81" s="526"/>
      <c r="BO81" s="526"/>
      <c r="BP81" s="526"/>
      <c r="BQ81" s="526"/>
      <c r="BR81" s="526"/>
      <c r="BS81" s="526"/>
      <c r="BT81" s="526"/>
      <c r="BU81" s="526"/>
      <c r="BV81" s="526"/>
      <c r="BW81" s="443">
        <f>+BW82+BW89</f>
        <v>1429132</v>
      </c>
      <c r="BX81" s="526"/>
      <c r="BY81" s="526"/>
      <c r="BZ81" s="526"/>
      <c r="CA81" s="526"/>
      <c r="CB81" s="526"/>
      <c r="CC81" s="526"/>
      <c r="CD81" s="526"/>
      <c r="CE81" s="526"/>
      <c r="CF81" s="526"/>
      <c r="CG81" s="526"/>
      <c r="CH81" s="526"/>
      <c r="CI81" s="526"/>
      <c r="CJ81" s="526"/>
      <c r="CK81" s="526"/>
      <c r="CL81" s="526"/>
      <c r="CM81" s="526"/>
      <c r="CN81" s="526"/>
      <c r="CO81" s="526"/>
      <c r="CP81" s="526"/>
      <c r="CQ81" s="526"/>
      <c r="CR81" s="526"/>
      <c r="CS81" s="526"/>
      <c r="CT81" s="526"/>
      <c r="CU81" s="526"/>
      <c r="CV81" s="526"/>
      <c r="CW81" s="526"/>
      <c r="CX81" s="526"/>
      <c r="CY81" s="526"/>
      <c r="CZ81" s="526"/>
      <c r="DA81" s="526"/>
      <c r="DB81" s="526"/>
      <c r="DC81" s="526"/>
      <c r="DD81" s="526"/>
      <c r="DE81" s="526"/>
      <c r="DF81" s="526"/>
      <c r="DG81" s="526"/>
      <c r="DH81" s="526"/>
      <c r="DI81" s="526"/>
      <c r="DJ81" s="526"/>
      <c r="DK81" s="526"/>
      <c r="DL81" s="526"/>
      <c r="DM81" s="526"/>
      <c r="DN81" s="526"/>
      <c r="DO81" s="526"/>
      <c r="DP81" s="526"/>
      <c r="DQ81" s="526"/>
      <c r="DR81" s="526"/>
      <c r="DS81" s="526"/>
      <c r="DT81" s="526"/>
      <c r="DU81" s="526"/>
      <c r="DV81" s="526"/>
      <c r="DW81" s="526"/>
      <c r="DX81" s="526"/>
      <c r="DY81" s="526"/>
      <c r="DZ81" s="526"/>
      <c r="EA81" s="526"/>
      <c r="EB81" s="526"/>
      <c r="EC81" s="526"/>
      <c r="ED81" s="526"/>
      <c r="EE81" s="526"/>
      <c r="EF81" s="526"/>
      <c r="EG81" s="526"/>
      <c r="EH81" s="526"/>
      <c r="EI81" s="526"/>
      <c r="EJ81" s="526"/>
      <c r="EK81" s="526"/>
      <c r="EL81" s="526"/>
      <c r="EM81" s="526"/>
      <c r="EN81" s="526"/>
      <c r="EO81" s="526"/>
      <c r="EP81" s="526"/>
      <c r="EQ81" s="526"/>
    </row>
    <row r="82" spans="2:147" s="525" customFormat="1" ht="15" hidden="1" customHeight="1" x14ac:dyDescent="0.2">
      <c r="B82" s="526"/>
      <c r="C82" s="529"/>
      <c r="D82" s="527"/>
      <c r="E82" s="526"/>
      <c r="F82" s="526"/>
      <c r="G82" s="526"/>
      <c r="H82" s="526"/>
      <c r="I82" s="526"/>
      <c r="J82" s="526"/>
      <c r="K82" s="526"/>
      <c r="L82" s="526"/>
      <c r="M82" s="526"/>
      <c r="N82" s="526"/>
      <c r="O82" s="526"/>
      <c r="P82" s="526"/>
      <c r="Q82" s="526"/>
      <c r="R82" s="526"/>
      <c r="S82" s="526"/>
      <c r="T82" s="526"/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6"/>
      <c r="AF82" s="526"/>
      <c r="AG82" s="526"/>
      <c r="AH82" s="526"/>
      <c r="AI82" s="526"/>
      <c r="AJ82" s="526"/>
      <c r="AK82" s="526"/>
      <c r="AL82" s="526"/>
      <c r="AM82" s="526"/>
      <c r="AN82" s="526"/>
      <c r="AO82" s="526"/>
      <c r="AP82" s="526"/>
      <c r="AQ82" s="526"/>
      <c r="AR82" s="526"/>
      <c r="AS82" s="526"/>
      <c r="AT82" s="526"/>
      <c r="AU82" s="526"/>
      <c r="AV82" s="526"/>
      <c r="AW82" s="526"/>
      <c r="AX82" s="526"/>
      <c r="AY82" s="526"/>
      <c r="AZ82" s="526"/>
      <c r="BA82" s="526"/>
      <c r="BB82" s="526"/>
      <c r="BC82" s="526"/>
      <c r="BD82" s="526"/>
      <c r="BE82" s="526"/>
      <c r="BF82" s="526"/>
      <c r="BG82" s="526"/>
      <c r="BH82" s="526"/>
      <c r="BI82" s="526"/>
      <c r="BJ82" s="526"/>
      <c r="BK82" s="526"/>
      <c r="BL82" s="526"/>
      <c r="BM82" s="526"/>
      <c r="BN82" s="526"/>
      <c r="BO82" s="526"/>
      <c r="BP82" s="526"/>
      <c r="BQ82" s="526"/>
      <c r="BR82" s="526"/>
      <c r="BS82" s="526"/>
      <c r="BT82" s="526"/>
      <c r="BU82" s="526"/>
      <c r="BV82" s="526"/>
      <c r="BW82" s="442">
        <f>SUM(BW83:BW87)</f>
        <v>1429132</v>
      </c>
      <c r="BX82" s="526"/>
      <c r="BY82" s="526"/>
      <c r="BZ82" s="526"/>
      <c r="CA82" s="526"/>
      <c r="CB82" s="526"/>
      <c r="CC82" s="526"/>
      <c r="CD82" s="526"/>
      <c r="CE82" s="526"/>
      <c r="CF82" s="526"/>
      <c r="CG82" s="526"/>
      <c r="CH82" s="526"/>
      <c r="CI82" s="526"/>
      <c r="CJ82" s="526"/>
      <c r="CK82" s="526"/>
      <c r="CL82" s="526"/>
      <c r="CM82" s="526"/>
      <c r="CN82" s="526"/>
      <c r="CO82" s="526"/>
      <c r="CP82" s="526"/>
      <c r="CQ82" s="526"/>
      <c r="CR82" s="526"/>
      <c r="CS82" s="526"/>
      <c r="CT82" s="526"/>
      <c r="CU82" s="526"/>
      <c r="CV82" s="526"/>
      <c r="CW82" s="526"/>
      <c r="CX82" s="526"/>
      <c r="CY82" s="526"/>
      <c r="CZ82" s="526"/>
      <c r="DA82" s="526"/>
      <c r="DB82" s="526"/>
      <c r="DC82" s="526"/>
      <c r="DD82" s="526"/>
      <c r="DE82" s="526"/>
      <c r="DF82" s="526"/>
      <c r="DG82" s="526"/>
      <c r="DH82" s="526"/>
      <c r="DI82" s="526"/>
      <c r="DJ82" s="526"/>
      <c r="DK82" s="526"/>
      <c r="DL82" s="526"/>
      <c r="DM82" s="526"/>
      <c r="DN82" s="526"/>
      <c r="DO82" s="526"/>
      <c r="DP82" s="526"/>
      <c r="DQ82" s="526"/>
      <c r="DR82" s="526"/>
      <c r="DS82" s="526"/>
      <c r="DT82" s="526"/>
      <c r="DU82" s="526"/>
      <c r="DV82" s="526"/>
      <c r="DW82" s="526"/>
      <c r="DX82" s="526"/>
      <c r="DY82" s="526"/>
      <c r="DZ82" s="526"/>
      <c r="EA82" s="526"/>
      <c r="EB82" s="526"/>
      <c r="EC82" s="526"/>
      <c r="ED82" s="526"/>
      <c r="EE82" s="526"/>
      <c r="EF82" s="526"/>
      <c r="EG82" s="526"/>
      <c r="EH82" s="526"/>
      <c r="EI82" s="526"/>
      <c r="EJ82" s="526"/>
      <c r="EK82" s="526"/>
      <c r="EL82" s="526"/>
      <c r="EM82" s="526"/>
      <c r="EN82" s="526"/>
      <c r="EO82" s="526"/>
      <c r="EP82" s="526"/>
      <c r="EQ82" s="526"/>
    </row>
    <row r="83" spans="2:147" ht="15" hidden="1" customHeight="1" x14ac:dyDescent="0.2"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>
        <f t="shared" ref="M83:BU87" si="1">M13-CE13</f>
        <v>5493593</v>
      </c>
      <c r="N83" s="442">
        <f t="shared" si="1"/>
        <v>0</v>
      </c>
      <c r="O83" s="442">
        <f t="shared" si="1"/>
        <v>0</v>
      </c>
      <c r="P83" s="442">
        <f t="shared" si="1"/>
        <v>0</v>
      </c>
      <c r="Q83" s="442">
        <f t="shared" si="1"/>
        <v>0</v>
      </c>
      <c r="R83" s="442">
        <f t="shared" si="1"/>
        <v>3749691</v>
      </c>
      <c r="S83" s="442">
        <f t="shared" si="1"/>
        <v>0</v>
      </c>
      <c r="T83" s="442">
        <f t="shared" si="1"/>
        <v>0</v>
      </c>
      <c r="U83" s="442">
        <f t="shared" si="1"/>
        <v>0</v>
      </c>
      <c r="V83" s="442">
        <f t="shared" si="1"/>
        <v>0</v>
      </c>
      <c r="W83" s="442">
        <f t="shared" si="1"/>
        <v>-21645154</v>
      </c>
      <c r="X83" s="442">
        <f t="shared" si="1"/>
        <v>0</v>
      </c>
      <c r="Y83" s="442">
        <f t="shared" si="1"/>
        <v>0</v>
      </c>
      <c r="Z83" s="442">
        <f t="shared" si="1"/>
        <v>0</v>
      </c>
      <c r="AA83" s="442">
        <f t="shared" si="1"/>
        <v>0</v>
      </c>
      <c r="AB83" s="442">
        <f t="shared" si="1"/>
        <v>-4387554</v>
      </c>
      <c r="AC83" s="442">
        <f t="shared" si="1"/>
        <v>0</v>
      </c>
      <c r="AD83" s="442">
        <f t="shared" si="1"/>
        <v>0</v>
      </c>
      <c r="AE83" s="442">
        <f t="shared" si="1"/>
        <v>0</v>
      </c>
      <c r="AF83" s="442">
        <f t="shared" si="1"/>
        <v>0</v>
      </c>
      <c r="AG83" s="442">
        <f t="shared" si="1"/>
        <v>-10613091</v>
      </c>
      <c r="AH83" s="442">
        <f t="shared" si="1"/>
        <v>0</v>
      </c>
      <c r="AI83" s="442">
        <f t="shared" si="1"/>
        <v>0</v>
      </c>
      <c r="AJ83" s="442">
        <f t="shared" si="1"/>
        <v>0</v>
      </c>
      <c r="AK83" s="442">
        <f t="shared" si="1"/>
        <v>0</v>
      </c>
      <c r="AL83" s="442">
        <f t="shared" si="1"/>
        <v>17323880</v>
      </c>
      <c r="AM83" s="442">
        <f t="shared" si="1"/>
        <v>0</v>
      </c>
      <c r="AN83" s="442">
        <f t="shared" si="1"/>
        <v>0</v>
      </c>
      <c r="AO83" s="442">
        <f t="shared" si="1"/>
        <v>0</v>
      </c>
      <c r="AP83" s="442">
        <f t="shared" si="1"/>
        <v>0</v>
      </c>
      <c r="AQ83" s="442">
        <f t="shared" si="1"/>
        <v>-7778423</v>
      </c>
      <c r="AR83" s="442">
        <f t="shared" si="1"/>
        <v>0</v>
      </c>
      <c r="AS83" s="442">
        <f t="shared" si="1"/>
        <v>0</v>
      </c>
      <c r="AT83" s="442">
        <f t="shared" si="1"/>
        <v>0</v>
      </c>
      <c r="AU83" s="442">
        <f t="shared" si="1"/>
        <v>0</v>
      </c>
      <c r="AV83" s="442">
        <f t="shared" si="1"/>
        <v>-6126860</v>
      </c>
      <c r="AW83" s="442">
        <f t="shared" si="1"/>
        <v>0</v>
      </c>
      <c r="AX83" s="442">
        <f t="shared" si="1"/>
        <v>0</v>
      </c>
      <c r="AY83" s="442">
        <f t="shared" si="1"/>
        <v>0</v>
      </c>
      <c r="AZ83" s="442">
        <f t="shared" si="1"/>
        <v>0</v>
      </c>
      <c r="BA83" s="442">
        <f t="shared" si="1"/>
        <v>16508019</v>
      </c>
      <c r="BB83" s="442">
        <f t="shared" si="1"/>
        <v>0</v>
      </c>
      <c r="BC83" s="442">
        <f t="shared" si="1"/>
        <v>0</v>
      </c>
      <c r="BD83" s="442">
        <f t="shared" si="1"/>
        <v>0</v>
      </c>
      <c r="BE83" s="442">
        <f t="shared" si="1"/>
        <v>0</v>
      </c>
      <c r="BF83" s="442">
        <f t="shared" si="1"/>
        <v>-13250851</v>
      </c>
      <c r="BG83" s="442">
        <f t="shared" si="1"/>
        <v>0</v>
      </c>
      <c r="BH83" s="442">
        <f t="shared" si="1"/>
        <v>0</v>
      </c>
      <c r="BI83" s="442">
        <f t="shared" si="1"/>
        <v>0</v>
      </c>
      <c r="BJ83" s="442">
        <f t="shared" si="1"/>
        <v>0</v>
      </c>
      <c r="BK83" s="442">
        <f t="shared" si="1"/>
        <v>2500139</v>
      </c>
      <c r="BL83" s="442">
        <f t="shared" si="1"/>
        <v>0</v>
      </c>
      <c r="BM83" s="442">
        <f t="shared" si="1"/>
        <v>0</v>
      </c>
      <c r="BN83" s="442">
        <f t="shared" si="1"/>
        <v>0</v>
      </c>
      <c r="BO83" s="442">
        <f t="shared" si="1"/>
        <v>0</v>
      </c>
      <c r="BP83" s="442">
        <f t="shared" si="1"/>
        <v>35857416</v>
      </c>
      <c r="BQ83" s="442">
        <f t="shared" si="1"/>
        <v>0</v>
      </c>
      <c r="BR83" s="442">
        <f t="shared" si="1"/>
        <v>0</v>
      </c>
      <c r="BS83" s="442">
        <f t="shared" si="1"/>
        <v>0</v>
      </c>
      <c r="BT83" s="442">
        <f t="shared" si="1"/>
        <v>0</v>
      </c>
      <c r="BU83" s="442">
        <f t="shared" si="1"/>
        <v>9243284</v>
      </c>
      <c r="BV83" s="442"/>
      <c r="BW83" s="442">
        <f>SUM(O83:BR83)</f>
        <v>12137212</v>
      </c>
      <c r="BX83" s="442"/>
      <c r="BY83" s="442"/>
      <c r="BZ83" s="442">
        <f>M67+R67+W67+AB67+AG67</f>
        <v>232834115.40979999</v>
      </c>
      <c r="CA83" s="442"/>
      <c r="CB83" s="442"/>
      <c r="CC83" s="442"/>
      <c r="CD83" s="442"/>
      <c r="CE83" s="442"/>
      <c r="CF83" s="442"/>
      <c r="CG83" s="442"/>
      <c r="CH83" s="442"/>
      <c r="CI83" s="442"/>
      <c r="CJ83" s="442"/>
      <c r="CK83" s="442"/>
      <c r="CL83" s="442"/>
      <c r="CM83" s="442"/>
      <c r="CN83" s="442"/>
      <c r="CO83" s="442"/>
      <c r="CP83" s="442"/>
      <c r="CQ83" s="442"/>
      <c r="CR83" s="442"/>
      <c r="CS83" s="442"/>
      <c r="CT83" s="442"/>
      <c r="CU83" s="442"/>
      <c r="CV83" s="442"/>
      <c r="CW83" s="442"/>
      <c r="CX83" s="442"/>
      <c r="CY83" s="442"/>
      <c r="CZ83" s="442"/>
      <c r="DA83" s="442"/>
      <c r="DB83" s="442"/>
      <c r="DC83" s="442"/>
      <c r="DD83" s="442"/>
      <c r="DE83" s="442"/>
      <c r="DF83" s="442"/>
      <c r="DG83" s="442"/>
      <c r="DH83" s="442"/>
      <c r="DI83" s="442"/>
      <c r="DJ83" s="442"/>
      <c r="DK83" s="442"/>
      <c r="DL83" s="442"/>
      <c r="DM83" s="442"/>
      <c r="DN83" s="442"/>
      <c r="DO83" s="442"/>
      <c r="DP83" s="442"/>
      <c r="DQ83" s="442"/>
      <c r="DR83" s="442"/>
      <c r="DS83" s="442"/>
      <c r="DT83" s="442"/>
      <c r="DU83" s="442"/>
      <c r="DV83" s="442"/>
      <c r="DW83" s="442"/>
      <c r="DX83" s="442"/>
      <c r="DY83" s="442"/>
      <c r="DZ83" s="442"/>
      <c r="EA83" s="442"/>
      <c r="EB83" s="442"/>
      <c r="EC83" s="442"/>
      <c r="ED83" s="442"/>
      <c r="EE83" s="442"/>
      <c r="EF83" s="442"/>
      <c r="EG83" s="442"/>
      <c r="EH83" s="442"/>
      <c r="EI83" s="442"/>
      <c r="EJ83" s="442"/>
      <c r="EK83" s="442"/>
      <c r="EL83" s="442"/>
      <c r="EM83" s="442"/>
      <c r="EN83" s="442"/>
      <c r="EO83" s="442"/>
      <c r="EP83" s="442"/>
    </row>
    <row r="84" spans="2:147" ht="15" hidden="1" customHeight="1" x14ac:dyDescent="0.2">
      <c r="B84" s="442"/>
      <c r="C84" s="530"/>
      <c r="D84" s="442"/>
      <c r="E84" s="442"/>
      <c r="F84" s="442"/>
      <c r="G84" s="442"/>
      <c r="H84" s="531"/>
      <c r="I84" s="442"/>
      <c r="J84" s="442"/>
      <c r="K84" s="442"/>
      <c r="L84" s="442"/>
      <c r="M84" s="442">
        <f t="shared" si="1"/>
        <v>-1484000</v>
      </c>
      <c r="N84" s="442">
        <f t="shared" si="1"/>
        <v>0</v>
      </c>
      <c r="O84" s="442">
        <f t="shared" si="1"/>
        <v>0</v>
      </c>
      <c r="P84" s="442">
        <f t="shared" si="1"/>
        <v>0</v>
      </c>
      <c r="Q84" s="442">
        <f t="shared" si="1"/>
        <v>0</v>
      </c>
      <c r="R84" s="442">
        <f t="shared" si="1"/>
        <v>-4604650</v>
      </c>
      <c r="S84" s="442">
        <f t="shared" si="1"/>
        <v>0</v>
      </c>
      <c r="T84" s="442">
        <f t="shared" si="1"/>
        <v>0</v>
      </c>
      <c r="U84" s="442">
        <f t="shared" si="1"/>
        <v>0</v>
      </c>
      <c r="V84" s="442">
        <f t="shared" si="1"/>
        <v>0</v>
      </c>
      <c r="W84" s="442">
        <f t="shared" si="1"/>
        <v>-12705000</v>
      </c>
      <c r="X84" s="442">
        <f t="shared" si="1"/>
        <v>0</v>
      </c>
      <c r="Y84" s="442">
        <f t="shared" si="1"/>
        <v>0</v>
      </c>
      <c r="Z84" s="442">
        <f t="shared" si="1"/>
        <v>0</v>
      </c>
      <c r="AA84" s="442">
        <f t="shared" si="1"/>
        <v>0</v>
      </c>
      <c r="AB84" s="442">
        <f t="shared" si="1"/>
        <v>-4164510</v>
      </c>
      <c r="AC84" s="442">
        <f t="shared" si="1"/>
        <v>0</v>
      </c>
      <c r="AD84" s="442">
        <f t="shared" si="1"/>
        <v>0</v>
      </c>
      <c r="AE84" s="442">
        <f t="shared" si="1"/>
        <v>0</v>
      </c>
      <c r="AF84" s="442">
        <f t="shared" si="1"/>
        <v>0</v>
      </c>
      <c r="AG84" s="442">
        <f t="shared" si="1"/>
        <v>-6693000</v>
      </c>
      <c r="AH84" s="442">
        <f t="shared" si="1"/>
        <v>0</v>
      </c>
      <c r="AI84" s="442">
        <f t="shared" si="1"/>
        <v>0</v>
      </c>
      <c r="AJ84" s="442">
        <f t="shared" si="1"/>
        <v>0</v>
      </c>
      <c r="AK84" s="442">
        <f t="shared" si="1"/>
        <v>0</v>
      </c>
      <c r="AL84" s="442">
        <f t="shared" si="1"/>
        <v>-7998300</v>
      </c>
      <c r="AM84" s="442">
        <f t="shared" si="1"/>
        <v>0</v>
      </c>
      <c r="AN84" s="442">
        <f t="shared" si="1"/>
        <v>0</v>
      </c>
      <c r="AO84" s="442">
        <f t="shared" si="1"/>
        <v>0</v>
      </c>
      <c r="AP84" s="442">
        <f t="shared" si="1"/>
        <v>0</v>
      </c>
      <c r="AQ84" s="442">
        <f t="shared" si="1"/>
        <v>-3752730</v>
      </c>
      <c r="AR84" s="442">
        <f t="shared" si="1"/>
        <v>0</v>
      </c>
      <c r="AS84" s="442">
        <f t="shared" si="1"/>
        <v>0</v>
      </c>
      <c r="AT84" s="442">
        <f t="shared" si="1"/>
        <v>0</v>
      </c>
      <c r="AU84" s="442">
        <f t="shared" si="1"/>
        <v>0</v>
      </c>
      <c r="AV84" s="442">
        <f t="shared" si="1"/>
        <v>-1301000</v>
      </c>
      <c r="AW84" s="442">
        <f t="shared" si="1"/>
        <v>0</v>
      </c>
      <c r="AX84" s="442">
        <f t="shared" si="1"/>
        <v>0</v>
      </c>
      <c r="AY84" s="442">
        <f t="shared" si="1"/>
        <v>0</v>
      </c>
      <c r="AZ84" s="442">
        <f t="shared" si="1"/>
        <v>0</v>
      </c>
      <c r="BA84" s="442">
        <f t="shared" si="1"/>
        <v>6212410</v>
      </c>
      <c r="BB84" s="442">
        <f t="shared" si="1"/>
        <v>0</v>
      </c>
      <c r="BC84" s="442">
        <f t="shared" si="1"/>
        <v>0</v>
      </c>
      <c r="BD84" s="442">
        <f t="shared" si="1"/>
        <v>0</v>
      </c>
      <c r="BE84" s="442">
        <f t="shared" si="1"/>
        <v>0</v>
      </c>
      <c r="BF84" s="442">
        <f t="shared" si="1"/>
        <v>8057160</v>
      </c>
      <c r="BG84" s="442">
        <f t="shared" si="1"/>
        <v>0</v>
      </c>
      <c r="BH84" s="442">
        <f t="shared" si="1"/>
        <v>0</v>
      </c>
      <c r="BI84" s="442">
        <f t="shared" si="1"/>
        <v>0</v>
      </c>
      <c r="BJ84" s="442">
        <f t="shared" si="1"/>
        <v>0</v>
      </c>
      <c r="BK84" s="442">
        <f t="shared" si="1"/>
        <v>9474050</v>
      </c>
      <c r="BL84" s="442">
        <f t="shared" si="1"/>
        <v>0</v>
      </c>
      <c r="BM84" s="442">
        <f t="shared" si="1"/>
        <v>0</v>
      </c>
      <c r="BN84" s="442">
        <f t="shared" si="1"/>
        <v>0</v>
      </c>
      <c r="BO84" s="442">
        <f t="shared" si="1"/>
        <v>0</v>
      </c>
      <c r="BP84" s="442">
        <f t="shared" si="1"/>
        <v>6767490</v>
      </c>
      <c r="BQ84" s="442">
        <f t="shared" si="1"/>
        <v>0</v>
      </c>
      <c r="BR84" s="442">
        <f t="shared" si="1"/>
        <v>0</v>
      </c>
      <c r="BS84" s="442">
        <f t="shared" si="1"/>
        <v>0</v>
      </c>
      <c r="BT84" s="442">
        <f t="shared" si="1"/>
        <v>0</v>
      </c>
      <c r="BU84" s="442">
        <f t="shared" si="1"/>
        <v>-6088650</v>
      </c>
      <c r="BV84" s="442"/>
      <c r="BW84" s="442">
        <f>SUM(O84:BR84)</f>
        <v>-10708080</v>
      </c>
      <c r="BX84" s="442"/>
      <c r="BY84" s="442"/>
      <c r="BZ84" s="442"/>
      <c r="CA84" s="442"/>
      <c r="CB84" s="442"/>
      <c r="CC84" s="442"/>
      <c r="CD84" s="442"/>
      <c r="CE84" s="442"/>
      <c r="CF84" s="442"/>
      <c r="CG84" s="442"/>
      <c r="CH84" s="442"/>
      <c r="CI84" s="442"/>
      <c r="CJ84" s="442"/>
      <c r="CK84" s="442"/>
      <c r="CL84" s="442"/>
      <c r="CM84" s="442"/>
      <c r="CN84" s="442"/>
      <c r="CO84" s="442"/>
      <c r="CP84" s="442"/>
      <c r="CQ84" s="442"/>
      <c r="CR84" s="442"/>
      <c r="CS84" s="442"/>
      <c r="CT84" s="442"/>
      <c r="CU84" s="442"/>
      <c r="CV84" s="442"/>
      <c r="CW84" s="442"/>
      <c r="CX84" s="442"/>
      <c r="CY84" s="442"/>
      <c r="CZ84" s="442"/>
      <c r="DA84" s="442"/>
      <c r="DB84" s="442"/>
      <c r="DC84" s="442"/>
      <c r="DD84" s="442"/>
      <c r="DE84" s="442"/>
      <c r="DF84" s="442"/>
      <c r="DG84" s="442"/>
      <c r="DH84" s="442"/>
      <c r="DI84" s="442"/>
      <c r="DJ84" s="442"/>
      <c r="DK84" s="442"/>
      <c r="DL84" s="442"/>
      <c r="DM84" s="442"/>
      <c r="DN84" s="442"/>
      <c r="DO84" s="442"/>
      <c r="DP84" s="442"/>
      <c r="DQ84" s="442"/>
      <c r="DR84" s="442"/>
      <c r="DS84" s="442"/>
      <c r="DT84" s="442"/>
      <c r="DU84" s="442"/>
      <c r="DV84" s="442"/>
      <c r="DW84" s="442"/>
      <c r="DX84" s="442"/>
      <c r="DY84" s="442"/>
      <c r="DZ84" s="442"/>
      <c r="EA84" s="442"/>
      <c r="EB84" s="442"/>
      <c r="EC84" s="442"/>
      <c r="ED84" s="442"/>
      <c r="EE84" s="442"/>
      <c r="EF84" s="442"/>
      <c r="EG84" s="442"/>
      <c r="EH84" s="442"/>
      <c r="EI84" s="442"/>
      <c r="EJ84" s="442"/>
      <c r="EK84" s="442"/>
      <c r="EL84" s="442"/>
      <c r="EM84" s="442"/>
      <c r="EN84" s="442"/>
      <c r="EO84" s="442"/>
      <c r="EP84" s="442"/>
    </row>
    <row r="85" spans="2:147" ht="15" hidden="1" customHeight="1" x14ac:dyDescent="0.2"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442"/>
      <c r="M85" s="442">
        <f t="shared" si="1"/>
        <v>0</v>
      </c>
      <c r="N85" s="442">
        <f t="shared" si="1"/>
        <v>0</v>
      </c>
      <c r="O85" s="442">
        <f t="shared" si="1"/>
        <v>0</v>
      </c>
      <c r="P85" s="442">
        <f t="shared" si="1"/>
        <v>0</v>
      </c>
      <c r="Q85" s="442">
        <f t="shared" si="1"/>
        <v>0</v>
      </c>
      <c r="R85" s="442">
        <f t="shared" si="1"/>
        <v>0</v>
      </c>
      <c r="S85" s="442">
        <f t="shared" si="1"/>
        <v>0</v>
      </c>
      <c r="T85" s="442">
        <f t="shared" si="1"/>
        <v>0</v>
      </c>
      <c r="U85" s="442">
        <f t="shared" si="1"/>
        <v>0</v>
      </c>
      <c r="V85" s="442">
        <f t="shared" si="1"/>
        <v>0</v>
      </c>
      <c r="W85" s="442">
        <f t="shared" si="1"/>
        <v>0</v>
      </c>
      <c r="X85" s="442">
        <f t="shared" si="1"/>
        <v>0</v>
      </c>
      <c r="Y85" s="442">
        <f t="shared" si="1"/>
        <v>0</v>
      </c>
      <c r="Z85" s="442">
        <f t="shared" si="1"/>
        <v>0</v>
      </c>
      <c r="AA85" s="442">
        <f t="shared" si="1"/>
        <v>0</v>
      </c>
      <c r="AB85" s="442">
        <f t="shared" si="1"/>
        <v>0</v>
      </c>
      <c r="AC85" s="442">
        <f t="shared" si="1"/>
        <v>0</v>
      </c>
      <c r="AD85" s="442">
        <f t="shared" si="1"/>
        <v>0</v>
      </c>
      <c r="AE85" s="442">
        <f t="shared" si="1"/>
        <v>0</v>
      </c>
      <c r="AF85" s="442">
        <f t="shared" si="1"/>
        <v>0</v>
      </c>
      <c r="AG85" s="442">
        <f t="shared" si="1"/>
        <v>0</v>
      </c>
      <c r="AH85" s="442">
        <f t="shared" si="1"/>
        <v>0</v>
      </c>
      <c r="AI85" s="442">
        <f t="shared" si="1"/>
        <v>0</v>
      </c>
      <c r="AJ85" s="442">
        <f t="shared" si="1"/>
        <v>0</v>
      </c>
      <c r="AK85" s="442">
        <f t="shared" si="1"/>
        <v>0</v>
      </c>
      <c r="AL85" s="442">
        <f t="shared" si="1"/>
        <v>0</v>
      </c>
      <c r="AM85" s="442">
        <f t="shared" si="1"/>
        <v>0</v>
      </c>
      <c r="AN85" s="442">
        <f t="shared" si="1"/>
        <v>0</v>
      </c>
      <c r="AO85" s="442">
        <f t="shared" si="1"/>
        <v>0</v>
      </c>
      <c r="AP85" s="442">
        <f t="shared" si="1"/>
        <v>0</v>
      </c>
      <c r="AQ85" s="442">
        <f t="shared" si="1"/>
        <v>0</v>
      </c>
      <c r="AR85" s="442">
        <f t="shared" si="1"/>
        <v>0</v>
      </c>
      <c r="AS85" s="442">
        <f t="shared" si="1"/>
        <v>0</v>
      </c>
      <c r="AT85" s="442">
        <f t="shared" si="1"/>
        <v>0</v>
      </c>
      <c r="AU85" s="442">
        <f t="shared" si="1"/>
        <v>0</v>
      </c>
      <c r="AV85" s="442">
        <f t="shared" si="1"/>
        <v>0</v>
      </c>
      <c r="AW85" s="442">
        <f t="shared" si="1"/>
        <v>0</v>
      </c>
      <c r="AX85" s="442">
        <f t="shared" si="1"/>
        <v>0</v>
      </c>
      <c r="AY85" s="442">
        <f t="shared" si="1"/>
        <v>0</v>
      </c>
      <c r="AZ85" s="442">
        <f t="shared" si="1"/>
        <v>0</v>
      </c>
      <c r="BA85" s="442">
        <f t="shared" si="1"/>
        <v>0</v>
      </c>
      <c r="BB85" s="442">
        <f t="shared" si="1"/>
        <v>0</v>
      </c>
      <c r="BC85" s="442">
        <f t="shared" si="1"/>
        <v>0</v>
      </c>
      <c r="BD85" s="442">
        <f t="shared" si="1"/>
        <v>0</v>
      </c>
      <c r="BE85" s="442">
        <f t="shared" si="1"/>
        <v>0</v>
      </c>
      <c r="BF85" s="442">
        <f t="shared" si="1"/>
        <v>0</v>
      </c>
      <c r="BG85" s="442">
        <f t="shared" si="1"/>
        <v>0</v>
      </c>
      <c r="BH85" s="442">
        <f t="shared" si="1"/>
        <v>0</v>
      </c>
      <c r="BI85" s="442">
        <f t="shared" si="1"/>
        <v>0</v>
      </c>
      <c r="BJ85" s="442">
        <f t="shared" si="1"/>
        <v>0</v>
      </c>
      <c r="BK85" s="442">
        <f t="shared" si="1"/>
        <v>0</v>
      </c>
      <c r="BL85" s="442">
        <f t="shared" si="1"/>
        <v>0</v>
      </c>
      <c r="BM85" s="442">
        <f t="shared" si="1"/>
        <v>0</v>
      </c>
      <c r="BN85" s="442">
        <f t="shared" si="1"/>
        <v>0</v>
      </c>
      <c r="BO85" s="442">
        <f t="shared" si="1"/>
        <v>0</v>
      </c>
      <c r="BP85" s="442">
        <f t="shared" si="1"/>
        <v>0</v>
      </c>
      <c r="BQ85" s="442">
        <f t="shared" si="1"/>
        <v>0</v>
      </c>
      <c r="BR85" s="442">
        <f t="shared" si="1"/>
        <v>0</v>
      </c>
      <c r="BS85" s="442">
        <f t="shared" si="1"/>
        <v>0</v>
      </c>
      <c r="BT85" s="442">
        <f t="shared" si="1"/>
        <v>0</v>
      </c>
      <c r="BU85" s="442">
        <f t="shared" si="1"/>
        <v>0</v>
      </c>
      <c r="BV85" s="442"/>
      <c r="BW85" s="442">
        <f>SUM(O85:BR85)</f>
        <v>0</v>
      </c>
      <c r="BX85" s="442"/>
      <c r="BY85" s="442"/>
      <c r="BZ85" s="442"/>
      <c r="CA85" s="442"/>
      <c r="CB85" s="442"/>
      <c r="CC85" s="442"/>
      <c r="CD85" s="442"/>
      <c r="CE85" s="442"/>
      <c r="CF85" s="442"/>
      <c r="CG85" s="442"/>
      <c r="CH85" s="442"/>
      <c r="CI85" s="442"/>
      <c r="CJ85" s="442"/>
      <c r="CK85" s="442"/>
      <c r="CL85" s="442"/>
      <c r="CM85" s="442"/>
      <c r="CN85" s="442"/>
      <c r="CO85" s="442"/>
      <c r="CP85" s="442"/>
      <c r="CQ85" s="442"/>
      <c r="CR85" s="442"/>
      <c r="CS85" s="442"/>
      <c r="CT85" s="442"/>
      <c r="CU85" s="442"/>
      <c r="CV85" s="442"/>
      <c r="CW85" s="442"/>
      <c r="CX85" s="442"/>
      <c r="CY85" s="442"/>
      <c r="CZ85" s="442"/>
      <c r="DA85" s="442"/>
      <c r="DB85" s="442"/>
      <c r="DC85" s="442"/>
      <c r="DD85" s="442"/>
      <c r="DE85" s="442"/>
      <c r="DF85" s="442"/>
      <c r="DG85" s="442"/>
      <c r="DH85" s="442"/>
      <c r="DI85" s="442"/>
      <c r="DJ85" s="442"/>
      <c r="DK85" s="442"/>
      <c r="DL85" s="442"/>
      <c r="DM85" s="442"/>
      <c r="DN85" s="442"/>
      <c r="DO85" s="442"/>
      <c r="DP85" s="442"/>
      <c r="DQ85" s="442"/>
      <c r="DR85" s="442"/>
      <c r="DS85" s="442"/>
      <c r="DT85" s="442"/>
      <c r="DU85" s="442"/>
      <c r="DV85" s="442"/>
      <c r="DW85" s="442"/>
      <c r="DX85" s="442"/>
      <c r="DY85" s="442"/>
      <c r="DZ85" s="442"/>
      <c r="EA85" s="442"/>
      <c r="EB85" s="442"/>
      <c r="EC85" s="442"/>
      <c r="ED85" s="442"/>
      <c r="EE85" s="442"/>
      <c r="EF85" s="442"/>
      <c r="EG85" s="442"/>
      <c r="EH85" s="442"/>
      <c r="EI85" s="442"/>
      <c r="EJ85" s="442"/>
      <c r="EK85" s="442"/>
      <c r="EL85" s="442"/>
      <c r="EM85" s="442"/>
      <c r="EN85" s="442"/>
      <c r="EO85" s="442"/>
      <c r="EP85" s="442"/>
    </row>
    <row r="86" spans="2:147" ht="15" hidden="1" customHeight="1" x14ac:dyDescent="0.2">
      <c r="B86" s="442"/>
      <c r="C86" s="442"/>
      <c r="D86" s="442"/>
      <c r="E86" s="442"/>
      <c r="F86" s="442"/>
      <c r="G86" s="442"/>
      <c r="H86" s="442"/>
      <c r="I86" s="442"/>
      <c r="J86" s="442"/>
      <c r="K86" s="442"/>
      <c r="L86" s="442"/>
      <c r="M86" s="442">
        <f t="shared" si="1"/>
        <v>-64240</v>
      </c>
      <c r="N86" s="442">
        <f t="shared" si="1"/>
        <v>0</v>
      </c>
      <c r="O86" s="442">
        <f t="shared" si="1"/>
        <v>0</v>
      </c>
      <c r="P86" s="442">
        <f t="shared" si="1"/>
        <v>0</v>
      </c>
      <c r="Q86" s="442">
        <f t="shared" si="1"/>
        <v>0</v>
      </c>
      <c r="R86" s="442">
        <f t="shared" si="1"/>
        <v>-2070150</v>
      </c>
      <c r="S86" s="442">
        <f t="shared" si="1"/>
        <v>0</v>
      </c>
      <c r="T86" s="442">
        <f t="shared" si="1"/>
        <v>0</v>
      </c>
      <c r="U86" s="442">
        <f t="shared" si="1"/>
        <v>0</v>
      </c>
      <c r="V86" s="442">
        <f t="shared" si="1"/>
        <v>0</v>
      </c>
      <c r="W86" s="442">
        <f t="shared" si="1"/>
        <v>-2901200</v>
      </c>
      <c r="X86" s="442">
        <f t="shared" si="1"/>
        <v>0</v>
      </c>
      <c r="Y86" s="442">
        <f t="shared" si="1"/>
        <v>0</v>
      </c>
      <c r="Z86" s="442">
        <f t="shared" si="1"/>
        <v>0</v>
      </c>
      <c r="AA86" s="442">
        <f t="shared" si="1"/>
        <v>0</v>
      </c>
      <c r="AB86" s="442">
        <f t="shared" si="1"/>
        <v>-1840830</v>
      </c>
      <c r="AC86" s="442">
        <f t="shared" si="1"/>
        <v>0</v>
      </c>
      <c r="AD86" s="442">
        <f t="shared" si="1"/>
        <v>0</v>
      </c>
      <c r="AE86" s="442">
        <f t="shared" si="1"/>
        <v>0</v>
      </c>
      <c r="AF86" s="442">
        <f t="shared" si="1"/>
        <v>0</v>
      </c>
      <c r="AG86" s="442">
        <f t="shared" si="1"/>
        <v>-950000</v>
      </c>
      <c r="AH86" s="442">
        <f t="shared" si="1"/>
        <v>0</v>
      </c>
      <c r="AI86" s="442">
        <f t="shared" si="1"/>
        <v>0</v>
      </c>
      <c r="AJ86" s="442">
        <f t="shared" si="1"/>
        <v>0</v>
      </c>
      <c r="AK86" s="442">
        <f t="shared" si="1"/>
        <v>0</v>
      </c>
      <c r="AL86" s="442">
        <f t="shared" si="1"/>
        <v>-2698800</v>
      </c>
      <c r="AM86" s="442">
        <f t="shared" si="1"/>
        <v>0</v>
      </c>
      <c r="AN86" s="442">
        <f t="shared" si="1"/>
        <v>0</v>
      </c>
      <c r="AO86" s="442">
        <f t="shared" si="1"/>
        <v>0</v>
      </c>
      <c r="AP86" s="442">
        <f t="shared" si="1"/>
        <v>0</v>
      </c>
      <c r="AQ86" s="442">
        <f t="shared" si="1"/>
        <v>3840070</v>
      </c>
      <c r="AR86" s="442">
        <f t="shared" si="1"/>
        <v>0</v>
      </c>
      <c r="AS86" s="442">
        <f t="shared" si="1"/>
        <v>0</v>
      </c>
      <c r="AT86" s="442">
        <f t="shared" si="1"/>
        <v>0</v>
      </c>
      <c r="AU86" s="442">
        <f t="shared" si="1"/>
        <v>0</v>
      </c>
      <c r="AV86" s="442">
        <f t="shared" si="1"/>
        <v>786900</v>
      </c>
      <c r="AW86" s="442">
        <f t="shared" si="1"/>
        <v>0</v>
      </c>
      <c r="AX86" s="442">
        <f t="shared" si="1"/>
        <v>0</v>
      </c>
      <c r="AY86" s="442">
        <f t="shared" si="1"/>
        <v>0</v>
      </c>
      <c r="AZ86" s="442">
        <f t="shared" si="1"/>
        <v>0</v>
      </c>
      <c r="BA86" s="442">
        <f t="shared" si="1"/>
        <v>4877810</v>
      </c>
      <c r="BB86" s="442">
        <f t="shared" si="1"/>
        <v>0</v>
      </c>
      <c r="BC86" s="442">
        <f t="shared" si="1"/>
        <v>0</v>
      </c>
      <c r="BD86" s="442">
        <f t="shared" si="1"/>
        <v>0</v>
      </c>
      <c r="BE86" s="442">
        <f t="shared" si="1"/>
        <v>0</v>
      </c>
      <c r="BF86" s="442">
        <f t="shared" si="1"/>
        <v>4546100</v>
      </c>
      <c r="BG86" s="442">
        <f t="shared" si="1"/>
        <v>0</v>
      </c>
      <c r="BH86" s="442">
        <f t="shared" si="1"/>
        <v>0</v>
      </c>
      <c r="BI86" s="442">
        <f t="shared" si="1"/>
        <v>0</v>
      </c>
      <c r="BJ86" s="442">
        <f t="shared" si="1"/>
        <v>0</v>
      </c>
      <c r="BK86" s="442">
        <f t="shared" si="1"/>
        <v>6099850</v>
      </c>
      <c r="BL86" s="442">
        <f t="shared" si="1"/>
        <v>0</v>
      </c>
      <c r="BM86" s="442">
        <f t="shared" si="1"/>
        <v>0</v>
      </c>
      <c r="BN86" s="442">
        <f t="shared" si="1"/>
        <v>0</v>
      </c>
      <c r="BO86" s="442">
        <f t="shared" si="1"/>
        <v>0</v>
      </c>
      <c r="BP86" s="442">
        <f t="shared" si="1"/>
        <v>1321490</v>
      </c>
      <c r="BQ86" s="442">
        <f t="shared" si="1"/>
        <v>0</v>
      </c>
      <c r="BR86" s="442">
        <f t="shared" si="1"/>
        <v>0</v>
      </c>
      <c r="BS86" s="442">
        <f t="shared" si="1"/>
        <v>0</v>
      </c>
      <c r="BT86" s="442">
        <f t="shared" si="1"/>
        <v>0</v>
      </c>
      <c r="BU86" s="442">
        <f t="shared" si="1"/>
        <v>-2134390</v>
      </c>
      <c r="BV86" s="442"/>
      <c r="BW86" s="442"/>
      <c r="BX86" s="442"/>
      <c r="BY86" s="442"/>
      <c r="BZ86" s="442"/>
      <c r="CA86" s="442"/>
      <c r="CB86" s="442"/>
      <c r="CC86" s="442"/>
      <c r="CD86" s="442"/>
      <c r="CE86" s="442"/>
      <c r="CF86" s="442"/>
      <c r="CG86" s="442"/>
      <c r="CH86" s="442"/>
      <c r="CI86" s="442"/>
      <c r="CJ86" s="442"/>
      <c r="CK86" s="442"/>
      <c r="CL86" s="442"/>
      <c r="CM86" s="442"/>
      <c r="CN86" s="442"/>
      <c r="CO86" s="442"/>
      <c r="CP86" s="442"/>
      <c r="CQ86" s="442"/>
      <c r="CR86" s="442"/>
      <c r="CS86" s="442"/>
      <c r="CT86" s="442"/>
      <c r="CU86" s="442"/>
      <c r="CV86" s="442"/>
      <c r="CW86" s="442"/>
      <c r="CX86" s="442"/>
      <c r="CY86" s="442"/>
      <c r="CZ86" s="442"/>
      <c r="DA86" s="442"/>
      <c r="DB86" s="442"/>
      <c r="DC86" s="442"/>
      <c r="DD86" s="442"/>
      <c r="DE86" s="442"/>
      <c r="DF86" s="442"/>
      <c r="DG86" s="442"/>
      <c r="DH86" s="442"/>
      <c r="DI86" s="442"/>
      <c r="DJ86" s="442"/>
      <c r="DK86" s="442"/>
      <c r="DL86" s="442"/>
      <c r="DM86" s="442"/>
      <c r="DN86" s="442"/>
      <c r="DO86" s="442"/>
      <c r="DP86" s="442"/>
      <c r="DQ86" s="442"/>
      <c r="DR86" s="442"/>
      <c r="DS86" s="442"/>
      <c r="DT86" s="442"/>
      <c r="DU86" s="442"/>
      <c r="DV86" s="442"/>
      <c r="DW86" s="442"/>
      <c r="DX86" s="442"/>
      <c r="DY86" s="442"/>
      <c r="DZ86" s="442"/>
      <c r="EA86" s="442"/>
      <c r="EB86" s="442"/>
      <c r="EC86" s="442"/>
      <c r="ED86" s="442"/>
      <c r="EE86" s="442"/>
      <c r="EF86" s="442"/>
      <c r="EG86" s="442"/>
      <c r="EH86" s="442"/>
      <c r="EI86" s="442"/>
      <c r="EJ86" s="442"/>
      <c r="EK86" s="442"/>
      <c r="EL86" s="442"/>
      <c r="EM86" s="442"/>
      <c r="EN86" s="442"/>
      <c r="EO86" s="442"/>
      <c r="EP86" s="442"/>
    </row>
    <row r="87" spans="2:147" ht="15" hidden="1" customHeight="1" x14ac:dyDescent="0.2">
      <c r="B87" s="442"/>
      <c r="C87" s="442"/>
      <c r="D87" s="442"/>
      <c r="E87" s="442"/>
      <c r="F87" s="442"/>
      <c r="G87" s="442"/>
      <c r="H87" s="442"/>
      <c r="I87" s="442"/>
      <c r="J87" s="442"/>
      <c r="K87" s="442"/>
      <c r="L87" s="442"/>
      <c r="M87" s="442">
        <f t="shared" si="1"/>
        <v>832150</v>
      </c>
      <c r="N87" s="442">
        <f t="shared" si="1"/>
        <v>0</v>
      </c>
      <c r="O87" s="442">
        <f t="shared" si="1"/>
        <v>0</v>
      </c>
      <c r="P87" s="442">
        <f t="shared" si="1"/>
        <v>0</v>
      </c>
      <c r="Q87" s="442">
        <f t="shared" si="1"/>
        <v>0</v>
      </c>
      <c r="R87" s="442">
        <f t="shared" si="1"/>
        <v>3723900</v>
      </c>
      <c r="S87" s="442">
        <f t="shared" si="1"/>
        <v>0</v>
      </c>
      <c r="T87" s="442">
        <f t="shared" si="1"/>
        <v>0</v>
      </c>
      <c r="U87" s="442">
        <f t="shared" si="1"/>
        <v>0</v>
      </c>
      <c r="V87" s="442">
        <f t="shared" si="1"/>
        <v>0</v>
      </c>
      <c r="W87" s="442">
        <f t="shared" si="1"/>
        <v>-3843800</v>
      </c>
      <c r="X87" s="442">
        <f t="shared" ref="X87:BU92" si="2">X17-CP17</f>
        <v>0</v>
      </c>
      <c r="Y87" s="442">
        <f t="shared" si="2"/>
        <v>0</v>
      </c>
      <c r="Z87" s="442">
        <f t="shared" si="2"/>
        <v>0</v>
      </c>
      <c r="AA87" s="442">
        <f t="shared" si="2"/>
        <v>0</v>
      </c>
      <c r="AB87" s="442">
        <f t="shared" si="2"/>
        <v>2062500</v>
      </c>
      <c r="AC87" s="442">
        <f t="shared" si="2"/>
        <v>0</v>
      </c>
      <c r="AD87" s="442">
        <f t="shared" si="2"/>
        <v>0</v>
      </c>
      <c r="AE87" s="442">
        <f t="shared" si="2"/>
        <v>0</v>
      </c>
      <c r="AF87" s="442">
        <f t="shared" si="2"/>
        <v>0</v>
      </c>
      <c r="AG87" s="442">
        <f t="shared" si="2"/>
        <v>-725000</v>
      </c>
      <c r="AH87" s="442">
        <f t="shared" si="2"/>
        <v>0</v>
      </c>
      <c r="AI87" s="442">
        <f t="shared" si="2"/>
        <v>0</v>
      </c>
      <c r="AJ87" s="442">
        <f t="shared" si="2"/>
        <v>0</v>
      </c>
      <c r="AK87" s="442">
        <f t="shared" si="2"/>
        <v>0</v>
      </c>
      <c r="AL87" s="442">
        <f t="shared" si="2"/>
        <v>-2080000</v>
      </c>
      <c r="AM87" s="442">
        <f t="shared" si="2"/>
        <v>0</v>
      </c>
      <c r="AN87" s="442">
        <f t="shared" si="2"/>
        <v>0</v>
      </c>
      <c r="AO87" s="442">
        <f t="shared" si="2"/>
        <v>0</v>
      </c>
      <c r="AP87" s="442">
        <f t="shared" si="2"/>
        <v>0</v>
      </c>
      <c r="AQ87" s="442">
        <f t="shared" si="2"/>
        <v>-1107900</v>
      </c>
      <c r="AR87" s="442">
        <f t="shared" si="2"/>
        <v>0</v>
      </c>
      <c r="AS87" s="442">
        <f t="shared" si="2"/>
        <v>0</v>
      </c>
      <c r="AT87" s="442">
        <f t="shared" si="2"/>
        <v>0</v>
      </c>
      <c r="AU87" s="442">
        <f t="shared" si="2"/>
        <v>0</v>
      </c>
      <c r="AV87" s="442">
        <f t="shared" si="2"/>
        <v>2092100</v>
      </c>
      <c r="AW87" s="442">
        <f t="shared" si="2"/>
        <v>0</v>
      </c>
      <c r="AX87" s="442">
        <f t="shared" si="2"/>
        <v>0</v>
      </c>
      <c r="AY87" s="442">
        <f t="shared" si="2"/>
        <v>0</v>
      </c>
      <c r="AZ87" s="442">
        <f t="shared" si="2"/>
        <v>0</v>
      </c>
      <c r="BA87" s="442">
        <f t="shared" si="2"/>
        <v>2481300</v>
      </c>
      <c r="BB87" s="442">
        <f t="shared" si="2"/>
        <v>0</v>
      </c>
      <c r="BC87" s="442">
        <f t="shared" si="2"/>
        <v>0</v>
      </c>
      <c r="BD87" s="442">
        <f t="shared" si="2"/>
        <v>0</v>
      </c>
      <c r="BE87" s="442">
        <f t="shared" si="2"/>
        <v>0</v>
      </c>
      <c r="BF87" s="442">
        <f t="shared" si="2"/>
        <v>287500</v>
      </c>
      <c r="BG87" s="442">
        <f t="shared" si="2"/>
        <v>0</v>
      </c>
      <c r="BH87" s="442">
        <f t="shared" si="2"/>
        <v>0</v>
      </c>
      <c r="BI87" s="442">
        <f t="shared" si="2"/>
        <v>0</v>
      </c>
      <c r="BJ87" s="442">
        <f t="shared" si="2"/>
        <v>0</v>
      </c>
      <c r="BK87" s="442">
        <f t="shared" si="2"/>
        <v>1005000</v>
      </c>
      <c r="BL87" s="442">
        <f t="shared" si="2"/>
        <v>0</v>
      </c>
      <c r="BM87" s="442">
        <f t="shared" si="2"/>
        <v>0</v>
      </c>
      <c r="BN87" s="442">
        <f t="shared" si="2"/>
        <v>0</v>
      </c>
      <c r="BO87" s="442">
        <f t="shared" si="2"/>
        <v>0</v>
      </c>
      <c r="BP87" s="442">
        <f t="shared" si="2"/>
        <v>2206000</v>
      </c>
      <c r="BQ87" s="442">
        <f t="shared" si="2"/>
        <v>0</v>
      </c>
      <c r="BR87" s="442">
        <f t="shared" si="2"/>
        <v>0</v>
      </c>
      <c r="BS87" s="442">
        <f t="shared" si="2"/>
        <v>0</v>
      </c>
      <c r="BT87" s="442">
        <f t="shared" si="2"/>
        <v>0</v>
      </c>
      <c r="BU87" s="442">
        <f t="shared" si="2"/>
        <v>4556050</v>
      </c>
      <c r="BV87" s="442"/>
      <c r="BW87" s="442"/>
      <c r="BX87" s="442"/>
      <c r="BY87" s="442"/>
      <c r="BZ87" s="442"/>
      <c r="CA87" s="442"/>
      <c r="CB87" s="442"/>
      <c r="CC87" s="442"/>
      <c r="CD87" s="442"/>
      <c r="CE87" s="442"/>
      <c r="CF87" s="442"/>
      <c r="CG87" s="442"/>
      <c r="CH87" s="442"/>
      <c r="CI87" s="442"/>
      <c r="CJ87" s="442"/>
      <c r="CK87" s="442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442"/>
      <c r="DH87" s="442"/>
      <c r="DI87" s="442"/>
      <c r="DJ87" s="442"/>
      <c r="DK87" s="442"/>
      <c r="DL87" s="442"/>
      <c r="DM87" s="442"/>
      <c r="DN87" s="442"/>
      <c r="DO87" s="442"/>
      <c r="DP87" s="442"/>
      <c r="DQ87" s="442"/>
      <c r="DR87" s="442"/>
      <c r="DS87" s="442"/>
      <c r="DT87" s="442"/>
      <c r="DU87" s="442"/>
      <c r="DV87" s="442"/>
      <c r="DW87" s="442"/>
      <c r="DX87" s="442"/>
      <c r="DY87" s="442"/>
      <c r="DZ87" s="442"/>
      <c r="EA87" s="442"/>
      <c r="EB87" s="442"/>
      <c r="EC87" s="442"/>
      <c r="ED87" s="442"/>
      <c r="EE87" s="442"/>
      <c r="EF87" s="442"/>
      <c r="EG87" s="442"/>
      <c r="EH87" s="442"/>
      <c r="EI87" s="442"/>
      <c r="EJ87" s="442"/>
      <c r="EK87" s="442"/>
      <c r="EL87" s="442"/>
      <c r="EM87" s="442"/>
      <c r="EN87" s="442"/>
      <c r="EO87" s="442"/>
      <c r="EP87" s="442"/>
    </row>
    <row r="88" spans="2:147" hidden="1" x14ac:dyDescent="0.2">
      <c r="M88" s="442">
        <f t="shared" ref="M88:AB96" si="3">M18-CE18</f>
        <v>-1063460</v>
      </c>
      <c r="N88" s="442">
        <f t="shared" si="3"/>
        <v>0</v>
      </c>
      <c r="O88" s="442">
        <f t="shared" si="3"/>
        <v>0</v>
      </c>
      <c r="P88" s="442">
        <f t="shared" si="3"/>
        <v>0</v>
      </c>
      <c r="Q88" s="442">
        <f t="shared" si="3"/>
        <v>0</v>
      </c>
      <c r="R88" s="442">
        <f t="shared" si="3"/>
        <v>-2104400</v>
      </c>
      <c r="S88" s="442">
        <f t="shared" si="3"/>
        <v>0</v>
      </c>
      <c r="T88" s="442">
        <f t="shared" si="3"/>
        <v>0</v>
      </c>
      <c r="U88" s="442">
        <f t="shared" si="3"/>
        <v>0</v>
      </c>
      <c r="V88" s="442">
        <f t="shared" si="3"/>
        <v>0</v>
      </c>
      <c r="W88" s="442">
        <f t="shared" si="3"/>
        <v>-2070000</v>
      </c>
      <c r="X88" s="442">
        <f t="shared" si="2"/>
        <v>0</v>
      </c>
      <c r="Y88" s="442">
        <f t="shared" si="2"/>
        <v>0</v>
      </c>
      <c r="Z88" s="442">
        <f t="shared" si="2"/>
        <v>0</v>
      </c>
      <c r="AA88" s="442">
        <f t="shared" si="2"/>
        <v>0</v>
      </c>
      <c r="AB88" s="442">
        <f t="shared" si="2"/>
        <v>-1500</v>
      </c>
      <c r="AC88" s="442">
        <f t="shared" si="2"/>
        <v>0</v>
      </c>
      <c r="AD88" s="442">
        <f t="shared" si="2"/>
        <v>0</v>
      </c>
      <c r="AE88" s="442">
        <f t="shared" si="2"/>
        <v>0</v>
      </c>
      <c r="AF88" s="442">
        <f t="shared" si="2"/>
        <v>0</v>
      </c>
      <c r="AG88" s="442">
        <f t="shared" si="2"/>
        <v>-1752500</v>
      </c>
      <c r="AH88" s="442">
        <f t="shared" si="2"/>
        <v>0</v>
      </c>
      <c r="AI88" s="442">
        <f t="shared" si="2"/>
        <v>0</v>
      </c>
      <c r="AJ88" s="442">
        <f t="shared" si="2"/>
        <v>0</v>
      </c>
      <c r="AK88" s="442">
        <f t="shared" si="2"/>
        <v>0</v>
      </c>
      <c r="AL88" s="442">
        <f t="shared" si="2"/>
        <v>-1409500</v>
      </c>
      <c r="AM88" s="442">
        <f t="shared" si="2"/>
        <v>0</v>
      </c>
      <c r="AN88" s="442">
        <f t="shared" si="2"/>
        <v>0</v>
      </c>
      <c r="AO88" s="442">
        <f t="shared" si="2"/>
        <v>0</v>
      </c>
      <c r="AP88" s="442">
        <f t="shared" si="2"/>
        <v>0</v>
      </c>
      <c r="AQ88" s="442">
        <f t="shared" si="2"/>
        <v>-3058400</v>
      </c>
      <c r="AR88" s="442">
        <f t="shared" si="2"/>
        <v>0</v>
      </c>
      <c r="AS88" s="442">
        <f t="shared" si="2"/>
        <v>0</v>
      </c>
      <c r="AT88" s="442">
        <f t="shared" si="2"/>
        <v>0</v>
      </c>
      <c r="AU88" s="442">
        <f t="shared" si="2"/>
        <v>0</v>
      </c>
      <c r="AV88" s="442">
        <f t="shared" si="2"/>
        <v>-2220000</v>
      </c>
      <c r="AW88" s="442">
        <f t="shared" si="2"/>
        <v>0</v>
      </c>
      <c r="AX88" s="442">
        <f t="shared" si="2"/>
        <v>0</v>
      </c>
      <c r="AY88" s="442">
        <f t="shared" si="2"/>
        <v>0</v>
      </c>
      <c r="AZ88" s="442">
        <f t="shared" si="2"/>
        <v>0</v>
      </c>
      <c r="BA88" s="442">
        <f t="shared" si="2"/>
        <v>-748700</v>
      </c>
      <c r="BB88" s="442">
        <f t="shared" si="2"/>
        <v>0</v>
      </c>
      <c r="BC88" s="442">
        <f t="shared" si="2"/>
        <v>0</v>
      </c>
      <c r="BD88" s="442">
        <f t="shared" si="2"/>
        <v>0</v>
      </c>
      <c r="BE88" s="442">
        <f t="shared" si="2"/>
        <v>0</v>
      </c>
      <c r="BF88" s="442">
        <f t="shared" si="2"/>
        <v>2073560</v>
      </c>
      <c r="BG88" s="442">
        <f t="shared" si="2"/>
        <v>0</v>
      </c>
      <c r="BH88" s="442">
        <f t="shared" si="2"/>
        <v>0</v>
      </c>
      <c r="BI88" s="442">
        <f t="shared" si="2"/>
        <v>0</v>
      </c>
      <c r="BJ88" s="442">
        <f t="shared" si="2"/>
        <v>0</v>
      </c>
      <c r="BK88" s="442">
        <f t="shared" si="2"/>
        <v>1449200</v>
      </c>
      <c r="BL88" s="442">
        <f t="shared" si="2"/>
        <v>0</v>
      </c>
      <c r="BM88" s="442">
        <f t="shared" si="2"/>
        <v>0</v>
      </c>
      <c r="BN88" s="442">
        <f t="shared" si="2"/>
        <v>0</v>
      </c>
      <c r="BO88" s="442">
        <f t="shared" si="2"/>
        <v>0</v>
      </c>
      <c r="BP88" s="442">
        <f t="shared" si="2"/>
        <v>2320000</v>
      </c>
      <c r="BQ88" s="442">
        <f t="shared" si="2"/>
        <v>0</v>
      </c>
      <c r="BR88" s="442">
        <f t="shared" si="2"/>
        <v>0</v>
      </c>
      <c r="BS88" s="442">
        <f t="shared" si="2"/>
        <v>0</v>
      </c>
      <c r="BT88" s="442">
        <f t="shared" si="2"/>
        <v>0</v>
      </c>
      <c r="BU88" s="442">
        <f t="shared" si="2"/>
        <v>-3167860</v>
      </c>
      <c r="BV88" s="442"/>
      <c r="BW88" s="442"/>
      <c r="BX88" s="442"/>
      <c r="BY88" s="442"/>
      <c r="BZ88" s="442"/>
    </row>
    <row r="89" spans="2:147" hidden="1" x14ac:dyDescent="0.2">
      <c r="M89" s="442">
        <f t="shared" si="3"/>
        <v>-1188450</v>
      </c>
      <c r="N89" s="442">
        <f t="shared" si="3"/>
        <v>0</v>
      </c>
      <c r="O89" s="442">
        <f t="shared" si="3"/>
        <v>0</v>
      </c>
      <c r="P89" s="442">
        <f t="shared" si="3"/>
        <v>0</v>
      </c>
      <c r="Q89" s="442">
        <f t="shared" si="3"/>
        <v>0</v>
      </c>
      <c r="R89" s="442">
        <f t="shared" si="3"/>
        <v>-4154000</v>
      </c>
      <c r="S89" s="442">
        <f t="shared" si="3"/>
        <v>0</v>
      </c>
      <c r="T89" s="442">
        <f t="shared" si="3"/>
        <v>0</v>
      </c>
      <c r="U89" s="442">
        <f t="shared" si="3"/>
        <v>0</v>
      </c>
      <c r="V89" s="442">
        <f t="shared" si="3"/>
        <v>0</v>
      </c>
      <c r="W89" s="442">
        <f t="shared" si="3"/>
        <v>-3890000</v>
      </c>
      <c r="X89" s="442">
        <f t="shared" si="2"/>
        <v>0</v>
      </c>
      <c r="Y89" s="442">
        <f t="shared" si="2"/>
        <v>0</v>
      </c>
      <c r="Z89" s="442">
        <f t="shared" si="2"/>
        <v>0</v>
      </c>
      <c r="AA89" s="442">
        <f t="shared" si="2"/>
        <v>0</v>
      </c>
      <c r="AB89" s="442">
        <f t="shared" si="2"/>
        <v>-4384680</v>
      </c>
      <c r="AC89" s="442">
        <f t="shared" si="2"/>
        <v>0</v>
      </c>
      <c r="AD89" s="442">
        <f t="shared" si="2"/>
        <v>0</v>
      </c>
      <c r="AE89" s="442">
        <f t="shared" si="2"/>
        <v>0</v>
      </c>
      <c r="AF89" s="442">
        <f t="shared" si="2"/>
        <v>0</v>
      </c>
      <c r="AG89" s="442">
        <f t="shared" si="2"/>
        <v>-3265500</v>
      </c>
      <c r="AH89" s="442">
        <f t="shared" si="2"/>
        <v>0</v>
      </c>
      <c r="AI89" s="442">
        <f t="shared" si="2"/>
        <v>0</v>
      </c>
      <c r="AJ89" s="442">
        <f t="shared" si="2"/>
        <v>0</v>
      </c>
      <c r="AK89" s="442">
        <f t="shared" si="2"/>
        <v>0</v>
      </c>
      <c r="AL89" s="442">
        <f t="shared" si="2"/>
        <v>-1810000</v>
      </c>
      <c r="AM89" s="442">
        <f t="shared" si="2"/>
        <v>0</v>
      </c>
      <c r="AN89" s="442">
        <f t="shared" si="2"/>
        <v>0</v>
      </c>
      <c r="AO89" s="442">
        <f t="shared" si="2"/>
        <v>0</v>
      </c>
      <c r="AP89" s="442">
        <f t="shared" si="2"/>
        <v>0</v>
      </c>
      <c r="AQ89" s="442">
        <f t="shared" si="2"/>
        <v>-3426500</v>
      </c>
      <c r="AR89" s="442">
        <f t="shared" si="2"/>
        <v>0</v>
      </c>
      <c r="AS89" s="442">
        <f t="shared" si="2"/>
        <v>0</v>
      </c>
      <c r="AT89" s="442">
        <f t="shared" si="2"/>
        <v>0</v>
      </c>
      <c r="AU89" s="442">
        <f t="shared" si="2"/>
        <v>0</v>
      </c>
      <c r="AV89" s="442">
        <f t="shared" si="2"/>
        <v>-1960000</v>
      </c>
      <c r="AW89" s="442">
        <f t="shared" si="2"/>
        <v>0</v>
      </c>
      <c r="AX89" s="442">
        <f t="shared" si="2"/>
        <v>0</v>
      </c>
      <c r="AY89" s="442">
        <f t="shared" si="2"/>
        <v>0</v>
      </c>
      <c r="AZ89" s="442">
        <f t="shared" si="2"/>
        <v>0</v>
      </c>
      <c r="BA89" s="442">
        <f t="shared" si="2"/>
        <v>-398000</v>
      </c>
      <c r="BB89" s="442">
        <f t="shared" si="2"/>
        <v>0</v>
      </c>
      <c r="BC89" s="442">
        <f t="shared" si="2"/>
        <v>0</v>
      </c>
      <c r="BD89" s="442">
        <f t="shared" si="2"/>
        <v>0</v>
      </c>
      <c r="BE89" s="442">
        <f t="shared" si="2"/>
        <v>0</v>
      </c>
      <c r="BF89" s="442">
        <f t="shared" si="2"/>
        <v>1150000</v>
      </c>
      <c r="BG89" s="442">
        <f t="shared" si="2"/>
        <v>0</v>
      </c>
      <c r="BH89" s="442">
        <f t="shared" si="2"/>
        <v>0</v>
      </c>
      <c r="BI89" s="442">
        <f t="shared" si="2"/>
        <v>0</v>
      </c>
      <c r="BJ89" s="442">
        <f t="shared" si="2"/>
        <v>0</v>
      </c>
      <c r="BK89" s="442">
        <f t="shared" si="2"/>
        <v>920000</v>
      </c>
      <c r="BL89" s="442">
        <f t="shared" si="2"/>
        <v>0</v>
      </c>
      <c r="BM89" s="442">
        <f t="shared" si="2"/>
        <v>0</v>
      </c>
      <c r="BN89" s="442">
        <f t="shared" si="2"/>
        <v>0</v>
      </c>
      <c r="BO89" s="442">
        <f t="shared" si="2"/>
        <v>0</v>
      </c>
      <c r="BP89" s="442">
        <f t="shared" si="2"/>
        <v>920000</v>
      </c>
      <c r="BQ89" s="442">
        <f t="shared" si="2"/>
        <v>0</v>
      </c>
      <c r="BR89" s="442">
        <f t="shared" si="2"/>
        <v>0</v>
      </c>
      <c r="BS89" s="442">
        <f t="shared" si="2"/>
        <v>0</v>
      </c>
      <c r="BT89" s="442">
        <f t="shared" si="2"/>
        <v>0</v>
      </c>
      <c r="BU89" s="442">
        <f t="shared" si="2"/>
        <v>-5342450</v>
      </c>
      <c r="BV89" s="442"/>
      <c r="BW89" s="442"/>
      <c r="BX89" s="442"/>
      <c r="BY89" s="442"/>
      <c r="BZ89" s="442"/>
    </row>
    <row r="90" spans="2:147" hidden="1" x14ac:dyDescent="0.2">
      <c r="M90" s="442">
        <f t="shared" si="3"/>
        <v>0</v>
      </c>
      <c r="N90" s="442">
        <f t="shared" si="3"/>
        <v>0</v>
      </c>
      <c r="O90" s="442">
        <f t="shared" si="3"/>
        <v>0</v>
      </c>
      <c r="P90" s="442">
        <f t="shared" si="3"/>
        <v>0</v>
      </c>
      <c r="Q90" s="442">
        <f t="shared" si="3"/>
        <v>0</v>
      </c>
      <c r="R90" s="442">
        <f t="shared" si="3"/>
        <v>0</v>
      </c>
      <c r="S90" s="442">
        <f t="shared" si="3"/>
        <v>0</v>
      </c>
      <c r="T90" s="442">
        <f t="shared" si="3"/>
        <v>0</v>
      </c>
      <c r="U90" s="442">
        <f t="shared" si="3"/>
        <v>0</v>
      </c>
      <c r="V90" s="442">
        <f t="shared" si="3"/>
        <v>0</v>
      </c>
      <c r="W90" s="442">
        <f t="shared" si="3"/>
        <v>0</v>
      </c>
      <c r="X90" s="442">
        <f t="shared" si="2"/>
        <v>0</v>
      </c>
      <c r="Y90" s="442">
        <f t="shared" si="2"/>
        <v>0</v>
      </c>
      <c r="Z90" s="442">
        <f t="shared" si="2"/>
        <v>0</v>
      </c>
      <c r="AA90" s="442">
        <f t="shared" si="2"/>
        <v>0</v>
      </c>
      <c r="AB90" s="442">
        <f t="shared" si="2"/>
        <v>0</v>
      </c>
      <c r="AC90" s="442">
        <f t="shared" si="2"/>
        <v>0</v>
      </c>
      <c r="AD90" s="442">
        <f t="shared" si="2"/>
        <v>0</v>
      </c>
      <c r="AE90" s="442">
        <f t="shared" si="2"/>
        <v>0</v>
      </c>
      <c r="AF90" s="442">
        <f t="shared" si="2"/>
        <v>0</v>
      </c>
      <c r="AG90" s="442">
        <f t="shared" si="2"/>
        <v>0</v>
      </c>
      <c r="AH90" s="442">
        <f t="shared" si="2"/>
        <v>0</v>
      </c>
      <c r="AI90" s="442">
        <f t="shared" si="2"/>
        <v>0</v>
      </c>
      <c r="AJ90" s="442">
        <f t="shared" si="2"/>
        <v>0</v>
      </c>
      <c r="AK90" s="442">
        <f t="shared" si="2"/>
        <v>0</v>
      </c>
      <c r="AL90" s="442">
        <f t="shared" si="2"/>
        <v>0</v>
      </c>
      <c r="AM90" s="442">
        <f t="shared" si="2"/>
        <v>0</v>
      </c>
      <c r="AN90" s="442">
        <f t="shared" si="2"/>
        <v>0</v>
      </c>
      <c r="AO90" s="442">
        <f t="shared" si="2"/>
        <v>0</v>
      </c>
      <c r="AP90" s="442">
        <f t="shared" si="2"/>
        <v>0</v>
      </c>
      <c r="AQ90" s="442">
        <f t="shared" si="2"/>
        <v>0</v>
      </c>
      <c r="AR90" s="442">
        <f t="shared" si="2"/>
        <v>0</v>
      </c>
      <c r="AS90" s="442">
        <f t="shared" si="2"/>
        <v>0</v>
      </c>
      <c r="AT90" s="442">
        <f t="shared" si="2"/>
        <v>0</v>
      </c>
      <c r="AU90" s="442">
        <f t="shared" si="2"/>
        <v>0</v>
      </c>
      <c r="AV90" s="442">
        <f t="shared" si="2"/>
        <v>0</v>
      </c>
      <c r="AW90" s="442">
        <f t="shared" si="2"/>
        <v>0</v>
      </c>
      <c r="AX90" s="442">
        <f t="shared" si="2"/>
        <v>0</v>
      </c>
      <c r="AY90" s="442">
        <f t="shared" si="2"/>
        <v>0</v>
      </c>
      <c r="AZ90" s="442">
        <f t="shared" si="2"/>
        <v>0</v>
      </c>
      <c r="BA90" s="442">
        <f t="shared" si="2"/>
        <v>0</v>
      </c>
      <c r="BB90" s="442">
        <f t="shared" si="2"/>
        <v>0</v>
      </c>
      <c r="BC90" s="442">
        <f t="shared" si="2"/>
        <v>0</v>
      </c>
      <c r="BD90" s="442">
        <f t="shared" si="2"/>
        <v>0</v>
      </c>
      <c r="BE90" s="442">
        <f t="shared" si="2"/>
        <v>0</v>
      </c>
      <c r="BF90" s="442">
        <f t="shared" si="2"/>
        <v>0</v>
      </c>
      <c r="BG90" s="442">
        <f t="shared" si="2"/>
        <v>0</v>
      </c>
      <c r="BH90" s="442">
        <f t="shared" si="2"/>
        <v>0</v>
      </c>
      <c r="BI90" s="442">
        <f t="shared" si="2"/>
        <v>0</v>
      </c>
      <c r="BJ90" s="442">
        <f t="shared" si="2"/>
        <v>0</v>
      </c>
      <c r="BK90" s="442">
        <f t="shared" si="2"/>
        <v>0</v>
      </c>
      <c r="BL90" s="442">
        <f t="shared" si="2"/>
        <v>0</v>
      </c>
      <c r="BM90" s="442">
        <f t="shared" si="2"/>
        <v>0</v>
      </c>
      <c r="BN90" s="442">
        <f t="shared" si="2"/>
        <v>0</v>
      </c>
      <c r="BO90" s="442">
        <f t="shared" si="2"/>
        <v>0</v>
      </c>
      <c r="BP90" s="442">
        <f t="shared" si="2"/>
        <v>0</v>
      </c>
      <c r="BQ90" s="442">
        <f t="shared" si="2"/>
        <v>0</v>
      </c>
      <c r="BR90" s="442">
        <f t="shared" si="2"/>
        <v>0</v>
      </c>
      <c r="BS90" s="442">
        <f t="shared" si="2"/>
        <v>0</v>
      </c>
      <c r="BT90" s="442">
        <f t="shared" si="2"/>
        <v>0</v>
      </c>
      <c r="BU90" s="442">
        <f t="shared" si="2"/>
        <v>0</v>
      </c>
      <c r="BV90" s="442"/>
      <c r="BW90" s="442"/>
      <c r="BX90" s="442"/>
      <c r="BY90" s="442"/>
      <c r="BZ90" s="442"/>
    </row>
    <row r="91" spans="2:147" hidden="1" x14ac:dyDescent="0.2">
      <c r="M91" s="442">
        <f t="shared" si="3"/>
        <v>6977593</v>
      </c>
      <c r="N91" s="442">
        <f t="shared" si="3"/>
        <v>0</v>
      </c>
      <c r="O91" s="442">
        <f t="shared" si="3"/>
        <v>0</v>
      </c>
      <c r="P91" s="442">
        <f t="shared" si="3"/>
        <v>0</v>
      </c>
      <c r="Q91" s="442">
        <f t="shared" si="3"/>
        <v>0</v>
      </c>
      <c r="R91" s="442">
        <f t="shared" si="3"/>
        <v>8354341</v>
      </c>
      <c r="S91" s="442">
        <f t="shared" si="3"/>
        <v>0</v>
      </c>
      <c r="T91" s="442">
        <f t="shared" si="3"/>
        <v>0</v>
      </c>
      <c r="U91" s="442">
        <f t="shared" si="3"/>
        <v>0</v>
      </c>
      <c r="V91" s="442">
        <f t="shared" si="3"/>
        <v>0</v>
      </c>
      <c r="W91" s="442">
        <f t="shared" si="3"/>
        <v>-8940154</v>
      </c>
      <c r="X91" s="442">
        <f t="shared" si="2"/>
        <v>0</v>
      </c>
      <c r="Y91" s="442">
        <f t="shared" si="2"/>
        <v>0</v>
      </c>
      <c r="Z91" s="442">
        <f t="shared" si="2"/>
        <v>0</v>
      </c>
      <c r="AA91" s="442">
        <f t="shared" si="2"/>
        <v>0</v>
      </c>
      <c r="AB91" s="442">
        <f t="shared" si="2"/>
        <v>-223044</v>
      </c>
      <c r="AC91" s="442">
        <f t="shared" si="2"/>
        <v>0</v>
      </c>
      <c r="AD91" s="442">
        <f t="shared" si="2"/>
        <v>0</v>
      </c>
      <c r="AE91" s="442">
        <f t="shared" si="2"/>
        <v>0</v>
      </c>
      <c r="AF91" s="442">
        <f t="shared" si="2"/>
        <v>0</v>
      </c>
      <c r="AG91" s="442">
        <f t="shared" si="2"/>
        <v>-3920091</v>
      </c>
      <c r="AH91" s="442">
        <f t="shared" si="2"/>
        <v>0</v>
      </c>
      <c r="AI91" s="442">
        <f t="shared" si="2"/>
        <v>0</v>
      </c>
      <c r="AJ91" s="442">
        <f t="shared" si="2"/>
        <v>0</v>
      </c>
      <c r="AK91" s="442">
        <f t="shared" si="2"/>
        <v>0</v>
      </c>
      <c r="AL91" s="442">
        <f t="shared" si="2"/>
        <v>25322180</v>
      </c>
      <c r="AM91" s="442">
        <f t="shared" si="2"/>
        <v>0</v>
      </c>
      <c r="AN91" s="442">
        <f t="shared" si="2"/>
        <v>0</v>
      </c>
      <c r="AO91" s="442">
        <f t="shared" si="2"/>
        <v>0</v>
      </c>
      <c r="AP91" s="442">
        <f t="shared" si="2"/>
        <v>0</v>
      </c>
      <c r="AQ91" s="442">
        <f t="shared" si="2"/>
        <v>-4025693</v>
      </c>
      <c r="AR91" s="442">
        <f t="shared" si="2"/>
        <v>0</v>
      </c>
      <c r="AS91" s="442">
        <f t="shared" si="2"/>
        <v>0</v>
      </c>
      <c r="AT91" s="442">
        <f t="shared" si="2"/>
        <v>0</v>
      </c>
      <c r="AU91" s="442">
        <f t="shared" si="2"/>
        <v>0</v>
      </c>
      <c r="AV91" s="442">
        <f t="shared" si="2"/>
        <v>-4825860</v>
      </c>
      <c r="AW91" s="442">
        <f t="shared" si="2"/>
        <v>0</v>
      </c>
      <c r="AX91" s="442">
        <f t="shared" si="2"/>
        <v>0</v>
      </c>
      <c r="AY91" s="442">
        <f t="shared" si="2"/>
        <v>0</v>
      </c>
      <c r="AZ91" s="442">
        <f t="shared" si="2"/>
        <v>0</v>
      </c>
      <c r="BA91" s="442">
        <f t="shared" si="2"/>
        <v>10295609</v>
      </c>
      <c r="BB91" s="442">
        <f t="shared" si="2"/>
        <v>0</v>
      </c>
      <c r="BC91" s="442">
        <f t="shared" si="2"/>
        <v>0</v>
      </c>
      <c r="BD91" s="442">
        <f t="shared" si="2"/>
        <v>0</v>
      </c>
      <c r="BE91" s="442">
        <f t="shared" si="2"/>
        <v>0</v>
      </c>
      <c r="BF91" s="442">
        <f t="shared" si="2"/>
        <v>-21308011</v>
      </c>
      <c r="BG91" s="442">
        <f t="shared" si="2"/>
        <v>0</v>
      </c>
      <c r="BH91" s="442">
        <f t="shared" si="2"/>
        <v>0</v>
      </c>
      <c r="BI91" s="442">
        <f t="shared" si="2"/>
        <v>0</v>
      </c>
      <c r="BJ91" s="442">
        <f t="shared" si="2"/>
        <v>0</v>
      </c>
      <c r="BK91" s="442">
        <f t="shared" si="2"/>
        <v>-6973911</v>
      </c>
      <c r="BL91" s="442">
        <f t="shared" si="2"/>
        <v>0</v>
      </c>
      <c r="BM91" s="442">
        <f t="shared" si="2"/>
        <v>0</v>
      </c>
      <c r="BN91" s="442">
        <f t="shared" si="2"/>
        <v>0</v>
      </c>
      <c r="BO91" s="442">
        <f t="shared" si="2"/>
        <v>0</v>
      </c>
      <c r="BP91" s="442">
        <f t="shared" si="2"/>
        <v>29089926</v>
      </c>
      <c r="BQ91" s="442">
        <f t="shared" si="2"/>
        <v>0</v>
      </c>
      <c r="BR91" s="442">
        <f t="shared" si="2"/>
        <v>0</v>
      </c>
      <c r="BS91" s="442">
        <f t="shared" si="2"/>
        <v>0</v>
      </c>
      <c r="BT91" s="442">
        <f t="shared" si="2"/>
        <v>0</v>
      </c>
      <c r="BU91" s="442">
        <f t="shared" si="2"/>
        <v>15331934</v>
      </c>
      <c r="BV91" s="442"/>
      <c r="BW91" s="442"/>
      <c r="BX91" s="442"/>
      <c r="BY91" s="442"/>
      <c r="BZ91" s="442"/>
    </row>
    <row r="92" spans="2:147" hidden="1" x14ac:dyDescent="0.2">
      <c r="M92" s="442">
        <f t="shared" si="3"/>
        <v>0</v>
      </c>
      <c r="N92" s="442">
        <f t="shared" si="3"/>
        <v>0</v>
      </c>
      <c r="O92" s="442">
        <f t="shared" si="3"/>
        <v>0</v>
      </c>
      <c r="P92" s="442">
        <f t="shared" si="3"/>
        <v>0</v>
      </c>
      <c r="Q92" s="442">
        <f t="shared" si="3"/>
        <v>0</v>
      </c>
      <c r="R92" s="442">
        <f t="shared" si="3"/>
        <v>0</v>
      </c>
      <c r="S92" s="442">
        <f t="shared" si="3"/>
        <v>0</v>
      </c>
      <c r="T92" s="442">
        <f t="shared" si="3"/>
        <v>0</v>
      </c>
      <c r="U92" s="442">
        <f t="shared" si="3"/>
        <v>0</v>
      </c>
      <c r="V92" s="442">
        <f t="shared" si="3"/>
        <v>0</v>
      </c>
      <c r="W92" s="442">
        <f t="shared" si="3"/>
        <v>0</v>
      </c>
      <c r="X92" s="442">
        <f t="shared" si="2"/>
        <v>0</v>
      </c>
      <c r="Y92" s="442">
        <f t="shared" si="2"/>
        <v>0</v>
      </c>
      <c r="Z92" s="442">
        <f t="shared" si="2"/>
        <v>0</v>
      </c>
      <c r="AA92" s="442">
        <f t="shared" si="2"/>
        <v>0</v>
      </c>
      <c r="AB92" s="442">
        <f t="shared" si="2"/>
        <v>0</v>
      </c>
      <c r="AC92" s="442">
        <f t="shared" ref="AC92:BU96" si="4">AC22-CU22</f>
        <v>0</v>
      </c>
      <c r="AD92" s="442">
        <f t="shared" si="4"/>
        <v>0</v>
      </c>
      <c r="AE92" s="442">
        <f t="shared" si="4"/>
        <v>0</v>
      </c>
      <c r="AF92" s="442">
        <f t="shared" si="4"/>
        <v>0</v>
      </c>
      <c r="AG92" s="442">
        <f t="shared" si="4"/>
        <v>0</v>
      </c>
      <c r="AH92" s="442">
        <f t="shared" si="4"/>
        <v>0</v>
      </c>
      <c r="AI92" s="442">
        <f t="shared" si="4"/>
        <v>0</v>
      </c>
      <c r="AJ92" s="442">
        <f t="shared" si="4"/>
        <v>0</v>
      </c>
      <c r="AK92" s="442">
        <f t="shared" si="4"/>
        <v>0</v>
      </c>
      <c r="AL92" s="442">
        <f t="shared" si="4"/>
        <v>0</v>
      </c>
      <c r="AM92" s="442">
        <f t="shared" si="4"/>
        <v>0</v>
      </c>
      <c r="AN92" s="442">
        <f t="shared" si="4"/>
        <v>0</v>
      </c>
      <c r="AO92" s="442">
        <f t="shared" si="4"/>
        <v>0</v>
      </c>
      <c r="AP92" s="442">
        <f t="shared" si="4"/>
        <v>0</v>
      </c>
      <c r="AQ92" s="442">
        <f t="shared" si="4"/>
        <v>0</v>
      </c>
      <c r="AR92" s="442">
        <f t="shared" si="4"/>
        <v>0</v>
      </c>
      <c r="AS92" s="442">
        <f t="shared" si="4"/>
        <v>0</v>
      </c>
      <c r="AT92" s="442">
        <f t="shared" si="4"/>
        <v>0</v>
      </c>
      <c r="AU92" s="442">
        <f t="shared" si="4"/>
        <v>0</v>
      </c>
      <c r="AV92" s="442">
        <f t="shared" si="4"/>
        <v>0</v>
      </c>
      <c r="AW92" s="442">
        <f t="shared" si="4"/>
        <v>0</v>
      </c>
      <c r="AX92" s="442">
        <f t="shared" si="4"/>
        <v>0</v>
      </c>
      <c r="AY92" s="442">
        <f t="shared" si="4"/>
        <v>0</v>
      </c>
      <c r="AZ92" s="442">
        <f t="shared" si="4"/>
        <v>0</v>
      </c>
      <c r="BA92" s="442">
        <f t="shared" si="4"/>
        <v>0</v>
      </c>
      <c r="BB92" s="442">
        <f t="shared" si="4"/>
        <v>0</v>
      </c>
      <c r="BC92" s="442">
        <f t="shared" si="4"/>
        <v>0</v>
      </c>
      <c r="BD92" s="442">
        <f t="shared" si="4"/>
        <v>0</v>
      </c>
      <c r="BE92" s="442">
        <f t="shared" si="4"/>
        <v>0</v>
      </c>
      <c r="BF92" s="442">
        <f t="shared" si="4"/>
        <v>0</v>
      </c>
      <c r="BG92" s="442">
        <f t="shared" si="4"/>
        <v>0</v>
      </c>
      <c r="BH92" s="442">
        <f t="shared" si="4"/>
        <v>0</v>
      </c>
      <c r="BI92" s="442">
        <f t="shared" si="4"/>
        <v>0</v>
      </c>
      <c r="BJ92" s="442">
        <f t="shared" si="4"/>
        <v>0</v>
      </c>
      <c r="BK92" s="442">
        <f t="shared" si="4"/>
        <v>0</v>
      </c>
      <c r="BL92" s="442">
        <f t="shared" si="4"/>
        <v>0</v>
      </c>
      <c r="BM92" s="442">
        <f t="shared" si="4"/>
        <v>0</v>
      </c>
      <c r="BN92" s="442">
        <f t="shared" si="4"/>
        <v>0</v>
      </c>
      <c r="BO92" s="442">
        <f t="shared" si="4"/>
        <v>0</v>
      </c>
      <c r="BP92" s="442">
        <f t="shared" si="4"/>
        <v>0</v>
      </c>
      <c r="BQ92" s="442">
        <f t="shared" si="4"/>
        <v>0</v>
      </c>
      <c r="BR92" s="442">
        <f t="shared" si="4"/>
        <v>0</v>
      </c>
      <c r="BS92" s="442">
        <f t="shared" si="4"/>
        <v>0</v>
      </c>
      <c r="BT92" s="442">
        <f t="shared" si="4"/>
        <v>0</v>
      </c>
      <c r="BU92" s="442">
        <f t="shared" si="4"/>
        <v>0</v>
      </c>
      <c r="BV92" s="442"/>
      <c r="BW92" s="442"/>
      <c r="BX92" s="442"/>
      <c r="BY92" s="442"/>
      <c r="BZ92" s="442"/>
    </row>
    <row r="93" spans="2:147" hidden="1" x14ac:dyDescent="0.2">
      <c r="M93" s="442">
        <f t="shared" si="3"/>
        <v>13716303</v>
      </c>
      <c r="N93" s="442">
        <f t="shared" si="3"/>
        <v>0</v>
      </c>
      <c r="O93" s="442">
        <f t="shared" si="3"/>
        <v>0</v>
      </c>
      <c r="P93" s="442">
        <f t="shared" si="3"/>
        <v>0</v>
      </c>
      <c r="Q93" s="442">
        <f t="shared" si="3"/>
        <v>0</v>
      </c>
      <c r="R93" s="442">
        <f t="shared" si="3"/>
        <v>16255001.743999995</v>
      </c>
      <c r="S93" s="442">
        <f t="shared" si="3"/>
        <v>0</v>
      </c>
      <c r="T93" s="442">
        <f t="shared" si="3"/>
        <v>0</v>
      </c>
      <c r="U93" s="442">
        <f t="shared" si="3"/>
        <v>0</v>
      </c>
      <c r="V93" s="442">
        <f t="shared" si="3"/>
        <v>0</v>
      </c>
      <c r="W93" s="442">
        <f t="shared" si="3"/>
        <v>-19205091</v>
      </c>
      <c r="X93" s="442">
        <f t="shared" si="3"/>
        <v>0</v>
      </c>
      <c r="Y93" s="442">
        <f t="shared" si="3"/>
        <v>0</v>
      </c>
      <c r="Z93" s="442">
        <f t="shared" si="3"/>
        <v>0</v>
      </c>
      <c r="AA93" s="442">
        <f t="shared" si="3"/>
        <v>0</v>
      </c>
      <c r="AB93" s="442">
        <f t="shared" si="3"/>
        <v>-22800224</v>
      </c>
      <c r="AC93" s="442">
        <f t="shared" si="4"/>
        <v>0</v>
      </c>
      <c r="AD93" s="442">
        <f t="shared" si="4"/>
        <v>0</v>
      </c>
      <c r="AE93" s="442">
        <f t="shared" si="4"/>
        <v>0</v>
      </c>
      <c r="AF93" s="442">
        <f t="shared" si="4"/>
        <v>0</v>
      </c>
      <c r="AG93" s="442">
        <f t="shared" si="4"/>
        <v>-28165310</v>
      </c>
      <c r="AH93" s="442">
        <f t="shared" si="4"/>
        <v>0</v>
      </c>
      <c r="AI93" s="442">
        <f t="shared" si="4"/>
        <v>0</v>
      </c>
      <c r="AJ93" s="442">
        <f t="shared" si="4"/>
        <v>0</v>
      </c>
      <c r="AK93" s="442">
        <f t="shared" si="4"/>
        <v>0</v>
      </c>
      <c r="AL93" s="442">
        <f t="shared" si="4"/>
        <v>-29107369</v>
      </c>
      <c r="AM93" s="442">
        <f t="shared" si="4"/>
        <v>0</v>
      </c>
      <c r="AN93" s="442">
        <f t="shared" si="4"/>
        <v>0</v>
      </c>
      <c r="AO93" s="442">
        <f t="shared" si="4"/>
        <v>0</v>
      </c>
      <c r="AP93" s="442">
        <f t="shared" si="4"/>
        <v>0</v>
      </c>
      <c r="AQ93" s="442">
        <f t="shared" si="4"/>
        <v>-30927020</v>
      </c>
      <c r="AR93" s="442">
        <f t="shared" si="4"/>
        <v>0</v>
      </c>
      <c r="AS93" s="442">
        <f t="shared" si="4"/>
        <v>0</v>
      </c>
      <c r="AT93" s="442">
        <f t="shared" si="4"/>
        <v>0</v>
      </c>
      <c r="AU93" s="442">
        <f t="shared" si="4"/>
        <v>0</v>
      </c>
      <c r="AV93" s="442">
        <f t="shared" si="4"/>
        <v>-30718792</v>
      </c>
      <c r="AW93" s="442">
        <f t="shared" si="4"/>
        <v>0</v>
      </c>
      <c r="AX93" s="442">
        <f t="shared" si="4"/>
        <v>0</v>
      </c>
      <c r="AY93" s="442">
        <f t="shared" si="4"/>
        <v>0</v>
      </c>
      <c r="AZ93" s="442">
        <f t="shared" si="4"/>
        <v>0</v>
      </c>
      <c r="BA93" s="442">
        <f t="shared" si="4"/>
        <v>-23853310</v>
      </c>
      <c r="BB93" s="442">
        <f t="shared" si="4"/>
        <v>0</v>
      </c>
      <c r="BC93" s="442">
        <f t="shared" si="4"/>
        <v>0</v>
      </c>
      <c r="BD93" s="442">
        <f t="shared" si="4"/>
        <v>0</v>
      </c>
      <c r="BE93" s="442">
        <f t="shared" si="4"/>
        <v>0</v>
      </c>
      <c r="BF93" s="442">
        <f t="shared" si="4"/>
        <v>-3150815</v>
      </c>
      <c r="BG93" s="442">
        <f t="shared" si="4"/>
        <v>0</v>
      </c>
      <c r="BH93" s="442">
        <f t="shared" si="4"/>
        <v>0</v>
      </c>
      <c r="BI93" s="442">
        <f t="shared" si="4"/>
        <v>0</v>
      </c>
      <c r="BJ93" s="442">
        <f t="shared" si="4"/>
        <v>0</v>
      </c>
      <c r="BK93" s="442">
        <f t="shared" si="4"/>
        <v>-29159155</v>
      </c>
      <c r="BL93" s="442">
        <f t="shared" si="4"/>
        <v>0</v>
      </c>
      <c r="BM93" s="442">
        <f t="shared" si="4"/>
        <v>0</v>
      </c>
      <c r="BN93" s="442">
        <f t="shared" si="4"/>
        <v>0</v>
      </c>
      <c r="BO93" s="442">
        <f t="shared" si="4"/>
        <v>0</v>
      </c>
      <c r="BP93" s="442">
        <f t="shared" si="4"/>
        <v>-25417050</v>
      </c>
      <c r="BQ93" s="442">
        <f t="shared" si="4"/>
        <v>0</v>
      </c>
      <c r="BR93" s="442">
        <f t="shared" si="4"/>
        <v>0</v>
      </c>
      <c r="BS93" s="442">
        <f t="shared" si="4"/>
        <v>0</v>
      </c>
      <c r="BT93" s="442">
        <f t="shared" si="4"/>
        <v>0</v>
      </c>
      <c r="BU93" s="442">
        <f t="shared" si="4"/>
        <v>29971304.744000003</v>
      </c>
      <c r="BV93" s="442"/>
      <c r="BW93" s="442"/>
      <c r="BX93" s="442"/>
      <c r="BY93" s="442"/>
      <c r="BZ93" s="442"/>
    </row>
    <row r="94" spans="2:147" hidden="1" x14ac:dyDescent="0.2">
      <c r="M94" s="442">
        <f t="shared" si="3"/>
        <v>13716303</v>
      </c>
      <c r="N94" s="442">
        <f t="shared" si="3"/>
        <v>0</v>
      </c>
      <c r="O94" s="442">
        <f t="shared" si="3"/>
        <v>0</v>
      </c>
      <c r="P94" s="442">
        <f t="shared" si="3"/>
        <v>0</v>
      </c>
      <c r="Q94" s="442">
        <f t="shared" si="3"/>
        <v>0</v>
      </c>
      <c r="R94" s="442">
        <f t="shared" si="3"/>
        <v>15965711.743999995</v>
      </c>
      <c r="S94" s="442">
        <f t="shared" si="3"/>
        <v>0</v>
      </c>
      <c r="T94" s="442">
        <f t="shared" si="3"/>
        <v>0</v>
      </c>
      <c r="U94" s="442">
        <f t="shared" si="3"/>
        <v>0</v>
      </c>
      <c r="V94" s="442">
        <f t="shared" si="3"/>
        <v>0</v>
      </c>
      <c r="W94" s="442">
        <f t="shared" si="3"/>
        <v>-19205091</v>
      </c>
      <c r="X94" s="442">
        <f t="shared" si="3"/>
        <v>0</v>
      </c>
      <c r="Y94" s="442">
        <f t="shared" si="3"/>
        <v>0</v>
      </c>
      <c r="Z94" s="442">
        <f t="shared" si="3"/>
        <v>0</v>
      </c>
      <c r="AA94" s="442">
        <f t="shared" si="3"/>
        <v>0</v>
      </c>
      <c r="AB94" s="442">
        <f t="shared" si="3"/>
        <v>-22800224</v>
      </c>
      <c r="AC94" s="442">
        <f t="shared" si="4"/>
        <v>0</v>
      </c>
      <c r="AD94" s="442">
        <f t="shared" si="4"/>
        <v>0</v>
      </c>
      <c r="AE94" s="442">
        <f t="shared" si="4"/>
        <v>0</v>
      </c>
      <c r="AF94" s="442">
        <f t="shared" si="4"/>
        <v>0</v>
      </c>
      <c r="AG94" s="442">
        <f t="shared" si="4"/>
        <v>-28165310</v>
      </c>
      <c r="AH94" s="442">
        <f t="shared" si="4"/>
        <v>0</v>
      </c>
      <c r="AI94" s="442">
        <f t="shared" si="4"/>
        <v>0</v>
      </c>
      <c r="AJ94" s="442">
        <f t="shared" si="4"/>
        <v>0</v>
      </c>
      <c r="AK94" s="442">
        <f t="shared" si="4"/>
        <v>0</v>
      </c>
      <c r="AL94" s="442">
        <f t="shared" si="4"/>
        <v>-29107369</v>
      </c>
      <c r="AM94" s="442">
        <f t="shared" si="4"/>
        <v>0</v>
      </c>
      <c r="AN94" s="442">
        <f t="shared" si="4"/>
        <v>0</v>
      </c>
      <c r="AO94" s="442">
        <f t="shared" si="4"/>
        <v>0</v>
      </c>
      <c r="AP94" s="442">
        <f t="shared" si="4"/>
        <v>0</v>
      </c>
      <c r="AQ94" s="442">
        <f t="shared" si="4"/>
        <v>-30927020</v>
      </c>
      <c r="AR94" s="442">
        <f t="shared" si="4"/>
        <v>0</v>
      </c>
      <c r="AS94" s="442">
        <f t="shared" si="4"/>
        <v>0</v>
      </c>
      <c r="AT94" s="442">
        <f t="shared" si="4"/>
        <v>0</v>
      </c>
      <c r="AU94" s="442">
        <f t="shared" si="4"/>
        <v>0</v>
      </c>
      <c r="AV94" s="442">
        <f t="shared" si="4"/>
        <v>-30718792</v>
      </c>
      <c r="AW94" s="442">
        <f t="shared" si="4"/>
        <v>0</v>
      </c>
      <c r="AX94" s="442">
        <f t="shared" si="4"/>
        <v>0</v>
      </c>
      <c r="AY94" s="442">
        <f t="shared" si="4"/>
        <v>0</v>
      </c>
      <c r="AZ94" s="442">
        <f t="shared" si="4"/>
        <v>0</v>
      </c>
      <c r="BA94" s="442">
        <f t="shared" si="4"/>
        <v>-23853310</v>
      </c>
      <c r="BB94" s="442">
        <f t="shared" si="4"/>
        <v>0</v>
      </c>
      <c r="BC94" s="442">
        <f t="shared" si="4"/>
        <v>0</v>
      </c>
      <c r="BD94" s="442">
        <f t="shared" si="4"/>
        <v>0</v>
      </c>
      <c r="BE94" s="442">
        <f t="shared" si="4"/>
        <v>0</v>
      </c>
      <c r="BF94" s="442">
        <f t="shared" si="4"/>
        <v>-3150815</v>
      </c>
      <c r="BG94" s="442">
        <f t="shared" si="4"/>
        <v>0</v>
      </c>
      <c r="BH94" s="442">
        <f t="shared" si="4"/>
        <v>0</v>
      </c>
      <c r="BI94" s="442">
        <f t="shared" si="4"/>
        <v>0</v>
      </c>
      <c r="BJ94" s="442">
        <f t="shared" si="4"/>
        <v>0</v>
      </c>
      <c r="BK94" s="442">
        <f t="shared" si="4"/>
        <v>-29159155</v>
      </c>
      <c r="BL94" s="442">
        <f t="shared" si="4"/>
        <v>0</v>
      </c>
      <c r="BM94" s="442">
        <f t="shared" si="4"/>
        <v>0</v>
      </c>
      <c r="BN94" s="442">
        <f t="shared" si="4"/>
        <v>0</v>
      </c>
      <c r="BO94" s="442">
        <f t="shared" si="4"/>
        <v>0</v>
      </c>
      <c r="BP94" s="442">
        <f t="shared" si="4"/>
        <v>-25417050</v>
      </c>
      <c r="BQ94" s="442">
        <f t="shared" si="4"/>
        <v>0</v>
      </c>
      <c r="BR94" s="442">
        <f t="shared" si="4"/>
        <v>0</v>
      </c>
      <c r="BS94" s="442">
        <f t="shared" si="4"/>
        <v>0</v>
      </c>
      <c r="BT94" s="442">
        <f t="shared" si="4"/>
        <v>0</v>
      </c>
      <c r="BU94" s="442">
        <f t="shared" si="4"/>
        <v>29682014.744000003</v>
      </c>
      <c r="BV94" s="442"/>
      <c r="BW94" s="442"/>
      <c r="BX94" s="442"/>
      <c r="BY94" s="442"/>
      <c r="BZ94" s="442"/>
      <c r="EQ94" s="53"/>
    </row>
    <row r="95" spans="2:147" hidden="1" x14ac:dyDescent="0.2">
      <c r="M95" s="442">
        <f t="shared" si="3"/>
        <v>17624743</v>
      </c>
      <c r="N95" s="442">
        <f t="shared" si="3"/>
        <v>0</v>
      </c>
      <c r="O95" s="442">
        <f t="shared" si="3"/>
        <v>0</v>
      </c>
      <c r="P95" s="442">
        <f t="shared" si="3"/>
        <v>0</v>
      </c>
      <c r="Q95" s="442">
        <f t="shared" si="3"/>
        <v>0</v>
      </c>
      <c r="R95" s="442">
        <f t="shared" si="3"/>
        <v>18452036.743999995</v>
      </c>
      <c r="S95" s="442">
        <f t="shared" si="3"/>
        <v>0</v>
      </c>
      <c r="T95" s="442">
        <f t="shared" si="3"/>
        <v>0</v>
      </c>
      <c r="U95" s="442">
        <f t="shared" si="3"/>
        <v>0</v>
      </c>
      <c r="V95" s="442">
        <f t="shared" si="3"/>
        <v>0</v>
      </c>
      <c r="W95" s="442">
        <f t="shared" si="3"/>
        <v>-21124207</v>
      </c>
      <c r="X95" s="442">
        <f t="shared" si="3"/>
        <v>0</v>
      </c>
      <c r="Y95" s="442">
        <f t="shared" si="3"/>
        <v>0</v>
      </c>
      <c r="Z95" s="442">
        <f t="shared" si="3"/>
        <v>0</v>
      </c>
      <c r="AA95" s="442">
        <f t="shared" si="3"/>
        <v>0</v>
      </c>
      <c r="AB95" s="442">
        <f t="shared" si="3"/>
        <v>-24760828</v>
      </c>
      <c r="AC95" s="442">
        <f t="shared" si="4"/>
        <v>0</v>
      </c>
      <c r="AD95" s="442">
        <f t="shared" si="4"/>
        <v>0</v>
      </c>
      <c r="AE95" s="442">
        <f t="shared" si="4"/>
        <v>0</v>
      </c>
      <c r="AF95" s="442">
        <f t="shared" si="4"/>
        <v>0</v>
      </c>
      <c r="AG95" s="442">
        <f t="shared" si="4"/>
        <v>-30904734</v>
      </c>
      <c r="AH95" s="442">
        <f t="shared" si="4"/>
        <v>0</v>
      </c>
      <c r="AI95" s="442">
        <f t="shared" si="4"/>
        <v>0</v>
      </c>
      <c r="AJ95" s="442">
        <f t="shared" si="4"/>
        <v>0</v>
      </c>
      <c r="AK95" s="442">
        <f t="shared" si="4"/>
        <v>0</v>
      </c>
      <c r="AL95" s="442">
        <f t="shared" si="4"/>
        <v>-32089447</v>
      </c>
      <c r="AM95" s="442">
        <f t="shared" si="4"/>
        <v>0</v>
      </c>
      <c r="AN95" s="442">
        <f t="shared" si="4"/>
        <v>0</v>
      </c>
      <c r="AO95" s="442">
        <f t="shared" si="4"/>
        <v>0</v>
      </c>
      <c r="AP95" s="442">
        <f t="shared" si="4"/>
        <v>0</v>
      </c>
      <c r="AQ95" s="442">
        <f t="shared" si="4"/>
        <v>-33970885</v>
      </c>
      <c r="AR95" s="442">
        <f t="shared" si="4"/>
        <v>0</v>
      </c>
      <c r="AS95" s="442">
        <f t="shared" si="4"/>
        <v>0</v>
      </c>
      <c r="AT95" s="442">
        <f t="shared" si="4"/>
        <v>0</v>
      </c>
      <c r="AU95" s="442">
        <f t="shared" si="4"/>
        <v>0</v>
      </c>
      <c r="AV95" s="442">
        <f t="shared" si="4"/>
        <v>-34588835</v>
      </c>
      <c r="AW95" s="442">
        <f t="shared" si="4"/>
        <v>0</v>
      </c>
      <c r="AX95" s="442">
        <f t="shared" si="4"/>
        <v>0</v>
      </c>
      <c r="AY95" s="442">
        <f t="shared" si="4"/>
        <v>0</v>
      </c>
      <c r="AZ95" s="442">
        <f t="shared" si="4"/>
        <v>0</v>
      </c>
      <c r="BA95" s="442">
        <f t="shared" si="4"/>
        <v>-26476333</v>
      </c>
      <c r="BB95" s="442">
        <f t="shared" si="4"/>
        <v>0</v>
      </c>
      <c r="BC95" s="442">
        <f t="shared" si="4"/>
        <v>0</v>
      </c>
      <c r="BD95" s="442">
        <f t="shared" si="4"/>
        <v>0</v>
      </c>
      <c r="BE95" s="442">
        <f t="shared" si="4"/>
        <v>0</v>
      </c>
      <c r="BF95" s="442">
        <f t="shared" si="4"/>
        <v>-21562772</v>
      </c>
      <c r="BG95" s="442">
        <f t="shared" si="4"/>
        <v>0</v>
      </c>
      <c r="BH95" s="442">
        <f t="shared" si="4"/>
        <v>0</v>
      </c>
      <c r="BI95" s="442">
        <f t="shared" si="4"/>
        <v>0</v>
      </c>
      <c r="BJ95" s="442">
        <f t="shared" si="4"/>
        <v>0</v>
      </c>
      <c r="BK95" s="442">
        <f t="shared" si="4"/>
        <v>-32267535</v>
      </c>
      <c r="BL95" s="442">
        <f t="shared" si="4"/>
        <v>0</v>
      </c>
      <c r="BM95" s="442">
        <f t="shared" si="4"/>
        <v>0</v>
      </c>
      <c r="BN95" s="442">
        <f t="shared" si="4"/>
        <v>0</v>
      </c>
      <c r="BO95" s="442">
        <f t="shared" si="4"/>
        <v>0</v>
      </c>
      <c r="BP95" s="442">
        <f t="shared" si="4"/>
        <v>-30466846</v>
      </c>
      <c r="BQ95" s="442">
        <f t="shared" si="4"/>
        <v>0</v>
      </c>
      <c r="BR95" s="442">
        <f t="shared" si="4"/>
        <v>0</v>
      </c>
      <c r="BS95" s="442">
        <f t="shared" si="4"/>
        <v>0</v>
      </c>
      <c r="BT95" s="442">
        <f t="shared" si="4"/>
        <v>0</v>
      </c>
      <c r="BU95" s="442">
        <f t="shared" si="4"/>
        <v>36076779.744000003</v>
      </c>
      <c r="BV95" s="442"/>
      <c r="BW95" s="442"/>
      <c r="EQ95" s="53"/>
    </row>
    <row r="96" spans="2:147" hidden="1" x14ac:dyDescent="0.2">
      <c r="M96" s="442">
        <f t="shared" si="3"/>
        <v>-3042815</v>
      </c>
      <c r="N96" s="442">
        <f t="shared" si="3"/>
        <v>0</v>
      </c>
      <c r="O96" s="442">
        <f t="shared" si="3"/>
        <v>0</v>
      </c>
      <c r="P96" s="442">
        <f t="shared" si="3"/>
        <v>0</v>
      </c>
      <c r="Q96" s="442">
        <f t="shared" si="3"/>
        <v>0</v>
      </c>
      <c r="R96" s="442">
        <f t="shared" si="3"/>
        <v>-2405672</v>
      </c>
      <c r="S96" s="442">
        <f t="shared" si="3"/>
        <v>0</v>
      </c>
      <c r="T96" s="442">
        <f t="shared" si="3"/>
        <v>0</v>
      </c>
      <c r="U96" s="442">
        <f t="shared" si="3"/>
        <v>0</v>
      </c>
      <c r="V96" s="442">
        <f t="shared" si="3"/>
        <v>0</v>
      </c>
      <c r="W96" s="442">
        <f t="shared" si="3"/>
        <v>1668026</v>
      </c>
      <c r="X96" s="442">
        <f t="shared" si="3"/>
        <v>0</v>
      </c>
      <c r="Y96" s="442">
        <f t="shared" si="3"/>
        <v>0</v>
      </c>
      <c r="Z96" s="442">
        <f t="shared" si="3"/>
        <v>0</v>
      </c>
      <c r="AA96" s="442">
        <f t="shared" si="3"/>
        <v>0</v>
      </c>
      <c r="AB96" s="442">
        <f t="shared" si="3"/>
        <v>1721005</v>
      </c>
      <c r="AC96" s="442">
        <f t="shared" si="4"/>
        <v>0</v>
      </c>
      <c r="AD96" s="442">
        <f t="shared" si="4"/>
        <v>0</v>
      </c>
      <c r="AE96" s="442">
        <f t="shared" si="4"/>
        <v>0</v>
      </c>
      <c r="AF96" s="442">
        <f t="shared" si="4"/>
        <v>0</v>
      </c>
      <c r="AG96" s="442">
        <f t="shared" si="4"/>
        <v>2422421</v>
      </c>
      <c r="AH96" s="442">
        <f t="shared" si="4"/>
        <v>0</v>
      </c>
      <c r="AI96" s="442">
        <f t="shared" si="4"/>
        <v>0</v>
      </c>
      <c r="AJ96" s="442">
        <f t="shared" si="4"/>
        <v>0</v>
      </c>
      <c r="AK96" s="442">
        <f t="shared" si="4"/>
        <v>0</v>
      </c>
      <c r="AL96" s="442">
        <f t="shared" si="4"/>
        <v>2517677</v>
      </c>
      <c r="AM96" s="442">
        <f t="shared" si="4"/>
        <v>0</v>
      </c>
      <c r="AN96" s="442">
        <f t="shared" si="4"/>
        <v>0</v>
      </c>
      <c r="AO96" s="442">
        <f t="shared" si="4"/>
        <v>0</v>
      </c>
      <c r="AP96" s="442">
        <f t="shared" si="4"/>
        <v>0</v>
      </c>
      <c r="AQ96" s="442">
        <f t="shared" si="4"/>
        <v>2852893</v>
      </c>
      <c r="AR96" s="442">
        <f t="shared" si="4"/>
        <v>0</v>
      </c>
      <c r="AS96" s="442">
        <f t="shared" si="4"/>
        <v>0</v>
      </c>
      <c r="AT96" s="442">
        <f t="shared" si="4"/>
        <v>0</v>
      </c>
      <c r="AU96" s="442">
        <f t="shared" si="4"/>
        <v>0</v>
      </c>
      <c r="AV96" s="442">
        <f t="shared" si="4"/>
        <v>3497342</v>
      </c>
      <c r="AW96" s="442">
        <f t="shared" si="4"/>
        <v>0</v>
      </c>
      <c r="AX96" s="442">
        <f t="shared" si="4"/>
        <v>0</v>
      </c>
      <c r="AY96" s="442">
        <f t="shared" si="4"/>
        <v>0</v>
      </c>
      <c r="AZ96" s="442">
        <f t="shared" si="4"/>
        <v>0</v>
      </c>
      <c r="BA96" s="442">
        <f t="shared" si="4"/>
        <v>2287072</v>
      </c>
      <c r="BB96" s="442">
        <f t="shared" si="4"/>
        <v>0</v>
      </c>
      <c r="BC96" s="442">
        <f t="shared" si="4"/>
        <v>0</v>
      </c>
      <c r="BD96" s="442">
        <f t="shared" si="4"/>
        <v>0</v>
      </c>
      <c r="BE96" s="442">
        <f t="shared" si="4"/>
        <v>0</v>
      </c>
      <c r="BF96" s="442">
        <f t="shared" si="4"/>
        <v>2282238</v>
      </c>
      <c r="BG96" s="442">
        <f t="shared" si="4"/>
        <v>0</v>
      </c>
      <c r="BH96" s="442">
        <f t="shared" si="4"/>
        <v>0</v>
      </c>
      <c r="BI96" s="442">
        <f t="shared" si="4"/>
        <v>0</v>
      </c>
      <c r="BJ96" s="442">
        <f t="shared" si="4"/>
        <v>0</v>
      </c>
      <c r="BK96" s="442">
        <f t="shared" si="4"/>
        <v>2868557</v>
      </c>
      <c r="BL96" s="442">
        <f t="shared" si="4"/>
        <v>0</v>
      </c>
      <c r="BM96" s="442">
        <f t="shared" si="4"/>
        <v>0</v>
      </c>
      <c r="BN96" s="442">
        <f t="shared" si="4"/>
        <v>0</v>
      </c>
      <c r="BO96" s="442">
        <f t="shared" si="4"/>
        <v>0</v>
      </c>
      <c r="BP96" s="442">
        <f t="shared" si="4"/>
        <v>4752306</v>
      </c>
      <c r="BQ96" s="442">
        <f t="shared" si="4"/>
        <v>0</v>
      </c>
      <c r="BR96" s="442">
        <f t="shared" si="4"/>
        <v>0</v>
      </c>
      <c r="BS96" s="442">
        <f t="shared" si="4"/>
        <v>0</v>
      </c>
      <c r="BT96" s="442">
        <f t="shared" si="4"/>
        <v>0</v>
      </c>
      <c r="BU96" s="442">
        <f t="shared" si="4"/>
        <v>-5448487</v>
      </c>
      <c r="BV96" s="442"/>
      <c r="BW96" s="442">
        <f>-[12]domredemp!BV98</f>
        <v>0</v>
      </c>
      <c r="EQ96" s="53"/>
    </row>
    <row r="97" spans="13:147" hidden="1" x14ac:dyDescent="0.2">
      <c r="M97" s="442" t="e">
        <f>#REF!-#REF!</f>
        <v>#REF!</v>
      </c>
      <c r="N97" s="442" t="e">
        <f>#REF!-#REF!</f>
        <v>#REF!</v>
      </c>
      <c r="O97" s="442" t="e">
        <f>#REF!-#REF!</f>
        <v>#REF!</v>
      </c>
      <c r="P97" s="442" t="e">
        <f>#REF!-#REF!</f>
        <v>#REF!</v>
      </c>
      <c r="Q97" s="442" t="e">
        <f>#REF!-#REF!</f>
        <v>#REF!</v>
      </c>
      <c r="R97" s="442" t="e">
        <f>#REF!-#REF!</f>
        <v>#REF!</v>
      </c>
      <c r="S97" s="442" t="e">
        <f>#REF!-#REF!</f>
        <v>#REF!</v>
      </c>
      <c r="T97" s="442" t="e">
        <f>#REF!-#REF!</f>
        <v>#REF!</v>
      </c>
      <c r="U97" s="442" t="e">
        <f>#REF!-#REF!</f>
        <v>#REF!</v>
      </c>
      <c r="V97" s="442" t="e">
        <f>#REF!-#REF!</f>
        <v>#REF!</v>
      </c>
      <c r="W97" s="442" t="e">
        <f>#REF!-#REF!</f>
        <v>#REF!</v>
      </c>
      <c r="X97" s="442" t="e">
        <f>#REF!-#REF!</f>
        <v>#REF!</v>
      </c>
      <c r="Y97" s="442" t="e">
        <f>#REF!-#REF!</f>
        <v>#REF!</v>
      </c>
      <c r="Z97" s="442" t="e">
        <f>#REF!-#REF!</f>
        <v>#REF!</v>
      </c>
      <c r="AA97" s="442" t="e">
        <f>#REF!-#REF!</f>
        <v>#REF!</v>
      </c>
      <c r="AB97" s="442" t="e">
        <f>#REF!-#REF!</f>
        <v>#REF!</v>
      </c>
      <c r="AC97" s="442" t="e">
        <f>#REF!-#REF!</f>
        <v>#REF!</v>
      </c>
      <c r="AD97" s="442" t="e">
        <f>#REF!-#REF!</f>
        <v>#REF!</v>
      </c>
      <c r="AE97" s="442" t="e">
        <f>#REF!-#REF!</f>
        <v>#REF!</v>
      </c>
      <c r="AF97" s="442" t="e">
        <f>#REF!-#REF!</f>
        <v>#REF!</v>
      </c>
      <c r="AG97" s="442" t="e">
        <f>#REF!-#REF!</f>
        <v>#REF!</v>
      </c>
      <c r="AH97" s="442" t="e">
        <f>#REF!-#REF!</f>
        <v>#REF!</v>
      </c>
      <c r="AI97" s="442" t="e">
        <f>#REF!-#REF!</f>
        <v>#REF!</v>
      </c>
      <c r="AJ97" s="442" t="e">
        <f>#REF!-#REF!</f>
        <v>#REF!</v>
      </c>
      <c r="AK97" s="442" t="e">
        <f>#REF!-#REF!</f>
        <v>#REF!</v>
      </c>
      <c r="AL97" s="442" t="e">
        <f>#REF!-#REF!</f>
        <v>#REF!</v>
      </c>
      <c r="AM97" s="442" t="e">
        <f>#REF!-#REF!</f>
        <v>#REF!</v>
      </c>
      <c r="AN97" s="442" t="e">
        <f>#REF!-#REF!</f>
        <v>#REF!</v>
      </c>
      <c r="AO97" s="442" t="e">
        <f>#REF!-#REF!</f>
        <v>#REF!</v>
      </c>
      <c r="AP97" s="442" t="e">
        <f>#REF!-#REF!</f>
        <v>#REF!</v>
      </c>
      <c r="AQ97" s="442" t="e">
        <f>#REF!-#REF!</f>
        <v>#REF!</v>
      </c>
      <c r="AR97" s="442" t="e">
        <f>#REF!-#REF!</f>
        <v>#REF!</v>
      </c>
      <c r="AS97" s="442" t="e">
        <f>#REF!-#REF!</f>
        <v>#REF!</v>
      </c>
      <c r="AT97" s="442" t="e">
        <f>#REF!-#REF!</f>
        <v>#REF!</v>
      </c>
      <c r="AU97" s="442" t="e">
        <f>#REF!-#REF!</f>
        <v>#REF!</v>
      </c>
      <c r="AV97" s="442" t="e">
        <f>#REF!-#REF!</f>
        <v>#REF!</v>
      </c>
      <c r="AW97" s="442" t="e">
        <f>#REF!-#REF!</f>
        <v>#REF!</v>
      </c>
      <c r="AX97" s="442" t="e">
        <f>#REF!-#REF!</f>
        <v>#REF!</v>
      </c>
      <c r="AY97" s="442" t="e">
        <f>#REF!-#REF!</f>
        <v>#REF!</v>
      </c>
      <c r="AZ97" s="442" t="e">
        <f>#REF!-#REF!</f>
        <v>#REF!</v>
      </c>
      <c r="BA97" s="442" t="e">
        <f>#REF!-#REF!</f>
        <v>#REF!</v>
      </c>
      <c r="BB97" s="442" t="e">
        <f>#REF!-#REF!</f>
        <v>#REF!</v>
      </c>
      <c r="BC97" s="442" t="e">
        <f>#REF!-#REF!</f>
        <v>#REF!</v>
      </c>
      <c r="BD97" s="442" t="e">
        <f>#REF!-#REF!</f>
        <v>#REF!</v>
      </c>
      <c r="BE97" s="442" t="e">
        <f>#REF!-#REF!</f>
        <v>#REF!</v>
      </c>
      <c r="BF97" s="442" t="e">
        <f>#REF!-#REF!</f>
        <v>#REF!</v>
      </c>
      <c r="BG97" s="442" t="e">
        <f>#REF!-#REF!</f>
        <v>#REF!</v>
      </c>
      <c r="BH97" s="442" t="e">
        <f>#REF!-#REF!</f>
        <v>#REF!</v>
      </c>
      <c r="BI97" s="442" t="e">
        <f>#REF!-#REF!</f>
        <v>#REF!</v>
      </c>
      <c r="BJ97" s="442" t="e">
        <f>#REF!-#REF!</f>
        <v>#REF!</v>
      </c>
      <c r="BK97" s="442" t="e">
        <f>#REF!-#REF!</f>
        <v>#REF!</v>
      </c>
      <c r="BL97" s="442" t="e">
        <f>#REF!-#REF!</f>
        <v>#REF!</v>
      </c>
      <c r="BM97" s="442" t="e">
        <f>#REF!-#REF!</f>
        <v>#REF!</v>
      </c>
      <c r="BN97" s="442" t="e">
        <f>#REF!-#REF!</f>
        <v>#REF!</v>
      </c>
      <c r="BO97" s="442" t="e">
        <f>#REF!-#REF!</f>
        <v>#REF!</v>
      </c>
      <c r="BP97" s="442" t="e">
        <f>#REF!-#REF!</f>
        <v>#REF!</v>
      </c>
      <c r="BQ97" s="442" t="e">
        <f>#REF!-#REF!</f>
        <v>#REF!</v>
      </c>
      <c r="BR97" s="442" t="e">
        <f>#REF!-#REF!</f>
        <v>#REF!</v>
      </c>
      <c r="BS97" s="442" t="e">
        <f>#REF!-#REF!</f>
        <v>#REF!</v>
      </c>
      <c r="BT97" s="442" t="e">
        <f>#REF!-#REF!</f>
        <v>#REF!</v>
      </c>
      <c r="BU97" s="442" t="e">
        <f>#REF!-#REF!</f>
        <v>#REF!</v>
      </c>
      <c r="BV97" s="442"/>
      <c r="BW97" s="442">
        <f>-[12]domredemp!BV101+[12]domredemp!BV211</f>
        <v>0</v>
      </c>
      <c r="EQ97" s="53"/>
    </row>
    <row r="98" spans="13:147" hidden="1" x14ac:dyDescent="0.2">
      <c r="M98" s="442">
        <f t="shared" ref="M98:BU102" si="5">M27-CE27</f>
        <v>-865625</v>
      </c>
      <c r="N98" s="442">
        <f t="shared" si="5"/>
        <v>0</v>
      </c>
      <c r="O98" s="442">
        <f t="shared" si="5"/>
        <v>0</v>
      </c>
      <c r="P98" s="442">
        <f t="shared" si="5"/>
        <v>0</v>
      </c>
      <c r="Q98" s="442">
        <f t="shared" si="5"/>
        <v>0</v>
      </c>
      <c r="R98" s="442">
        <f t="shared" si="5"/>
        <v>-80653</v>
      </c>
      <c r="S98" s="442">
        <f t="shared" si="5"/>
        <v>0</v>
      </c>
      <c r="T98" s="442">
        <f t="shared" si="5"/>
        <v>0</v>
      </c>
      <c r="U98" s="442">
        <f t="shared" si="5"/>
        <v>0</v>
      </c>
      <c r="V98" s="442">
        <f t="shared" si="5"/>
        <v>0</v>
      </c>
      <c r="W98" s="442">
        <f t="shared" si="5"/>
        <v>251090</v>
      </c>
      <c r="X98" s="442">
        <f t="shared" si="5"/>
        <v>0</v>
      </c>
      <c r="Y98" s="442">
        <f t="shared" si="5"/>
        <v>0</v>
      </c>
      <c r="Z98" s="442">
        <f t="shared" si="5"/>
        <v>0</v>
      </c>
      <c r="AA98" s="442">
        <f t="shared" si="5"/>
        <v>0</v>
      </c>
      <c r="AB98" s="442">
        <f t="shared" si="5"/>
        <v>239599</v>
      </c>
      <c r="AC98" s="442">
        <f t="shared" si="5"/>
        <v>0</v>
      </c>
      <c r="AD98" s="442">
        <f t="shared" si="5"/>
        <v>0</v>
      </c>
      <c r="AE98" s="442">
        <f t="shared" si="5"/>
        <v>0</v>
      </c>
      <c r="AF98" s="442">
        <f t="shared" si="5"/>
        <v>0</v>
      </c>
      <c r="AG98" s="442">
        <f t="shared" si="5"/>
        <v>317003</v>
      </c>
      <c r="AH98" s="442">
        <f t="shared" si="5"/>
        <v>0</v>
      </c>
      <c r="AI98" s="442">
        <f t="shared" si="5"/>
        <v>0</v>
      </c>
      <c r="AJ98" s="442">
        <f t="shared" si="5"/>
        <v>0</v>
      </c>
      <c r="AK98" s="442">
        <f t="shared" si="5"/>
        <v>0</v>
      </c>
      <c r="AL98" s="442">
        <f t="shared" si="5"/>
        <v>464401</v>
      </c>
      <c r="AM98" s="442">
        <f t="shared" si="5"/>
        <v>0</v>
      </c>
      <c r="AN98" s="442">
        <f t="shared" si="5"/>
        <v>0</v>
      </c>
      <c r="AO98" s="442">
        <f t="shared" si="5"/>
        <v>0</v>
      </c>
      <c r="AP98" s="442">
        <f t="shared" si="5"/>
        <v>0</v>
      </c>
      <c r="AQ98" s="442">
        <f t="shared" si="5"/>
        <v>190972</v>
      </c>
      <c r="AR98" s="442">
        <f t="shared" si="5"/>
        <v>0</v>
      </c>
      <c r="AS98" s="442">
        <f t="shared" si="5"/>
        <v>0</v>
      </c>
      <c r="AT98" s="442">
        <f t="shared" si="5"/>
        <v>0</v>
      </c>
      <c r="AU98" s="442">
        <f t="shared" si="5"/>
        <v>0</v>
      </c>
      <c r="AV98" s="442">
        <f t="shared" si="5"/>
        <v>372701</v>
      </c>
      <c r="AW98" s="442">
        <f t="shared" si="5"/>
        <v>0</v>
      </c>
      <c r="AX98" s="442">
        <f t="shared" si="5"/>
        <v>0</v>
      </c>
      <c r="AY98" s="442">
        <f t="shared" si="5"/>
        <v>0</v>
      </c>
      <c r="AZ98" s="442">
        <f t="shared" si="5"/>
        <v>0</v>
      </c>
      <c r="BA98" s="442">
        <f t="shared" si="5"/>
        <v>335951</v>
      </c>
      <c r="BB98" s="442">
        <f t="shared" si="5"/>
        <v>0</v>
      </c>
      <c r="BC98" s="442">
        <f t="shared" si="5"/>
        <v>0</v>
      </c>
      <c r="BD98" s="442">
        <f t="shared" si="5"/>
        <v>0</v>
      </c>
      <c r="BE98" s="442">
        <f t="shared" si="5"/>
        <v>0</v>
      </c>
      <c r="BF98" s="442">
        <f t="shared" si="5"/>
        <v>16129719</v>
      </c>
      <c r="BG98" s="442">
        <f t="shared" si="5"/>
        <v>0</v>
      </c>
      <c r="BH98" s="442">
        <f t="shared" si="5"/>
        <v>0</v>
      </c>
      <c r="BI98" s="442">
        <f t="shared" si="5"/>
        <v>0</v>
      </c>
      <c r="BJ98" s="442">
        <f t="shared" si="5"/>
        <v>0</v>
      </c>
      <c r="BK98" s="442">
        <f t="shared" si="5"/>
        <v>239823</v>
      </c>
      <c r="BL98" s="442">
        <f t="shared" si="5"/>
        <v>0</v>
      </c>
      <c r="BM98" s="442">
        <f t="shared" si="5"/>
        <v>0</v>
      </c>
      <c r="BN98" s="442">
        <f t="shared" si="5"/>
        <v>0</v>
      </c>
      <c r="BO98" s="442">
        <f t="shared" si="5"/>
        <v>0</v>
      </c>
      <c r="BP98" s="442">
        <f t="shared" si="5"/>
        <v>297490</v>
      </c>
      <c r="BQ98" s="442">
        <f t="shared" si="5"/>
        <v>0</v>
      </c>
      <c r="BR98" s="442">
        <f t="shared" si="5"/>
        <v>0</v>
      </c>
      <c r="BS98" s="442">
        <f t="shared" si="5"/>
        <v>0</v>
      </c>
      <c r="BT98" s="442">
        <f t="shared" si="5"/>
        <v>0</v>
      </c>
      <c r="BU98" s="442">
        <f t="shared" si="5"/>
        <v>-946278</v>
      </c>
      <c r="BV98" s="442"/>
      <c r="BW98" s="442"/>
      <c r="EQ98" s="53"/>
    </row>
    <row r="99" spans="13:147" hidden="1" x14ac:dyDescent="0.2">
      <c r="M99" s="442">
        <f t="shared" si="5"/>
        <v>0</v>
      </c>
      <c r="N99" s="442">
        <f t="shared" si="5"/>
        <v>0</v>
      </c>
      <c r="O99" s="442">
        <f t="shared" si="5"/>
        <v>0</v>
      </c>
      <c r="P99" s="442">
        <f t="shared" si="5"/>
        <v>0</v>
      </c>
      <c r="Q99" s="442">
        <f t="shared" si="5"/>
        <v>0</v>
      </c>
      <c r="R99" s="442">
        <f t="shared" si="5"/>
        <v>0</v>
      </c>
      <c r="S99" s="442">
        <f t="shared" si="5"/>
        <v>0</v>
      </c>
      <c r="T99" s="442">
        <f t="shared" si="5"/>
        <v>0</v>
      </c>
      <c r="U99" s="442">
        <f t="shared" si="5"/>
        <v>0</v>
      </c>
      <c r="V99" s="442">
        <f t="shared" si="5"/>
        <v>0</v>
      </c>
      <c r="W99" s="442">
        <f t="shared" si="5"/>
        <v>0</v>
      </c>
      <c r="X99" s="442">
        <f t="shared" si="5"/>
        <v>0</v>
      </c>
      <c r="Y99" s="442">
        <f t="shared" si="5"/>
        <v>0</v>
      </c>
      <c r="Z99" s="442">
        <f t="shared" si="5"/>
        <v>0</v>
      </c>
      <c r="AA99" s="442">
        <f t="shared" si="5"/>
        <v>0</v>
      </c>
      <c r="AB99" s="442">
        <f t="shared" si="5"/>
        <v>0</v>
      </c>
      <c r="AC99" s="442">
        <f t="shared" si="5"/>
        <v>0</v>
      </c>
      <c r="AD99" s="442">
        <f t="shared" si="5"/>
        <v>0</v>
      </c>
      <c r="AE99" s="442">
        <f t="shared" si="5"/>
        <v>0</v>
      </c>
      <c r="AF99" s="442">
        <f t="shared" si="5"/>
        <v>0</v>
      </c>
      <c r="AG99" s="442">
        <f t="shared" si="5"/>
        <v>0</v>
      </c>
      <c r="AH99" s="442">
        <f t="shared" si="5"/>
        <v>0</v>
      </c>
      <c r="AI99" s="442">
        <f t="shared" si="5"/>
        <v>0</v>
      </c>
      <c r="AJ99" s="442">
        <f t="shared" si="5"/>
        <v>0</v>
      </c>
      <c r="AK99" s="442">
        <f t="shared" si="5"/>
        <v>0</v>
      </c>
      <c r="AL99" s="442">
        <f t="shared" si="5"/>
        <v>0</v>
      </c>
      <c r="AM99" s="442">
        <f t="shared" si="5"/>
        <v>0</v>
      </c>
      <c r="AN99" s="442">
        <f t="shared" si="5"/>
        <v>0</v>
      </c>
      <c r="AO99" s="442">
        <f t="shared" si="5"/>
        <v>0</v>
      </c>
      <c r="AP99" s="442">
        <f t="shared" si="5"/>
        <v>0</v>
      </c>
      <c r="AQ99" s="442">
        <f t="shared" si="5"/>
        <v>0</v>
      </c>
      <c r="AR99" s="442">
        <f t="shared" si="5"/>
        <v>0</v>
      </c>
      <c r="AS99" s="442">
        <f t="shared" si="5"/>
        <v>0</v>
      </c>
      <c r="AT99" s="442">
        <f t="shared" si="5"/>
        <v>0</v>
      </c>
      <c r="AU99" s="442">
        <f t="shared" si="5"/>
        <v>0</v>
      </c>
      <c r="AV99" s="442">
        <f t="shared" si="5"/>
        <v>0</v>
      </c>
      <c r="AW99" s="442">
        <f t="shared" si="5"/>
        <v>0</v>
      </c>
      <c r="AX99" s="442">
        <f t="shared" si="5"/>
        <v>0</v>
      </c>
      <c r="AY99" s="442">
        <f t="shared" si="5"/>
        <v>0</v>
      </c>
      <c r="AZ99" s="442">
        <f t="shared" si="5"/>
        <v>0</v>
      </c>
      <c r="BA99" s="442">
        <f t="shared" si="5"/>
        <v>0</v>
      </c>
      <c r="BB99" s="442">
        <f t="shared" si="5"/>
        <v>0</v>
      </c>
      <c r="BC99" s="442">
        <f t="shared" si="5"/>
        <v>0</v>
      </c>
      <c r="BD99" s="442">
        <f t="shared" si="5"/>
        <v>0</v>
      </c>
      <c r="BE99" s="442">
        <f t="shared" si="5"/>
        <v>0</v>
      </c>
      <c r="BF99" s="442">
        <f t="shared" si="5"/>
        <v>0</v>
      </c>
      <c r="BG99" s="442">
        <f t="shared" si="5"/>
        <v>0</v>
      </c>
      <c r="BH99" s="442">
        <f t="shared" si="5"/>
        <v>0</v>
      </c>
      <c r="BI99" s="442">
        <f t="shared" si="5"/>
        <v>0</v>
      </c>
      <c r="BJ99" s="442">
        <f t="shared" si="5"/>
        <v>0</v>
      </c>
      <c r="BK99" s="442">
        <f t="shared" si="5"/>
        <v>0</v>
      </c>
      <c r="BL99" s="442">
        <f t="shared" si="5"/>
        <v>0</v>
      </c>
      <c r="BM99" s="442">
        <f t="shared" si="5"/>
        <v>0</v>
      </c>
      <c r="BN99" s="442">
        <f t="shared" si="5"/>
        <v>0</v>
      </c>
      <c r="BO99" s="442">
        <f t="shared" si="5"/>
        <v>0</v>
      </c>
      <c r="BP99" s="442">
        <f t="shared" si="5"/>
        <v>0</v>
      </c>
      <c r="BQ99" s="442">
        <f t="shared" si="5"/>
        <v>0</v>
      </c>
      <c r="BR99" s="442">
        <f t="shared" si="5"/>
        <v>0</v>
      </c>
      <c r="BS99" s="442">
        <f t="shared" si="5"/>
        <v>0</v>
      </c>
      <c r="BT99" s="442">
        <f t="shared" si="5"/>
        <v>0</v>
      </c>
      <c r="BU99" s="442">
        <f t="shared" si="5"/>
        <v>0</v>
      </c>
      <c r="BV99" s="442"/>
      <c r="BW99" s="442">
        <f>SUM(BW100:BW102)</f>
        <v>0</v>
      </c>
      <c r="EQ99" s="53"/>
    </row>
    <row r="100" spans="13:147" hidden="1" x14ac:dyDescent="0.2">
      <c r="M100" s="442">
        <f t="shared" si="5"/>
        <v>0</v>
      </c>
      <c r="N100" s="442">
        <f t="shared" si="5"/>
        <v>0</v>
      </c>
      <c r="O100" s="442">
        <f t="shared" si="5"/>
        <v>0</v>
      </c>
      <c r="P100" s="442">
        <f t="shared" si="5"/>
        <v>0</v>
      </c>
      <c r="Q100" s="442">
        <f t="shared" si="5"/>
        <v>0</v>
      </c>
      <c r="R100" s="442">
        <f t="shared" si="5"/>
        <v>0</v>
      </c>
      <c r="S100" s="442">
        <f t="shared" si="5"/>
        <v>0</v>
      </c>
      <c r="T100" s="442">
        <f t="shared" si="5"/>
        <v>0</v>
      </c>
      <c r="U100" s="442">
        <f t="shared" si="5"/>
        <v>0</v>
      </c>
      <c r="V100" s="442">
        <f t="shared" si="5"/>
        <v>0</v>
      </c>
      <c r="W100" s="442">
        <f t="shared" si="5"/>
        <v>0</v>
      </c>
      <c r="X100" s="442">
        <f t="shared" si="5"/>
        <v>0</v>
      </c>
      <c r="Y100" s="442">
        <f t="shared" si="5"/>
        <v>0</v>
      </c>
      <c r="Z100" s="442">
        <f t="shared" si="5"/>
        <v>0</v>
      </c>
      <c r="AA100" s="442">
        <f t="shared" si="5"/>
        <v>0</v>
      </c>
      <c r="AB100" s="442">
        <f t="shared" si="5"/>
        <v>0</v>
      </c>
      <c r="AC100" s="442">
        <f t="shared" si="5"/>
        <v>0</v>
      </c>
      <c r="AD100" s="442">
        <f t="shared" si="5"/>
        <v>0</v>
      </c>
      <c r="AE100" s="442">
        <f t="shared" si="5"/>
        <v>0</v>
      </c>
      <c r="AF100" s="442">
        <f t="shared" si="5"/>
        <v>0</v>
      </c>
      <c r="AG100" s="442">
        <f t="shared" si="5"/>
        <v>0</v>
      </c>
      <c r="AH100" s="442">
        <f t="shared" si="5"/>
        <v>0</v>
      </c>
      <c r="AI100" s="442">
        <f t="shared" si="5"/>
        <v>0</v>
      </c>
      <c r="AJ100" s="442">
        <f t="shared" si="5"/>
        <v>0</v>
      </c>
      <c r="AK100" s="442">
        <f t="shared" si="5"/>
        <v>0</v>
      </c>
      <c r="AL100" s="442">
        <f t="shared" si="5"/>
        <v>0</v>
      </c>
      <c r="AM100" s="442">
        <f t="shared" si="5"/>
        <v>0</v>
      </c>
      <c r="AN100" s="442">
        <f t="shared" si="5"/>
        <v>0</v>
      </c>
      <c r="AO100" s="442">
        <f t="shared" si="5"/>
        <v>0</v>
      </c>
      <c r="AP100" s="442">
        <f t="shared" si="5"/>
        <v>0</v>
      </c>
      <c r="AQ100" s="442">
        <f t="shared" si="5"/>
        <v>0</v>
      </c>
      <c r="AR100" s="442">
        <f t="shared" si="5"/>
        <v>0</v>
      </c>
      <c r="AS100" s="442">
        <f t="shared" si="5"/>
        <v>0</v>
      </c>
      <c r="AT100" s="442">
        <f t="shared" si="5"/>
        <v>0</v>
      </c>
      <c r="AU100" s="442">
        <f t="shared" si="5"/>
        <v>0</v>
      </c>
      <c r="AV100" s="442">
        <f t="shared" si="5"/>
        <v>0</v>
      </c>
      <c r="AW100" s="442">
        <f t="shared" si="5"/>
        <v>0</v>
      </c>
      <c r="AX100" s="442">
        <f t="shared" si="5"/>
        <v>0</v>
      </c>
      <c r="AY100" s="442">
        <f t="shared" si="5"/>
        <v>0</v>
      </c>
      <c r="AZ100" s="442">
        <f t="shared" si="5"/>
        <v>0</v>
      </c>
      <c r="BA100" s="442">
        <f t="shared" si="5"/>
        <v>0</v>
      </c>
      <c r="BB100" s="442">
        <f t="shared" si="5"/>
        <v>0</v>
      </c>
      <c r="BC100" s="442">
        <f t="shared" si="5"/>
        <v>0</v>
      </c>
      <c r="BD100" s="442">
        <f t="shared" si="5"/>
        <v>0</v>
      </c>
      <c r="BE100" s="442">
        <f t="shared" si="5"/>
        <v>0</v>
      </c>
      <c r="BF100" s="442">
        <f t="shared" si="5"/>
        <v>0</v>
      </c>
      <c r="BG100" s="442">
        <f t="shared" si="5"/>
        <v>0</v>
      </c>
      <c r="BH100" s="442">
        <f t="shared" si="5"/>
        <v>0</v>
      </c>
      <c r="BI100" s="442">
        <f t="shared" si="5"/>
        <v>0</v>
      </c>
      <c r="BJ100" s="442">
        <f t="shared" si="5"/>
        <v>0</v>
      </c>
      <c r="BK100" s="442">
        <f t="shared" si="5"/>
        <v>0</v>
      </c>
      <c r="BL100" s="442">
        <f t="shared" si="5"/>
        <v>0</v>
      </c>
      <c r="BM100" s="442">
        <f t="shared" si="5"/>
        <v>0</v>
      </c>
      <c r="BN100" s="442">
        <f t="shared" si="5"/>
        <v>0</v>
      </c>
      <c r="BO100" s="442">
        <f t="shared" si="5"/>
        <v>0</v>
      </c>
      <c r="BP100" s="442">
        <f t="shared" si="5"/>
        <v>0</v>
      </c>
      <c r="BQ100" s="442">
        <f t="shared" si="5"/>
        <v>0</v>
      </c>
      <c r="BR100" s="442">
        <f t="shared" si="5"/>
        <v>0</v>
      </c>
      <c r="BS100" s="442">
        <f t="shared" si="5"/>
        <v>0</v>
      </c>
      <c r="BT100" s="442">
        <f t="shared" si="5"/>
        <v>0</v>
      </c>
      <c r="BU100" s="442">
        <f t="shared" si="5"/>
        <v>0</v>
      </c>
      <c r="BV100" s="442"/>
      <c r="BW100" s="442">
        <f>[12]domlongtermissues!BV97</f>
        <v>0</v>
      </c>
      <c r="EQ100" s="53"/>
    </row>
    <row r="101" spans="13:147" hidden="1" x14ac:dyDescent="0.2">
      <c r="M101" s="442">
        <f t="shared" si="5"/>
        <v>0</v>
      </c>
      <c r="N101" s="442">
        <f t="shared" si="5"/>
        <v>0</v>
      </c>
      <c r="O101" s="442">
        <f t="shared" si="5"/>
        <v>0</v>
      </c>
      <c r="P101" s="442">
        <f t="shared" si="5"/>
        <v>0</v>
      </c>
      <c r="Q101" s="442">
        <f t="shared" si="5"/>
        <v>0</v>
      </c>
      <c r="R101" s="442">
        <f t="shared" si="5"/>
        <v>289290</v>
      </c>
      <c r="S101" s="442">
        <f t="shared" si="5"/>
        <v>0</v>
      </c>
      <c r="T101" s="442">
        <f t="shared" si="5"/>
        <v>0</v>
      </c>
      <c r="U101" s="442">
        <f t="shared" si="5"/>
        <v>0</v>
      </c>
      <c r="V101" s="442">
        <f t="shared" si="5"/>
        <v>0</v>
      </c>
      <c r="W101" s="442">
        <f t="shared" si="5"/>
        <v>0</v>
      </c>
      <c r="X101" s="442">
        <f t="shared" si="5"/>
        <v>0</v>
      </c>
      <c r="Y101" s="442">
        <f t="shared" si="5"/>
        <v>0</v>
      </c>
      <c r="Z101" s="442">
        <f t="shared" si="5"/>
        <v>0</v>
      </c>
      <c r="AA101" s="442">
        <f t="shared" si="5"/>
        <v>0</v>
      </c>
      <c r="AB101" s="442">
        <f t="shared" si="5"/>
        <v>0</v>
      </c>
      <c r="AC101" s="442">
        <f t="shared" si="5"/>
        <v>0</v>
      </c>
      <c r="AD101" s="442">
        <f t="shared" si="5"/>
        <v>0</v>
      </c>
      <c r="AE101" s="442">
        <f t="shared" si="5"/>
        <v>0</v>
      </c>
      <c r="AF101" s="442">
        <f t="shared" si="5"/>
        <v>0</v>
      </c>
      <c r="AG101" s="442">
        <f t="shared" si="5"/>
        <v>0</v>
      </c>
      <c r="AH101" s="442">
        <f t="shared" si="5"/>
        <v>0</v>
      </c>
      <c r="AI101" s="442">
        <f t="shared" si="5"/>
        <v>0</v>
      </c>
      <c r="AJ101" s="442">
        <f t="shared" si="5"/>
        <v>0</v>
      </c>
      <c r="AK101" s="442">
        <f t="shared" si="5"/>
        <v>0</v>
      </c>
      <c r="AL101" s="442">
        <f t="shared" si="5"/>
        <v>0</v>
      </c>
      <c r="AM101" s="442">
        <f t="shared" si="5"/>
        <v>0</v>
      </c>
      <c r="AN101" s="442">
        <f t="shared" si="5"/>
        <v>0</v>
      </c>
      <c r="AO101" s="442">
        <f t="shared" si="5"/>
        <v>0</v>
      </c>
      <c r="AP101" s="442">
        <f t="shared" si="5"/>
        <v>0</v>
      </c>
      <c r="AQ101" s="442">
        <f t="shared" si="5"/>
        <v>0</v>
      </c>
      <c r="AR101" s="442">
        <f t="shared" si="5"/>
        <v>0</v>
      </c>
      <c r="AS101" s="442">
        <f t="shared" si="5"/>
        <v>0</v>
      </c>
      <c r="AT101" s="442">
        <f t="shared" si="5"/>
        <v>0</v>
      </c>
      <c r="AU101" s="442">
        <f t="shared" si="5"/>
        <v>0</v>
      </c>
      <c r="AV101" s="442">
        <f t="shared" si="5"/>
        <v>0</v>
      </c>
      <c r="AW101" s="442">
        <f t="shared" si="5"/>
        <v>0</v>
      </c>
      <c r="AX101" s="442">
        <f t="shared" si="5"/>
        <v>0</v>
      </c>
      <c r="AY101" s="442">
        <f t="shared" si="5"/>
        <v>0</v>
      </c>
      <c r="AZ101" s="442">
        <f t="shared" si="5"/>
        <v>0</v>
      </c>
      <c r="BA101" s="442">
        <f t="shared" si="5"/>
        <v>0</v>
      </c>
      <c r="BB101" s="442">
        <f t="shared" si="5"/>
        <v>0</v>
      </c>
      <c r="BC101" s="442">
        <f t="shared" si="5"/>
        <v>0</v>
      </c>
      <c r="BD101" s="442">
        <f t="shared" si="5"/>
        <v>0</v>
      </c>
      <c r="BE101" s="442">
        <f t="shared" si="5"/>
        <v>0</v>
      </c>
      <c r="BF101" s="442">
        <f t="shared" si="5"/>
        <v>0</v>
      </c>
      <c r="BG101" s="442">
        <f t="shared" si="5"/>
        <v>0</v>
      </c>
      <c r="BH101" s="442">
        <f t="shared" si="5"/>
        <v>0</v>
      </c>
      <c r="BI101" s="442">
        <f t="shared" si="5"/>
        <v>0</v>
      </c>
      <c r="BJ101" s="442">
        <f t="shared" si="5"/>
        <v>0</v>
      </c>
      <c r="BK101" s="442">
        <f t="shared" si="5"/>
        <v>0</v>
      </c>
      <c r="BL101" s="442">
        <f t="shared" si="5"/>
        <v>0</v>
      </c>
      <c r="BM101" s="442">
        <f t="shared" si="5"/>
        <v>0</v>
      </c>
      <c r="BN101" s="442">
        <f t="shared" si="5"/>
        <v>0</v>
      </c>
      <c r="BO101" s="442">
        <f t="shared" si="5"/>
        <v>0</v>
      </c>
      <c r="BP101" s="442">
        <f t="shared" si="5"/>
        <v>0</v>
      </c>
      <c r="BQ101" s="442">
        <f t="shared" si="5"/>
        <v>0</v>
      </c>
      <c r="BR101" s="442">
        <f t="shared" si="5"/>
        <v>0</v>
      </c>
      <c r="BS101" s="442">
        <f t="shared" si="5"/>
        <v>0</v>
      </c>
      <c r="BT101" s="442">
        <f t="shared" si="5"/>
        <v>0</v>
      </c>
      <c r="BU101" s="442">
        <f t="shared" si="5"/>
        <v>289290</v>
      </c>
      <c r="BV101" s="442"/>
      <c r="BW101" s="442">
        <f>-[12]domlongtermissues!BV288</f>
        <v>0</v>
      </c>
      <c r="EQ101" s="53"/>
    </row>
    <row r="102" spans="13:147" hidden="1" x14ac:dyDescent="0.2">
      <c r="M102" s="442">
        <f t="shared" si="5"/>
        <v>0</v>
      </c>
      <c r="N102" s="442">
        <f t="shared" si="5"/>
        <v>0</v>
      </c>
      <c r="O102" s="442">
        <f t="shared" si="5"/>
        <v>0</v>
      </c>
      <c r="P102" s="442">
        <f t="shared" si="5"/>
        <v>0</v>
      </c>
      <c r="Q102" s="442">
        <f t="shared" si="5"/>
        <v>0</v>
      </c>
      <c r="R102" s="442">
        <f t="shared" si="5"/>
        <v>-14152656</v>
      </c>
      <c r="S102" s="442">
        <f t="shared" si="5"/>
        <v>0</v>
      </c>
      <c r="T102" s="442">
        <f t="shared" si="5"/>
        <v>0</v>
      </c>
      <c r="U102" s="442">
        <f t="shared" si="5"/>
        <v>0</v>
      </c>
      <c r="V102" s="442">
        <f t="shared" si="5"/>
        <v>0</v>
      </c>
      <c r="W102" s="442">
        <f t="shared" si="5"/>
        <v>0</v>
      </c>
      <c r="X102" s="442">
        <f t="shared" ref="X102:BU107" si="6">X31-CP31</f>
        <v>0</v>
      </c>
      <c r="Y102" s="442">
        <f t="shared" si="6"/>
        <v>0</v>
      </c>
      <c r="Z102" s="442">
        <f t="shared" si="6"/>
        <v>0</v>
      </c>
      <c r="AA102" s="442">
        <f t="shared" si="6"/>
        <v>0</v>
      </c>
      <c r="AB102" s="442">
        <f t="shared" si="6"/>
        <v>0</v>
      </c>
      <c r="AC102" s="442">
        <f t="shared" si="6"/>
        <v>0</v>
      </c>
      <c r="AD102" s="442">
        <f t="shared" si="6"/>
        <v>0</v>
      </c>
      <c r="AE102" s="442">
        <f t="shared" si="6"/>
        <v>0</v>
      </c>
      <c r="AF102" s="442">
        <f t="shared" si="6"/>
        <v>0</v>
      </c>
      <c r="AG102" s="442">
        <f t="shared" si="6"/>
        <v>0</v>
      </c>
      <c r="AH102" s="442">
        <f t="shared" si="6"/>
        <v>0</v>
      </c>
      <c r="AI102" s="442">
        <f t="shared" si="6"/>
        <v>0</v>
      </c>
      <c r="AJ102" s="442">
        <f t="shared" si="6"/>
        <v>0</v>
      </c>
      <c r="AK102" s="442">
        <f t="shared" si="6"/>
        <v>0</v>
      </c>
      <c r="AL102" s="442">
        <f t="shared" si="6"/>
        <v>0</v>
      </c>
      <c r="AM102" s="442">
        <f t="shared" si="6"/>
        <v>0</v>
      </c>
      <c r="AN102" s="442">
        <f t="shared" si="6"/>
        <v>0</v>
      </c>
      <c r="AO102" s="442">
        <f t="shared" si="6"/>
        <v>0</v>
      </c>
      <c r="AP102" s="442">
        <f t="shared" si="6"/>
        <v>0</v>
      </c>
      <c r="AQ102" s="442">
        <f t="shared" si="6"/>
        <v>0</v>
      </c>
      <c r="AR102" s="442">
        <f t="shared" si="6"/>
        <v>0</v>
      </c>
      <c r="AS102" s="442">
        <f t="shared" si="6"/>
        <v>0</v>
      </c>
      <c r="AT102" s="442">
        <f t="shared" si="6"/>
        <v>0</v>
      </c>
      <c r="AU102" s="442">
        <f t="shared" si="6"/>
        <v>0</v>
      </c>
      <c r="AV102" s="442">
        <f t="shared" si="6"/>
        <v>0</v>
      </c>
      <c r="AW102" s="442">
        <f t="shared" si="6"/>
        <v>0</v>
      </c>
      <c r="AX102" s="442">
        <f t="shared" si="6"/>
        <v>0</v>
      </c>
      <c r="AY102" s="442">
        <f t="shared" si="6"/>
        <v>0</v>
      </c>
      <c r="AZ102" s="442">
        <f t="shared" si="6"/>
        <v>0</v>
      </c>
      <c r="BA102" s="442">
        <f t="shared" si="6"/>
        <v>0</v>
      </c>
      <c r="BB102" s="442">
        <f t="shared" si="6"/>
        <v>0</v>
      </c>
      <c r="BC102" s="442">
        <f t="shared" si="6"/>
        <v>0</v>
      </c>
      <c r="BD102" s="442">
        <f t="shared" si="6"/>
        <v>0</v>
      </c>
      <c r="BE102" s="442">
        <f t="shared" si="6"/>
        <v>0</v>
      </c>
      <c r="BF102" s="442">
        <f t="shared" si="6"/>
        <v>0</v>
      </c>
      <c r="BG102" s="442">
        <f t="shared" si="6"/>
        <v>0</v>
      </c>
      <c r="BH102" s="442">
        <f t="shared" si="6"/>
        <v>0</v>
      </c>
      <c r="BI102" s="442">
        <f t="shared" si="6"/>
        <v>0</v>
      </c>
      <c r="BJ102" s="442">
        <f t="shared" si="6"/>
        <v>0</v>
      </c>
      <c r="BK102" s="442">
        <f t="shared" si="6"/>
        <v>0</v>
      </c>
      <c r="BL102" s="442">
        <f t="shared" si="6"/>
        <v>0</v>
      </c>
      <c r="BM102" s="442">
        <f t="shared" si="6"/>
        <v>0</v>
      </c>
      <c r="BN102" s="442">
        <f t="shared" si="6"/>
        <v>0</v>
      </c>
      <c r="BO102" s="442">
        <f t="shared" si="6"/>
        <v>0</v>
      </c>
      <c r="BP102" s="442">
        <f t="shared" si="6"/>
        <v>0</v>
      </c>
      <c r="BQ102" s="442">
        <f t="shared" si="6"/>
        <v>0</v>
      </c>
      <c r="BR102" s="442">
        <f t="shared" si="6"/>
        <v>0</v>
      </c>
      <c r="BS102" s="442">
        <f t="shared" si="6"/>
        <v>0</v>
      </c>
      <c r="BT102" s="442">
        <f t="shared" si="6"/>
        <v>0</v>
      </c>
      <c r="BU102" s="442">
        <f t="shared" si="6"/>
        <v>-14152656</v>
      </c>
      <c r="BV102" s="442"/>
      <c r="BW102" s="442">
        <f>-[12]domredemp!BV99+[12]domredemp!BV119</f>
        <v>0</v>
      </c>
      <c r="EQ102" s="53"/>
    </row>
    <row r="103" spans="13:147" hidden="1" x14ac:dyDescent="0.2">
      <c r="M103" s="442">
        <f t="shared" ref="M103:AB112" si="7">M32-CE32</f>
        <v>0</v>
      </c>
      <c r="N103" s="442">
        <f t="shared" si="7"/>
        <v>0</v>
      </c>
      <c r="O103" s="442">
        <f t="shared" si="7"/>
        <v>0</v>
      </c>
      <c r="P103" s="442">
        <f t="shared" si="7"/>
        <v>0</v>
      </c>
      <c r="Q103" s="442">
        <f t="shared" si="7"/>
        <v>0</v>
      </c>
      <c r="R103" s="442">
        <f t="shared" si="7"/>
        <v>1646946</v>
      </c>
      <c r="S103" s="442">
        <f t="shared" si="7"/>
        <v>0</v>
      </c>
      <c r="T103" s="442">
        <f t="shared" si="7"/>
        <v>0</v>
      </c>
      <c r="U103" s="442">
        <f t="shared" si="7"/>
        <v>0</v>
      </c>
      <c r="V103" s="442">
        <f t="shared" si="7"/>
        <v>0</v>
      </c>
      <c r="W103" s="442">
        <f t="shared" si="7"/>
        <v>0</v>
      </c>
      <c r="X103" s="442">
        <f t="shared" si="6"/>
        <v>0</v>
      </c>
      <c r="Y103" s="442">
        <f t="shared" si="6"/>
        <v>0</v>
      </c>
      <c r="Z103" s="442">
        <f t="shared" si="6"/>
        <v>0</v>
      </c>
      <c r="AA103" s="442">
        <f t="shared" si="6"/>
        <v>0</v>
      </c>
      <c r="AB103" s="442">
        <f t="shared" si="6"/>
        <v>0</v>
      </c>
      <c r="AC103" s="442">
        <f t="shared" si="6"/>
        <v>0</v>
      </c>
      <c r="AD103" s="442">
        <f t="shared" si="6"/>
        <v>0</v>
      </c>
      <c r="AE103" s="442">
        <f t="shared" si="6"/>
        <v>0</v>
      </c>
      <c r="AF103" s="442">
        <f t="shared" si="6"/>
        <v>0</v>
      </c>
      <c r="AG103" s="442">
        <f t="shared" si="6"/>
        <v>0</v>
      </c>
      <c r="AH103" s="442">
        <f t="shared" si="6"/>
        <v>0</v>
      </c>
      <c r="AI103" s="442">
        <f t="shared" si="6"/>
        <v>0</v>
      </c>
      <c r="AJ103" s="442">
        <f t="shared" si="6"/>
        <v>0</v>
      </c>
      <c r="AK103" s="442">
        <f t="shared" si="6"/>
        <v>0</v>
      </c>
      <c r="AL103" s="442">
        <f t="shared" si="6"/>
        <v>0</v>
      </c>
      <c r="AM103" s="442">
        <f t="shared" si="6"/>
        <v>0</v>
      </c>
      <c r="AN103" s="442">
        <f t="shared" si="6"/>
        <v>0</v>
      </c>
      <c r="AO103" s="442">
        <f t="shared" si="6"/>
        <v>0</v>
      </c>
      <c r="AP103" s="442">
        <f t="shared" si="6"/>
        <v>0</v>
      </c>
      <c r="AQ103" s="442">
        <f t="shared" si="6"/>
        <v>0</v>
      </c>
      <c r="AR103" s="442">
        <f t="shared" si="6"/>
        <v>0</v>
      </c>
      <c r="AS103" s="442">
        <f t="shared" si="6"/>
        <v>0</v>
      </c>
      <c r="AT103" s="442">
        <f t="shared" si="6"/>
        <v>0</v>
      </c>
      <c r="AU103" s="442">
        <f t="shared" si="6"/>
        <v>0</v>
      </c>
      <c r="AV103" s="442">
        <f t="shared" si="6"/>
        <v>0</v>
      </c>
      <c r="AW103" s="442">
        <f t="shared" si="6"/>
        <v>0</v>
      </c>
      <c r="AX103" s="442">
        <f t="shared" si="6"/>
        <v>0</v>
      </c>
      <c r="AY103" s="442">
        <f t="shared" si="6"/>
        <v>0</v>
      </c>
      <c r="AZ103" s="442">
        <f t="shared" si="6"/>
        <v>0</v>
      </c>
      <c r="BA103" s="442">
        <f t="shared" si="6"/>
        <v>0</v>
      </c>
      <c r="BB103" s="442">
        <f t="shared" si="6"/>
        <v>0</v>
      </c>
      <c r="BC103" s="442">
        <f t="shared" si="6"/>
        <v>0</v>
      </c>
      <c r="BD103" s="442">
        <f t="shared" si="6"/>
        <v>0</v>
      </c>
      <c r="BE103" s="442">
        <f t="shared" si="6"/>
        <v>0</v>
      </c>
      <c r="BF103" s="442">
        <f t="shared" si="6"/>
        <v>0</v>
      </c>
      <c r="BG103" s="442">
        <f t="shared" si="6"/>
        <v>0</v>
      </c>
      <c r="BH103" s="442">
        <f t="shared" si="6"/>
        <v>0</v>
      </c>
      <c r="BI103" s="442">
        <f t="shared" si="6"/>
        <v>0</v>
      </c>
      <c r="BJ103" s="442">
        <f t="shared" si="6"/>
        <v>0</v>
      </c>
      <c r="BK103" s="442">
        <f t="shared" si="6"/>
        <v>0</v>
      </c>
      <c r="BL103" s="442">
        <f t="shared" si="6"/>
        <v>0</v>
      </c>
      <c r="BM103" s="442">
        <f t="shared" si="6"/>
        <v>0</v>
      </c>
      <c r="BN103" s="442">
        <f t="shared" si="6"/>
        <v>0</v>
      </c>
      <c r="BO103" s="442">
        <f t="shared" si="6"/>
        <v>0</v>
      </c>
      <c r="BP103" s="442">
        <f t="shared" si="6"/>
        <v>0</v>
      </c>
      <c r="BQ103" s="442">
        <f t="shared" si="6"/>
        <v>0</v>
      </c>
      <c r="BR103" s="442">
        <f t="shared" si="6"/>
        <v>0</v>
      </c>
      <c r="BS103" s="442">
        <f t="shared" si="6"/>
        <v>0</v>
      </c>
      <c r="BT103" s="442">
        <f t="shared" si="6"/>
        <v>0</v>
      </c>
      <c r="BU103" s="442">
        <f t="shared" si="6"/>
        <v>1646946</v>
      </c>
      <c r="BV103" s="442"/>
      <c r="BW103" s="442"/>
      <c r="EQ103" s="53"/>
    </row>
    <row r="104" spans="13:147" hidden="1" x14ac:dyDescent="0.2">
      <c r="M104" s="442">
        <f t="shared" si="7"/>
        <v>0</v>
      </c>
      <c r="N104" s="442">
        <f t="shared" si="7"/>
        <v>0</v>
      </c>
      <c r="O104" s="442">
        <f t="shared" si="7"/>
        <v>0</v>
      </c>
      <c r="P104" s="442">
        <f t="shared" si="7"/>
        <v>0</v>
      </c>
      <c r="Q104" s="442">
        <f t="shared" si="7"/>
        <v>0</v>
      </c>
      <c r="R104" s="442">
        <f t="shared" si="7"/>
        <v>12795000</v>
      </c>
      <c r="S104" s="442">
        <f t="shared" si="7"/>
        <v>0</v>
      </c>
      <c r="T104" s="442">
        <f t="shared" si="7"/>
        <v>0</v>
      </c>
      <c r="U104" s="442">
        <f t="shared" si="7"/>
        <v>0</v>
      </c>
      <c r="V104" s="442">
        <f t="shared" si="7"/>
        <v>0</v>
      </c>
      <c r="W104" s="442">
        <f t="shared" si="7"/>
        <v>0</v>
      </c>
      <c r="X104" s="442">
        <f t="shared" si="6"/>
        <v>0</v>
      </c>
      <c r="Y104" s="442">
        <f t="shared" si="6"/>
        <v>0</v>
      </c>
      <c r="Z104" s="442">
        <f t="shared" si="6"/>
        <v>0</v>
      </c>
      <c r="AA104" s="442">
        <f t="shared" si="6"/>
        <v>0</v>
      </c>
      <c r="AB104" s="442">
        <f t="shared" si="6"/>
        <v>0</v>
      </c>
      <c r="AC104" s="442">
        <f t="shared" si="6"/>
        <v>0</v>
      </c>
      <c r="AD104" s="442">
        <f t="shared" si="6"/>
        <v>0</v>
      </c>
      <c r="AE104" s="442">
        <f t="shared" si="6"/>
        <v>0</v>
      </c>
      <c r="AF104" s="442">
        <f t="shared" si="6"/>
        <v>0</v>
      </c>
      <c r="AG104" s="442">
        <f t="shared" si="6"/>
        <v>0</v>
      </c>
      <c r="AH104" s="442">
        <f t="shared" si="6"/>
        <v>0</v>
      </c>
      <c r="AI104" s="442">
        <f t="shared" si="6"/>
        <v>0</v>
      </c>
      <c r="AJ104" s="442">
        <f t="shared" si="6"/>
        <v>0</v>
      </c>
      <c r="AK104" s="442">
        <f t="shared" si="6"/>
        <v>0</v>
      </c>
      <c r="AL104" s="442">
        <f t="shared" si="6"/>
        <v>0</v>
      </c>
      <c r="AM104" s="442">
        <f t="shared" si="6"/>
        <v>0</v>
      </c>
      <c r="AN104" s="442">
        <f t="shared" si="6"/>
        <v>0</v>
      </c>
      <c r="AO104" s="442">
        <f t="shared" si="6"/>
        <v>0</v>
      </c>
      <c r="AP104" s="442">
        <f t="shared" si="6"/>
        <v>0</v>
      </c>
      <c r="AQ104" s="442">
        <f t="shared" si="6"/>
        <v>0</v>
      </c>
      <c r="AR104" s="442">
        <f t="shared" si="6"/>
        <v>0</v>
      </c>
      <c r="AS104" s="442">
        <f t="shared" si="6"/>
        <v>0</v>
      </c>
      <c r="AT104" s="442">
        <f t="shared" si="6"/>
        <v>0</v>
      </c>
      <c r="AU104" s="442">
        <f t="shared" si="6"/>
        <v>0</v>
      </c>
      <c r="AV104" s="442">
        <f t="shared" si="6"/>
        <v>0</v>
      </c>
      <c r="AW104" s="442">
        <f t="shared" si="6"/>
        <v>0</v>
      </c>
      <c r="AX104" s="442">
        <f t="shared" si="6"/>
        <v>0</v>
      </c>
      <c r="AY104" s="442">
        <f t="shared" si="6"/>
        <v>0</v>
      </c>
      <c r="AZ104" s="442">
        <f t="shared" si="6"/>
        <v>0</v>
      </c>
      <c r="BA104" s="442">
        <f t="shared" si="6"/>
        <v>0</v>
      </c>
      <c r="BB104" s="442">
        <f t="shared" si="6"/>
        <v>0</v>
      </c>
      <c r="BC104" s="442">
        <f t="shared" si="6"/>
        <v>0</v>
      </c>
      <c r="BD104" s="442">
        <f t="shared" si="6"/>
        <v>0</v>
      </c>
      <c r="BE104" s="442">
        <f t="shared" si="6"/>
        <v>0</v>
      </c>
      <c r="BF104" s="442">
        <f t="shared" si="6"/>
        <v>0</v>
      </c>
      <c r="BG104" s="442">
        <f t="shared" si="6"/>
        <v>0</v>
      </c>
      <c r="BH104" s="442">
        <f t="shared" si="6"/>
        <v>0</v>
      </c>
      <c r="BI104" s="442">
        <f t="shared" si="6"/>
        <v>0</v>
      </c>
      <c r="BJ104" s="442">
        <f t="shared" si="6"/>
        <v>0</v>
      </c>
      <c r="BK104" s="442">
        <f t="shared" si="6"/>
        <v>0</v>
      </c>
      <c r="BL104" s="442">
        <f t="shared" si="6"/>
        <v>0</v>
      </c>
      <c r="BM104" s="442">
        <f t="shared" si="6"/>
        <v>0</v>
      </c>
      <c r="BN104" s="442">
        <f t="shared" si="6"/>
        <v>0</v>
      </c>
      <c r="BO104" s="442">
        <f t="shared" si="6"/>
        <v>0</v>
      </c>
      <c r="BP104" s="442">
        <f t="shared" si="6"/>
        <v>0</v>
      </c>
      <c r="BQ104" s="442">
        <f t="shared" si="6"/>
        <v>0</v>
      </c>
      <c r="BR104" s="442">
        <f t="shared" si="6"/>
        <v>0</v>
      </c>
      <c r="BS104" s="442">
        <f t="shared" si="6"/>
        <v>0</v>
      </c>
      <c r="BT104" s="442">
        <f t="shared" si="6"/>
        <v>0</v>
      </c>
      <c r="BU104" s="442">
        <f t="shared" si="6"/>
        <v>12795000</v>
      </c>
      <c r="BV104" s="442"/>
      <c r="BW104" s="442">
        <f>SUM(BW105:BW106)</f>
        <v>0</v>
      </c>
      <c r="EQ104" s="53"/>
    </row>
    <row r="105" spans="13:147" hidden="1" x14ac:dyDescent="0.2">
      <c r="M105" s="442">
        <f t="shared" si="7"/>
        <v>0</v>
      </c>
      <c r="N105" s="442">
        <f t="shared" si="7"/>
        <v>0</v>
      </c>
      <c r="O105" s="442">
        <f t="shared" si="7"/>
        <v>0</v>
      </c>
      <c r="P105" s="442">
        <f t="shared" si="7"/>
        <v>0</v>
      </c>
      <c r="Q105" s="442">
        <f t="shared" si="7"/>
        <v>0</v>
      </c>
      <c r="R105" s="442">
        <f t="shared" si="7"/>
        <v>0</v>
      </c>
      <c r="S105" s="442">
        <f t="shared" si="7"/>
        <v>0</v>
      </c>
      <c r="T105" s="442">
        <f t="shared" si="7"/>
        <v>0</v>
      </c>
      <c r="U105" s="442">
        <f t="shared" si="7"/>
        <v>0</v>
      </c>
      <c r="V105" s="442">
        <f t="shared" si="7"/>
        <v>0</v>
      </c>
      <c r="W105" s="442">
        <f t="shared" si="7"/>
        <v>0</v>
      </c>
      <c r="X105" s="442">
        <f t="shared" si="6"/>
        <v>0</v>
      </c>
      <c r="Y105" s="442">
        <f t="shared" si="6"/>
        <v>0</v>
      </c>
      <c r="Z105" s="442">
        <f t="shared" si="6"/>
        <v>0</v>
      </c>
      <c r="AA105" s="442">
        <f t="shared" si="6"/>
        <v>0</v>
      </c>
      <c r="AB105" s="442">
        <f t="shared" si="6"/>
        <v>0</v>
      </c>
      <c r="AC105" s="442">
        <f t="shared" si="6"/>
        <v>0</v>
      </c>
      <c r="AD105" s="442">
        <f t="shared" si="6"/>
        <v>0</v>
      </c>
      <c r="AE105" s="442">
        <f t="shared" si="6"/>
        <v>0</v>
      </c>
      <c r="AF105" s="442">
        <f t="shared" si="6"/>
        <v>0</v>
      </c>
      <c r="AG105" s="442">
        <f t="shared" si="6"/>
        <v>0</v>
      </c>
      <c r="AH105" s="442">
        <f t="shared" si="6"/>
        <v>0</v>
      </c>
      <c r="AI105" s="442">
        <f t="shared" si="6"/>
        <v>0</v>
      </c>
      <c r="AJ105" s="442">
        <f t="shared" si="6"/>
        <v>0</v>
      </c>
      <c r="AK105" s="442">
        <f t="shared" si="6"/>
        <v>0</v>
      </c>
      <c r="AL105" s="442">
        <f t="shared" si="6"/>
        <v>0</v>
      </c>
      <c r="AM105" s="442">
        <f t="shared" si="6"/>
        <v>0</v>
      </c>
      <c r="AN105" s="442">
        <f t="shared" si="6"/>
        <v>0</v>
      </c>
      <c r="AO105" s="442">
        <f t="shared" si="6"/>
        <v>0</v>
      </c>
      <c r="AP105" s="442">
        <f t="shared" si="6"/>
        <v>0</v>
      </c>
      <c r="AQ105" s="442">
        <f t="shared" si="6"/>
        <v>0</v>
      </c>
      <c r="AR105" s="442">
        <f t="shared" si="6"/>
        <v>0</v>
      </c>
      <c r="AS105" s="442">
        <f t="shared" si="6"/>
        <v>0</v>
      </c>
      <c r="AT105" s="442">
        <f t="shared" si="6"/>
        <v>0</v>
      </c>
      <c r="AU105" s="442">
        <f t="shared" si="6"/>
        <v>0</v>
      </c>
      <c r="AV105" s="442">
        <f t="shared" si="6"/>
        <v>0</v>
      </c>
      <c r="AW105" s="442">
        <f t="shared" si="6"/>
        <v>0</v>
      </c>
      <c r="AX105" s="442">
        <f t="shared" si="6"/>
        <v>0</v>
      </c>
      <c r="AY105" s="442">
        <f t="shared" si="6"/>
        <v>0</v>
      </c>
      <c r="AZ105" s="442">
        <f t="shared" si="6"/>
        <v>0</v>
      </c>
      <c r="BA105" s="442">
        <f t="shared" si="6"/>
        <v>0</v>
      </c>
      <c r="BB105" s="442">
        <f t="shared" si="6"/>
        <v>0</v>
      </c>
      <c r="BC105" s="442">
        <f t="shared" si="6"/>
        <v>0</v>
      </c>
      <c r="BD105" s="442">
        <f t="shared" si="6"/>
        <v>0</v>
      </c>
      <c r="BE105" s="442">
        <f t="shared" si="6"/>
        <v>0</v>
      </c>
      <c r="BF105" s="442">
        <f t="shared" si="6"/>
        <v>0</v>
      </c>
      <c r="BG105" s="442">
        <f t="shared" si="6"/>
        <v>0</v>
      </c>
      <c r="BH105" s="442">
        <f t="shared" si="6"/>
        <v>0</v>
      </c>
      <c r="BI105" s="442">
        <f t="shared" si="6"/>
        <v>0</v>
      </c>
      <c r="BJ105" s="442">
        <f t="shared" si="6"/>
        <v>0</v>
      </c>
      <c r="BK105" s="442">
        <f t="shared" si="6"/>
        <v>0</v>
      </c>
      <c r="BL105" s="442">
        <f t="shared" si="6"/>
        <v>0</v>
      </c>
      <c r="BM105" s="442">
        <f t="shared" si="6"/>
        <v>0</v>
      </c>
      <c r="BN105" s="442">
        <f t="shared" si="6"/>
        <v>0</v>
      </c>
      <c r="BO105" s="442">
        <f t="shared" si="6"/>
        <v>0</v>
      </c>
      <c r="BP105" s="442">
        <f t="shared" si="6"/>
        <v>0</v>
      </c>
      <c r="BQ105" s="442">
        <f t="shared" si="6"/>
        <v>0</v>
      </c>
      <c r="BR105" s="442">
        <f t="shared" si="6"/>
        <v>0</v>
      </c>
      <c r="BS105" s="442">
        <f t="shared" si="6"/>
        <v>0</v>
      </c>
      <c r="BT105" s="442">
        <f t="shared" si="6"/>
        <v>0</v>
      </c>
      <c r="BU105" s="442">
        <f t="shared" si="6"/>
        <v>0</v>
      </c>
      <c r="BV105" s="442"/>
      <c r="BW105" s="442">
        <f>[12]domlongtermissues!BV98</f>
        <v>0</v>
      </c>
      <c r="EQ105" s="53"/>
    </row>
    <row r="106" spans="13:147" hidden="1" x14ac:dyDescent="0.2">
      <c r="M106" s="442">
        <f t="shared" si="7"/>
        <v>0</v>
      </c>
      <c r="N106" s="442">
        <f t="shared" si="7"/>
        <v>0</v>
      </c>
      <c r="O106" s="442">
        <f t="shared" si="7"/>
        <v>0</v>
      </c>
      <c r="P106" s="442">
        <f t="shared" si="7"/>
        <v>0</v>
      </c>
      <c r="Q106" s="442">
        <f t="shared" si="7"/>
        <v>0</v>
      </c>
      <c r="R106" s="442">
        <f t="shared" si="7"/>
        <v>0</v>
      </c>
      <c r="S106" s="442">
        <f t="shared" si="7"/>
        <v>0</v>
      </c>
      <c r="T106" s="442">
        <f t="shared" si="7"/>
        <v>0</v>
      </c>
      <c r="U106" s="442">
        <f t="shared" si="7"/>
        <v>0</v>
      </c>
      <c r="V106" s="442">
        <f t="shared" si="7"/>
        <v>0</v>
      </c>
      <c r="W106" s="442">
        <f t="shared" si="7"/>
        <v>0</v>
      </c>
      <c r="X106" s="442">
        <f t="shared" si="6"/>
        <v>0</v>
      </c>
      <c r="Y106" s="442">
        <f t="shared" si="6"/>
        <v>0</v>
      </c>
      <c r="Z106" s="442">
        <f t="shared" si="6"/>
        <v>0</v>
      </c>
      <c r="AA106" s="442">
        <f t="shared" si="6"/>
        <v>0</v>
      </c>
      <c r="AB106" s="442">
        <f t="shared" si="6"/>
        <v>0</v>
      </c>
      <c r="AC106" s="442">
        <f t="shared" si="6"/>
        <v>0</v>
      </c>
      <c r="AD106" s="442">
        <f t="shared" si="6"/>
        <v>0</v>
      </c>
      <c r="AE106" s="442">
        <f t="shared" si="6"/>
        <v>0</v>
      </c>
      <c r="AF106" s="442">
        <f t="shared" si="6"/>
        <v>0</v>
      </c>
      <c r="AG106" s="442">
        <f t="shared" si="6"/>
        <v>0</v>
      </c>
      <c r="AH106" s="442">
        <f t="shared" si="6"/>
        <v>0</v>
      </c>
      <c r="AI106" s="442">
        <f t="shared" si="6"/>
        <v>0</v>
      </c>
      <c r="AJ106" s="442">
        <f t="shared" si="6"/>
        <v>0</v>
      </c>
      <c r="AK106" s="442">
        <f t="shared" si="6"/>
        <v>0</v>
      </c>
      <c r="AL106" s="442">
        <f t="shared" si="6"/>
        <v>0</v>
      </c>
      <c r="AM106" s="442">
        <f t="shared" si="6"/>
        <v>0</v>
      </c>
      <c r="AN106" s="442">
        <f t="shared" si="6"/>
        <v>0</v>
      </c>
      <c r="AO106" s="442">
        <f t="shared" si="6"/>
        <v>0</v>
      </c>
      <c r="AP106" s="442">
        <f t="shared" si="6"/>
        <v>0</v>
      </c>
      <c r="AQ106" s="442">
        <f t="shared" si="6"/>
        <v>0</v>
      </c>
      <c r="AR106" s="442">
        <f t="shared" si="6"/>
        <v>0</v>
      </c>
      <c r="AS106" s="442">
        <f t="shared" si="6"/>
        <v>0</v>
      </c>
      <c r="AT106" s="442">
        <f t="shared" si="6"/>
        <v>0</v>
      </c>
      <c r="AU106" s="442">
        <f t="shared" si="6"/>
        <v>0</v>
      </c>
      <c r="AV106" s="442">
        <f t="shared" si="6"/>
        <v>0</v>
      </c>
      <c r="AW106" s="442">
        <f t="shared" si="6"/>
        <v>0</v>
      </c>
      <c r="AX106" s="442">
        <f t="shared" si="6"/>
        <v>0</v>
      </c>
      <c r="AY106" s="442">
        <f t="shared" si="6"/>
        <v>0</v>
      </c>
      <c r="AZ106" s="442">
        <f t="shared" si="6"/>
        <v>0</v>
      </c>
      <c r="BA106" s="442">
        <f t="shared" si="6"/>
        <v>0</v>
      </c>
      <c r="BB106" s="442">
        <f t="shared" si="6"/>
        <v>0</v>
      </c>
      <c r="BC106" s="442">
        <f t="shared" si="6"/>
        <v>0</v>
      </c>
      <c r="BD106" s="442">
        <f t="shared" si="6"/>
        <v>0</v>
      </c>
      <c r="BE106" s="442">
        <f t="shared" si="6"/>
        <v>0</v>
      </c>
      <c r="BF106" s="442">
        <f t="shared" si="6"/>
        <v>0</v>
      </c>
      <c r="BG106" s="442">
        <f t="shared" si="6"/>
        <v>0</v>
      </c>
      <c r="BH106" s="442">
        <f t="shared" si="6"/>
        <v>0</v>
      </c>
      <c r="BI106" s="442">
        <f t="shared" si="6"/>
        <v>0</v>
      </c>
      <c r="BJ106" s="442">
        <f t="shared" si="6"/>
        <v>0</v>
      </c>
      <c r="BK106" s="442">
        <f t="shared" si="6"/>
        <v>0</v>
      </c>
      <c r="BL106" s="442">
        <f t="shared" si="6"/>
        <v>0</v>
      </c>
      <c r="BM106" s="442">
        <f t="shared" si="6"/>
        <v>0</v>
      </c>
      <c r="BN106" s="442">
        <f t="shared" si="6"/>
        <v>0</v>
      </c>
      <c r="BO106" s="442">
        <f t="shared" si="6"/>
        <v>0</v>
      </c>
      <c r="BP106" s="442">
        <f t="shared" si="6"/>
        <v>0</v>
      </c>
      <c r="BQ106" s="442">
        <f t="shared" si="6"/>
        <v>0</v>
      </c>
      <c r="BR106" s="442">
        <f t="shared" si="6"/>
        <v>0</v>
      </c>
      <c r="BS106" s="442">
        <f t="shared" si="6"/>
        <v>0</v>
      </c>
      <c r="BT106" s="442">
        <f t="shared" si="6"/>
        <v>0</v>
      </c>
      <c r="BU106" s="442">
        <f t="shared" si="6"/>
        <v>0</v>
      </c>
      <c r="BV106" s="442"/>
      <c r="BW106" s="442">
        <f>-[12]domredemp!BV100</f>
        <v>0</v>
      </c>
      <c r="EQ106" s="53"/>
    </row>
    <row r="107" spans="13:147" hidden="1" x14ac:dyDescent="0.2">
      <c r="M107" s="442">
        <f t="shared" si="7"/>
        <v>-2622353</v>
      </c>
      <c r="N107" s="442">
        <f t="shared" si="7"/>
        <v>0</v>
      </c>
      <c r="O107" s="442">
        <f t="shared" si="7"/>
        <v>0</v>
      </c>
      <c r="P107" s="442">
        <f t="shared" si="7"/>
        <v>0</v>
      </c>
      <c r="Q107" s="442">
        <f t="shared" si="7"/>
        <v>0</v>
      </c>
      <c r="R107" s="442">
        <f t="shared" si="7"/>
        <v>29682</v>
      </c>
      <c r="S107" s="442">
        <f t="shared" si="7"/>
        <v>0</v>
      </c>
      <c r="T107" s="442">
        <f t="shared" si="7"/>
        <v>0</v>
      </c>
      <c r="U107" s="442">
        <f t="shared" si="7"/>
        <v>0</v>
      </c>
      <c r="V107" s="442">
        <f t="shared" si="7"/>
        <v>0</v>
      </c>
      <c r="W107" s="442">
        <f t="shared" si="7"/>
        <v>0</v>
      </c>
      <c r="X107" s="442">
        <f t="shared" si="6"/>
        <v>0</v>
      </c>
      <c r="Y107" s="442">
        <f t="shared" si="6"/>
        <v>0</v>
      </c>
      <c r="Z107" s="442">
        <f t="shared" si="6"/>
        <v>0</v>
      </c>
      <c r="AA107" s="442">
        <f t="shared" si="6"/>
        <v>0</v>
      </c>
      <c r="AB107" s="442">
        <f t="shared" si="6"/>
        <v>0</v>
      </c>
      <c r="AC107" s="442">
        <f t="shared" ref="AC107:BU112" si="8">AC36-CU36</f>
        <v>0</v>
      </c>
      <c r="AD107" s="442">
        <f t="shared" si="8"/>
        <v>0</v>
      </c>
      <c r="AE107" s="442">
        <f t="shared" si="8"/>
        <v>0</v>
      </c>
      <c r="AF107" s="442">
        <f t="shared" si="8"/>
        <v>0</v>
      </c>
      <c r="AG107" s="442">
        <f t="shared" si="8"/>
        <v>-289217</v>
      </c>
      <c r="AH107" s="442">
        <f t="shared" si="8"/>
        <v>0</v>
      </c>
      <c r="AI107" s="442">
        <f t="shared" si="8"/>
        <v>0</v>
      </c>
      <c r="AJ107" s="442">
        <f t="shared" si="8"/>
        <v>0</v>
      </c>
      <c r="AK107" s="442">
        <f t="shared" si="8"/>
        <v>0</v>
      </c>
      <c r="AL107" s="442">
        <f t="shared" si="8"/>
        <v>-235010</v>
      </c>
      <c r="AM107" s="442">
        <f t="shared" si="8"/>
        <v>0</v>
      </c>
      <c r="AN107" s="442">
        <f t="shared" si="8"/>
        <v>0</v>
      </c>
      <c r="AO107" s="442">
        <f t="shared" si="8"/>
        <v>0</v>
      </c>
      <c r="AP107" s="442">
        <f t="shared" si="8"/>
        <v>0</v>
      </c>
      <c r="AQ107" s="442">
        <f t="shared" si="8"/>
        <v>0</v>
      </c>
      <c r="AR107" s="442">
        <f t="shared" si="8"/>
        <v>0</v>
      </c>
      <c r="AS107" s="442">
        <f t="shared" si="8"/>
        <v>0</v>
      </c>
      <c r="AT107" s="442">
        <f t="shared" si="8"/>
        <v>0</v>
      </c>
      <c r="AU107" s="442">
        <f t="shared" si="8"/>
        <v>0</v>
      </c>
      <c r="AV107" s="442">
        <f t="shared" si="8"/>
        <v>-64127</v>
      </c>
      <c r="AW107" s="442">
        <f t="shared" si="8"/>
        <v>0</v>
      </c>
      <c r="AX107" s="442">
        <f t="shared" si="8"/>
        <v>0</v>
      </c>
      <c r="AY107" s="442">
        <f t="shared" si="8"/>
        <v>0</v>
      </c>
      <c r="AZ107" s="442">
        <f t="shared" si="8"/>
        <v>0</v>
      </c>
      <c r="BA107" s="442">
        <f t="shared" si="8"/>
        <v>0</v>
      </c>
      <c r="BB107" s="442">
        <f t="shared" si="8"/>
        <v>0</v>
      </c>
      <c r="BC107" s="442">
        <f t="shared" si="8"/>
        <v>0</v>
      </c>
      <c r="BD107" s="442">
        <f t="shared" si="8"/>
        <v>0</v>
      </c>
      <c r="BE107" s="442">
        <f t="shared" si="8"/>
        <v>0</v>
      </c>
      <c r="BF107" s="442">
        <f t="shared" si="8"/>
        <v>0</v>
      </c>
      <c r="BG107" s="442">
        <f t="shared" si="8"/>
        <v>0</v>
      </c>
      <c r="BH107" s="442">
        <f t="shared" si="8"/>
        <v>0</v>
      </c>
      <c r="BI107" s="442">
        <f t="shared" si="8"/>
        <v>0</v>
      </c>
      <c r="BJ107" s="442">
        <f t="shared" si="8"/>
        <v>0</v>
      </c>
      <c r="BK107" s="442">
        <f t="shared" si="8"/>
        <v>0</v>
      </c>
      <c r="BL107" s="442">
        <f t="shared" si="8"/>
        <v>0</v>
      </c>
      <c r="BM107" s="442">
        <f t="shared" si="8"/>
        <v>0</v>
      </c>
      <c r="BN107" s="442">
        <f t="shared" si="8"/>
        <v>0</v>
      </c>
      <c r="BO107" s="442">
        <f t="shared" si="8"/>
        <v>0</v>
      </c>
      <c r="BP107" s="442">
        <f t="shared" si="8"/>
        <v>-663239</v>
      </c>
      <c r="BQ107" s="442">
        <f t="shared" si="8"/>
        <v>0</v>
      </c>
      <c r="BR107" s="442">
        <f t="shared" si="8"/>
        <v>0</v>
      </c>
      <c r="BS107" s="442">
        <f t="shared" si="8"/>
        <v>0</v>
      </c>
      <c r="BT107" s="442">
        <f t="shared" si="8"/>
        <v>0</v>
      </c>
      <c r="BU107" s="442">
        <f t="shared" si="8"/>
        <v>-2592671</v>
      </c>
      <c r="BV107" s="442"/>
      <c r="BW107" s="442"/>
      <c r="EQ107" s="53"/>
    </row>
    <row r="108" spans="13:147" hidden="1" x14ac:dyDescent="0.2">
      <c r="M108" s="442">
        <f t="shared" si="7"/>
        <v>2622353</v>
      </c>
      <c r="N108" s="442">
        <f t="shared" si="7"/>
        <v>0</v>
      </c>
      <c r="O108" s="442">
        <f t="shared" si="7"/>
        <v>0</v>
      </c>
      <c r="P108" s="442">
        <f t="shared" si="7"/>
        <v>0</v>
      </c>
      <c r="Q108" s="442">
        <f t="shared" si="7"/>
        <v>0</v>
      </c>
      <c r="R108" s="442">
        <f t="shared" si="7"/>
        <v>-29682</v>
      </c>
      <c r="S108" s="442">
        <f t="shared" si="7"/>
        <v>0</v>
      </c>
      <c r="T108" s="442">
        <f t="shared" si="7"/>
        <v>0</v>
      </c>
      <c r="U108" s="442">
        <f t="shared" si="7"/>
        <v>0</v>
      </c>
      <c r="V108" s="442">
        <f t="shared" si="7"/>
        <v>0</v>
      </c>
      <c r="W108" s="442">
        <f t="shared" si="7"/>
        <v>0</v>
      </c>
      <c r="X108" s="442">
        <f t="shared" si="7"/>
        <v>0</v>
      </c>
      <c r="Y108" s="442">
        <f t="shared" si="7"/>
        <v>0</v>
      </c>
      <c r="Z108" s="442">
        <f t="shared" si="7"/>
        <v>0</v>
      </c>
      <c r="AA108" s="442">
        <f t="shared" si="7"/>
        <v>0</v>
      </c>
      <c r="AB108" s="442">
        <f t="shared" si="7"/>
        <v>0</v>
      </c>
      <c r="AC108" s="442">
        <f t="shared" si="8"/>
        <v>0</v>
      </c>
      <c r="AD108" s="442">
        <f t="shared" si="8"/>
        <v>0</v>
      </c>
      <c r="AE108" s="442">
        <f t="shared" si="8"/>
        <v>0</v>
      </c>
      <c r="AF108" s="442">
        <f t="shared" si="8"/>
        <v>0</v>
      </c>
      <c r="AG108" s="442">
        <f t="shared" si="8"/>
        <v>289217</v>
      </c>
      <c r="AH108" s="442">
        <f t="shared" si="8"/>
        <v>0</v>
      </c>
      <c r="AI108" s="442">
        <f t="shared" si="8"/>
        <v>0</v>
      </c>
      <c r="AJ108" s="442">
        <f t="shared" si="8"/>
        <v>0</v>
      </c>
      <c r="AK108" s="442">
        <f t="shared" si="8"/>
        <v>0</v>
      </c>
      <c r="AL108" s="442">
        <f t="shared" si="8"/>
        <v>235010</v>
      </c>
      <c r="AM108" s="442">
        <f t="shared" si="8"/>
        <v>0</v>
      </c>
      <c r="AN108" s="442">
        <f t="shared" si="8"/>
        <v>0</v>
      </c>
      <c r="AO108" s="442">
        <f t="shared" si="8"/>
        <v>0</v>
      </c>
      <c r="AP108" s="442">
        <f t="shared" si="8"/>
        <v>0</v>
      </c>
      <c r="AQ108" s="442">
        <f t="shared" si="8"/>
        <v>0</v>
      </c>
      <c r="AR108" s="442">
        <f t="shared" si="8"/>
        <v>0</v>
      </c>
      <c r="AS108" s="442">
        <f t="shared" si="8"/>
        <v>0</v>
      </c>
      <c r="AT108" s="442">
        <f t="shared" si="8"/>
        <v>0</v>
      </c>
      <c r="AU108" s="442">
        <f t="shared" si="8"/>
        <v>0</v>
      </c>
      <c r="AV108" s="442">
        <f t="shared" si="8"/>
        <v>64127</v>
      </c>
      <c r="AW108" s="442">
        <f t="shared" si="8"/>
        <v>0</v>
      </c>
      <c r="AX108" s="442">
        <f t="shared" si="8"/>
        <v>0</v>
      </c>
      <c r="AY108" s="442">
        <f t="shared" si="8"/>
        <v>0</v>
      </c>
      <c r="AZ108" s="442">
        <f t="shared" si="8"/>
        <v>0</v>
      </c>
      <c r="BA108" s="442">
        <f t="shared" si="8"/>
        <v>0</v>
      </c>
      <c r="BB108" s="442">
        <f t="shared" si="8"/>
        <v>0</v>
      </c>
      <c r="BC108" s="442">
        <f t="shared" si="8"/>
        <v>0</v>
      </c>
      <c r="BD108" s="442">
        <f t="shared" si="8"/>
        <v>0</v>
      </c>
      <c r="BE108" s="442">
        <f t="shared" si="8"/>
        <v>0</v>
      </c>
      <c r="BF108" s="442">
        <f t="shared" si="8"/>
        <v>0</v>
      </c>
      <c r="BG108" s="442">
        <f t="shared" si="8"/>
        <v>0</v>
      </c>
      <c r="BH108" s="442">
        <f t="shared" si="8"/>
        <v>0</v>
      </c>
      <c r="BI108" s="442">
        <f t="shared" si="8"/>
        <v>0</v>
      </c>
      <c r="BJ108" s="442">
        <f t="shared" si="8"/>
        <v>0</v>
      </c>
      <c r="BK108" s="442">
        <f t="shared" si="8"/>
        <v>0</v>
      </c>
      <c r="BL108" s="442">
        <f t="shared" si="8"/>
        <v>0</v>
      </c>
      <c r="BM108" s="442">
        <f t="shared" si="8"/>
        <v>0</v>
      </c>
      <c r="BN108" s="442">
        <f t="shared" si="8"/>
        <v>0</v>
      </c>
      <c r="BO108" s="442">
        <f t="shared" si="8"/>
        <v>0</v>
      </c>
      <c r="BP108" s="442">
        <f t="shared" si="8"/>
        <v>663239</v>
      </c>
      <c r="BQ108" s="442">
        <f t="shared" si="8"/>
        <v>0</v>
      </c>
      <c r="BR108" s="442">
        <f t="shared" si="8"/>
        <v>0</v>
      </c>
      <c r="BS108" s="442">
        <f t="shared" si="8"/>
        <v>0</v>
      </c>
      <c r="BT108" s="442">
        <f t="shared" si="8"/>
        <v>0</v>
      </c>
      <c r="BU108" s="442">
        <f t="shared" si="8"/>
        <v>2592671</v>
      </c>
      <c r="BV108" s="442"/>
      <c r="BW108" s="442">
        <f>SUM(BW109:BW109)</f>
        <v>0</v>
      </c>
      <c r="EQ108" s="53"/>
    </row>
    <row r="109" spans="13:147" hidden="1" x14ac:dyDescent="0.2">
      <c r="M109" s="442">
        <f t="shared" si="7"/>
        <v>0</v>
      </c>
      <c r="N109" s="442">
        <f t="shared" si="7"/>
        <v>0</v>
      </c>
      <c r="O109" s="442">
        <f t="shared" si="7"/>
        <v>0</v>
      </c>
      <c r="P109" s="442">
        <f t="shared" si="7"/>
        <v>0</v>
      </c>
      <c r="Q109" s="442">
        <f t="shared" si="7"/>
        <v>0</v>
      </c>
      <c r="R109" s="442">
        <f t="shared" si="7"/>
        <v>0</v>
      </c>
      <c r="S109" s="442">
        <f t="shared" si="7"/>
        <v>0</v>
      </c>
      <c r="T109" s="442">
        <f t="shared" si="7"/>
        <v>0</v>
      </c>
      <c r="U109" s="442">
        <f t="shared" si="7"/>
        <v>0</v>
      </c>
      <c r="V109" s="442">
        <f t="shared" si="7"/>
        <v>0</v>
      </c>
      <c r="W109" s="442">
        <f t="shared" si="7"/>
        <v>0</v>
      </c>
      <c r="X109" s="442">
        <f t="shared" si="7"/>
        <v>0</v>
      </c>
      <c r="Y109" s="442">
        <f t="shared" si="7"/>
        <v>0</v>
      </c>
      <c r="Z109" s="442">
        <f t="shared" si="7"/>
        <v>0</v>
      </c>
      <c r="AA109" s="442">
        <f t="shared" si="7"/>
        <v>0</v>
      </c>
      <c r="AB109" s="442">
        <f t="shared" si="7"/>
        <v>0</v>
      </c>
      <c r="AC109" s="442">
        <f t="shared" si="8"/>
        <v>0</v>
      </c>
      <c r="AD109" s="442">
        <f t="shared" si="8"/>
        <v>0</v>
      </c>
      <c r="AE109" s="442">
        <f t="shared" si="8"/>
        <v>0</v>
      </c>
      <c r="AF109" s="442">
        <f t="shared" si="8"/>
        <v>0</v>
      </c>
      <c r="AG109" s="442">
        <f t="shared" si="8"/>
        <v>0</v>
      </c>
      <c r="AH109" s="442">
        <f t="shared" si="8"/>
        <v>0</v>
      </c>
      <c r="AI109" s="442">
        <f t="shared" si="8"/>
        <v>0</v>
      </c>
      <c r="AJ109" s="442">
        <f t="shared" si="8"/>
        <v>0</v>
      </c>
      <c r="AK109" s="442">
        <f t="shared" si="8"/>
        <v>0</v>
      </c>
      <c r="AL109" s="442">
        <f t="shared" si="8"/>
        <v>0</v>
      </c>
      <c r="AM109" s="442">
        <f t="shared" si="8"/>
        <v>0</v>
      </c>
      <c r="AN109" s="442">
        <f t="shared" si="8"/>
        <v>0</v>
      </c>
      <c r="AO109" s="442">
        <f t="shared" si="8"/>
        <v>0</v>
      </c>
      <c r="AP109" s="442">
        <f t="shared" si="8"/>
        <v>0</v>
      </c>
      <c r="AQ109" s="442">
        <f t="shared" si="8"/>
        <v>0</v>
      </c>
      <c r="AR109" s="442">
        <f t="shared" si="8"/>
        <v>0</v>
      </c>
      <c r="AS109" s="442">
        <f t="shared" si="8"/>
        <v>0</v>
      </c>
      <c r="AT109" s="442">
        <f t="shared" si="8"/>
        <v>0</v>
      </c>
      <c r="AU109" s="442">
        <f t="shared" si="8"/>
        <v>0</v>
      </c>
      <c r="AV109" s="442">
        <f t="shared" si="8"/>
        <v>0</v>
      </c>
      <c r="AW109" s="442">
        <f t="shared" si="8"/>
        <v>0</v>
      </c>
      <c r="AX109" s="442">
        <f t="shared" si="8"/>
        <v>0</v>
      </c>
      <c r="AY109" s="442">
        <f t="shared" si="8"/>
        <v>0</v>
      </c>
      <c r="AZ109" s="442">
        <f t="shared" si="8"/>
        <v>0</v>
      </c>
      <c r="BA109" s="442">
        <f t="shared" si="8"/>
        <v>0</v>
      </c>
      <c r="BB109" s="442">
        <f t="shared" si="8"/>
        <v>0</v>
      </c>
      <c r="BC109" s="442">
        <f t="shared" si="8"/>
        <v>0</v>
      </c>
      <c r="BD109" s="442">
        <f t="shared" si="8"/>
        <v>0</v>
      </c>
      <c r="BE109" s="442">
        <f t="shared" si="8"/>
        <v>0</v>
      </c>
      <c r="BF109" s="442">
        <f t="shared" si="8"/>
        <v>0</v>
      </c>
      <c r="BG109" s="442">
        <f t="shared" si="8"/>
        <v>0</v>
      </c>
      <c r="BH109" s="442">
        <f t="shared" si="8"/>
        <v>0</v>
      </c>
      <c r="BI109" s="442">
        <f t="shared" si="8"/>
        <v>0</v>
      </c>
      <c r="BJ109" s="442">
        <f t="shared" si="8"/>
        <v>0</v>
      </c>
      <c r="BK109" s="442">
        <f t="shared" si="8"/>
        <v>0</v>
      </c>
      <c r="BL109" s="442">
        <f t="shared" si="8"/>
        <v>0</v>
      </c>
      <c r="BM109" s="442">
        <f t="shared" si="8"/>
        <v>0</v>
      </c>
      <c r="BN109" s="442">
        <f t="shared" si="8"/>
        <v>0</v>
      </c>
      <c r="BO109" s="442">
        <f t="shared" si="8"/>
        <v>0</v>
      </c>
      <c r="BP109" s="442">
        <f>BP38-EH38</f>
        <v>0</v>
      </c>
      <c r="BQ109" s="442">
        <f t="shared" si="8"/>
        <v>0</v>
      </c>
      <c r="BR109" s="442">
        <f t="shared" si="8"/>
        <v>0</v>
      </c>
      <c r="BS109" s="442">
        <f t="shared" si="8"/>
        <v>0</v>
      </c>
      <c r="BT109" s="442">
        <f t="shared" si="8"/>
        <v>0</v>
      </c>
      <c r="BU109" s="442">
        <f t="shared" si="8"/>
        <v>0</v>
      </c>
      <c r="BV109" s="442"/>
      <c r="BW109" s="442">
        <f>[12]domlongtermissues!BV99</f>
        <v>0</v>
      </c>
      <c r="EQ109" s="53"/>
    </row>
    <row r="110" spans="13:147" hidden="1" x14ac:dyDescent="0.2">
      <c r="M110" s="442">
        <f t="shared" si="7"/>
        <v>0</v>
      </c>
      <c r="N110" s="442">
        <f t="shared" si="7"/>
        <v>0</v>
      </c>
      <c r="O110" s="442">
        <f t="shared" si="7"/>
        <v>0</v>
      </c>
      <c r="P110" s="442">
        <f t="shared" si="7"/>
        <v>0</v>
      </c>
      <c r="Q110" s="442">
        <f t="shared" si="7"/>
        <v>0</v>
      </c>
      <c r="R110" s="442">
        <f t="shared" si="7"/>
        <v>0</v>
      </c>
      <c r="S110" s="442">
        <f t="shared" si="7"/>
        <v>0</v>
      </c>
      <c r="T110" s="442">
        <f t="shared" si="7"/>
        <v>0</v>
      </c>
      <c r="U110" s="442">
        <f t="shared" si="7"/>
        <v>0</v>
      </c>
      <c r="V110" s="442">
        <f t="shared" si="7"/>
        <v>0</v>
      </c>
      <c r="W110" s="442">
        <f t="shared" si="7"/>
        <v>0</v>
      </c>
      <c r="X110" s="442">
        <f t="shared" si="7"/>
        <v>0</v>
      </c>
      <c r="Y110" s="442">
        <f t="shared" si="7"/>
        <v>0</v>
      </c>
      <c r="Z110" s="442">
        <f t="shared" si="7"/>
        <v>0</v>
      </c>
      <c r="AA110" s="442">
        <f t="shared" si="7"/>
        <v>0</v>
      </c>
      <c r="AB110" s="442">
        <f t="shared" si="7"/>
        <v>0</v>
      </c>
      <c r="AC110" s="442">
        <f t="shared" si="8"/>
        <v>0</v>
      </c>
      <c r="AD110" s="442">
        <f t="shared" si="8"/>
        <v>0</v>
      </c>
      <c r="AE110" s="442">
        <f t="shared" si="8"/>
        <v>0</v>
      </c>
      <c r="AF110" s="442">
        <f t="shared" si="8"/>
        <v>0</v>
      </c>
      <c r="AG110" s="442">
        <f t="shared" si="8"/>
        <v>0</v>
      </c>
      <c r="AH110" s="442">
        <f t="shared" si="8"/>
        <v>0</v>
      </c>
      <c r="AI110" s="442">
        <f t="shared" si="8"/>
        <v>0</v>
      </c>
      <c r="AJ110" s="442">
        <f t="shared" si="8"/>
        <v>0</v>
      </c>
      <c r="AK110" s="442">
        <f t="shared" si="8"/>
        <v>0</v>
      </c>
      <c r="AL110" s="442">
        <f t="shared" si="8"/>
        <v>0</v>
      </c>
      <c r="AM110" s="442">
        <f t="shared" si="8"/>
        <v>0</v>
      </c>
      <c r="AN110" s="442">
        <f t="shared" si="8"/>
        <v>0</v>
      </c>
      <c r="AO110" s="442">
        <f t="shared" si="8"/>
        <v>0</v>
      </c>
      <c r="AP110" s="442">
        <f t="shared" si="8"/>
        <v>0</v>
      </c>
      <c r="AQ110" s="442">
        <f t="shared" si="8"/>
        <v>0</v>
      </c>
      <c r="AR110" s="442">
        <f t="shared" si="8"/>
        <v>0</v>
      </c>
      <c r="AS110" s="442">
        <f t="shared" si="8"/>
        <v>0</v>
      </c>
      <c r="AT110" s="442">
        <f t="shared" si="8"/>
        <v>0</v>
      </c>
      <c r="AU110" s="442">
        <f t="shared" si="8"/>
        <v>0</v>
      </c>
      <c r="AV110" s="442">
        <f t="shared" si="8"/>
        <v>0</v>
      </c>
      <c r="AW110" s="442">
        <f t="shared" si="8"/>
        <v>0</v>
      </c>
      <c r="AX110" s="442">
        <f t="shared" si="8"/>
        <v>0</v>
      </c>
      <c r="AY110" s="442">
        <f t="shared" si="8"/>
        <v>0</v>
      </c>
      <c r="AZ110" s="442">
        <f t="shared" si="8"/>
        <v>0</v>
      </c>
      <c r="BA110" s="442">
        <f t="shared" si="8"/>
        <v>0</v>
      </c>
      <c r="BB110" s="442">
        <f t="shared" si="8"/>
        <v>0</v>
      </c>
      <c r="BC110" s="442">
        <f t="shared" si="8"/>
        <v>0</v>
      </c>
      <c r="BD110" s="442">
        <f t="shared" si="8"/>
        <v>0</v>
      </c>
      <c r="BE110" s="442">
        <f t="shared" si="8"/>
        <v>0</v>
      </c>
      <c r="BF110" s="442">
        <f t="shared" si="8"/>
        <v>0</v>
      </c>
      <c r="BG110" s="442">
        <f t="shared" si="8"/>
        <v>0</v>
      </c>
      <c r="BH110" s="442">
        <f t="shared" si="8"/>
        <v>0</v>
      </c>
      <c r="BI110" s="442">
        <f t="shared" si="8"/>
        <v>0</v>
      </c>
      <c r="BJ110" s="442">
        <f t="shared" si="8"/>
        <v>0</v>
      </c>
      <c r="BK110" s="442">
        <f t="shared" si="8"/>
        <v>0</v>
      </c>
      <c r="BL110" s="442">
        <f t="shared" si="8"/>
        <v>0</v>
      </c>
      <c r="BM110" s="442">
        <f t="shared" si="8"/>
        <v>0</v>
      </c>
      <c r="BN110" s="442">
        <f t="shared" si="8"/>
        <v>0</v>
      </c>
      <c r="BO110" s="442">
        <f t="shared" si="8"/>
        <v>0</v>
      </c>
      <c r="BP110" s="442">
        <f t="shared" si="8"/>
        <v>0</v>
      </c>
      <c r="BQ110" s="442">
        <f t="shared" si="8"/>
        <v>0</v>
      </c>
      <c r="BR110" s="442">
        <f t="shared" si="8"/>
        <v>0</v>
      </c>
      <c r="BS110" s="442">
        <f t="shared" si="8"/>
        <v>0</v>
      </c>
      <c r="BT110" s="442">
        <f t="shared" si="8"/>
        <v>0</v>
      </c>
      <c r="BU110" s="442">
        <f t="shared" si="8"/>
        <v>0</v>
      </c>
      <c r="BV110" s="442"/>
      <c r="BW110" s="442"/>
      <c r="EQ110" s="53"/>
    </row>
    <row r="111" spans="13:147" hidden="1" x14ac:dyDescent="0.2">
      <c r="M111" s="442">
        <f t="shared" si="7"/>
        <v>0</v>
      </c>
      <c r="N111" s="442">
        <f t="shared" si="7"/>
        <v>0</v>
      </c>
      <c r="O111" s="442">
        <f t="shared" si="7"/>
        <v>0</v>
      </c>
      <c r="P111" s="442">
        <f t="shared" si="7"/>
        <v>0</v>
      </c>
      <c r="Q111" s="442">
        <f t="shared" si="7"/>
        <v>0</v>
      </c>
      <c r="R111" s="442">
        <f t="shared" si="7"/>
        <v>0</v>
      </c>
      <c r="S111" s="442">
        <f t="shared" si="7"/>
        <v>0</v>
      </c>
      <c r="T111" s="442">
        <f t="shared" si="7"/>
        <v>0</v>
      </c>
      <c r="U111" s="442">
        <f t="shared" si="7"/>
        <v>0</v>
      </c>
      <c r="V111" s="442">
        <f t="shared" si="7"/>
        <v>0</v>
      </c>
      <c r="W111" s="442">
        <f t="shared" si="7"/>
        <v>0</v>
      </c>
      <c r="X111" s="442">
        <f t="shared" si="7"/>
        <v>0</v>
      </c>
      <c r="Y111" s="442">
        <f t="shared" si="7"/>
        <v>0</v>
      </c>
      <c r="Z111" s="442">
        <f t="shared" si="7"/>
        <v>0</v>
      </c>
      <c r="AA111" s="442">
        <f t="shared" si="7"/>
        <v>0</v>
      </c>
      <c r="AB111" s="442">
        <f t="shared" si="7"/>
        <v>0</v>
      </c>
      <c r="AC111" s="442">
        <f t="shared" si="8"/>
        <v>0</v>
      </c>
      <c r="AD111" s="442">
        <f t="shared" si="8"/>
        <v>0</v>
      </c>
      <c r="AE111" s="442">
        <f t="shared" si="8"/>
        <v>0</v>
      </c>
      <c r="AF111" s="442">
        <f t="shared" si="8"/>
        <v>0</v>
      </c>
      <c r="AG111" s="442">
        <f t="shared" si="8"/>
        <v>0</v>
      </c>
      <c r="AH111" s="442">
        <f t="shared" si="8"/>
        <v>0</v>
      </c>
      <c r="AI111" s="442">
        <f t="shared" si="8"/>
        <v>0</v>
      </c>
      <c r="AJ111" s="442">
        <f t="shared" si="8"/>
        <v>0</v>
      </c>
      <c r="AK111" s="442">
        <f t="shared" si="8"/>
        <v>0</v>
      </c>
      <c r="AL111" s="442">
        <f t="shared" si="8"/>
        <v>0</v>
      </c>
      <c r="AM111" s="442">
        <f t="shared" si="8"/>
        <v>0</v>
      </c>
      <c r="AN111" s="442">
        <f t="shared" si="8"/>
        <v>0</v>
      </c>
      <c r="AO111" s="442">
        <f t="shared" si="8"/>
        <v>0</v>
      </c>
      <c r="AP111" s="442">
        <f t="shared" si="8"/>
        <v>0</v>
      </c>
      <c r="AQ111" s="442">
        <f t="shared" si="8"/>
        <v>0</v>
      </c>
      <c r="AR111" s="442">
        <f t="shared" si="8"/>
        <v>0</v>
      </c>
      <c r="AS111" s="442">
        <f t="shared" si="8"/>
        <v>0</v>
      </c>
      <c r="AT111" s="442">
        <f t="shared" si="8"/>
        <v>0</v>
      </c>
      <c r="AU111" s="442">
        <f t="shared" si="8"/>
        <v>0</v>
      </c>
      <c r="AV111" s="442">
        <f t="shared" si="8"/>
        <v>0</v>
      </c>
      <c r="AW111" s="442">
        <f t="shared" si="8"/>
        <v>0</v>
      </c>
      <c r="AX111" s="442">
        <f t="shared" si="8"/>
        <v>0</v>
      </c>
      <c r="AY111" s="442">
        <f t="shared" si="8"/>
        <v>0</v>
      </c>
      <c r="AZ111" s="442">
        <f t="shared" si="8"/>
        <v>0</v>
      </c>
      <c r="BA111" s="442">
        <f t="shared" si="8"/>
        <v>0</v>
      </c>
      <c r="BB111" s="442">
        <f t="shared" si="8"/>
        <v>0</v>
      </c>
      <c r="BC111" s="442">
        <f t="shared" si="8"/>
        <v>0</v>
      </c>
      <c r="BD111" s="442">
        <f t="shared" si="8"/>
        <v>0</v>
      </c>
      <c r="BE111" s="442">
        <f t="shared" si="8"/>
        <v>0</v>
      </c>
      <c r="BF111" s="442">
        <f t="shared" si="8"/>
        <v>0</v>
      </c>
      <c r="BG111" s="442">
        <f t="shared" si="8"/>
        <v>0</v>
      </c>
      <c r="BH111" s="442">
        <f t="shared" si="8"/>
        <v>0</v>
      </c>
      <c r="BI111" s="442">
        <f t="shared" si="8"/>
        <v>0</v>
      </c>
      <c r="BJ111" s="442">
        <f t="shared" si="8"/>
        <v>0</v>
      </c>
      <c r="BK111" s="442">
        <f t="shared" si="8"/>
        <v>0</v>
      </c>
      <c r="BL111" s="442">
        <f t="shared" si="8"/>
        <v>0</v>
      </c>
      <c r="BM111" s="442">
        <f t="shared" si="8"/>
        <v>0</v>
      </c>
      <c r="BN111" s="442">
        <f t="shared" si="8"/>
        <v>0</v>
      </c>
      <c r="BO111" s="442">
        <f t="shared" si="8"/>
        <v>0</v>
      </c>
      <c r="BP111" s="442">
        <f t="shared" si="8"/>
        <v>0</v>
      </c>
      <c r="BQ111" s="442">
        <f t="shared" si="8"/>
        <v>0</v>
      </c>
      <c r="BR111" s="442">
        <f t="shared" si="8"/>
        <v>0</v>
      </c>
      <c r="BS111" s="442">
        <f t="shared" si="8"/>
        <v>0</v>
      </c>
      <c r="BT111" s="442">
        <f t="shared" si="8"/>
        <v>0</v>
      </c>
      <c r="BU111" s="442">
        <f t="shared" si="8"/>
        <v>0</v>
      </c>
      <c r="BV111" s="442"/>
      <c r="BW111" s="442"/>
      <c r="EQ111" s="53"/>
    </row>
    <row r="112" spans="13:147" hidden="1" x14ac:dyDescent="0.2">
      <c r="M112" s="442">
        <f t="shared" si="7"/>
        <v>0</v>
      </c>
      <c r="N112" s="442">
        <f t="shared" si="7"/>
        <v>0</v>
      </c>
      <c r="O112" s="442">
        <f t="shared" si="7"/>
        <v>0</v>
      </c>
      <c r="P112" s="442">
        <f t="shared" si="7"/>
        <v>0</v>
      </c>
      <c r="Q112" s="442">
        <f t="shared" si="7"/>
        <v>0</v>
      </c>
      <c r="R112" s="442">
        <f t="shared" si="7"/>
        <v>0</v>
      </c>
      <c r="S112" s="442">
        <f t="shared" si="7"/>
        <v>0</v>
      </c>
      <c r="T112" s="442">
        <f t="shared" si="7"/>
        <v>0</v>
      </c>
      <c r="U112" s="442">
        <f t="shared" si="7"/>
        <v>0</v>
      </c>
      <c r="V112" s="442">
        <f t="shared" si="7"/>
        <v>0</v>
      </c>
      <c r="W112" s="442">
        <f t="shared" si="7"/>
        <v>0</v>
      </c>
      <c r="X112" s="442">
        <f t="shared" si="7"/>
        <v>0</v>
      </c>
      <c r="Y112" s="442">
        <f t="shared" si="7"/>
        <v>0</v>
      </c>
      <c r="Z112" s="442">
        <f t="shared" si="7"/>
        <v>0</v>
      </c>
      <c r="AA112" s="442">
        <f t="shared" si="7"/>
        <v>0</v>
      </c>
      <c r="AB112" s="442">
        <f t="shared" si="7"/>
        <v>0</v>
      </c>
      <c r="AC112" s="442">
        <f t="shared" si="8"/>
        <v>0</v>
      </c>
      <c r="AD112" s="442">
        <f t="shared" si="8"/>
        <v>0</v>
      </c>
      <c r="AE112" s="442">
        <f t="shared" si="8"/>
        <v>0</v>
      </c>
      <c r="AF112" s="442">
        <f t="shared" si="8"/>
        <v>0</v>
      </c>
      <c r="AG112" s="442">
        <f t="shared" si="8"/>
        <v>0</v>
      </c>
      <c r="AH112" s="442">
        <f t="shared" si="8"/>
        <v>0</v>
      </c>
      <c r="AI112" s="442">
        <f t="shared" si="8"/>
        <v>0</v>
      </c>
      <c r="AJ112" s="442">
        <f t="shared" si="8"/>
        <v>0</v>
      </c>
      <c r="AK112" s="442">
        <f t="shared" si="8"/>
        <v>0</v>
      </c>
      <c r="AL112" s="442">
        <f t="shared" si="8"/>
        <v>0</v>
      </c>
      <c r="AM112" s="442">
        <f t="shared" si="8"/>
        <v>0</v>
      </c>
      <c r="AN112" s="442">
        <f t="shared" si="8"/>
        <v>0</v>
      </c>
      <c r="AO112" s="442">
        <f t="shared" si="8"/>
        <v>0</v>
      </c>
      <c r="AP112" s="442">
        <f t="shared" si="8"/>
        <v>0</v>
      </c>
      <c r="AQ112" s="442">
        <f t="shared" si="8"/>
        <v>0</v>
      </c>
      <c r="AR112" s="442">
        <f t="shared" si="8"/>
        <v>0</v>
      </c>
      <c r="AS112" s="442">
        <f t="shared" si="8"/>
        <v>0</v>
      </c>
      <c r="AT112" s="442">
        <f t="shared" si="8"/>
        <v>0</v>
      </c>
      <c r="AU112" s="442">
        <f t="shared" si="8"/>
        <v>0</v>
      </c>
      <c r="AV112" s="442">
        <f t="shared" si="8"/>
        <v>0</v>
      </c>
      <c r="AW112" s="442">
        <f t="shared" si="8"/>
        <v>0</v>
      </c>
      <c r="AX112" s="442">
        <f t="shared" si="8"/>
        <v>0</v>
      </c>
      <c r="AY112" s="442">
        <f t="shared" si="8"/>
        <v>0</v>
      </c>
      <c r="AZ112" s="442">
        <f t="shared" si="8"/>
        <v>0</v>
      </c>
      <c r="BA112" s="442">
        <f t="shared" si="8"/>
        <v>0</v>
      </c>
      <c r="BB112" s="442">
        <f t="shared" si="8"/>
        <v>0</v>
      </c>
      <c r="BC112" s="442">
        <f t="shared" si="8"/>
        <v>0</v>
      </c>
      <c r="BD112" s="442">
        <f t="shared" si="8"/>
        <v>0</v>
      </c>
      <c r="BE112" s="442">
        <f t="shared" si="8"/>
        <v>0</v>
      </c>
      <c r="BF112" s="442">
        <f t="shared" si="8"/>
        <v>0</v>
      </c>
      <c r="BG112" s="442">
        <f t="shared" si="8"/>
        <v>0</v>
      </c>
      <c r="BH112" s="442">
        <f t="shared" ref="BH112:BU112" si="9">BH41-DZ41</f>
        <v>0</v>
      </c>
      <c r="BI112" s="442">
        <f t="shared" si="9"/>
        <v>0</v>
      </c>
      <c r="BJ112" s="442">
        <f t="shared" si="9"/>
        <v>0</v>
      </c>
      <c r="BK112" s="442">
        <f t="shared" si="9"/>
        <v>0</v>
      </c>
      <c r="BL112" s="442">
        <f t="shared" si="9"/>
        <v>0</v>
      </c>
      <c r="BM112" s="442">
        <f t="shared" si="9"/>
        <v>0</v>
      </c>
      <c r="BN112" s="442">
        <f t="shared" si="9"/>
        <v>0</v>
      </c>
      <c r="BO112" s="442">
        <f t="shared" si="9"/>
        <v>0</v>
      </c>
      <c r="BP112" s="442">
        <f t="shared" si="9"/>
        <v>0</v>
      </c>
      <c r="BQ112" s="442">
        <f t="shared" si="9"/>
        <v>0</v>
      </c>
      <c r="BR112" s="442">
        <f t="shared" si="9"/>
        <v>0</v>
      </c>
      <c r="BS112" s="442">
        <f t="shared" si="9"/>
        <v>0</v>
      </c>
      <c r="BT112" s="442">
        <f t="shared" si="9"/>
        <v>0</v>
      </c>
      <c r="BU112" s="442">
        <f t="shared" si="9"/>
        <v>0</v>
      </c>
      <c r="BV112" s="442"/>
      <c r="BW112" s="442"/>
      <c r="EQ112" s="53"/>
    </row>
    <row r="113" spans="74:147" hidden="1" x14ac:dyDescent="0.2">
      <c r="BV113" s="442"/>
      <c r="BW113" s="443">
        <f>+BW114+BW122+BW129</f>
        <v>0</v>
      </c>
      <c r="EQ113" s="53"/>
    </row>
    <row r="114" spans="74:147" hidden="1" x14ac:dyDescent="0.2">
      <c r="BV114" s="442"/>
      <c r="BW114" s="442">
        <f>SUM(BW115:BW120)</f>
        <v>0</v>
      </c>
      <c r="EQ114" s="53"/>
    </row>
    <row r="115" spans="74:147" hidden="1" x14ac:dyDescent="0.2">
      <c r="BV115" s="442"/>
      <c r="BW115" s="442">
        <f>+[12]foreigndebt!BV114</f>
        <v>0</v>
      </c>
      <c r="EQ115" s="53"/>
    </row>
    <row r="116" spans="74:147" hidden="1" x14ac:dyDescent="0.2">
      <c r="BV116" s="442"/>
      <c r="BW116" s="442">
        <f>-[12]foreigndebt!BV116</f>
        <v>0</v>
      </c>
      <c r="EQ116" s="53"/>
    </row>
    <row r="117" spans="74:147" hidden="1" x14ac:dyDescent="0.2">
      <c r="BV117" s="442"/>
      <c r="BW117" s="442"/>
      <c r="EQ117" s="53"/>
    </row>
    <row r="118" spans="74:147" hidden="1" x14ac:dyDescent="0.2">
      <c r="BV118" s="442"/>
      <c r="BW118" s="442"/>
      <c r="EQ118" s="53"/>
    </row>
    <row r="119" spans="74:147" hidden="1" x14ac:dyDescent="0.2">
      <c r="BV119" s="442"/>
      <c r="BW119" s="442">
        <f>-[12]foreigndebt!BV185</f>
        <v>0</v>
      </c>
      <c r="EQ119" s="53"/>
    </row>
    <row r="120" spans="74:147" hidden="1" x14ac:dyDescent="0.2">
      <c r="BV120" s="442"/>
      <c r="BW120" s="442">
        <f>-[12]foreigndebt!BV186</f>
        <v>0</v>
      </c>
      <c r="EQ120" s="53"/>
    </row>
    <row r="121" spans="74:147" hidden="1" x14ac:dyDescent="0.2">
      <c r="BV121" s="442"/>
      <c r="BW121" s="442"/>
      <c r="EQ121" s="53"/>
    </row>
    <row r="122" spans="74:147" hidden="1" x14ac:dyDescent="0.2">
      <c r="BV122" s="442"/>
      <c r="BW122" s="442">
        <f>SUM(BW123:BW127)</f>
        <v>0</v>
      </c>
      <c r="EQ122" s="53"/>
    </row>
    <row r="123" spans="74:147" hidden="1" x14ac:dyDescent="0.2">
      <c r="BV123" s="442"/>
      <c r="BW123" s="442">
        <f>[12]foreigndebt!BV135</f>
        <v>0</v>
      </c>
      <c r="EQ123" s="53"/>
    </row>
    <row r="124" spans="74:147" hidden="1" x14ac:dyDescent="0.2">
      <c r="BV124" s="442"/>
      <c r="BW124" s="442">
        <f>-[12]foreigndebt!BV137</f>
        <v>0</v>
      </c>
      <c r="EQ124" s="53"/>
    </row>
    <row r="125" spans="74:147" hidden="1" x14ac:dyDescent="0.2">
      <c r="BV125" s="442"/>
      <c r="BW125" s="442"/>
      <c r="EQ125" s="53"/>
    </row>
    <row r="126" spans="74:147" hidden="1" x14ac:dyDescent="0.2">
      <c r="BV126" s="442"/>
      <c r="BW126" s="442">
        <f>-[12]foreigndebt!BV228</f>
        <v>0</v>
      </c>
      <c r="EQ126" s="53"/>
    </row>
    <row r="127" spans="74:147" hidden="1" x14ac:dyDescent="0.2">
      <c r="BV127" s="442"/>
      <c r="BW127" s="442">
        <f>-[12]foreigndebt!BV229</f>
        <v>0</v>
      </c>
      <c r="EQ127" s="53"/>
    </row>
    <row r="128" spans="74:147" hidden="1" x14ac:dyDescent="0.2">
      <c r="BV128" s="442"/>
      <c r="BW128" s="442"/>
      <c r="EQ128" s="53"/>
    </row>
    <row r="129" spans="74:147" hidden="1" x14ac:dyDescent="0.2">
      <c r="BV129" s="442"/>
      <c r="BW129" s="442">
        <f>SUM(BW130:BW134)</f>
        <v>0</v>
      </c>
      <c r="EQ129" s="53"/>
    </row>
    <row r="130" spans="74:147" hidden="1" x14ac:dyDescent="0.2">
      <c r="BV130" s="442"/>
      <c r="BW130" s="442">
        <f>[12]foreigndebt!BV149</f>
        <v>0</v>
      </c>
      <c r="EQ130" s="53"/>
    </row>
    <row r="131" spans="74:147" hidden="1" x14ac:dyDescent="0.2">
      <c r="BV131" s="442"/>
      <c r="BW131" s="442">
        <f>-[12]foreigndebt!BV151</f>
        <v>0</v>
      </c>
      <c r="EQ131" s="53"/>
    </row>
    <row r="132" spans="74:147" hidden="1" x14ac:dyDescent="0.2">
      <c r="BV132" s="442"/>
      <c r="BW132" s="442"/>
      <c r="EQ132" s="53"/>
    </row>
    <row r="133" spans="74:147" hidden="1" x14ac:dyDescent="0.2">
      <c r="BV133" s="442"/>
      <c r="BW133" s="442">
        <f>-[12]foreigndebt!BV240</f>
        <v>0</v>
      </c>
      <c r="EQ133" s="53"/>
    </row>
    <row r="134" spans="74:147" hidden="1" x14ac:dyDescent="0.2">
      <c r="BV134" s="442"/>
      <c r="BW134" s="442">
        <f>-[12]foreigndebt!BV241</f>
        <v>0</v>
      </c>
      <c r="EQ134" s="53"/>
    </row>
    <row r="135" spans="74:147" hidden="1" x14ac:dyDescent="0.2">
      <c r="BV135" s="442"/>
      <c r="BW135" s="442"/>
      <c r="EQ135" s="53"/>
    </row>
    <row r="136" spans="74:147" hidden="1" x14ac:dyDescent="0.2">
      <c r="BV136" s="442"/>
      <c r="BW136" s="442"/>
      <c r="EQ136" s="53"/>
    </row>
    <row r="137" spans="74:147" hidden="1" x14ac:dyDescent="0.2">
      <c r="BV137" s="442"/>
      <c r="BW137" s="443">
        <f>SUM(BW138:BW145)</f>
        <v>1</v>
      </c>
      <c r="EQ137" s="53"/>
    </row>
    <row r="138" spans="74:147" hidden="1" x14ac:dyDescent="0.2">
      <c r="BV138" s="442"/>
      <c r="BW138" s="442">
        <f>+[12]cashbalances!BW86</f>
        <v>0</v>
      </c>
      <c r="EQ138" s="53"/>
    </row>
    <row r="139" spans="74:147" hidden="1" x14ac:dyDescent="0.2">
      <c r="BV139" s="442"/>
      <c r="BW139" s="442"/>
      <c r="EQ139" s="53"/>
    </row>
    <row r="140" spans="74:147" hidden="1" x14ac:dyDescent="0.2">
      <c r="BV140" s="442"/>
      <c r="BW140" s="442">
        <f>+[12]cashbalances!BW97</f>
        <v>0</v>
      </c>
      <c r="EQ140" s="53"/>
    </row>
    <row r="141" spans="74:147" hidden="1" x14ac:dyDescent="0.2">
      <c r="BV141" s="442"/>
      <c r="BW141" s="442">
        <f>[12]cashbalances!BW99</f>
        <v>0</v>
      </c>
      <c r="EQ141" s="53"/>
    </row>
    <row r="142" spans="74:147" hidden="1" x14ac:dyDescent="0.2">
      <c r="BV142" s="442"/>
      <c r="BW142" s="442">
        <f>+[12]cashbalances!BW101</f>
        <v>0</v>
      </c>
      <c r="EQ142" s="53"/>
    </row>
    <row r="143" spans="74:147" hidden="1" x14ac:dyDescent="0.2">
      <c r="BV143" s="442"/>
      <c r="BW143" s="442">
        <f>+[12]cashbalances!BW106</f>
        <v>0</v>
      </c>
      <c r="EQ143" s="53"/>
    </row>
    <row r="144" spans="74:147" hidden="1" x14ac:dyDescent="0.2">
      <c r="BV144" s="442"/>
      <c r="BW144" s="442"/>
      <c r="EQ144" s="53"/>
    </row>
    <row r="145" spans="74:147" x14ac:dyDescent="0.2">
      <c r="BV145" s="442"/>
      <c r="BW145" s="442">
        <f>+[12]cashbalances!BW112+1</f>
        <v>1</v>
      </c>
      <c r="EQ145" s="53"/>
    </row>
    <row r="146" spans="74:147" x14ac:dyDescent="0.2">
      <c r="BV146" s="442"/>
      <c r="BW146" s="442"/>
      <c r="EQ146" s="53"/>
    </row>
    <row r="147" spans="74:147" x14ac:dyDescent="0.2">
      <c r="BV147" s="442"/>
      <c r="BW147" s="443">
        <f>+BW81+BW91+BW113+BW137</f>
        <v>1429133</v>
      </c>
      <c r="EQ147" s="53"/>
    </row>
    <row r="148" spans="74:147" x14ac:dyDescent="0.2">
      <c r="BV148" s="442"/>
      <c r="BW148" s="442"/>
      <c r="EQ148" s="53"/>
    </row>
  </sheetData>
  <mergeCells count="2">
    <mergeCell ref="H8:BU8"/>
    <mergeCell ref="BZ8:EM8"/>
  </mergeCells>
  <pageMargins left="0.7" right="0.7" top="0.75" bottom="0.75" header="0.3" footer="0.3"/>
  <pageSetup scale="46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692"/>
  <sheetViews>
    <sheetView view="pageBreakPreview" topLeftCell="C1" zoomScale="91" zoomScaleNormal="100" zoomScaleSheetLayoutView="91" workbookViewId="0">
      <selection activeCell="C142" sqref="A142:XFD146"/>
    </sheetView>
  </sheetViews>
  <sheetFormatPr defaultColWidth="10" defaultRowHeight="12.75" x14ac:dyDescent="0.2"/>
  <cols>
    <col min="1" max="1" width="1.85546875" style="53" hidden="1" customWidth="1"/>
    <col min="2" max="2" width="1.140625" style="53" hidden="1" customWidth="1"/>
    <col min="3" max="3" width="1" style="53" customWidth="1"/>
    <col min="4" max="4" width="56" style="53" customWidth="1"/>
    <col min="5" max="5" width="1" style="465" customWidth="1"/>
    <col min="6" max="6" width="1" style="53" customWidth="1"/>
    <col min="7" max="7" width="14.42578125" style="53" customWidth="1"/>
    <col min="8" max="9" width="1" style="53" customWidth="1"/>
    <col min="10" max="11" width="1" style="53" hidden="1" customWidth="1"/>
    <col min="12" max="12" width="17.85546875" style="53" hidden="1" customWidth="1"/>
    <col min="13" max="14" width="1" style="53" hidden="1" customWidth="1"/>
    <col min="15" max="16" width="1" style="53" customWidth="1"/>
    <col min="17" max="17" width="14.42578125" style="53" customWidth="1"/>
    <col min="18" max="19" width="1" style="53" customWidth="1"/>
    <col min="20" max="21" width="1" style="53" hidden="1" customWidth="1"/>
    <col min="22" max="22" width="17.85546875" style="53" hidden="1" customWidth="1"/>
    <col min="23" max="26" width="1" style="53" hidden="1" customWidth="1"/>
    <col min="27" max="27" width="17.85546875" style="53" hidden="1" customWidth="1"/>
    <col min="28" max="31" width="1" style="53" hidden="1" customWidth="1"/>
    <col min="32" max="32" width="17.85546875" style="53" hidden="1" customWidth="1"/>
    <col min="33" max="35" width="1" style="53" hidden="1" customWidth="1"/>
    <col min="36" max="36" width="1.140625" style="53" hidden="1" customWidth="1"/>
    <col min="37" max="37" width="17.85546875" style="53" hidden="1" customWidth="1"/>
    <col min="38" max="41" width="1" style="53" hidden="1" customWidth="1"/>
    <col min="42" max="42" width="17.85546875" style="53" hidden="1" customWidth="1"/>
    <col min="43" max="46" width="1" style="53" hidden="1" customWidth="1"/>
    <col min="47" max="47" width="17.85546875" style="53" hidden="1" customWidth="1"/>
    <col min="48" max="51" width="1" style="53" hidden="1" customWidth="1"/>
    <col min="52" max="52" width="17.85546875" style="53" hidden="1" customWidth="1"/>
    <col min="53" max="56" width="1" style="53" hidden="1" customWidth="1"/>
    <col min="57" max="57" width="17.85546875" style="53" hidden="1" customWidth="1"/>
    <col min="58" max="61" width="1" style="53" hidden="1" customWidth="1"/>
    <col min="62" max="62" width="17.85546875" style="53" hidden="1" customWidth="1"/>
    <col min="63" max="66" width="1" style="53" hidden="1" customWidth="1"/>
    <col min="67" max="67" width="17.85546875" style="53" hidden="1" customWidth="1"/>
    <col min="68" max="69" width="1" style="53" hidden="1" customWidth="1"/>
    <col min="70" max="71" width="1" style="53" customWidth="1"/>
    <col min="72" max="72" width="14.42578125" style="53" customWidth="1"/>
    <col min="73" max="76" width="1" style="53" customWidth="1"/>
    <col min="77" max="77" width="14.42578125" style="53" customWidth="1"/>
    <col min="78" max="79" width="1" style="53" customWidth="1"/>
    <col min="80" max="81" width="1" style="53" hidden="1" customWidth="1"/>
    <col min="82" max="82" width="17.85546875" style="53" hidden="1" customWidth="1"/>
    <col min="83" max="84" width="1" style="53" hidden="1" customWidth="1"/>
    <col min="85" max="86" width="1" style="53" customWidth="1"/>
    <col min="87" max="87" width="14.42578125" style="53" customWidth="1"/>
    <col min="88" max="89" width="1" style="53" customWidth="1"/>
    <col min="90" max="91" width="1" style="53" hidden="1" customWidth="1"/>
    <col min="92" max="92" width="17.85546875" style="53" hidden="1" customWidth="1"/>
    <col min="93" max="96" width="1" style="53" hidden="1" customWidth="1"/>
    <col min="97" max="97" width="17.85546875" style="53" hidden="1" customWidth="1"/>
    <col min="98" max="98" width="0.7109375" style="53" hidden="1" customWidth="1"/>
    <col min="99" max="101" width="1" style="53" hidden="1" customWidth="1"/>
    <col min="102" max="102" width="17.85546875" style="53" hidden="1" customWidth="1"/>
    <col min="103" max="106" width="1" style="53" hidden="1" customWidth="1"/>
    <col min="107" max="107" width="17.85546875" style="53" hidden="1" customWidth="1"/>
    <col min="108" max="111" width="1" style="53" hidden="1" customWidth="1"/>
    <col min="112" max="112" width="17.85546875" style="53" hidden="1" customWidth="1"/>
    <col min="113" max="116" width="1" style="53" hidden="1" customWidth="1"/>
    <col min="117" max="117" width="17.85546875" style="53" hidden="1" customWidth="1"/>
    <col min="118" max="121" width="1" style="53" hidden="1" customWidth="1"/>
    <col min="122" max="122" width="17.85546875" style="53" hidden="1" customWidth="1"/>
    <col min="123" max="126" width="1" style="53" hidden="1" customWidth="1"/>
    <col min="127" max="127" width="17.85546875" style="53" hidden="1" customWidth="1"/>
    <col min="128" max="131" width="1" style="53" hidden="1" customWidth="1"/>
    <col min="132" max="132" width="17.85546875" style="53" hidden="1" customWidth="1"/>
    <col min="133" max="136" width="1" style="53" hidden="1" customWidth="1"/>
    <col min="137" max="137" width="17.85546875" style="53" hidden="1" customWidth="1"/>
    <col min="138" max="139" width="1" style="53" hidden="1" customWidth="1"/>
    <col min="140" max="141" width="1" style="53" customWidth="1"/>
    <col min="142" max="142" width="14.42578125" style="53" customWidth="1"/>
    <col min="143" max="144" width="1" style="53" customWidth="1"/>
    <col min="145" max="145" width="2" style="53" customWidth="1"/>
    <col min="146" max="146" width="3.85546875" style="53" customWidth="1"/>
    <col min="147" max="147" width="15.7109375" style="53" customWidth="1"/>
    <col min="148" max="148" width="12.85546875" style="53" bestFit="1" customWidth="1"/>
    <col min="149" max="149" width="13.85546875" style="53" customWidth="1"/>
    <col min="150" max="150" width="12.85546875" style="53" bestFit="1" customWidth="1"/>
    <col min="151" max="256" width="10" style="53"/>
    <col min="257" max="258" width="0" style="53" hidden="1" customWidth="1"/>
    <col min="259" max="259" width="1" style="53" customWidth="1"/>
    <col min="260" max="260" width="56" style="53" customWidth="1"/>
    <col min="261" max="262" width="1" style="53" customWidth="1"/>
    <col min="263" max="263" width="14.42578125" style="53" customWidth="1"/>
    <col min="264" max="265" width="1" style="53" customWidth="1"/>
    <col min="266" max="270" width="0" style="53" hidden="1" customWidth="1"/>
    <col min="271" max="272" width="1" style="53" customWidth="1"/>
    <col min="273" max="273" width="14.42578125" style="53" customWidth="1"/>
    <col min="274" max="275" width="1" style="53" customWidth="1"/>
    <col min="276" max="325" width="0" style="53" hidden="1" customWidth="1"/>
    <col min="326" max="327" width="1" style="53" customWidth="1"/>
    <col min="328" max="328" width="14.42578125" style="53" customWidth="1"/>
    <col min="329" max="332" width="1" style="53" customWidth="1"/>
    <col min="333" max="333" width="14.42578125" style="53" customWidth="1"/>
    <col min="334" max="335" width="1" style="53" customWidth="1"/>
    <col min="336" max="340" width="0" style="53" hidden="1" customWidth="1"/>
    <col min="341" max="342" width="1" style="53" customWidth="1"/>
    <col min="343" max="343" width="14.42578125" style="53" customWidth="1"/>
    <col min="344" max="345" width="1" style="53" customWidth="1"/>
    <col min="346" max="395" width="0" style="53" hidden="1" customWidth="1"/>
    <col min="396" max="397" width="1" style="53" customWidth="1"/>
    <col min="398" max="398" width="14.42578125" style="53" customWidth="1"/>
    <col min="399" max="400" width="1" style="53" customWidth="1"/>
    <col min="401" max="401" width="2" style="53" customWidth="1"/>
    <col min="402" max="402" width="3.85546875" style="53" customWidth="1"/>
    <col min="403" max="403" width="15.7109375" style="53" customWidth="1"/>
    <col min="404" max="404" width="12.85546875" style="53" bestFit="1" customWidth="1"/>
    <col min="405" max="405" width="13.85546875" style="53" customWidth="1"/>
    <col min="406" max="406" width="12.85546875" style="53" bestFit="1" customWidth="1"/>
    <col min="407" max="512" width="10" style="53"/>
    <col min="513" max="514" width="0" style="53" hidden="1" customWidth="1"/>
    <col min="515" max="515" width="1" style="53" customWidth="1"/>
    <col min="516" max="516" width="56" style="53" customWidth="1"/>
    <col min="517" max="518" width="1" style="53" customWidth="1"/>
    <col min="519" max="519" width="14.42578125" style="53" customWidth="1"/>
    <col min="520" max="521" width="1" style="53" customWidth="1"/>
    <col min="522" max="526" width="0" style="53" hidden="1" customWidth="1"/>
    <col min="527" max="528" width="1" style="53" customWidth="1"/>
    <col min="529" max="529" width="14.42578125" style="53" customWidth="1"/>
    <col min="530" max="531" width="1" style="53" customWidth="1"/>
    <col min="532" max="581" width="0" style="53" hidden="1" customWidth="1"/>
    <col min="582" max="583" width="1" style="53" customWidth="1"/>
    <col min="584" max="584" width="14.42578125" style="53" customWidth="1"/>
    <col min="585" max="588" width="1" style="53" customWidth="1"/>
    <col min="589" max="589" width="14.42578125" style="53" customWidth="1"/>
    <col min="590" max="591" width="1" style="53" customWidth="1"/>
    <col min="592" max="596" width="0" style="53" hidden="1" customWidth="1"/>
    <col min="597" max="598" width="1" style="53" customWidth="1"/>
    <col min="599" max="599" width="14.42578125" style="53" customWidth="1"/>
    <col min="600" max="601" width="1" style="53" customWidth="1"/>
    <col min="602" max="651" width="0" style="53" hidden="1" customWidth="1"/>
    <col min="652" max="653" width="1" style="53" customWidth="1"/>
    <col min="654" max="654" width="14.42578125" style="53" customWidth="1"/>
    <col min="655" max="656" width="1" style="53" customWidth="1"/>
    <col min="657" max="657" width="2" style="53" customWidth="1"/>
    <col min="658" max="658" width="3.85546875" style="53" customWidth="1"/>
    <col min="659" max="659" width="15.7109375" style="53" customWidth="1"/>
    <col min="660" max="660" width="12.85546875" style="53" bestFit="1" customWidth="1"/>
    <col min="661" max="661" width="13.85546875" style="53" customWidth="1"/>
    <col min="662" max="662" width="12.85546875" style="53" bestFit="1" customWidth="1"/>
    <col min="663" max="768" width="10" style="53"/>
    <col min="769" max="770" width="0" style="53" hidden="1" customWidth="1"/>
    <col min="771" max="771" width="1" style="53" customWidth="1"/>
    <col min="772" max="772" width="56" style="53" customWidth="1"/>
    <col min="773" max="774" width="1" style="53" customWidth="1"/>
    <col min="775" max="775" width="14.42578125" style="53" customWidth="1"/>
    <col min="776" max="777" width="1" style="53" customWidth="1"/>
    <col min="778" max="782" width="0" style="53" hidden="1" customWidth="1"/>
    <col min="783" max="784" width="1" style="53" customWidth="1"/>
    <col min="785" max="785" width="14.42578125" style="53" customWidth="1"/>
    <col min="786" max="787" width="1" style="53" customWidth="1"/>
    <col min="788" max="837" width="0" style="53" hidden="1" customWidth="1"/>
    <col min="838" max="839" width="1" style="53" customWidth="1"/>
    <col min="840" max="840" width="14.42578125" style="53" customWidth="1"/>
    <col min="841" max="844" width="1" style="53" customWidth="1"/>
    <col min="845" max="845" width="14.42578125" style="53" customWidth="1"/>
    <col min="846" max="847" width="1" style="53" customWidth="1"/>
    <col min="848" max="852" width="0" style="53" hidden="1" customWidth="1"/>
    <col min="853" max="854" width="1" style="53" customWidth="1"/>
    <col min="855" max="855" width="14.42578125" style="53" customWidth="1"/>
    <col min="856" max="857" width="1" style="53" customWidth="1"/>
    <col min="858" max="907" width="0" style="53" hidden="1" customWidth="1"/>
    <col min="908" max="909" width="1" style="53" customWidth="1"/>
    <col min="910" max="910" width="14.42578125" style="53" customWidth="1"/>
    <col min="911" max="912" width="1" style="53" customWidth="1"/>
    <col min="913" max="913" width="2" style="53" customWidth="1"/>
    <col min="914" max="914" width="3.85546875" style="53" customWidth="1"/>
    <col min="915" max="915" width="15.7109375" style="53" customWidth="1"/>
    <col min="916" max="916" width="12.85546875" style="53" bestFit="1" customWidth="1"/>
    <col min="917" max="917" width="13.85546875" style="53" customWidth="1"/>
    <col min="918" max="918" width="12.85546875" style="53" bestFit="1" customWidth="1"/>
    <col min="919" max="1024" width="10" style="53"/>
    <col min="1025" max="1026" width="0" style="53" hidden="1" customWidth="1"/>
    <col min="1027" max="1027" width="1" style="53" customWidth="1"/>
    <col min="1028" max="1028" width="56" style="53" customWidth="1"/>
    <col min="1029" max="1030" width="1" style="53" customWidth="1"/>
    <col min="1031" max="1031" width="14.42578125" style="53" customWidth="1"/>
    <col min="1032" max="1033" width="1" style="53" customWidth="1"/>
    <col min="1034" max="1038" width="0" style="53" hidden="1" customWidth="1"/>
    <col min="1039" max="1040" width="1" style="53" customWidth="1"/>
    <col min="1041" max="1041" width="14.42578125" style="53" customWidth="1"/>
    <col min="1042" max="1043" width="1" style="53" customWidth="1"/>
    <col min="1044" max="1093" width="0" style="53" hidden="1" customWidth="1"/>
    <col min="1094" max="1095" width="1" style="53" customWidth="1"/>
    <col min="1096" max="1096" width="14.42578125" style="53" customWidth="1"/>
    <col min="1097" max="1100" width="1" style="53" customWidth="1"/>
    <col min="1101" max="1101" width="14.42578125" style="53" customWidth="1"/>
    <col min="1102" max="1103" width="1" style="53" customWidth="1"/>
    <col min="1104" max="1108" width="0" style="53" hidden="1" customWidth="1"/>
    <col min="1109" max="1110" width="1" style="53" customWidth="1"/>
    <col min="1111" max="1111" width="14.42578125" style="53" customWidth="1"/>
    <col min="1112" max="1113" width="1" style="53" customWidth="1"/>
    <col min="1114" max="1163" width="0" style="53" hidden="1" customWidth="1"/>
    <col min="1164" max="1165" width="1" style="53" customWidth="1"/>
    <col min="1166" max="1166" width="14.42578125" style="53" customWidth="1"/>
    <col min="1167" max="1168" width="1" style="53" customWidth="1"/>
    <col min="1169" max="1169" width="2" style="53" customWidth="1"/>
    <col min="1170" max="1170" width="3.85546875" style="53" customWidth="1"/>
    <col min="1171" max="1171" width="15.7109375" style="53" customWidth="1"/>
    <col min="1172" max="1172" width="12.85546875" style="53" bestFit="1" customWidth="1"/>
    <col min="1173" max="1173" width="13.85546875" style="53" customWidth="1"/>
    <col min="1174" max="1174" width="12.85546875" style="53" bestFit="1" customWidth="1"/>
    <col min="1175" max="1280" width="10" style="53"/>
    <col min="1281" max="1282" width="0" style="53" hidden="1" customWidth="1"/>
    <col min="1283" max="1283" width="1" style="53" customWidth="1"/>
    <col min="1284" max="1284" width="56" style="53" customWidth="1"/>
    <col min="1285" max="1286" width="1" style="53" customWidth="1"/>
    <col min="1287" max="1287" width="14.42578125" style="53" customWidth="1"/>
    <col min="1288" max="1289" width="1" style="53" customWidth="1"/>
    <col min="1290" max="1294" width="0" style="53" hidden="1" customWidth="1"/>
    <col min="1295" max="1296" width="1" style="53" customWidth="1"/>
    <col min="1297" max="1297" width="14.42578125" style="53" customWidth="1"/>
    <col min="1298" max="1299" width="1" style="53" customWidth="1"/>
    <col min="1300" max="1349" width="0" style="53" hidden="1" customWidth="1"/>
    <col min="1350" max="1351" width="1" style="53" customWidth="1"/>
    <col min="1352" max="1352" width="14.42578125" style="53" customWidth="1"/>
    <col min="1353" max="1356" width="1" style="53" customWidth="1"/>
    <col min="1357" max="1357" width="14.42578125" style="53" customWidth="1"/>
    <col min="1358" max="1359" width="1" style="53" customWidth="1"/>
    <col min="1360" max="1364" width="0" style="53" hidden="1" customWidth="1"/>
    <col min="1365" max="1366" width="1" style="53" customWidth="1"/>
    <col min="1367" max="1367" width="14.42578125" style="53" customWidth="1"/>
    <col min="1368" max="1369" width="1" style="53" customWidth="1"/>
    <col min="1370" max="1419" width="0" style="53" hidden="1" customWidth="1"/>
    <col min="1420" max="1421" width="1" style="53" customWidth="1"/>
    <col min="1422" max="1422" width="14.42578125" style="53" customWidth="1"/>
    <col min="1423" max="1424" width="1" style="53" customWidth="1"/>
    <col min="1425" max="1425" width="2" style="53" customWidth="1"/>
    <col min="1426" max="1426" width="3.85546875" style="53" customWidth="1"/>
    <col min="1427" max="1427" width="15.7109375" style="53" customWidth="1"/>
    <col min="1428" max="1428" width="12.85546875" style="53" bestFit="1" customWidth="1"/>
    <col min="1429" max="1429" width="13.85546875" style="53" customWidth="1"/>
    <col min="1430" max="1430" width="12.85546875" style="53" bestFit="1" customWidth="1"/>
    <col min="1431" max="1536" width="10" style="53"/>
    <col min="1537" max="1538" width="0" style="53" hidden="1" customWidth="1"/>
    <col min="1539" max="1539" width="1" style="53" customWidth="1"/>
    <col min="1540" max="1540" width="56" style="53" customWidth="1"/>
    <col min="1541" max="1542" width="1" style="53" customWidth="1"/>
    <col min="1543" max="1543" width="14.42578125" style="53" customWidth="1"/>
    <col min="1544" max="1545" width="1" style="53" customWidth="1"/>
    <col min="1546" max="1550" width="0" style="53" hidden="1" customWidth="1"/>
    <col min="1551" max="1552" width="1" style="53" customWidth="1"/>
    <col min="1553" max="1553" width="14.42578125" style="53" customWidth="1"/>
    <col min="1554" max="1555" width="1" style="53" customWidth="1"/>
    <col min="1556" max="1605" width="0" style="53" hidden="1" customWidth="1"/>
    <col min="1606" max="1607" width="1" style="53" customWidth="1"/>
    <col min="1608" max="1608" width="14.42578125" style="53" customWidth="1"/>
    <col min="1609" max="1612" width="1" style="53" customWidth="1"/>
    <col min="1613" max="1613" width="14.42578125" style="53" customWidth="1"/>
    <col min="1614" max="1615" width="1" style="53" customWidth="1"/>
    <col min="1616" max="1620" width="0" style="53" hidden="1" customWidth="1"/>
    <col min="1621" max="1622" width="1" style="53" customWidth="1"/>
    <col min="1623" max="1623" width="14.42578125" style="53" customWidth="1"/>
    <col min="1624" max="1625" width="1" style="53" customWidth="1"/>
    <col min="1626" max="1675" width="0" style="53" hidden="1" customWidth="1"/>
    <col min="1676" max="1677" width="1" style="53" customWidth="1"/>
    <col min="1678" max="1678" width="14.42578125" style="53" customWidth="1"/>
    <col min="1679" max="1680" width="1" style="53" customWidth="1"/>
    <col min="1681" max="1681" width="2" style="53" customWidth="1"/>
    <col min="1682" max="1682" width="3.85546875" style="53" customWidth="1"/>
    <col min="1683" max="1683" width="15.7109375" style="53" customWidth="1"/>
    <col min="1684" max="1684" width="12.85546875" style="53" bestFit="1" customWidth="1"/>
    <col min="1685" max="1685" width="13.85546875" style="53" customWidth="1"/>
    <col min="1686" max="1686" width="12.85546875" style="53" bestFit="1" customWidth="1"/>
    <col min="1687" max="1792" width="10" style="53"/>
    <col min="1793" max="1794" width="0" style="53" hidden="1" customWidth="1"/>
    <col min="1795" max="1795" width="1" style="53" customWidth="1"/>
    <col min="1796" max="1796" width="56" style="53" customWidth="1"/>
    <col min="1797" max="1798" width="1" style="53" customWidth="1"/>
    <col min="1799" max="1799" width="14.42578125" style="53" customWidth="1"/>
    <col min="1800" max="1801" width="1" style="53" customWidth="1"/>
    <col min="1802" max="1806" width="0" style="53" hidden="1" customWidth="1"/>
    <col min="1807" max="1808" width="1" style="53" customWidth="1"/>
    <col min="1809" max="1809" width="14.42578125" style="53" customWidth="1"/>
    <col min="1810" max="1811" width="1" style="53" customWidth="1"/>
    <col min="1812" max="1861" width="0" style="53" hidden="1" customWidth="1"/>
    <col min="1862" max="1863" width="1" style="53" customWidth="1"/>
    <col min="1864" max="1864" width="14.42578125" style="53" customWidth="1"/>
    <col min="1865" max="1868" width="1" style="53" customWidth="1"/>
    <col min="1869" max="1869" width="14.42578125" style="53" customWidth="1"/>
    <col min="1870" max="1871" width="1" style="53" customWidth="1"/>
    <col min="1872" max="1876" width="0" style="53" hidden="1" customWidth="1"/>
    <col min="1877" max="1878" width="1" style="53" customWidth="1"/>
    <col min="1879" max="1879" width="14.42578125" style="53" customWidth="1"/>
    <col min="1880" max="1881" width="1" style="53" customWidth="1"/>
    <col min="1882" max="1931" width="0" style="53" hidden="1" customWidth="1"/>
    <col min="1932" max="1933" width="1" style="53" customWidth="1"/>
    <col min="1934" max="1934" width="14.42578125" style="53" customWidth="1"/>
    <col min="1935" max="1936" width="1" style="53" customWidth="1"/>
    <col min="1937" max="1937" width="2" style="53" customWidth="1"/>
    <col min="1938" max="1938" width="3.85546875" style="53" customWidth="1"/>
    <col min="1939" max="1939" width="15.7109375" style="53" customWidth="1"/>
    <col min="1940" max="1940" width="12.85546875" style="53" bestFit="1" customWidth="1"/>
    <col min="1941" max="1941" width="13.85546875" style="53" customWidth="1"/>
    <col min="1942" max="1942" width="12.85546875" style="53" bestFit="1" customWidth="1"/>
    <col min="1943" max="2048" width="10" style="53"/>
    <col min="2049" max="2050" width="0" style="53" hidden="1" customWidth="1"/>
    <col min="2051" max="2051" width="1" style="53" customWidth="1"/>
    <col min="2052" max="2052" width="56" style="53" customWidth="1"/>
    <col min="2053" max="2054" width="1" style="53" customWidth="1"/>
    <col min="2055" max="2055" width="14.42578125" style="53" customWidth="1"/>
    <col min="2056" max="2057" width="1" style="53" customWidth="1"/>
    <col min="2058" max="2062" width="0" style="53" hidden="1" customWidth="1"/>
    <col min="2063" max="2064" width="1" style="53" customWidth="1"/>
    <col min="2065" max="2065" width="14.42578125" style="53" customWidth="1"/>
    <col min="2066" max="2067" width="1" style="53" customWidth="1"/>
    <col min="2068" max="2117" width="0" style="53" hidden="1" customWidth="1"/>
    <col min="2118" max="2119" width="1" style="53" customWidth="1"/>
    <col min="2120" max="2120" width="14.42578125" style="53" customWidth="1"/>
    <col min="2121" max="2124" width="1" style="53" customWidth="1"/>
    <col min="2125" max="2125" width="14.42578125" style="53" customWidth="1"/>
    <col min="2126" max="2127" width="1" style="53" customWidth="1"/>
    <col min="2128" max="2132" width="0" style="53" hidden="1" customWidth="1"/>
    <col min="2133" max="2134" width="1" style="53" customWidth="1"/>
    <col min="2135" max="2135" width="14.42578125" style="53" customWidth="1"/>
    <col min="2136" max="2137" width="1" style="53" customWidth="1"/>
    <col min="2138" max="2187" width="0" style="53" hidden="1" customWidth="1"/>
    <col min="2188" max="2189" width="1" style="53" customWidth="1"/>
    <col min="2190" max="2190" width="14.42578125" style="53" customWidth="1"/>
    <col min="2191" max="2192" width="1" style="53" customWidth="1"/>
    <col min="2193" max="2193" width="2" style="53" customWidth="1"/>
    <col min="2194" max="2194" width="3.85546875" style="53" customWidth="1"/>
    <col min="2195" max="2195" width="15.7109375" style="53" customWidth="1"/>
    <col min="2196" max="2196" width="12.85546875" style="53" bestFit="1" customWidth="1"/>
    <col min="2197" max="2197" width="13.85546875" style="53" customWidth="1"/>
    <col min="2198" max="2198" width="12.85546875" style="53" bestFit="1" customWidth="1"/>
    <col min="2199" max="2304" width="10" style="53"/>
    <col min="2305" max="2306" width="0" style="53" hidden="1" customWidth="1"/>
    <col min="2307" max="2307" width="1" style="53" customWidth="1"/>
    <col min="2308" max="2308" width="56" style="53" customWidth="1"/>
    <col min="2309" max="2310" width="1" style="53" customWidth="1"/>
    <col min="2311" max="2311" width="14.42578125" style="53" customWidth="1"/>
    <col min="2312" max="2313" width="1" style="53" customWidth="1"/>
    <col min="2314" max="2318" width="0" style="53" hidden="1" customWidth="1"/>
    <col min="2319" max="2320" width="1" style="53" customWidth="1"/>
    <col min="2321" max="2321" width="14.42578125" style="53" customWidth="1"/>
    <col min="2322" max="2323" width="1" style="53" customWidth="1"/>
    <col min="2324" max="2373" width="0" style="53" hidden="1" customWidth="1"/>
    <col min="2374" max="2375" width="1" style="53" customWidth="1"/>
    <col min="2376" max="2376" width="14.42578125" style="53" customWidth="1"/>
    <col min="2377" max="2380" width="1" style="53" customWidth="1"/>
    <col min="2381" max="2381" width="14.42578125" style="53" customWidth="1"/>
    <col min="2382" max="2383" width="1" style="53" customWidth="1"/>
    <col min="2384" max="2388" width="0" style="53" hidden="1" customWidth="1"/>
    <col min="2389" max="2390" width="1" style="53" customWidth="1"/>
    <col min="2391" max="2391" width="14.42578125" style="53" customWidth="1"/>
    <col min="2392" max="2393" width="1" style="53" customWidth="1"/>
    <col min="2394" max="2443" width="0" style="53" hidden="1" customWidth="1"/>
    <col min="2444" max="2445" width="1" style="53" customWidth="1"/>
    <col min="2446" max="2446" width="14.42578125" style="53" customWidth="1"/>
    <col min="2447" max="2448" width="1" style="53" customWidth="1"/>
    <col min="2449" max="2449" width="2" style="53" customWidth="1"/>
    <col min="2450" max="2450" width="3.85546875" style="53" customWidth="1"/>
    <col min="2451" max="2451" width="15.7109375" style="53" customWidth="1"/>
    <col min="2452" max="2452" width="12.85546875" style="53" bestFit="1" customWidth="1"/>
    <col min="2453" max="2453" width="13.85546875" style="53" customWidth="1"/>
    <col min="2454" max="2454" width="12.85546875" style="53" bestFit="1" customWidth="1"/>
    <col min="2455" max="2560" width="10" style="53"/>
    <col min="2561" max="2562" width="0" style="53" hidden="1" customWidth="1"/>
    <col min="2563" max="2563" width="1" style="53" customWidth="1"/>
    <col min="2564" max="2564" width="56" style="53" customWidth="1"/>
    <col min="2565" max="2566" width="1" style="53" customWidth="1"/>
    <col min="2567" max="2567" width="14.42578125" style="53" customWidth="1"/>
    <col min="2568" max="2569" width="1" style="53" customWidth="1"/>
    <col min="2570" max="2574" width="0" style="53" hidden="1" customWidth="1"/>
    <col min="2575" max="2576" width="1" style="53" customWidth="1"/>
    <col min="2577" max="2577" width="14.42578125" style="53" customWidth="1"/>
    <col min="2578" max="2579" width="1" style="53" customWidth="1"/>
    <col min="2580" max="2629" width="0" style="53" hidden="1" customWidth="1"/>
    <col min="2630" max="2631" width="1" style="53" customWidth="1"/>
    <col min="2632" max="2632" width="14.42578125" style="53" customWidth="1"/>
    <col min="2633" max="2636" width="1" style="53" customWidth="1"/>
    <col min="2637" max="2637" width="14.42578125" style="53" customWidth="1"/>
    <col min="2638" max="2639" width="1" style="53" customWidth="1"/>
    <col min="2640" max="2644" width="0" style="53" hidden="1" customWidth="1"/>
    <col min="2645" max="2646" width="1" style="53" customWidth="1"/>
    <col min="2647" max="2647" width="14.42578125" style="53" customWidth="1"/>
    <col min="2648" max="2649" width="1" style="53" customWidth="1"/>
    <col min="2650" max="2699" width="0" style="53" hidden="1" customWidth="1"/>
    <col min="2700" max="2701" width="1" style="53" customWidth="1"/>
    <col min="2702" max="2702" width="14.42578125" style="53" customWidth="1"/>
    <col min="2703" max="2704" width="1" style="53" customWidth="1"/>
    <col min="2705" max="2705" width="2" style="53" customWidth="1"/>
    <col min="2706" max="2706" width="3.85546875" style="53" customWidth="1"/>
    <col min="2707" max="2707" width="15.7109375" style="53" customWidth="1"/>
    <col min="2708" max="2708" width="12.85546875" style="53" bestFit="1" customWidth="1"/>
    <col min="2709" max="2709" width="13.85546875" style="53" customWidth="1"/>
    <col min="2710" max="2710" width="12.85546875" style="53" bestFit="1" customWidth="1"/>
    <col min="2711" max="2816" width="10" style="53"/>
    <col min="2817" max="2818" width="0" style="53" hidden="1" customWidth="1"/>
    <col min="2819" max="2819" width="1" style="53" customWidth="1"/>
    <col min="2820" max="2820" width="56" style="53" customWidth="1"/>
    <col min="2821" max="2822" width="1" style="53" customWidth="1"/>
    <col min="2823" max="2823" width="14.42578125" style="53" customWidth="1"/>
    <col min="2824" max="2825" width="1" style="53" customWidth="1"/>
    <col min="2826" max="2830" width="0" style="53" hidden="1" customWidth="1"/>
    <col min="2831" max="2832" width="1" style="53" customWidth="1"/>
    <col min="2833" max="2833" width="14.42578125" style="53" customWidth="1"/>
    <col min="2834" max="2835" width="1" style="53" customWidth="1"/>
    <col min="2836" max="2885" width="0" style="53" hidden="1" customWidth="1"/>
    <col min="2886" max="2887" width="1" style="53" customWidth="1"/>
    <col min="2888" max="2888" width="14.42578125" style="53" customWidth="1"/>
    <col min="2889" max="2892" width="1" style="53" customWidth="1"/>
    <col min="2893" max="2893" width="14.42578125" style="53" customWidth="1"/>
    <col min="2894" max="2895" width="1" style="53" customWidth="1"/>
    <col min="2896" max="2900" width="0" style="53" hidden="1" customWidth="1"/>
    <col min="2901" max="2902" width="1" style="53" customWidth="1"/>
    <col min="2903" max="2903" width="14.42578125" style="53" customWidth="1"/>
    <col min="2904" max="2905" width="1" style="53" customWidth="1"/>
    <col min="2906" max="2955" width="0" style="53" hidden="1" customWidth="1"/>
    <col min="2956" max="2957" width="1" style="53" customWidth="1"/>
    <col min="2958" max="2958" width="14.42578125" style="53" customWidth="1"/>
    <col min="2959" max="2960" width="1" style="53" customWidth="1"/>
    <col min="2961" max="2961" width="2" style="53" customWidth="1"/>
    <col min="2962" max="2962" width="3.85546875" style="53" customWidth="1"/>
    <col min="2963" max="2963" width="15.7109375" style="53" customWidth="1"/>
    <col min="2964" max="2964" width="12.85546875" style="53" bestFit="1" customWidth="1"/>
    <col min="2965" max="2965" width="13.85546875" style="53" customWidth="1"/>
    <col min="2966" max="2966" width="12.85546875" style="53" bestFit="1" customWidth="1"/>
    <col min="2967" max="3072" width="10" style="53"/>
    <col min="3073" max="3074" width="0" style="53" hidden="1" customWidth="1"/>
    <col min="3075" max="3075" width="1" style="53" customWidth="1"/>
    <col min="3076" max="3076" width="56" style="53" customWidth="1"/>
    <col min="3077" max="3078" width="1" style="53" customWidth="1"/>
    <col min="3079" max="3079" width="14.42578125" style="53" customWidth="1"/>
    <col min="3080" max="3081" width="1" style="53" customWidth="1"/>
    <col min="3082" max="3086" width="0" style="53" hidden="1" customWidth="1"/>
    <col min="3087" max="3088" width="1" style="53" customWidth="1"/>
    <col min="3089" max="3089" width="14.42578125" style="53" customWidth="1"/>
    <col min="3090" max="3091" width="1" style="53" customWidth="1"/>
    <col min="3092" max="3141" width="0" style="53" hidden="1" customWidth="1"/>
    <col min="3142" max="3143" width="1" style="53" customWidth="1"/>
    <col min="3144" max="3144" width="14.42578125" style="53" customWidth="1"/>
    <col min="3145" max="3148" width="1" style="53" customWidth="1"/>
    <col min="3149" max="3149" width="14.42578125" style="53" customWidth="1"/>
    <col min="3150" max="3151" width="1" style="53" customWidth="1"/>
    <col min="3152" max="3156" width="0" style="53" hidden="1" customWidth="1"/>
    <col min="3157" max="3158" width="1" style="53" customWidth="1"/>
    <col min="3159" max="3159" width="14.42578125" style="53" customWidth="1"/>
    <col min="3160" max="3161" width="1" style="53" customWidth="1"/>
    <col min="3162" max="3211" width="0" style="53" hidden="1" customWidth="1"/>
    <col min="3212" max="3213" width="1" style="53" customWidth="1"/>
    <col min="3214" max="3214" width="14.42578125" style="53" customWidth="1"/>
    <col min="3215" max="3216" width="1" style="53" customWidth="1"/>
    <col min="3217" max="3217" width="2" style="53" customWidth="1"/>
    <col min="3218" max="3218" width="3.85546875" style="53" customWidth="1"/>
    <col min="3219" max="3219" width="15.7109375" style="53" customWidth="1"/>
    <col min="3220" max="3220" width="12.85546875" style="53" bestFit="1" customWidth="1"/>
    <col min="3221" max="3221" width="13.85546875" style="53" customWidth="1"/>
    <col min="3222" max="3222" width="12.85546875" style="53" bestFit="1" customWidth="1"/>
    <col min="3223" max="3328" width="10" style="53"/>
    <col min="3329" max="3330" width="0" style="53" hidden="1" customWidth="1"/>
    <col min="3331" max="3331" width="1" style="53" customWidth="1"/>
    <col min="3332" max="3332" width="56" style="53" customWidth="1"/>
    <col min="3333" max="3334" width="1" style="53" customWidth="1"/>
    <col min="3335" max="3335" width="14.42578125" style="53" customWidth="1"/>
    <col min="3336" max="3337" width="1" style="53" customWidth="1"/>
    <col min="3338" max="3342" width="0" style="53" hidden="1" customWidth="1"/>
    <col min="3343" max="3344" width="1" style="53" customWidth="1"/>
    <col min="3345" max="3345" width="14.42578125" style="53" customWidth="1"/>
    <col min="3346" max="3347" width="1" style="53" customWidth="1"/>
    <col min="3348" max="3397" width="0" style="53" hidden="1" customWidth="1"/>
    <col min="3398" max="3399" width="1" style="53" customWidth="1"/>
    <col min="3400" max="3400" width="14.42578125" style="53" customWidth="1"/>
    <col min="3401" max="3404" width="1" style="53" customWidth="1"/>
    <col min="3405" max="3405" width="14.42578125" style="53" customWidth="1"/>
    <col min="3406" max="3407" width="1" style="53" customWidth="1"/>
    <col min="3408" max="3412" width="0" style="53" hidden="1" customWidth="1"/>
    <col min="3413" max="3414" width="1" style="53" customWidth="1"/>
    <col min="3415" max="3415" width="14.42578125" style="53" customWidth="1"/>
    <col min="3416" max="3417" width="1" style="53" customWidth="1"/>
    <col min="3418" max="3467" width="0" style="53" hidden="1" customWidth="1"/>
    <col min="3468" max="3469" width="1" style="53" customWidth="1"/>
    <col min="3470" max="3470" width="14.42578125" style="53" customWidth="1"/>
    <col min="3471" max="3472" width="1" style="53" customWidth="1"/>
    <col min="3473" max="3473" width="2" style="53" customWidth="1"/>
    <col min="3474" max="3474" width="3.85546875" style="53" customWidth="1"/>
    <col min="3475" max="3475" width="15.7109375" style="53" customWidth="1"/>
    <col min="3476" max="3476" width="12.85546875" style="53" bestFit="1" customWidth="1"/>
    <col min="3477" max="3477" width="13.85546875" style="53" customWidth="1"/>
    <col min="3478" max="3478" width="12.85546875" style="53" bestFit="1" customWidth="1"/>
    <col min="3479" max="3584" width="10" style="53"/>
    <col min="3585" max="3586" width="0" style="53" hidden="1" customWidth="1"/>
    <col min="3587" max="3587" width="1" style="53" customWidth="1"/>
    <col min="3588" max="3588" width="56" style="53" customWidth="1"/>
    <col min="3589" max="3590" width="1" style="53" customWidth="1"/>
    <col min="3591" max="3591" width="14.42578125" style="53" customWidth="1"/>
    <col min="3592" max="3593" width="1" style="53" customWidth="1"/>
    <col min="3594" max="3598" width="0" style="53" hidden="1" customWidth="1"/>
    <col min="3599" max="3600" width="1" style="53" customWidth="1"/>
    <col min="3601" max="3601" width="14.42578125" style="53" customWidth="1"/>
    <col min="3602" max="3603" width="1" style="53" customWidth="1"/>
    <col min="3604" max="3653" width="0" style="53" hidden="1" customWidth="1"/>
    <col min="3654" max="3655" width="1" style="53" customWidth="1"/>
    <col min="3656" max="3656" width="14.42578125" style="53" customWidth="1"/>
    <col min="3657" max="3660" width="1" style="53" customWidth="1"/>
    <col min="3661" max="3661" width="14.42578125" style="53" customWidth="1"/>
    <col min="3662" max="3663" width="1" style="53" customWidth="1"/>
    <col min="3664" max="3668" width="0" style="53" hidden="1" customWidth="1"/>
    <col min="3669" max="3670" width="1" style="53" customWidth="1"/>
    <col min="3671" max="3671" width="14.42578125" style="53" customWidth="1"/>
    <col min="3672" max="3673" width="1" style="53" customWidth="1"/>
    <col min="3674" max="3723" width="0" style="53" hidden="1" customWidth="1"/>
    <col min="3724" max="3725" width="1" style="53" customWidth="1"/>
    <col min="3726" max="3726" width="14.42578125" style="53" customWidth="1"/>
    <col min="3727" max="3728" width="1" style="53" customWidth="1"/>
    <col min="3729" max="3729" width="2" style="53" customWidth="1"/>
    <col min="3730" max="3730" width="3.85546875" style="53" customWidth="1"/>
    <col min="3731" max="3731" width="15.7109375" style="53" customWidth="1"/>
    <col min="3732" max="3732" width="12.85546875" style="53" bestFit="1" customWidth="1"/>
    <col min="3733" max="3733" width="13.85546875" style="53" customWidth="1"/>
    <col min="3734" max="3734" width="12.85546875" style="53" bestFit="1" customWidth="1"/>
    <col min="3735" max="3840" width="10" style="53"/>
    <col min="3841" max="3842" width="0" style="53" hidden="1" customWidth="1"/>
    <col min="3843" max="3843" width="1" style="53" customWidth="1"/>
    <col min="3844" max="3844" width="56" style="53" customWidth="1"/>
    <col min="3845" max="3846" width="1" style="53" customWidth="1"/>
    <col min="3847" max="3847" width="14.42578125" style="53" customWidth="1"/>
    <col min="3848" max="3849" width="1" style="53" customWidth="1"/>
    <col min="3850" max="3854" width="0" style="53" hidden="1" customWidth="1"/>
    <col min="3855" max="3856" width="1" style="53" customWidth="1"/>
    <col min="3857" max="3857" width="14.42578125" style="53" customWidth="1"/>
    <col min="3858" max="3859" width="1" style="53" customWidth="1"/>
    <col min="3860" max="3909" width="0" style="53" hidden="1" customWidth="1"/>
    <col min="3910" max="3911" width="1" style="53" customWidth="1"/>
    <col min="3912" max="3912" width="14.42578125" style="53" customWidth="1"/>
    <col min="3913" max="3916" width="1" style="53" customWidth="1"/>
    <col min="3917" max="3917" width="14.42578125" style="53" customWidth="1"/>
    <col min="3918" max="3919" width="1" style="53" customWidth="1"/>
    <col min="3920" max="3924" width="0" style="53" hidden="1" customWidth="1"/>
    <col min="3925" max="3926" width="1" style="53" customWidth="1"/>
    <col min="3927" max="3927" width="14.42578125" style="53" customWidth="1"/>
    <col min="3928" max="3929" width="1" style="53" customWidth="1"/>
    <col min="3930" max="3979" width="0" style="53" hidden="1" customWidth="1"/>
    <col min="3980" max="3981" width="1" style="53" customWidth="1"/>
    <col min="3982" max="3982" width="14.42578125" style="53" customWidth="1"/>
    <col min="3983" max="3984" width="1" style="53" customWidth="1"/>
    <col min="3985" max="3985" width="2" style="53" customWidth="1"/>
    <col min="3986" max="3986" width="3.85546875" style="53" customWidth="1"/>
    <col min="3987" max="3987" width="15.7109375" style="53" customWidth="1"/>
    <col min="3988" max="3988" width="12.85546875" style="53" bestFit="1" customWidth="1"/>
    <col min="3989" max="3989" width="13.85546875" style="53" customWidth="1"/>
    <col min="3990" max="3990" width="12.85546875" style="53" bestFit="1" customWidth="1"/>
    <col min="3991" max="4096" width="10" style="53"/>
    <col min="4097" max="4098" width="0" style="53" hidden="1" customWidth="1"/>
    <col min="4099" max="4099" width="1" style="53" customWidth="1"/>
    <col min="4100" max="4100" width="56" style="53" customWidth="1"/>
    <col min="4101" max="4102" width="1" style="53" customWidth="1"/>
    <col min="4103" max="4103" width="14.42578125" style="53" customWidth="1"/>
    <col min="4104" max="4105" width="1" style="53" customWidth="1"/>
    <col min="4106" max="4110" width="0" style="53" hidden="1" customWidth="1"/>
    <col min="4111" max="4112" width="1" style="53" customWidth="1"/>
    <col min="4113" max="4113" width="14.42578125" style="53" customWidth="1"/>
    <col min="4114" max="4115" width="1" style="53" customWidth="1"/>
    <col min="4116" max="4165" width="0" style="53" hidden="1" customWidth="1"/>
    <col min="4166" max="4167" width="1" style="53" customWidth="1"/>
    <col min="4168" max="4168" width="14.42578125" style="53" customWidth="1"/>
    <col min="4169" max="4172" width="1" style="53" customWidth="1"/>
    <col min="4173" max="4173" width="14.42578125" style="53" customWidth="1"/>
    <col min="4174" max="4175" width="1" style="53" customWidth="1"/>
    <col min="4176" max="4180" width="0" style="53" hidden="1" customWidth="1"/>
    <col min="4181" max="4182" width="1" style="53" customWidth="1"/>
    <col min="4183" max="4183" width="14.42578125" style="53" customWidth="1"/>
    <col min="4184" max="4185" width="1" style="53" customWidth="1"/>
    <col min="4186" max="4235" width="0" style="53" hidden="1" customWidth="1"/>
    <col min="4236" max="4237" width="1" style="53" customWidth="1"/>
    <col min="4238" max="4238" width="14.42578125" style="53" customWidth="1"/>
    <col min="4239" max="4240" width="1" style="53" customWidth="1"/>
    <col min="4241" max="4241" width="2" style="53" customWidth="1"/>
    <col min="4242" max="4242" width="3.85546875" style="53" customWidth="1"/>
    <col min="4243" max="4243" width="15.7109375" style="53" customWidth="1"/>
    <col min="4244" max="4244" width="12.85546875" style="53" bestFit="1" customWidth="1"/>
    <col min="4245" max="4245" width="13.85546875" style="53" customWidth="1"/>
    <col min="4246" max="4246" width="12.85546875" style="53" bestFit="1" customWidth="1"/>
    <col min="4247" max="4352" width="10" style="53"/>
    <col min="4353" max="4354" width="0" style="53" hidden="1" customWidth="1"/>
    <col min="4355" max="4355" width="1" style="53" customWidth="1"/>
    <col min="4356" max="4356" width="56" style="53" customWidth="1"/>
    <col min="4357" max="4358" width="1" style="53" customWidth="1"/>
    <col min="4359" max="4359" width="14.42578125" style="53" customWidth="1"/>
    <col min="4360" max="4361" width="1" style="53" customWidth="1"/>
    <col min="4362" max="4366" width="0" style="53" hidden="1" customWidth="1"/>
    <col min="4367" max="4368" width="1" style="53" customWidth="1"/>
    <col min="4369" max="4369" width="14.42578125" style="53" customWidth="1"/>
    <col min="4370" max="4371" width="1" style="53" customWidth="1"/>
    <col min="4372" max="4421" width="0" style="53" hidden="1" customWidth="1"/>
    <col min="4422" max="4423" width="1" style="53" customWidth="1"/>
    <col min="4424" max="4424" width="14.42578125" style="53" customWidth="1"/>
    <col min="4425" max="4428" width="1" style="53" customWidth="1"/>
    <col min="4429" max="4429" width="14.42578125" style="53" customWidth="1"/>
    <col min="4430" max="4431" width="1" style="53" customWidth="1"/>
    <col min="4432" max="4436" width="0" style="53" hidden="1" customWidth="1"/>
    <col min="4437" max="4438" width="1" style="53" customWidth="1"/>
    <col min="4439" max="4439" width="14.42578125" style="53" customWidth="1"/>
    <col min="4440" max="4441" width="1" style="53" customWidth="1"/>
    <col min="4442" max="4491" width="0" style="53" hidden="1" customWidth="1"/>
    <col min="4492" max="4493" width="1" style="53" customWidth="1"/>
    <col min="4494" max="4494" width="14.42578125" style="53" customWidth="1"/>
    <col min="4495" max="4496" width="1" style="53" customWidth="1"/>
    <col min="4497" max="4497" width="2" style="53" customWidth="1"/>
    <col min="4498" max="4498" width="3.85546875" style="53" customWidth="1"/>
    <col min="4499" max="4499" width="15.7109375" style="53" customWidth="1"/>
    <col min="4500" max="4500" width="12.85546875" style="53" bestFit="1" customWidth="1"/>
    <col min="4501" max="4501" width="13.85546875" style="53" customWidth="1"/>
    <col min="4502" max="4502" width="12.85546875" style="53" bestFit="1" customWidth="1"/>
    <col min="4503" max="4608" width="10" style="53"/>
    <col min="4609" max="4610" width="0" style="53" hidden="1" customWidth="1"/>
    <col min="4611" max="4611" width="1" style="53" customWidth="1"/>
    <col min="4612" max="4612" width="56" style="53" customWidth="1"/>
    <col min="4613" max="4614" width="1" style="53" customWidth="1"/>
    <col min="4615" max="4615" width="14.42578125" style="53" customWidth="1"/>
    <col min="4616" max="4617" width="1" style="53" customWidth="1"/>
    <col min="4618" max="4622" width="0" style="53" hidden="1" customWidth="1"/>
    <col min="4623" max="4624" width="1" style="53" customWidth="1"/>
    <col min="4625" max="4625" width="14.42578125" style="53" customWidth="1"/>
    <col min="4626" max="4627" width="1" style="53" customWidth="1"/>
    <col min="4628" max="4677" width="0" style="53" hidden="1" customWidth="1"/>
    <col min="4678" max="4679" width="1" style="53" customWidth="1"/>
    <col min="4680" max="4680" width="14.42578125" style="53" customWidth="1"/>
    <col min="4681" max="4684" width="1" style="53" customWidth="1"/>
    <col min="4685" max="4685" width="14.42578125" style="53" customWidth="1"/>
    <col min="4686" max="4687" width="1" style="53" customWidth="1"/>
    <col min="4688" max="4692" width="0" style="53" hidden="1" customWidth="1"/>
    <col min="4693" max="4694" width="1" style="53" customWidth="1"/>
    <col min="4695" max="4695" width="14.42578125" style="53" customWidth="1"/>
    <col min="4696" max="4697" width="1" style="53" customWidth="1"/>
    <col min="4698" max="4747" width="0" style="53" hidden="1" customWidth="1"/>
    <col min="4748" max="4749" width="1" style="53" customWidth="1"/>
    <col min="4750" max="4750" width="14.42578125" style="53" customWidth="1"/>
    <col min="4751" max="4752" width="1" style="53" customWidth="1"/>
    <col min="4753" max="4753" width="2" style="53" customWidth="1"/>
    <col min="4754" max="4754" width="3.85546875" style="53" customWidth="1"/>
    <col min="4755" max="4755" width="15.7109375" style="53" customWidth="1"/>
    <col min="4756" max="4756" width="12.85546875" style="53" bestFit="1" customWidth="1"/>
    <col min="4757" max="4757" width="13.85546875" style="53" customWidth="1"/>
    <col min="4758" max="4758" width="12.85546875" style="53" bestFit="1" customWidth="1"/>
    <col min="4759" max="4864" width="10" style="53"/>
    <col min="4865" max="4866" width="0" style="53" hidden="1" customWidth="1"/>
    <col min="4867" max="4867" width="1" style="53" customWidth="1"/>
    <col min="4868" max="4868" width="56" style="53" customWidth="1"/>
    <col min="4869" max="4870" width="1" style="53" customWidth="1"/>
    <col min="4871" max="4871" width="14.42578125" style="53" customWidth="1"/>
    <col min="4872" max="4873" width="1" style="53" customWidth="1"/>
    <col min="4874" max="4878" width="0" style="53" hidden="1" customWidth="1"/>
    <col min="4879" max="4880" width="1" style="53" customWidth="1"/>
    <col min="4881" max="4881" width="14.42578125" style="53" customWidth="1"/>
    <col min="4882" max="4883" width="1" style="53" customWidth="1"/>
    <col min="4884" max="4933" width="0" style="53" hidden="1" customWidth="1"/>
    <col min="4934" max="4935" width="1" style="53" customWidth="1"/>
    <col min="4936" max="4936" width="14.42578125" style="53" customWidth="1"/>
    <col min="4937" max="4940" width="1" style="53" customWidth="1"/>
    <col min="4941" max="4941" width="14.42578125" style="53" customWidth="1"/>
    <col min="4942" max="4943" width="1" style="53" customWidth="1"/>
    <col min="4944" max="4948" width="0" style="53" hidden="1" customWidth="1"/>
    <col min="4949" max="4950" width="1" style="53" customWidth="1"/>
    <col min="4951" max="4951" width="14.42578125" style="53" customWidth="1"/>
    <col min="4952" max="4953" width="1" style="53" customWidth="1"/>
    <col min="4954" max="5003" width="0" style="53" hidden="1" customWidth="1"/>
    <col min="5004" max="5005" width="1" style="53" customWidth="1"/>
    <col min="5006" max="5006" width="14.42578125" style="53" customWidth="1"/>
    <col min="5007" max="5008" width="1" style="53" customWidth="1"/>
    <col min="5009" max="5009" width="2" style="53" customWidth="1"/>
    <col min="5010" max="5010" width="3.85546875" style="53" customWidth="1"/>
    <col min="5011" max="5011" width="15.7109375" style="53" customWidth="1"/>
    <col min="5012" max="5012" width="12.85546875" style="53" bestFit="1" customWidth="1"/>
    <col min="5013" max="5013" width="13.85546875" style="53" customWidth="1"/>
    <col min="5014" max="5014" width="12.85546875" style="53" bestFit="1" customWidth="1"/>
    <col min="5015" max="5120" width="10" style="53"/>
    <col min="5121" max="5122" width="0" style="53" hidden="1" customWidth="1"/>
    <col min="5123" max="5123" width="1" style="53" customWidth="1"/>
    <col min="5124" max="5124" width="56" style="53" customWidth="1"/>
    <col min="5125" max="5126" width="1" style="53" customWidth="1"/>
    <col min="5127" max="5127" width="14.42578125" style="53" customWidth="1"/>
    <col min="5128" max="5129" width="1" style="53" customWidth="1"/>
    <col min="5130" max="5134" width="0" style="53" hidden="1" customWidth="1"/>
    <col min="5135" max="5136" width="1" style="53" customWidth="1"/>
    <col min="5137" max="5137" width="14.42578125" style="53" customWidth="1"/>
    <col min="5138" max="5139" width="1" style="53" customWidth="1"/>
    <col min="5140" max="5189" width="0" style="53" hidden="1" customWidth="1"/>
    <col min="5190" max="5191" width="1" style="53" customWidth="1"/>
    <col min="5192" max="5192" width="14.42578125" style="53" customWidth="1"/>
    <col min="5193" max="5196" width="1" style="53" customWidth="1"/>
    <col min="5197" max="5197" width="14.42578125" style="53" customWidth="1"/>
    <col min="5198" max="5199" width="1" style="53" customWidth="1"/>
    <col min="5200" max="5204" width="0" style="53" hidden="1" customWidth="1"/>
    <col min="5205" max="5206" width="1" style="53" customWidth="1"/>
    <col min="5207" max="5207" width="14.42578125" style="53" customWidth="1"/>
    <col min="5208" max="5209" width="1" style="53" customWidth="1"/>
    <col min="5210" max="5259" width="0" style="53" hidden="1" customWidth="1"/>
    <col min="5260" max="5261" width="1" style="53" customWidth="1"/>
    <col min="5262" max="5262" width="14.42578125" style="53" customWidth="1"/>
    <col min="5263" max="5264" width="1" style="53" customWidth="1"/>
    <col min="5265" max="5265" width="2" style="53" customWidth="1"/>
    <col min="5266" max="5266" width="3.85546875" style="53" customWidth="1"/>
    <col min="5267" max="5267" width="15.7109375" style="53" customWidth="1"/>
    <col min="5268" max="5268" width="12.85546875" style="53" bestFit="1" customWidth="1"/>
    <col min="5269" max="5269" width="13.85546875" style="53" customWidth="1"/>
    <col min="5270" max="5270" width="12.85546875" style="53" bestFit="1" customWidth="1"/>
    <col min="5271" max="5376" width="10" style="53"/>
    <col min="5377" max="5378" width="0" style="53" hidden="1" customWidth="1"/>
    <col min="5379" max="5379" width="1" style="53" customWidth="1"/>
    <col min="5380" max="5380" width="56" style="53" customWidth="1"/>
    <col min="5381" max="5382" width="1" style="53" customWidth="1"/>
    <col min="5383" max="5383" width="14.42578125" style="53" customWidth="1"/>
    <col min="5384" max="5385" width="1" style="53" customWidth="1"/>
    <col min="5386" max="5390" width="0" style="53" hidden="1" customWidth="1"/>
    <col min="5391" max="5392" width="1" style="53" customWidth="1"/>
    <col min="5393" max="5393" width="14.42578125" style="53" customWidth="1"/>
    <col min="5394" max="5395" width="1" style="53" customWidth="1"/>
    <col min="5396" max="5445" width="0" style="53" hidden="1" customWidth="1"/>
    <col min="5446" max="5447" width="1" style="53" customWidth="1"/>
    <col min="5448" max="5448" width="14.42578125" style="53" customWidth="1"/>
    <col min="5449" max="5452" width="1" style="53" customWidth="1"/>
    <col min="5453" max="5453" width="14.42578125" style="53" customWidth="1"/>
    <col min="5454" max="5455" width="1" style="53" customWidth="1"/>
    <col min="5456" max="5460" width="0" style="53" hidden="1" customWidth="1"/>
    <col min="5461" max="5462" width="1" style="53" customWidth="1"/>
    <col min="5463" max="5463" width="14.42578125" style="53" customWidth="1"/>
    <col min="5464" max="5465" width="1" style="53" customWidth="1"/>
    <col min="5466" max="5515" width="0" style="53" hidden="1" customWidth="1"/>
    <col min="5516" max="5517" width="1" style="53" customWidth="1"/>
    <col min="5518" max="5518" width="14.42578125" style="53" customWidth="1"/>
    <col min="5519" max="5520" width="1" style="53" customWidth="1"/>
    <col min="5521" max="5521" width="2" style="53" customWidth="1"/>
    <col min="5522" max="5522" width="3.85546875" style="53" customWidth="1"/>
    <col min="5523" max="5523" width="15.7109375" style="53" customWidth="1"/>
    <col min="5524" max="5524" width="12.85546875" style="53" bestFit="1" customWidth="1"/>
    <col min="5525" max="5525" width="13.85546875" style="53" customWidth="1"/>
    <col min="5526" max="5526" width="12.85546875" style="53" bestFit="1" customWidth="1"/>
    <col min="5527" max="5632" width="10" style="53"/>
    <col min="5633" max="5634" width="0" style="53" hidden="1" customWidth="1"/>
    <col min="5635" max="5635" width="1" style="53" customWidth="1"/>
    <col min="5636" max="5636" width="56" style="53" customWidth="1"/>
    <col min="5637" max="5638" width="1" style="53" customWidth="1"/>
    <col min="5639" max="5639" width="14.42578125" style="53" customWidth="1"/>
    <col min="5640" max="5641" width="1" style="53" customWidth="1"/>
    <col min="5642" max="5646" width="0" style="53" hidden="1" customWidth="1"/>
    <col min="5647" max="5648" width="1" style="53" customWidth="1"/>
    <col min="5649" max="5649" width="14.42578125" style="53" customWidth="1"/>
    <col min="5650" max="5651" width="1" style="53" customWidth="1"/>
    <col min="5652" max="5701" width="0" style="53" hidden="1" customWidth="1"/>
    <col min="5702" max="5703" width="1" style="53" customWidth="1"/>
    <col min="5704" max="5704" width="14.42578125" style="53" customWidth="1"/>
    <col min="5705" max="5708" width="1" style="53" customWidth="1"/>
    <col min="5709" max="5709" width="14.42578125" style="53" customWidth="1"/>
    <col min="5710" max="5711" width="1" style="53" customWidth="1"/>
    <col min="5712" max="5716" width="0" style="53" hidden="1" customWidth="1"/>
    <col min="5717" max="5718" width="1" style="53" customWidth="1"/>
    <col min="5719" max="5719" width="14.42578125" style="53" customWidth="1"/>
    <col min="5720" max="5721" width="1" style="53" customWidth="1"/>
    <col min="5722" max="5771" width="0" style="53" hidden="1" customWidth="1"/>
    <col min="5772" max="5773" width="1" style="53" customWidth="1"/>
    <col min="5774" max="5774" width="14.42578125" style="53" customWidth="1"/>
    <col min="5775" max="5776" width="1" style="53" customWidth="1"/>
    <col min="5777" max="5777" width="2" style="53" customWidth="1"/>
    <col min="5778" max="5778" width="3.85546875" style="53" customWidth="1"/>
    <col min="5779" max="5779" width="15.7109375" style="53" customWidth="1"/>
    <col min="5780" max="5780" width="12.85546875" style="53" bestFit="1" customWidth="1"/>
    <col min="5781" max="5781" width="13.85546875" style="53" customWidth="1"/>
    <col min="5782" max="5782" width="12.85546875" style="53" bestFit="1" customWidth="1"/>
    <col min="5783" max="5888" width="10" style="53"/>
    <col min="5889" max="5890" width="0" style="53" hidden="1" customWidth="1"/>
    <col min="5891" max="5891" width="1" style="53" customWidth="1"/>
    <col min="5892" max="5892" width="56" style="53" customWidth="1"/>
    <col min="5893" max="5894" width="1" style="53" customWidth="1"/>
    <col min="5895" max="5895" width="14.42578125" style="53" customWidth="1"/>
    <col min="5896" max="5897" width="1" style="53" customWidth="1"/>
    <col min="5898" max="5902" width="0" style="53" hidden="1" customWidth="1"/>
    <col min="5903" max="5904" width="1" style="53" customWidth="1"/>
    <col min="5905" max="5905" width="14.42578125" style="53" customWidth="1"/>
    <col min="5906" max="5907" width="1" style="53" customWidth="1"/>
    <col min="5908" max="5957" width="0" style="53" hidden="1" customWidth="1"/>
    <col min="5958" max="5959" width="1" style="53" customWidth="1"/>
    <col min="5960" max="5960" width="14.42578125" style="53" customWidth="1"/>
    <col min="5961" max="5964" width="1" style="53" customWidth="1"/>
    <col min="5965" max="5965" width="14.42578125" style="53" customWidth="1"/>
    <col min="5966" max="5967" width="1" style="53" customWidth="1"/>
    <col min="5968" max="5972" width="0" style="53" hidden="1" customWidth="1"/>
    <col min="5973" max="5974" width="1" style="53" customWidth="1"/>
    <col min="5975" max="5975" width="14.42578125" style="53" customWidth="1"/>
    <col min="5976" max="5977" width="1" style="53" customWidth="1"/>
    <col min="5978" max="6027" width="0" style="53" hidden="1" customWidth="1"/>
    <col min="6028" max="6029" width="1" style="53" customWidth="1"/>
    <col min="6030" max="6030" width="14.42578125" style="53" customWidth="1"/>
    <col min="6031" max="6032" width="1" style="53" customWidth="1"/>
    <col min="6033" max="6033" width="2" style="53" customWidth="1"/>
    <col min="6034" max="6034" width="3.85546875" style="53" customWidth="1"/>
    <col min="6035" max="6035" width="15.7109375" style="53" customWidth="1"/>
    <col min="6036" max="6036" width="12.85546875" style="53" bestFit="1" customWidth="1"/>
    <col min="6037" max="6037" width="13.85546875" style="53" customWidth="1"/>
    <col min="6038" max="6038" width="12.85546875" style="53" bestFit="1" customWidth="1"/>
    <col min="6039" max="6144" width="10" style="53"/>
    <col min="6145" max="6146" width="0" style="53" hidden="1" customWidth="1"/>
    <col min="6147" max="6147" width="1" style="53" customWidth="1"/>
    <col min="6148" max="6148" width="56" style="53" customWidth="1"/>
    <col min="6149" max="6150" width="1" style="53" customWidth="1"/>
    <col min="6151" max="6151" width="14.42578125" style="53" customWidth="1"/>
    <col min="6152" max="6153" width="1" style="53" customWidth="1"/>
    <col min="6154" max="6158" width="0" style="53" hidden="1" customWidth="1"/>
    <col min="6159" max="6160" width="1" style="53" customWidth="1"/>
    <col min="6161" max="6161" width="14.42578125" style="53" customWidth="1"/>
    <col min="6162" max="6163" width="1" style="53" customWidth="1"/>
    <col min="6164" max="6213" width="0" style="53" hidden="1" customWidth="1"/>
    <col min="6214" max="6215" width="1" style="53" customWidth="1"/>
    <col min="6216" max="6216" width="14.42578125" style="53" customWidth="1"/>
    <col min="6217" max="6220" width="1" style="53" customWidth="1"/>
    <col min="6221" max="6221" width="14.42578125" style="53" customWidth="1"/>
    <col min="6222" max="6223" width="1" style="53" customWidth="1"/>
    <col min="6224" max="6228" width="0" style="53" hidden="1" customWidth="1"/>
    <col min="6229" max="6230" width="1" style="53" customWidth="1"/>
    <col min="6231" max="6231" width="14.42578125" style="53" customWidth="1"/>
    <col min="6232" max="6233" width="1" style="53" customWidth="1"/>
    <col min="6234" max="6283" width="0" style="53" hidden="1" customWidth="1"/>
    <col min="6284" max="6285" width="1" style="53" customWidth="1"/>
    <col min="6286" max="6286" width="14.42578125" style="53" customWidth="1"/>
    <col min="6287" max="6288" width="1" style="53" customWidth="1"/>
    <col min="6289" max="6289" width="2" style="53" customWidth="1"/>
    <col min="6290" max="6290" width="3.85546875" style="53" customWidth="1"/>
    <col min="6291" max="6291" width="15.7109375" style="53" customWidth="1"/>
    <col min="6292" max="6292" width="12.85546875" style="53" bestFit="1" customWidth="1"/>
    <col min="6293" max="6293" width="13.85546875" style="53" customWidth="1"/>
    <col min="6294" max="6294" width="12.85546875" style="53" bestFit="1" customWidth="1"/>
    <col min="6295" max="6400" width="10" style="53"/>
    <col min="6401" max="6402" width="0" style="53" hidden="1" customWidth="1"/>
    <col min="6403" max="6403" width="1" style="53" customWidth="1"/>
    <col min="6404" max="6404" width="56" style="53" customWidth="1"/>
    <col min="6405" max="6406" width="1" style="53" customWidth="1"/>
    <col min="6407" max="6407" width="14.42578125" style="53" customWidth="1"/>
    <col min="6408" max="6409" width="1" style="53" customWidth="1"/>
    <col min="6410" max="6414" width="0" style="53" hidden="1" customWidth="1"/>
    <col min="6415" max="6416" width="1" style="53" customWidth="1"/>
    <col min="6417" max="6417" width="14.42578125" style="53" customWidth="1"/>
    <col min="6418" max="6419" width="1" style="53" customWidth="1"/>
    <col min="6420" max="6469" width="0" style="53" hidden="1" customWidth="1"/>
    <col min="6470" max="6471" width="1" style="53" customWidth="1"/>
    <col min="6472" max="6472" width="14.42578125" style="53" customWidth="1"/>
    <col min="6473" max="6476" width="1" style="53" customWidth="1"/>
    <col min="6477" max="6477" width="14.42578125" style="53" customWidth="1"/>
    <col min="6478" max="6479" width="1" style="53" customWidth="1"/>
    <col min="6480" max="6484" width="0" style="53" hidden="1" customWidth="1"/>
    <col min="6485" max="6486" width="1" style="53" customWidth="1"/>
    <col min="6487" max="6487" width="14.42578125" style="53" customWidth="1"/>
    <col min="6488" max="6489" width="1" style="53" customWidth="1"/>
    <col min="6490" max="6539" width="0" style="53" hidden="1" customWidth="1"/>
    <col min="6540" max="6541" width="1" style="53" customWidth="1"/>
    <col min="6542" max="6542" width="14.42578125" style="53" customWidth="1"/>
    <col min="6543" max="6544" width="1" style="53" customWidth="1"/>
    <col min="6545" max="6545" width="2" style="53" customWidth="1"/>
    <col min="6546" max="6546" width="3.85546875" style="53" customWidth="1"/>
    <col min="6547" max="6547" width="15.7109375" style="53" customWidth="1"/>
    <col min="6548" max="6548" width="12.85546875" style="53" bestFit="1" customWidth="1"/>
    <col min="6549" max="6549" width="13.85546875" style="53" customWidth="1"/>
    <col min="6550" max="6550" width="12.85546875" style="53" bestFit="1" customWidth="1"/>
    <col min="6551" max="6656" width="10" style="53"/>
    <col min="6657" max="6658" width="0" style="53" hidden="1" customWidth="1"/>
    <col min="6659" max="6659" width="1" style="53" customWidth="1"/>
    <col min="6660" max="6660" width="56" style="53" customWidth="1"/>
    <col min="6661" max="6662" width="1" style="53" customWidth="1"/>
    <col min="6663" max="6663" width="14.42578125" style="53" customWidth="1"/>
    <col min="6664" max="6665" width="1" style="53" customWidth="1"/>
    <col min="6666" max="6670" width="0" style="53" hidden="1" customWidth="1"/>
    <col min="6671" max="6672" width="1" style="53" customWidth="1"/>
    <col min="6673" max="6673" width="14.42578125" style="53" customWidth="1"/>
    <col min="6674" max="6675" width="1" style="53" customWidth="1"/>
    <col min="6676" max="6725" width="0" style="53" hidden="1" customWidth="1"/>
    <col min="6726" max="6727" width="1" style="53" customWidth="1"/>
    <col min="6728" max="6728" width="14.42578125" style="53" customWidth="1"/>
    <col min="6729" max="6732" width="1" style="53" customWidth="1"/>
    <col min="6733" max="6733" width="14.42578125" style="53" customWidth="1"/>
    <col min="6734" max="6735" width="1" style="53" customWidth="1"/>
    <col min="6736" max="6740" width="0" style="53" hidden="1" customWidth="1"/>
    <col min="6741" max="6742" width="1" style="53" customWidth="1"/>
    <col min="6743" max="6743" width="14.42578125" style="53" customWidth="1"/>
    <col min="6744" max="6745" width="1" style="53" customWidth="1"/>
    <col min="6746" max="6795" width="0" style="53" hidden="1" customWidth="1"/>
    <col min="6796" max="6797" width="1" style="53" customWidth="1"/>
    <col min="6798" max="6798" width="14.42578125" style="53" customWidth="1"/>
    <col min="6799" max="6800" width="1" style="53" customWidth="1"/>
    <col min="6801" max="6801" width="2" style="53" customWidth="1"/>
    <col min="6802" max="6802" width="3.85546875" style="53" customWidth="1"/>
    <col min="6803" max="6803" width="15.7109375" style="53" customWidth="1"/>
    <col min="6804" max="6804" width="12.85546875" style="53" bestFit="1" customWidth="1"/>
    <col min="6805" max="6805" width="13.85546875" style="53" customWidth="1"/>
    <col min="6806" max="6806" width="12.85546875" style="53" bestFit="1" customWidth="1"/>
    <col min="6807" max="6912" width="10" style="53"/>
    <col min="6913" max="6914" width="0" style="53" hidden="1" customWidth="1"/>
    <col min="6915" max="6915" width="1" style="53" customWidth="1"/>
    <col min="6916" max="6916" width="56" style="53" customWidth="1"/>
    <col min="6917" max="6918" width="1" style="53" customWidth="1"/>
    <col min="6919" max="6919" width="14.42578125" style="53" customWidth="1"/>
    <col min="6920" max="6921" width="1" style="53" customWidth="1"/>
    <col min="6922" max="6926" width="0" style="53" hidden="1" customWidth="1"/>
    <col min="6927" max="6928" width="1" style="53" customWidth="1"/>
    <col min="6929" max="6929" width="14.42578125" style="53" customWidth="1"/>
    <col min="6930" max="6931" width="1" style="53" customWidth="1"/>
    <col min="6932" max="6981" width="0" style="53" hidden="1" customWidth="1"/>
    <col min="6982" max="6983" width="1" style="53" customWidth="1"/>
    <col min="6984" max="6984" width="14.42578125" style="53" customWidth="1"/>
    <col min="6985" max="6988" width="1" style="53" customWidth="1"/>
    <col min="6989" max="6989" width="14.42578125" style="53" customWidth="1"/>
    <col min="6990" max="6991" width="1" style="53" customWidth="1"/>
    <col min="6992" max="6996" width="0" style="53" hidden="1" customWidth="1"/>
    <col min="6997" max="6998" width="1" style="53" customWidth="1"/>
    <col min="6999" max="6999" width="14.42578125" style="53" customWidth="1"/>
    <col min="7000" max="7001" width="1" style="53" customWidth="1"/>
    <col min="7002" max="7051" width="0" style="53" hidden="1" customWidth="1"/>
    <col min="7052" max="7053" width="1" style="53" customWidth="1"/>
    <col min="7054" max="7054" width="14.42578125" style="53" customWidth="1"/>
    <col min="7055" max="7056" width="1" style="53" customWidth="1"/>
    <col min="7057" max="7057" width="2" style="53" customWidth="1"/>
    <col min="7058" max="7058" width="3.85546875" style="53" customWidth="1"/>
    <col min="7059" max="7059" width="15.7109375" style="53" customWidth="1"/>
    <col min="7060" max="7060" width="12.85546875" style="53" bestFit="1" customWidth="1"/>
    <col min="7061" max="7061" width="13.85546875" style="53" customWidth="1"/>
    <col min="7062" max="7062" width="12.85546875" style="53" bestFit="1" customWidth="1"/>
    <col min="7063" max="7168" width="10" style="53"/>
    <col min="7169" max="7170" width="0" style="53" hidden="1" customWidth="1"/>
    <col min="7171" max="7171" width="1" style="53" customWidth="1"/>
    <col min="7172" max="7172" width="56" style="53" customWidth="1"/>
    <col min="7173" max="7174" width="1" style="53" customWidth="1"/>
    <col min="7175" max="7175" width="14.42578125" style="53" customWidth="1"/>
    <col min="7176" max="7177" width="1" style="53" customWidth="1"/>
    <col min="7178" max="7182" width="0" style="53" hidden="1" customWidth="1"/>
    <col min="7183" max="7184" width="1" style="53" customWidth="1"/>
    <col min="7185" max="7185" width="14.42578125" style="53" customWidth="1"/>
    <col min="7186" max="7187" width="1" style="53" customWidth="1"/>
    <col min="7188" max="7237" width="0" style="53" hidden="1" customWidth="1"/>
    <col min="7238" max="7239" width="1" style="53" customWidth="1"/>
    <col min="7240" max="7240" width="14.42578125" style="53" customWidth="1"/>
    <col min="7241" max="7244" width="1" style="53" customWidth="1"/>
    <col min="7245" max="7245" width="14.42578125" style="53" customWidth="1"/>
    <col min="7246" max="7247" width="1" style="53" customWidth="1"/>
    <col min="7248" max="7252" width="0" style="53" hidden="1" customWidth="1"/>
    <col min="7253" max="7254" width="1" style="53" customWidth="1"/>
    <col min="7255" max="7255" width="14.42578125" style="53" customWidth="1"/>
    <col min="7256" max="7257" width="1" style="53" customWidth="1"/>
    <col min="7258" max="7307" width="0" style="53" hidden="1" customWidth="1"/>
    <col min="7308" max="7309" width="1" style="53" customWidth="1"/>
    <col min="7310" max="7310" width="14.42578125" style="53" customWidth="1"/>
    <col min="7311" max="7312" width="1" style="53" customWidth="1"/>
    <col min="7313" max="7313" width="2" style="53" customWidth="1"/>
    <col min="7314" max="7314" width="3.85546875" style="53" customWidth="1"/>
    <col min="7315" max="7315" width="15.7109375" style="53" customWidth="1"/>
    <col min="7316" max="7316" width="12.85546875" style="53" bestFit="1" customWidth="1"/>
    <col min="7317" max="7317" width="13.85546875" style="53" customWidth="1"/>
    <col min="7318" max="7318" width="12.85546875" style="53" bestFit="1" customWidth="1"/>
    <col min="7319" max="7424" width="10" style="53"/>
    <col min="7425" max="7426" width="0" style="53" hidden="1" customWidth="1"/>
    <col min="7427" max="7427" width="1" style="53" customWidth="1"/>
    <col min="7428" max="7428" width="56" style="53" customWidth="1"/>
    <col min="7429" max="7430" width="1" style="53" customWidth="1"/>
    <col min="7431" max="7431" width="14.42578125" style="53" customWidth="1"/>
    <col min="7432" max="7433" width="1" style="53" customWidth="1"/>
    <col min="7434" max="7438" width="0" style="53" hidden="1" customWidth="1"/>
    <col min="7439" max="7440" width="1" style="53" customWidth="1"/>
    <col min="7441" max="7441" width="14.42578125" style="53" customWidth="1"/>
    <col min="7442" max="7443" width="1" style="53" customWidth="1"/>
    <col min="7444" max="7493" width="0" style="53" hidden="1" customWidth="1"/>
    <col min="7494" max="7495" width="1" style="53" customWidth="1"/>
    <col min="7496" max="7496" width="14.42578125" style="53" customWidth="1"/>
    <col min="7497" max="7500" width="1" style="53" customWidth="1"/>
    <col min="7501" max="7501" width="14.42578125" style="53" customWidth="1"/>
    <col min="7502" max="7503" width="1" style="53" customWidth="1"/>
    <col min="7504" max="7508" width="0" style="53" hidden="1" customWidth="1"/>
    <col min="7509" max="7510" width="1" style="53" customWidth="1"/>
    <col min="7511" max="7511" width="14.42578125" style="53" customWidth="1"/>
    <col min="7512" max="7513" width="1" style="53" customWidth="1"/>
    <col min="7514" max="7563" width="0" style="53" hidden="1" customWidth="1"/>
    <col min="7564" max="7565" width="1" style="53" customWidth="1"/>
    <col min="7566" max="7566" width="14.42578125" style="53" customWidth="1"/>
    <col min="7567" max="7568" width="1" style="53" customWidth="1"/>
    <col min="7569" max="7569" width="2" style="53" customWidth="1"/>
    <col min="7570" max="7570" width="3.85546875" style="53" customWidth="1"/>
    <col min="7571" max="7571" width="15.7109375" style="53" customWidth="1"/>
    <col min="7572" max="7572" width="12.85546875" style="53" bestFit="1" customWidth="1"/>
    <col min="7573" max="7573" width="13.85546875" style="53" customWidth="1"/>
    <col min="7574" max="7574" width="12.85546875" style="53" bestFit="1" customWidth="1"/>
    <col min="7575" max="7680" width="10" style="53"/>
    <col min="7681" max="7682" width="0" style="53" hidden="1" customWidth="1"/>
    <col min="7683" max="7683" width="1" style="53" customWidth="1"/>
    <col min="7684" max="7684" width="56" style="53" customWidth="1"/>
    <col min="7685" max="7686" width="1" style="53" customWidth="1"/>
    <col min="7687" max="7687" width="14.42578125" style="53" customWidth="1"/>
    <col min="7688" max="7689" width="1" style="53" customWidth="1"/>
    <col min="7690" max="7694" width="0" style="53" hidden="1" customWidth="1"/>
    <col min="7695" max="7696" width="1" style="53" customWidth="1"/>
    <col min="7697" max="7697" width="14.42578125" style="53" customWidth="1"/>
    <col min="7698" max="7699" width="1" style="53" customWidth="1"/>
    <col min="7700" max="7749" width="0" style="53" hidden="1" customWidth="1"/>
    <col min="7750" max="7751" width="1" style="53" customWidth="1"/>
    <col min="7752" max="7752" width="14.42578125" style="53" customWidth="1"/>
    <col min="7753" max="7756" width="1" style="53" customWidth="1"/>
    <col min="7757" max="7757" width="14.42578125" style="53" customWidth="1"/>
    <col min="7758" max="7759" width="1" style="53" customWidth="1"/>
    <col min="7760" max="7764" width="0" style="53" hidden="1" customWidth="1"/>
    <col min="7765" max="7766" width="1" style="53" customWidth="1"/>
    <col min="7767" max="7767" width="14.42578125" style="53" customWidth="1"/>
    <col min="7768" max="7769" width="1" style="53" customWidth="1"/>
    <col min="7770" max="7819" width="0" style="53" hidden="1" customWidth="1"/>
    <col min="7820" max="7821" width="1" style="53" customWidth="1"/>
    <col min="7822" max="7822" width="14.42578125" style="53" customWidth="1"/>
    <col min="7823" max="7824" width="1" style="53" customWidth="1"/>
    <col min="7825" max="7825" width="2" style="53" customWidth="1"/>
    <col min="7826" max="7826" width="3.85546875" style="53" customWidth="1"/>
    <col min="7827" max="7827" width="15.7109375" style="53" customWidth="1"/>
    <col min="7828" max="7828" width="12.85546875" style="53" bestFit="1" customWidth="1"/>
    <col min="7829" max="7829" width="13.85546875" style="53" customWidth="1"/>
    <col min="7830" max="7830" width="12.85546875" style="53" bestFit="1" customWidth="1"/>
    <col min="7831" max="7936" width="10" style="53"/>
    <col min="7937" max="7938" width="0" style="53" hidden="1" customWidth="1"/>
    <col min="7939" max="7939" width="1" style="53" customWidth="1"/>
    <col min="7940" max="7940" width="56" style="53" customWidth="1"/>
    <col min="7941" max="7942" width="1" style="53" customWidth="1"/>
    <col min="7943" max="7943" width="14.42578125" style="53" customWidth="1"/>
    <col min="7944" max="7945" width="1" style="53" customWidth="1"/>
    <col min="7946" max="7950" width="0" style="53" hidden="1" customWidth="1"/>
    <col min="7951" max="7952" width="1" style="53" customWidth="1"/>
    <col min="7953" max="7953" width="14.42578125" style="53" customWidth="1"/>
    <col min="7954" max="7955" width="1" style="53" customWidth="1"/>
    <col min="7956" max="8005" width="0" style="53" hidden="1" customWidth="1"/>
    <col min="8006" max="8007" width="1" style="53" customWidth="1"/>
    <col min="8008" max="8008" width="14.42578125" style="53" customWidth="1"/>
    <col min="8009" max="8012" width="1" style="53" customWidth="1"/>
    <col min="8013" max="8013" width="14.42578125" style="53" customWidth="1"/>
    <col min="8014" max="8015" width="1" style="53" customWidth="1"/>
    <col min="8016" max="8020" width="0" style="53" hidden="1" customWidth="1"/>
    <col min="8021" max="8022" width="1" style="53" customWidth="1"/>
    <col min="8023" max="8023" width="14.42578125" style="53" customWidth="1"/>
    <col min="8024" max="8025" width="1" style="53" customWidth="1"/>
    <col min="8026" max="8075" width="0" style="53" hidden="1" customWidth="1"/>
    <col min="8076" max="8077" width="1" style="53" customWidth="1"/>
    <col min="8078" max="8078" width="14.42578125" style="53" customWidth="1"/>
    <col min="8079" max="8080" width="1" style="53" customWidth="1"/>
    <col min="8081" max="8081" width="2" style="53" customWidth="1"/>
    <col min="8082" max="8082" width="3.85546875" style="53" customWidth="1"/>
    <col min="8083" max="8083" width="15.7109375" style="53" customWidth="1"/>
    <col min="8084" max="8084" width="12.85546875" style="53" bestFit="1" customWidth="1"/>
    <col min="8085" max="8085" width="13.85546875" style="53" customWidth="1"/>
    <col min="8086" max="8086" width="12.85546875" style="53" bestFit="1" customWidth="1"/>
    <col min="8087" max="8192" width="10" style="53"/>
    <col min="8193" max="8194" width="0" style="53" hidden="1" customWidth="1"/>
    <col min="8195" max="8195" width="1" style="53" customWidth="1"/>
    <col min="8196" max="8196" width="56" style="53" customWidth="1"/>
    <col min="8197" max="8198" width="1" style="53" customWidth="1"/>
    <col min="8199" max="8199" width="14.42578125" style="53" customWidth="1"/>
    <col min="8200" max="8201" width="1" style="53" customWidth="1"/>
    <col min="8202" max="8206" width="0" style="53" hidden="1" customWidth="1"/>
    <col min="8207" max="8208" width="1" style="53" customWidth="1"/>
    <col min="8209" max="8209" width="14.42578125" style="53" customWidth="1"/>
    <col min="8210" max="8211" width="1" style="53" customWidth="1"/>
    <col min="8212" max="8261" width="0" style="53" hidden="1" customWidth="1"/>
    <col min="8262" max="8263" width="1" style="53" customWidth="1"/>
    <col min="8264" max="8264" width="14.42578125" style="53" customWidth="1"/>
    <col min="8265" max="8268" width="1" style="53" customWidth="1"/>
    <col min="8269" max="8269" width="14.42578125" style="53" customWidth="1"/>
    <col min="8270" max="8271" width="1" style="53" customWidth="1"/>
    <col min="8272" max="8276" width="0" style="53" hidden="1" customWidth="1"/>
    <col min="8277" max="8278" width="1" style="53" customWidth="1"/>
    <col min="8279" max="8279" width="14.42578125" style="53" customWidth="1"/>
    <col min="8280" max="8281" width="1" style="53" customWidth="1"/>
    <col min="8282" max="8331" width="0" style="53" hidden="1" customWidth="1"/>
    <col min="8332" max="8333" width="1" style="53" customWidth="1"/>
    <col min="8334" max="8334" width="14.42578125" style="53" customWidth="1"/>
    <col min="8335" max="8336" width="1" style="53" customWidth="1"/>
    <col min="8337" max="8337" width="2" style="53" customWidth="1"/>
    <col min="8338" max="8338" width="3.85546875" style="53" customWidth="1"/>
    <col min="8339" max="8339" width="15.7109375" style="53" customWidth="1"/>
    <col min="8340" max="8340" width="12.85546875" style="53" bestFit="1" customWidth="1"/>
    <col min="8341" max="8341" width="13.85546875" style="53" customWidth="1"/>
    <col min="8342" max="8342" width="12.85546875" style="53" bestFit="1" customWidth="1"/>
    <col min="8343" max="8448" width="10" style="53"/>
    <col min="8449" max="8450" width="0" style="53" hidden="1" customWidth="1"/>
    <col min="8451" max="8451" width="1" style="53" customWidth="1"/>
    <col min="8452" max="8452" width="56" style="53" customWidth="1"/>
    <col min="8453" max="8454" width="1" style="53" customWidth="1"/>
    <col min="8455" max="8455" width="14.42578125" style="53" customWidth="1"/>
    <col min="8456" max="8457" width="1" style="53" customWidth="1"/>
    <col min="8458" max="8462" width="0" style="53" hidden="1" customWidth="1"/>
    <col min="8463" max="8464" width="1" style="53" customWidth="1"/>
    <col min="8465" max="8465" width="14.42578125" style="53" customWidth="1"/>
    <col min="8466" max="8467" width="1" style="53" customWidth="1"/>
    <col min="8468" max="8517" width="0" style="53" hidden="1" customWidth="1"/>
    <col min="8518" max="8519" width="1" style="53" customWidth="1"/>
    <col min="8520" max="8520" width="14.42578125" style="53" customWidth="1"/>
    <col min="8521" max="8524" width="1" style="53" customWidth="1"/>
    <col min="8525" max="8525" width="14.42578125" style="53" customWidth="1"/>
    <col min="8526" max="8527" width="1" style="53" customWidth="1"/>
    <col min="8528" max="8532" width="0" style="53" hidden="1" customWidth="1"/>
    <col min="8533" max="8534" width="1" style="53" customWidth="1"/>
    <col min="8535" max="8535" width="14.42578125" style="53" customWidth="1"/>
    <col min="8536" max="8537" width="1" style="53" customWidth="1"/>
    <col min="8538" max="8587" width="0" style="53" hidden="1" customWidth="1"/>
    <col min="8588" max="8589" width="1" style="53" customWidth="1"/>
    <col min="8590" max="8590" width="14.42578125" style="53" customWidth="1"/>
    <col min="8591" max="8592" width="1" style="53" customWidth="1"/>
    <col min="8593" max="8593" width="2" style="53" customWidth="1"/>
    <col min="8594" max="8594" width="3.85546875" style="53" customWidth="1"/>
    <col min="8595" max="8595" width="15.7109375" style="53" customWidth="1"/>
    <col min="8596" max="8596" width="12.85546875" style="53" bestFit="1" customWidth="1"/>
    <col min="8597" max="8597" width="13.85546875" style="53" customWidth="1"/>
    <col min="8598" max="8598" width="12.85546875" style="53" bestFit="1" customWidth="1"/>
    <col min="8599" max="8704" width="10" style="53"/>
    <col min="8705" max="8706" width="0" style="53" hidden="1" customWidth="1"/>
    <col min="8707" max="8707" width="1" style="53" customWidth="1"/>
    <col min="8708" max="8708" width="56" style="53" customWidth="1"/>
    <col min="8709" max="8710" width="1" style="53" customWidth="1"/>
    <col min="8711" max="8711" width="14.42578125" style="53" customWidth="1"/>
    <col min="8712" max="8713" width="1" style="53" customWidth="1"/>
    <col min="8714" max="8718" width="0" style="53" hidden="1" customWidth="1"/>
    <col min="8719" max="8720" width="1" style="53" customWidth="1"/>
    <col min="8721" max="8721" width="14.42578125" style="53" customWidth="1"/>
    <col min="8722" max="8723" width="1" style="53" customWidth="1"/>
    <col min="8724" max="8773" width="0" style="53" hidden="1" customWidth="1"/>
    <col min="8774" max="8775" width="1" style="53" customWidth="1"/>
    <col min="8776" max="8776" width="14.42578125" style="53" customWidth="1"/>
    <col min="8777" max="8780" width="1" style="53" customWidth="1"/>
    <col min="8781" max="8781" width="14.42578125" style="53" customWidth="1"/>
    <col min="8782" max="8783" width="1" style="53" customWidth="1"/>
    <col min="8784" max="8788" width="0" style="53" hidden="1" customWidth="1"/>
    <col min="8789" max="8790" width="1" style="53" customWidth="1"/>
    <col min="8791" max="8791" width="14.42578125" style="53" customWidth="1"/>
    <col min="8792" max="8793" width="1" style="53" customWidth="1"/>
    <col min="8794" max="8843" width="0" style="53" hidden="1" customWidth="1"/>
    <col min="8844" max="8845" width="1" style="53" customWidth="1"/>
    <col min="8846" max="8846" width="14.42578125" style="53" customWidth="1"/>
    <col min="8847" max="8848" width="1" style="53" customWidth="1"/>
    <col min="8849" max="8849" width="2" style="53" customWidth="1"/>
    <col min="8850" max="8850" width="3.85546875" style="53" customWidth="1"/>
    <col min="8851" max="8851" width="15.7109375" style="53" customWidth="1"/>
    <col min="8852" max="8852" width="12.85546875" style="53" bestFit="1" customWidth="1"/>
    <col min="8853" max="8853" width="13.85546875" style="53" customWidth="1"/>
    <col min="8854" max="8854" width="12.85546875" style="53" bestFit="1" customWidth="1"/>
    <col min="8855" max="8960" width="10" style="53"/>
    <col min="8961" max="8962" width="0" style="53" hidden="1" customWidth="1"/>
    <col min="8963" max="8963" width="1" style="53" customWidth="1"/>
    <col min="8964" max="8964" width="56" style="53" customWidth="1"/>
    <col min="8965" max="8966" width="1" style="53" customWidth="1"/>
    <col min="8967" max="8967" width="14.42578125" style="53" customWidth="1"/>
    <col min="8968" max="8969" width="1" style="53" customWidth="1"/>
    <col min="8970" max="8974" width="0" style="53" hidden="1" customWidth="1"/>
    <col min="8975" max="8976" width="1" style="53" customWidth="1"/>
    <col min="8977" max="8977" width="14.42578125" style="53" customWidth="1"/>
    <col min="8978" max="8979" width="1" style="53" customWidth="1"/>
    <col min="8980" max="9029" width="0" style="53" hidden="1" customWidth="1"/>
    <col min="9030" max="9031" width="1" style="53" customWidth="1"/>
    <col min="9032" max="9032" width="14.42578125" style="53" customWidth="1"/>
    <col min="9033" max="9036" width="1" style="53" customWidth="1"/>
    <col min="9037" max="9037" width="14.42578125" style="53" customWidth="1"/>
    <col min="9038" max="9039" width="1" style="53" customWidth="1"/>
    <col min="9040" max="9044" width="0" style="53" hidden="1" customWidth="1"/>
    <col min="9045" max="9046" width="1" style="53" customWidth="1"/>
    <col min="9047" max="9047" width="14.42578125" style="53" customWidth="1"/>
    <col min="9048" max="9049" width="1" style="53" customWidth="1"/>
    <col min="9050" max="9099" width="0" style="53" hidden="1" customWidth="1"/>
    <col min="9100" max="9101" width="1" style="53" customWidth="1"/>
    <col min="9102" max="9102" width="14.42578125" style="53" customWidth="1"/>
    <col min="9103" max="9104" width="1" style="53" customWidth="1"/>
    <col min="9105" max="9105" width="2" style="53" customWidth="1"/>
    <col min="9106" max="9106" width="3.85546875" style="53" customWidth="1"/>
    <col min="9107" max="9107" width="15.7109375" style="53" customWidth="1"/>
    <col min="9108" max="9108" width="12.85546875" style="53" bestFit="1" customWidth="1"/>
    <col min="9109" max="9109" width="13.85546875" style="53" customWidth="1"/>
    <col min="9110" max="9110" width="12.85546875" style="53" bestFit="1" customWidth="1"/>
    <col min="9111" max="9216" width="10" style="53"/>
    <col min="9217" max="9218" width="0" style="53" hidden="1" customWidth="1"/>
    <col min="9219" max="9219" width="1" style="53" customWidth="1"/>
    <col min="9220" max="9220" width="56" style="53" customWidth="1"/>
    <col min="9221" max="9222" width="1" style="53" customWidth="1"/>
    <col min="9223" max="9223" width="14.42578125" style="53" customWidth="1"/>
    <col min="9224" max="9225" width="1" style="53" customWidth="1"/>
    <col min="9226" max="9230" width="0" style="53" hidden="1" customWidth="1"/>
    <col min="9231" max="9232" width="1" style="53" customWidth="1"/>
    <col min="9233" max="9233" width="14.42578125" style="53" customWidth="1"/>
    <col min="9234" max="9235" width="1" style="53" customWidth="1"/>
    <col min="9236" max="9285" width="0" style="53" hidden="1" customWidth="1"/>
    <col min="9286" max="9287" width="1" style="53" customWidth="1"/>
    <col min="9288" max="9288" width="14.42578125" style="53" customWidth="1"/>
    <col min="9289" max="9292" width="1" style="53" customWidth="1"/>
    <col min="9293" max="9293" width="14.42578125" style="53" customWidth="1"/>
    <col min="9294" max="9295" width="1" style="53" customWidth="1"/>
    <col min="9296" max="9300" width="0" style="53" hidden="1" customWidth="1"/>
    <col min="9301" max="9302" width="1" style="53" customWidth="1"/>
    <col min="9303" max="9303" width="14.42578125" style="53" customWidth="1"/>
    <col min="9304" max="9305" width="1" style="53" customWidth="1"/>
    <col min="9306" max="9355" width="0" style="53" hidden="1" customWidth="1"/>
    <col min="9356" max="9357" width="1" style="53" customWidth="1"/>
    <col min="9358" max="9358" width="14.42578125" style="53" customWidth="1"/>
    <col min="9359" max="9360" width="1" style="53" customWidth="1"/>
    <col min="9361" max="9361" width="2" style="53" customWidth="1"/>
    <col min="9362" max="9362" width="3.85546875" style="53" customWidth="1"/>
    <col min="9363" max="9363" width="15.7109375" style="53" customWidth="1"/>
    <col min="9364" max="9364" width="12.85546875" style="53" bestFit="1" customWidth="1"/>
    <col min="9365" max="9365" width="13.85546875" style="53" customWidth="1"/>
    <col min="9366" max="9366" width="12.85546875" style="53" bestFit="1" customWidth="1"/>
    <col min="9367" max="9472" width="10" style="53"/>
    <col min="9473" max="9474" width="0" style="53" hidden="1" customWidth="1"/>
    <col min="9475" max="9475" width="1" style="53" customWidth="1"/>
    <col min="9476" max="9476" width="56" style="53" customWidth="1"/>
    <col min="9477" max="9478" width="1" style="53" customWidth="1"/>
    <col min="9479" max="9479" width="14.42578125" style="53" customWidth="1"/>
    <col min="9480" max="9481" width="1" style="53" customWidth="1"/>
    <col min="9482" max="9486" width="0" style="53" hidden="1" customWidth="1"/>
    <col min="9487" max="9488" width="1" style="53" customWidth="1"/>
    <col min="9489" max="9489" width="14.42578125" style="53" customWidth="1"/>
    <col min="9490" max="9491" width="1" style="53" customWidth="1"/>
    <col min="9492" max="9541" width="0" style="53" hidden="1" customWidth="1"/>
    <col min="9542" max="9543" width="1" style="53" customWidth="1"/>
    <col min="9544" max="9544" width="14.42578125" style="53" customWidth="1"/>
    <col min="9545" max="9548" width="1" style="53" customWidth="1"/>
    <col min="9549" max="9549" width="14.42578125" style="53" customWidth="1"/>
    <col min="9550" max="9551" width="1" style="53" customWidth="1"/>
    <col min="9552" max="9556" width="0" style="53" hidden="1" customWidth="1"/>
    <col min="9557" max="9558" width="1" style="53" customWidth="1"/>
    <col min="9559" max="9559" width="14.42578125" style="53" customWidth="1"/>
    <col min="9560" max="9561" width="1" style="53" customWidth="1"/>
    <col min="9562" max="9611" width="0" style="53" hidden="1" customWidth="1"/>
    <col min="9612" max="9613" width="1" style="53" customWidth="1"/>
    <col min="9614" max="9614" width="14.42578125" style="53" customWidth="1"/>
    <col min="9615" max="9616" width="1" style="53" customWidth="1"/>
    <col min="9617" max="9617" width="2" style="53" customWidth="1"/>
    <col min="9618" max="9618" width="3.85546875" style="53" customWidth="1"/>
    <col min="9619" max="9619" width="15.7109375" style="53" customWidth="1"/>
    <col min="9620" max="9620" width="12.85546875" style="53" bestFit="1" customWidth="1"/>
    <col min="9621" max="9621" width="13.85546875" style="53" customWidth="1"/>
    <col min="9622" max="9622" width="12.85546875" style="53" bestFit="1" customWidth="1"/>
    <col min="9623" max="9728" width="10" style="53"/>
    <col min="9729" max="9730" width="0" style="53" hidden="1" customWidth="1"/>
    <col min="9731" max="9731" width="1" style="53" customWidth="1"/>
    <col min="9732" max="9732" width="56" style="53" customWidth="1"/>
    <col min="9733" max="9734" width="1" style="53" customWidth="1"/>
    <col min="9735" max="9735" width="14.42578125" style="53" customWidth="1"/>
    <col min="9736" max="9737" width="1" style="53" customWidth="1"/>
    <col min="9738" max="9742" width="0" style="53" hidden="1" customWidth="1"/>
    <col min="9743" max="9744" width="1" style="53" customWidth="1"/>
    <col min="9745" max="9745" width="14.42578125" style="53" customWidth="1"/>
    <col min="9746" max="9747" width="1" style="53" customWidth="1"/>
    <col min="9748" max="9797" width="0" style="53" hidden="1" customWidth="1"/>
    <col min="9798" max="9799" width="1" style="53" customWidth="1"/>
    <col min="9800" max="9800" width="14.42578125" style="53" customWidth="1"/>
    <col min="9801" max="9804" width="1" style="53" customWidth="1"/>
    <col min="9805" max="9805" width="14.42578125" style="53" customWidth="1"/>
    <col min="9806" max="9807" width="1" style="53" customWidth="1"/>
    <col min="9808" max="9812" width="0" style="53" hidden="1" customWidth="1"/>
    <col min="9813" max="9814" width="1" style="53" customWidth="1"/>
    <col min="9815" max="9815" width="14.42578125" style="53" customWidth="1"/>
    <col min="9816" max="9817" width="1" style="53" customWidth="1"/>
    <col min="9818" max="9867" width="0" style="53" hidden="1" customWidth="1"/>
    <col min="9868" max="9869" width="1" style="53" customWidth="1"/>
    <col min="9870" max="9870" width="14.42578125" style="53" customWidth="1"/>
    <col min="9871" max="9872" width="1" style="53" customWidth="1"/>
    <col min="9873" max="9873" width="2" style="53" customWidth="1"/>
    <col min="9874" max="9874" width="3.85546875" style="53" customWidth="1"/>
    <col min="9875" max="9875" width="15.7109375" style="53" customWidth="1"/>
    <col min="9876" max="9876" width="12.85546875" style="53" bestFit="1" customWidth="1"/>
    <col min="9877" max="9877" width="13.85546875" style="53" customWidth="1"/>
    <col min="9878" max="9878" width="12.85546875" style="53" bestFit="1" customWidth="1"/>
    <col min="9879" max="9984" width="10" style="53"/>
    <col min="9985" max="9986" width="0" style="53" hidden="1" customWidth="1"/>
    <col min="9987" max="9987" width="1" style="53" customWidth="1"/>
    <col min="9988" max="9988" width="56" style="53" customWidth="1"/>
    <col min="9989" max="9990" width="1" style="53" customWidth="1"/>
    <col min="9991" max="9991" width="14.42578125" style="53" customWidth="1"/>
    <col min="9992" max="9993" width="1" style="53" customWidth="1"/>
    <col min="9994" max="9998" width="0" style="53" hidden="1" customWidth="1"/>
    <col min="9999" max="10000" width="1" style="53" customWidth="1"/>
    <col min="10001" max="10001" width="14.42578125" style="53" customWidth="1"/>
    <col min="10002" max="10003" width="1" style="53" customWidth="1"/>
    <col min="10004" max="10053" width="0" style="53" hidden="1" customWidth="1"/>
    <col min="10054" max="10055" width="1" style="53" customWidth="1"/>
    <col min="10056" max="10056" width="14.42578125" style="53" customWidth="1"/>
    <col min="10057" max="10060" width="1" style="53" customWidth="1"/>
    <col min="10061" max="10061" width="14.42578125" style="53" customWidth="1"/>
    <col min="10062" max="10063" width="1" style="53" customWidth="1"/>
    <col min="10064" max="10068" width="0" style="53" hidden="1" customWidth="1"/>
    <col min="10069" max="10070" width="1" style="53" customWidth="1"/>
    <col min="10071" max="10071" width="14.42578125" style="53" customWidth="1"/>
    <col min="10072" max="10073" width="1" style="53" customWidth="1"/>
    <col min="10074" max="10123" width="0" style="53" hidden="1" customWidth="1"/>
    <col min="10124" max="10125" width="1" style="53" customWidth="1"/>
    <col min="10126" max="10126" width="14.42578125" style="53" customWidth="1"/>
    <col min="10127" max="10128" width="1" style="53" customWidth="1"/>
    <col min="10129" max="10129" width="2" style="53" customWidth="1"/>
    <col min="10130" max="10130" width="3.85546875" style="53" customWidth="1"/>
    <col min="10131" max="10131" width="15.7109375" style="53" customWidth="1"/>
    <col min="10132" max="10132" width="12.85546875" style="53" bestFit="1" customWidth="1"/>
    <col min="10133" max="10133" width="13.85546875" style="53" customWidth="1"/>
    <col min="10134" max="10134" width="12.85546875" style="53" bestFit="1" customWidth="1"/>
    <col min="10135" max="10240" width="10" style="53"/>
    <col min="10241" max="10242" width="0" style="53" hidden="1" customWidth="1"/>
    <col min="10243" max="10243" width="1" style="53" customWidth="1"/>
    <col min="10244" max="10244" width="56" style="53" customWidth="1"/>
    <col min="10245" max="10246" width="1" style="53" customWidth="1"/>
    <col min="10247" max="10247" width="14.42578125" style="53" customWidth="1"/>
    <col min="10248" max="10249" width="1" style="53" customWidth="1"/>
    <col min="10250" max="10254" width="0" style="53" hidden="1" customWidth="1"/>
    <col min="10255" max="10256" width="1" style="53" customWidth="1"/>
    <col min="10257" max="10257" width="14.42578125" style="53" customWidth="1"/>
    <col min="10258" max="10259" width="1" style="53" customWidth="1"/>
    <col min="10260" max="10309" width="0" style="53" hidden="1" customWidth="1"/>
    <col min="10310" max="10311" width="1" style="53" customWidth="1"/>
    <col min="10312" max="10312" width="14.42578125" style="53" customWidth="1"/>
    <col min="10313" max="10316" width="1" style="53" customWidth="1"/>
    <col min="10317" max="10317" width="14.42578125" style="53" customWidth="1"/>
    <col min="10318" max="10319" width="1" style="53" customWidth="1"/>
    <col min="10320" max="10324" width="0" style="53" hidden="1" customWidth="1"/>
    <col min="10325" max="10326" width="1" style="53" customWidth="1"/>
    <col min="10327" max="10327" width="14.42578125" style="53" customWidth="1"/>
    <col min="10328" max="10329" width="1" style="53" customWidth="1"/>
    <col min="10330" max="10379" width="0" style="53" hidden="1" customWidth="1"/>
    <col min="10380" max="10381" width="1" style="53" customWidth="1"/>
    <col min="10382" max="10382" width="14.42578125" style="53" customWidth="1"/>
    <col min="10383" max="10384" width="1" style="53" customWidth="1"/>
    <col min="10385" max="10385" width="2" style="53" customWidth="1"/>
    <col min="10386" max="10386" width="3.85546875" style="53" customWidth="1"/>
    <col min="10387" max="10387" width="15.7109375" style="53" customWidth="1"/>
    <col min="10388" max="10388" width="12.85546875" style="53" bestFit="1" customWidth="1"/>
    <col min="10389" max="10389" width="13.85546875" style="53" customWidth="1"/>
    <col min="10390" max="10390" width="12.85546875" style="53" bestFit="1" customWidth="1"/>
    <col min="10391" max="10496" width="10" style="53"/>
    <col min="10497" max="10498" width="0" style="53" hidden="1" customWidth="1"/>
    <col min="10499" max="10499" width="1" style="53" customWidth="1"/>
    <col min="10500" max="10500" width="56" style="53" customWidth="1"/>
    <col min="10501" max="10502" width="1" style="53" customWidth="1"/>
    <col min="10503" max="10503" width="14.42578125" style="53" customWidth="1"/>
    <col min="10504" max="10505" width="1" style="53" customWidth="1"/>
    <col min="10506" max="10510" width="0" style="53" hidden="1" customWidth="1"/>
    <col min="10511" max="10512" width="1" style="53" customWidth="1"/>
    <col min="10513" max="10513" width="14.42578125" style="53" customWidth="1"/>
    <col min="10514" max="10515" width="1" style="53" customWidth="1"/>
    <col min="10516" max="10565" width="0" style="53" hidden="1" customWidth="1"/>
    <col min="10566" max="10567" width="1" style="53" customWidth="1"/>
    <col min="10568" max="10568" width="14.42578125" style="53" customWidth="1"/>
    <col min="10569" max="10572" width="1" style="53" customWidth="1"/>
    <col min="10573" max="10573" width="14.42578125" style="53" customWidth="1"/>
    <col min="10574" max="10575" width="1" style="53" customWidth="1"/>
    <col min="10576" max="10580" width="0" style="53" hidden="1" customWidth="1"/>
    <col min="10581" max="10582" width="1" style="53" customWidth="1"/>
    <col min="10583" max="10583" width="14.42578125" style="53" customWidth="1"/>
    <col min="10584" max="10585" width="1" style="53" customWidth="1"/>
    <col min="10586" max="10635" width="0" style="53" hidden="1" customWidth="1"/>
    <col min="10636" max="10637" width="1" style="53" customWidth="1"/>
    <col min="10638" max="10638" width="14.42578125" style="53" customWidth="1"/>
    <col min="10639" max="10640" width="1" style="53" customWidth="1"/>
    <col min="10641" max="10641" width="2" style="53" customWidth="1"/>
    <col min="10642" max="10642" width="3.85546875" style="53" customWidth="1"/>
    <col min="10643" max="10643" width="15.7109375" style="53" customWidth="1"/>
    <col min="10644" max="10644" width="12.85546875" style="53" bestFit="1" customWidth="1"/>
    <col min="10645" max="10645" width="13.85546875" style="53" customWidth="1"/>
    <col min="10646" max="10646" width="12.85546875" style="53" bestFit="1" customWidth="1"/>
    <col min="10647" max="10752" width="10" style="53"/>
    <col min="10753" max="10754" width="0" style="53" hidden="1" customWidth="1"/>
    <col min="10755" max="10755" width="1" style="53" customWidth="1"/>
    <col min="10756" max="10756" width="56" style="53" customWidth="1"/>
    <col min="10757" max="10758" width="1" style="53" customWidth="1"/>
    <col min="10759" max="10759" width="14.42578125" style="53" customWidth="1"/>
    <col min="10760" max="10761" width="1" style="53" customWidth="1"/>
    <col min="10762" max="10766" width="0" style="53" hidden="1" customWidth="1"/>
    <col min="10767" max="10768" width="1" style="53" customWidth="1"/>
    <col min="10769" max="10769" width="14.42578125" style="53" customWidth="1"/>
    <col min="10770" max="10771" width="1" style="53" customWidth="1"/>
    <col min="10772" max="10821" width="0" style="53" hidden="1" customWidth="1"/>
    <col min="10822" max="10823" width="1" style="53" customWidth="1"/>
    <col min="10824" max="10824" width="14.42578125" style="53" customWidth="1"/>
    <col min="10825" max="10828" width="1" style="53" customWidth="1"/>
    <col min="10829" max="10829" width="14.42578125" style="53" customWidth="1"/>
    <col min="10830" max="10831" width="1" style="53" customWidth="1"/>
    <col min="10832" max="10836" width="0" style="53" hidden="1" customWidth="1"/>
    <col min="10837" max="10838" width="1" style="53" customWidth="1"/>
    <col min="10839" max="10839" width="14.42578125" style="53" customWidth="1"/>
    <col min="10840" max="10841" width="1" style="53" customWidth="1"/>
    <col min="10842" max="10891" width="0" style="53" hidden="1" customWidth="1"/>
    <col min="10892" max="10893" width="1" style="53" customWidth="1"/>
    <col min="10894" max="10894" width="14.42578125" style="53" customWidth="1"/>
    <col min="10895" max="10896" width="1" style="53" customWidth="1"/>
    <col min="10897" max="10897" width="2" style="53" customWidth="1"/>
    <col min="10898" max="10898" width="3.85546875" style="53" customWidth="1"/>
    <col min="10899" max="10899" width="15.7109375" style="53" customWidth="1"/>
    <col min="10900" max="10900" width="12.85546875" style="53" bestFit="1" customWidth="1"/>
    <col min="10901" max="10901" width="13.85546875" style="53" customWidth="1"/>
    <col min="10902" max="10902" width="12.85546875" style="53" bestFit="1" customWidth="1"/>
    <col min="10903" max="11008" width="10" style="53"/>
    <col min="11009" max="11010" width="0" style="53" hidden="1" customWidth="1"/>
    <col min="11011" max="11011" width="1" style="53" customWidth="1"/>
    <col min="11012" max="11012" width="56" style="53" customWidth="1"/>
    <col min="11013" max="11014" width="1" style="53" customWidth="1"/>
    <col min="11015" max="11015" width="14.42578125" style="53" customWidth="1"/>
    <col min="11016" max="11017" width="1" style="53" customWidth="1"/>
    <col min="11018" max="11022" width="0" style="53" hidden="1" customWidth="1"/>
    <col min="11023" max="11024" width="1" style="53" customWidth="1"/>
    <col min="11025" max="11025" width="14.42578125" style="53" customWidth="1"/>
    <col min="11026" max="11027" width="1" style="53" customWidth="1"/>
    <col min="11028" max="11077" width="0" style="53" hidden="1" customWidth="1"/>
    <col min="11078" max="11079" width="1" style="53" customWidth="1"/>
    <col min="11080" max="11080" width="14.42578125" style="53" customWidth="1"/>
    <col min="11081" max="11084" width="1" style="53" customWidth="1"/>
    <col min="11085" max="11085" width="14.42578125" style="53" customWidth="1"/>
    <col min="11086" max="11087" width="1" style="53" customWidth="1"/>
    <col min="11088" max="11092" width="0" style="53" hidden="1" customWidth="1"/>
    <col min="11093" max="11094" width="1" style="53" customWidth="1"/>
    <col min="11095" max="11095" width="14.42578125" style="53" customWidth="1"/>
    <col min="11096" max="11097" width="1" style="53" customWidth="1"/>
    <col min="11098" max="11147" width="0" style="53" hidden="1" customWidth="1"/>
    <col min="11148" max="11149" width="1" style="53" customWidth="1"/>
    <col min="11150" max="11150" width="14.42578125" style="53" customWidth="1"/>
    <col min="11151" max="11152" width="1" style="53" customWidth="1"/>
    <col min="11153" max="11153" width="2" style="53" customWidth="1"/>
    <col min="11154" max="11154" width="3.85546875" style="53" customWidth="1"/>
    <col min="11155" max="11155" width="15.7109375" style="53" customWidth="1"/>
    <col min="11156" max="11156" width="12.85546875" style="53" bestFit="1" customWidth="1"/>
    <col min="11157" max="11157" width="13.85546875" style="53" customWidth="1"/>
    <col min="11158" max="11158" width="12.85546875" style="53" bestFit="1" customWidth="1"/>
    <col min="11159" max="11264" width="10" style="53"/>
    <col min="11265" max="11266" width="0" style="53" hidden="1" customWidth="1"/>
    <col min="11267" max="11267" width="1" style="53" customWidth="1"/>
    <col min="11268" max="11268" width="56" style="53" customWidth="1"/>
    <col min="11269" max="11270" width="1" style="53" customWidth="1"/>
    <col min="11271" max="11271" width="14.42578125" style="53" customWidth="1"/>
    <col min="11272" max="11273" width="1" style="53" customWidth="1"/>
    <col min="11274" max="11278" width="0" style="53" hidden="1" customWidth="1"/>
    <col min="11279" max="11280" width="1" style="53" customWidth="1"/>
    <col min="11281" max="11281" width="14.42578125" style="53" customWidth="1"/>
    <col min="11282" max="11283" width="1" style="53" customWidth="1"/>
    <col min="11284" max="11333" width="0" style="53" hidden="1" customWidth="1"/>
    <col min="11334" max="11335" width="1" style="53" customWidth="1"/>
    <col min="11336" max="11336" width="14.42578125" style="53" customWidth="1"/>
    <col min="11337" max="11340" width="1" style="53" customWidth="1"/>
    <col min="11341" max="11341" width="14.42578125" style="53" customWidth="1"/>
    <col min="11342" max="11343" width="1" style="53" customWidth="1"/>
    <col min="11344" max="11348" width="0" style="53" hidden="1" customWidth="1"/>
    <col min="11349" max="11350" width="1" style="53" customWidth="1"/>
    <col min="11351" max="11351" width="14.42578125" style="53" customWidth="1"/>
    <col min="11352" max="11353" width="1" style="53" customWidth="1"/>
    <col min="11354" max="11403" width="0" style="53" hidden="1" customWidth="1"/>
    <col min="11404" max="11405" width="1" style="53" customWidth="1"/>
    <col min="11406" max="11406" width="14.42578125" style="53" customWidth="1"/>
    <col min="11407" max="11408" width="1" style="53" customWidth="1"/>
    <col min="11409" max="11409" width="2" style="53" customWidth="1"/>
    <col min="11410" max="11410" width="3.85546875" style="53" customWidth="1"/>
    <col min="11411" max="11411" width="15.7109375" style="53" customWidth="1"/>
    <col min="11412" max="11412" width="12.85546875" style="53" bestFit="1" customWidth="1"/>
    <col min="11413" max="11413" width="13.85546875" style="53" customWidth="1"/>
    <col min="11414" max="11414" width="12.85546875" style="53" bestFit="1" customWidth="1"/>
    <col min="11415" max="11520" width="10" style="53"/>
    <col min="11521" max="11522" width="0" style="53" hidden="1" customWidth="1"/>
    <col min="11523" max="11523" width="1" style="53" customWidth="1"/>
    <col min="11524" max="11524" width="56" style="53" customWidth="1"/>
    <col min="11525" max="11526" width="1" style="53" customWidth="1"/>
    <col min="11527" max="11527" width="14.42578125" style="53" customWidth="1"/>
    <col min="11528" max="11529" width="1" style="53" customWidth="1"/>
    <col min="11530" max="11534" width="0" style="53" hidden="1" customWidth="1"/>
    <col min="11535" max="11536" width="1" style="53" customWidth="1"/>
    <col min="11537" max="11537" width="14.42578125" style="53" customWidth="1"/>
    <col min="11538" max="11539" width="1" style="53" customWidth="1"/>
    <col min="11540" max="11589" width="0" style="53" hidden="1" customWidth="1"/>
    <col min="11590" max="11591" width="1" style="53" customWidth="1"/>
    <col min="11592" max="11592" width="14.42578125" style="53" customWidth="1"/>
    <col min="11593" max="11596" width="1" style="53" customWidth="1"/>
    <col min="11597" max="11597" width="14.42578125" style="53" customWidth="1"/>
    <col min="11598" max="11599" width="1" style="53" customWidth="1"/>
    <col min="11600" max="11604" width="0" style="53" hidden="1" customWidth="1"/>
    <col min="11605" max="11606" width="1" style="53" customWidth="1"/>
    <col min="11607" max="11607" width="14.42578125" style="53" customWidth="1"/>
    <col min="11608" max="11609" width="1" style="53" customWidth="1"/>
    <col min="11610" max="11659" width="0" style="53" hidden="1" customWidth="1"/>
    <col min="11660" max="11661" width="1" style="53" customWidth="1"/>
    <col min="11662" max="11662" width="14.42578125" style="53" customWidth="1"/>
    <col min="11663" max="11664" width="1" style="53" customWidth="1"/>
    <col min="11665" max="11665" width="2" style="53" customWidth="1"/>
    <col min="11666" max="11666" width="3.85546875" style="53" customWidth="1"/>
    <col min="11667" max="11667" width="15.7109375" style="53" customWidth="1"/>
    <col min="11668" max="11668" width="12.85546875" style="53" bestFit="1" customWidth="1"/>
    <col min="11669" max="11669" width="13.85546875" style="53" customWidth="1"/>
    <col min="11670" max="11670" width="12.85546875" style="53" bestFit="1" customWidth="1"/>
    <col min="11671" max="11776" width="10" style="53"/>
    <col min="11777" max="11778" width="0" style="53" hidden="1" customWidth="1"/>
    <col min="11779" max="11779" width="1" style="53" customWidth="1"/>
    <col min="11780" max="11780" width="56" style="53" customWidth="1"/>
    <col min="11781" max="11782" width="1" style="53" customWidth="1"/>
    <col min="11783" max="11783" width="14.42578125" style="53" customWidth="1"/>
    <col min="11784" max="11785" width="1" style="53" customWidth="1"/>
    <col min="11786" max="11790" width="0" style="53" hidden="1" customWidth="1"/>
    <col min="11791" max="11792" width="1" style="53" customWidth="1"/>
    <col min="11793" max="11793" width="14.42578125" style="53" customWidth="1"/>
    <col min="11794" max="11795" width="1" style="53" customWidth="1"/>
    <col min="11796" max="11845" width="0" style="53" hidden="1" customWidth="1"/>
    <col min="11846" max="11847" width="1" style="53" customWidth="1"/>
    <col min="11848" max="11848" width="14.42578125" style="53" customWidth="1"/>
    <col min="11849" max="11852" width="1" style="53" customWidth="1"/>
    <col min="11853" max="11853" width="14.42578125" style="53" customWidth="1"/>
    <col min="11854" max="11855" width="1" style="53" customWidth="1"/>
    <col min="11856" max="11860" width="0" style="53" hidden="1" customWidth="1"/>
    <col min="11861" max="11862" width="1" style="53" customWidth="1"/>
    <col min="11863" max="11863" width="14.42578125" style="53" customWidth="1"/>
    <col min="11864" max="11865" width="1" style="53" customWidth="1"/>
    <col min="11866" max="11915" width="0" style="53" hidden="1" customWidth="1"/>
    <col min="11916" max="11917" width="1" style="53" customWidth="1"/>
    <col min="11918" max="11918" width="14.42578125" style="53" customWidth="1"/>
    <col min="11919" max="11920" width="1" style="53" customWidth="1"/>
    <col min="11921" max="11921" width="2" style="53" customWidth="1"/>
    <col min="11922" max="11922" width="3.85546875" style="53" customWidth="1"/>
    <col min="11923" max="11923" width="15.7109375" style="53" customWidth="1"/>
    <col min="11924" max="11924" width="12.85546875" style="53" bestFit="1" customWidth="1"/>
    <col min="11925" max="11925" width="13.85546875" style="53" customWidth="1"/>
    <col min="11926" max="11926" width="12.85546875" style="53" bestFit="1" customWidth="1"/>
    <col min="11927" max="12032" width="10" style="53"/>
    <col min="12033" max="12034" width="0" style="53" hidden="1" customWidth="1"/>
    <col min="12035" max="12035" width="1" style="53" customWidth="1"/>
    <col min="12036" max="12036" width="56" style="53" customWidth="1"/>
    <col min="12037" max="12038" width="1" style="53" customWidth="1"/>
    <col min="12039" max="12039" width="14.42578125" style="53" customWidth="1"/>
    <col min="12040" max="12041" width="1" style="53" customWidth="1"/>
    <col min="12042" max="12046" width="0" style="53" hidden="1" customWidth="1"/>
    <col min="12047" max="12048" width="1" style="53" customWidth="1"/>
    <col min="12049" max="12049" width="14.42578125" style="53" customWidth="1"/>
    <col min="12050" max="12051" width="1" style="53" customWidth="1"/>
    <col min="12052" max="12101" width="0" style="53" hidden="1" customWidth="1"/>
    <col min="12102" max="12103" width="1" style="53" customWidth="1"/>
    <col min="12104" max="12104" width="14.42578125" style="53" customWidth="1"/>
    <col min="12105" max="12108" width="1" style="53" customWidth="1"/>
    <col min="12109" max="12109" width="14.42578125" style="53" customWidth="1"/>
    <col min="12110" max="12111" width="1" style="53" customWidth="1"/>
    <col min="12112" max="12116" width="0" style="53" hidden="1" customWidth="1"/>
    <col min="12117" max="12118" width="1" style="53" customWidth="1"/>
    <col min="12119" max="12119" width="14.42578125" style="53" customWidth="1"/>
    <col min="12120" max="12121" width="1" style="53" customWidth="1"/>
    <col min="12122" max="12171" width="0" style="53" hidden="1" customWidth="1"/>
    <col min="12172" max="12173" width="1" style="53" customWidth="1"/>
    <col min="12174" max="12174" width="14.42578125" style="53" customWidth="1"/>
    <col min="12175" max="12176" width="1" style="53" customWidth="1"/>
    <col min="12177" max="12177" width="2" style="53" customWidth="1"/>
    <col min="12178" max="12178" width="3.85546875" style="53" customWidth="1"/>
    <col min="12179" max="12179" width="15.7109375" style="53" customWidth="1"/>
    <col min="12180" max="12180" width="12.85546875" style="53" bestFit="1" customWidth="1"/>
    <col min="12181" max="12181" width="13.85546875" style="53" customWidth="1"/>
    <col min="12182" max="12182" width="12.85546875" style="53" bestFit="1" customWidth="1"/>
    <col min="12183" max="12288" width="10" style="53"/>
    <col min="12289" max="12290" width="0" style="53" hidden="1" customWidth="1"/>
    <col min="12291" max="12291" width="1" style="53" customWidth="1"/>
    <col min="12292" max="12292" width="56" style="53" customWidth="1"/>
    <col min="12293" max="12294" width="1" style="53" customWidth="1"/>
    <col min="12295" max="12295" width="14.42578125" style="53" customWidth="1"/>
    <col min="12296" max="12297" width="1" style="53" customWidth="1"/>
    <col min="12298" max="12302" width="0" style="53" hidden="1" customWidth="1"/>
    <col min="12303" max="12304" width="1" style="53" customWidth="1"/>
    <col min="12305" max="12305" width="14.42578125" style="53" customWidth="1"/>
    <col min="12306" max="12307" width="1" style="53" customWidth="1"/>
    <col min="12308" max="12357" width="0" style="53" hidden="1" customWidth="1"/>
    <col min="12358" max="12359" width="1" style="53" customWidth="1"/>
    <col min="12360" max="12360" width="14.42578125" style="53" customWidth="1"/>
    <col min="12361" max="12364" width="1" style="53" customWidth="1"/>
    <col min="12365" max="12365" width="14.42578125" style="53" customWidth="1"/>
    <col min="12366" max="12367" width="1" style="53" customWidth="1"/>
    <col min="12368" max="12372" width="0" style="53" hidden="1" customWidth="1"/>
    <col min="12373" max="12374" width="1" style="53" customWidth="1"/>
    <col min="12375" max="12375" width="14.42578125" style="53" customWidth="1"/>
    <col min="12376" max="12377" width="1" style="53" customWidth="1"/>
    <col min="12378" max="12427" width="0" style="53" hidden="1" customWidth="1"/>
    <col min="12428" max="12429" width="1" style="53" customWidth="1"/>
    <col min="12430" max="12430" width="14.42578125" style="53" customWidth="1"/>
    <col min="12431" max="12432" width="1" style="53" customWidth="1"/>
    <col min="12433" max="12433" width="2" style="53" customWidth="1"/>
    <col min="12434" max="12434" width="3.85546875" style="53" customWidth="1"/>
    <col min="12435" max="12435" width="15.7109375" style="53" customWidth="1"/>
    <col min="12436" max="12436" width="12.85546875" style="53" bestFit="1" customWidth="1"/>
    <col min="12437" max="12437" width="13.85546875" style="53" customWidth="1"/>
    <col min="12438" max="12438" width="12.85546875" style="53" bestFit="1" customWidth="1"/>
    <col min="12439" max="12544" width="10" style="53"/>
    <col min="12545" max="12546" width="0" style="53" hidden="1" customWidth="1"/>
    <col min="12547" max="12547" width="1" style="53" customWidth="1"/>
    <col min="12548" max="12548" width="56" style="53" customWidth="1"/>
    <col min="12549" max="12550" width="1" style="53" customWidth="1"/>
    <col min="12551" max="12551" width="14.42578125" style="53" customWidth="1"/>
    <col min="12552" max="12553" width="1" style="53" customWidth="1"/>
    <col min="12554" max="12558" width="0" style="53" hidden="1" customWidth="1"/>
    <col min="12559" max="12560" width="1" style="53" customWidth="1"/>
    <col min="12561" max="12561" width="14.42578125" style="53" customWidth="1"/>
    <col min="12562" max="12563" width="1" style="53" customWidth="1"/>
    <col min="12564" max="12613" width="0" style="53" hidden="1" customWidth="1"/>
    <col min="12614" max="12615" width="1" style="53" customWidth="1"/>
    <col min="12616" max="12616" width="14.42578125" style="53" customWidth="1"/>
    <col min="12617" max="12620" width="1" style="53" customWidth="1"/>
    <col min="12621" max="12621" width="14.42578125" style="53" customWidth="1"/>
    <col min="12622" max="12623" width="1" style="53" customWidth="1"/>
    <col min="12624" max="12628" width="0" style="53" hidden="1" customWidth="1"/>
    <col min="12629" max="12630" width="1" style="53" customWidth="1"/>
    <col min="12631" max="12631" width="14.42578125" style="53" customWidth="1"/>
    <col min="12632" max="12633" width="1" style="53" customWidth="1"/>
    <col min="12634" max="12683" width="0" style="53" hidden="1" customWidth="1"/>
    <col min="12684" max="12685" width="1" style="53" customWidth="1"/>
    <col min="12686" max="12686" width="14.42578125" style="53" customWidth="1"/>
    <col min="12687" max="12688" width="1" style="53" customWidth="1"/>
    <col min="12689" max="12689" width="2" style="53" customWidth="1"/>
    <col min="12690" max="12690" width="3.85546875" style="53" customWidth="1"/>
    <col min="12691" max="12691" width="15.7109375" style="53" customWidth="1"/>
    <col min="12692" max="12692" width="12.85546875" style="53" bestFit="1" customWidth="1"/>
    <col min="12693" max="12693" width="13.85546875" style="53" customWidth="1"/>
    <col min="12694" max="12694" width="12.85546875" style="53" bestFit="1" customWidth="1"/>
    <col min="12695" max="12800" width="10" style="53"/>
    <col min="12801" max="12802" width="0" style="53" hidden="1" customWidth="1"/>
    <col min="12803" max="12803" width="1" style="53" customWidth="1"/>
    <col min="12804" max="12804" width="56" style="53" customWidth="1"/>
    <col min="12805" max="12806" width="1" style="53" customWidth="1"/>
    <col min="12807" max="12807" width="14.42578125" style="53" customWidth="1"/>
    <col min="12808" max="12809" width="1" style="53" customWidth="1"/>
    <col min="12810" max="12814" width="0" style="53" hidden="1" customWidth="1"/>
    <col min="12815" max="12816" width="1" style="53" customWidth="1"/>
    <col min="12817" max="12817" width="14.42578125" style="53" customWidth="1"/>
    <col min="12818" max="12819" width="1" style="53" customWidth="1"/>
    <col min="12820" max="12869" width="0" style="53" hidden="1" customWidth="1"/>
    <col min="12870" max="12871" width="1" style="53" customWidth="1"/>
    <col min="12872" max="12872" width="14.42578125" style="53" customWidth="1"/>
    <col min="12873" max="12876" width="1" style="53" customWidth="1"/>
    <col min="12877" max="12877" width="14.42578125" style="53" customWidth="1"/>
    <col min="12878" max="12879" width="1" style="53" customWidth="1"/>
    <col min="12880" max="12884" width="0" style="53" hidden="1" customWidth="1"/>
    <col min="12885" max="12886" width="1" style="53" customWidth="1"/>
    <col min="12887" max="12887" width="14.42578125" style="53" customWidth="1"/>
    <col min="12888" max="12889" width="1" style="53" customWidth="1"/>
    <col min="12890" max="12939" width="0" style="53" hidden="1" customWidth="1"/>
    <col min="12940" max="12941" width="1" style="53" customWidth="1"/>
    <col min="12942" max="12942" width="14.42578125" style="53" customWidth="1"/>
    <col min="12943" max="12944" width="1" style="53" customWidth="1"/>
    <col min="12945" max="12945" width="2" style="53" customWidth="1"/>
    <col min="12946" max="12946" width="3.85546875" style="53" customWidth="1"/>
    <col min="12947" max="12947" width="15.7109375" style="53" customWidth="1"/>
    <col min="12948" max="12948" width="12.85546875" style="53" bestFit="1" customWidth="1"/>
    <col min="12949" max="12949" width="13.85546875" style="53" customWidth="1"/>
    <col min="12950" max="12950" width="12.85546875" style="53" bestFit="1" customWidth="1"/>
    <col min="12951" max="13056" width="10" style="53"/>
    <col min="13057" max="13058" width="0" style="53" hidden="1" customWidth="1"/>
    <col min="13059" max="13059" width="1" style="53" customWidth="1"/>
    <col min="13060" max="13060" width="56" style="53" customWidth="1"/>
    <col min="13061" max="13062" width="1" style="53" customWidth="1"/>
    <col min="13063" max="13063" width="14.42578125" style="53" customWidth="1"/>
    <col min="13064" max="13065" width="1" style="53" customWidth="1"/>
    <col min="13066" max="13070" width="0" style="53" hidden="1" customWidth="1"/>
    <col min="13071" max="13072" width="1" style="53" customWidth="1"/>
    <col min="13073" max="13073" width="14.42578125" style="53" customWidth="1"/>
    <col min="13074" max="13075" width="1" style="53" customWidth="1"/>
    <col min="13076" max="13125" width="0" style="53" hidden="1" customWidth="1"/>
    <col min="13126" max="13127" width="1" style="53" customWidth="1"/>
    <col min="13128" max="13128" width="14.42578125" style="53" customWidth="1"/>
    <col min="13129" max="13132" width="1" style="53" customWidth="1"/>
    <col min="13133" max="13133" width="14.42578125" style="53" customWidth="1"/>
    <col min="13134" max="13135" width="1" style="53" customWidth="1"/>
    <col min="13136" max="13140" width="0" style="53" hidden="1" customWidth="1"/>
    <col min="13141" max="13142" width="1" style="53" customWidth="1"/>
    <col min="13143" max="13143" width="14.42578125" style="53" customWidth="1"/>
    <col min="13144" max="13145" width="1" style="53" customWidth="1"/>
    <col min="13146" max="13195" width="0" style="53" hidden="1" customWidth="1"/>
    <col min="13196" max="13197" width="1" style="53" customWidth="1"/>
    <col min="13198" max="13198" width="14.42578125" style="53" customWidth="1"/>
    <col min="13199" max="13200" width="1" style="53" customWidth="1"/>
    <col min="13201" max="13201" width="2" style="53" customWidth="1"/>
    <col min="13202" max="13202" width="3.85546875" style="53" customWidth="1"/>
    <col min="13203" max="13203" width="15.7109375" style="53" customWidth="1"/>
    <col min="13204" max="13204" width="12.85546875" style="53" bestFit="1" customWidth="1"/>
    <col min="13205" max="13205" width="13.85546875" style="53" customWidth="1"/>
    <col min="13206" max="13206" width="12.85546875" style="53" bestFit="1" customWidth="1"/>
    <col min="13207" max="13312" width="10" style="53"/>
    <col min="13313" max="13314" width="0" style="53" hidden="1" customWidth="1"/>
    <col min="13315" max="13315" width="1" style="53" customWidth="1"/>
    <col min="13316" max="13316" width="56" style="53" customWidth="1"/>
    <col min="13317" max="13318" width="1" style="53" customWidth="1"/>
    <col min="13319" max="13319" width="14.42578125" style="53" customWidth="1"/>
    <col min="13320" max="13321" width="1" style="53" customWidth="1"/>
    <col min="13322" max="13326" width="0" style="53" hidden="1" customWidth="1"/>
    <col min="13327" max="13328" width="1" style="53" customWidth="1"/>
    <col min="13329" max="13329" width="14.42578125" style="53" customWidth="1"/>
    <col min="13330" max="13331" width="1" style="53" customWidth="1"/>
    <col min="13332" max="13381" width="0" style="53" hidden="1" customWidth="1"/>
    <col min="13382" max="13383" width="1" style="53" customWidth="1"/>
    <col min="13384" max="13384" width="14.42578125" style="53" customWidth="1"/>
    <col min="13385" max="13388" width="1" style="53" customWidth="1"/>
    <col min="13389" max="13389" width="14.42578125" style="53" customWidth="1"/>
    <col min="13390" max="13391" width="1" style="53" customWidth="1"/>
    <col min="13392" max="13396" width="0" style="53" hidden="1" customWidth="1"/>
    <col min="13397" max="13398" width="1" style="53" customWidth="1"/>
    <col min="13399" max="13399" width="14.42578125" style="53" customWidth="1"/>
    <col min="13400" max="13401" width="1" style="53" customWidth="1"/>
    <col min="13402" max="13451" width="0" style="53" hidden="1" customWidth="1"/>
    <col min="13452" max="13453" width="1" style="53" customWidth="1"/>
    <col min="13454" max="13454" width="14.42578125" style="53" customWidth="1"/>
    <col min="13455" max="13456" width="1" style="53" customWidth="1"/>
    <col min="13457" max="13457" width="2" style="53" customWidth="1"/>
    <col min="13458" max="13458" width="3.85546875" style="53" customWidth="1"/>
    <col min="13459" max="13459" width="15.7109375" style="53" customWidth="1"/>
    <col min="13460" max="13460" width="12.85546875" style="53" bestFit="1" customWidth="1"/>
    <col min="13461" max="13461" width="13.85546875" style="53" customWidth="1"/>
    <col min="13462" max="13462" width="12.85546875" style="53" bestFit="1" customWidth="1"/>
    <col min="13463" max="13568" width="10" style="53"/>
    <col min="13569" max="13570" width="0" style="53" hidden="1" customWidth="1"/>
    <col min="13571" max="13571" width="1" style="53" customWidth="1"/>
    <col min="13572" max="13572" width="56" style="53" customWidth="1"/>
    <col min="13573" max="13574" width="1" style="53" customWidth="1"/>
    <col min="13575" max="13575" width="14.42578125" style="53" customWidth="1"/>
    <col min="13576" max="13577" width="1" style="53" customWidth="1"/>
    <col min="13578" max="13582" width="0" style="53" hidden="1" customWidth="1"/>
    <col min="13583" max="13584" width="1" style="53" customWidth="1"/>
    <col min="13585" max="13585" width="14.42578125" style="53" customWidth="1"/>
    <col min="13586" max="13587" width="1" style="53" customWidth="1"/>
    <col min="13588" max="13637" width="0" style="53" hidden="1" customWidth="1"/>
    <col min="13638" max="13639" width="1" style="53" customWidth="1"/>
    <col min="13640" max="13640" width="14.42578125" style="53" customWidth="1"/>
    <col min="13641" max="13644" width="1" style="53" customWidth="1"/>
    <col min="13645" max="13645" width="14.42578125" style="53" customWidth="1"/>
    <col min="13646" max="13647" width="1" style="53" customWidth="1"/>
    <col min="13648" max="13652" width="0" style="53" hidden="1" customWidth="1"/>
    <col min="13653" max="13654" width="1" style="53" customWidth="1"/>
    <col min="13655" max="13655" width="14.42578125" style="53" customWidth="1"/>
    <col min="13656" max="13657" width="1" style="53" customWidth="1"/>
    <col min="13658" max="13707" width="0" style="53" hidden="1" customWidth="1"/>
    <col min="13708" max="13709" width="1" style="53" customWidth="1"/>
    <col min="13710" max="13710" width="14.42578125" style="53" customWidth="1"/>
    <col min="13711" max="13712" width="1" style="53" customWidth="1"/>
    <col min="13713" max="13713" width="2" style="53" customWidth="1"/>
    <col min="13714" max="13714" width="3.85546875" style="53" customWidth="1"/>
    <col min="13715" max="13715" width="15.7109375" style="53" customWidth="1"/>
    <col min="13716" max="13716" width="12.85546875" style="53" bestFit="1" customWidth="1"/>
    <col min="13717" max="13717" width="13.85546875" style="53" customWidth="1"/>
    <col min="13718" max="13718" width="12.85546875" style="53" bestFit="1" customWidth="1"/>
    <col min="13719" max="13824" width="10" style="53"/>
    <col min="13825" max="13826" width="0" style="53" hidden="1" customWidth="1"/>
    <col min="13827" max="13827" width="1" style="53" customWidth="1"/>
    <col min="13828" max="13828" width="56" style="53" customWidth="1"/>
    <col min="13829" max="13830" width="1" style="53" customWidth="1"/>
    <col min="13831" max="13831" width="14.42578125" style="53" customWidth="1"/>
    <col min="13832" max="13833" width="1" style="53" customWidth="1"/>
    <col min="13834" max="13838" width="0" style="53" hidden="1" customWidth="1"/>
    <col min="13839" max="13840" width="1" style="53" customWidth="1"/>
    <col min="13841" max="13841" width="14.42578125" style="53" customWidth="1"/>
    <col min="13842" max="13843" width="1" style="53" customWidth="1"/>
    <col min="13844" max="13893" width="0" style="53" hidden="1" customWidth="1"/>
    <col min="13894" max="13895" width="1" style="53" customWidth="1"/>
    <col min="13896" max="13896" width="14.42578125" style="53" customWidth="1"/>
    <col min="13897" max="13900" width="1" style="53" customWidth="1"/>
    <col min="13901" max="13901" width="14.42578125" style="53" customWidth="1"/>
    <col min="13902" max="13903" width="1" style="53" customWidth="1"/>
    <col min="13904" max="13908" width="0" style="53" hidden="1" customWidth="1"/>
    <col min="13909" max="13910" width="1" style="53" customWidth="1"/>
    <col min="13911" max="13911" width="14.42578125" style="53" customWidth="1"/>
    <col min="13912" max="13913" width="1" style="53" customWidth="1"/>
    <col min="13914" max="13963" width="0" style="53" hidden="1" customWidth="1"/>
    <col min="13964" max="13965" width="1" style="53" customWidth="1"/>
    <col min="13966" max="13966" width="14.42578125" style="53" customWidth="1"/>
    <col min="13967" max="13968" width="1" style="53" customWidth="1"/>
    <col min="13969" max="13969" width="2" style="53" customWidth="1"/>
    <col min="13970" max="13970" width="3.85546875" style="53" customWidth="1"/>
    <col min="13971" max="13971" width="15.7109375" style="53" customWidth="1"/>
    <col min="13972" max="13972" width="12.85546875" style="53" bestFit="1" customWidth="1"/>
    <col min="13973" max="13973" width="13.85546875" style="53" customWidth="1"/>
    <col min="13974" max="13974" width="12.85546875" style="53" bestFit="1" customWidth="1"/>
    <col min="13975" max="14080" width="10" style="53"/>
    <col min="14081" max="14082" width="0" style="53" hidden="1" customWidth="1"/>
    <col min="14083" max="14083" width="1" style="53" customWidth="1"/>
    <col min="14084" max="14084" width="56" style="53" customWidth="1"/>
    <col min="14085" max="14086" width="1" style="53" customWidth="1"/>
    <col min="14087" max="14087" width="14.42578125" style="53" customWidth="1"/>
    <col min="14088" max="14089" width="1" style="53" customWidth="1"/>
    <col min="14090" max="14094" width="0" style="53" hidden="1" customWidth="1"/>
    <col min="14095" max="14096" width="1" style="53" customWidth="1"/>
    <col min="14097" max="14097" width="14.42578125" style="53" customWidth="1"/>
    <col min="14098" max="14099" width="1" style="53" customWidth="1"/>
    <col min="14100" max="14149" width="0" style="53" hidden="1" customWidth="1"/>
    <col min="14150" max="14151" width="1" style="53" customWidth="1"/>
    <col min="14152" max="14152" width="14.42578125" style="53" customWidth="1"/>
    <col min="14153" max="14156" width="1" style="53" customWidth="1"/>
    <col min="14157" max="14157" width="14.42578125" style="53" customWidth="1"/>
    <col min="14158" max="14159" width="1" style="53" customWidth="1"/>
    <col min="14160" max="14164" width="0" style="53" hidden="1" customWidth="1"/>
    <col min="14165" max="14166" width="1" style="53" customWidth="1"/>
    <col min="14167" max="14167" width="14.42578125" style="53" customWidth="1"/>
    <col min="14168" max="14169" width="1" style="53" customWidth="1"/>
    <col min="14170" max="14219" width="0" style="53" hidden="1" customWidth="1"/>
    <col min="14220" max="14221" width="1" style="53" customWidth="1"/>
    <col min="14222" max="14222" width="14.42578125" style="53" customWidth="1"/>
    <col min="14223" max="14224" width="1" style="53" customWidth="1"/>
    <col min="14225" max="14225" width="2" style="53" customWidth="1"/>
    <col min="14226" max="14226" width="3.85546875" style="53" customWidth="1"/>
    <col min="14227" max="14227" width="15.7109375" style="53" customWidth="1"/>
    <col min="14228" max="14228" width="12.85546875" style="53" bestFit="1" customWidth="1"/>
    <col min="14229" max="14229" width="13.85546875" style="53" customWidth="1"/>
    <col min="14230" max="14230" width="12.85546875" style="53" bestFit="1" customWidth="1"/>
    <col min="14231" max="14336" width="10" style="53"/>
    <col min="14337" max="14338" width="0" style="53" hidden="1" customWidth="1"/>
    <col min="14339" max="14339" width="1" style="53" customWidth="1"/>
    <col min="14340" max="14340" width="56" style="53" customWidth="1"/>
    <col min="14341" max="14342" width="1" style="53" customWidth="1"/>
    <col min="14343" max="14343" width="14.42578125" style="53" customWidth="1"/>
    <col min="14344" max="14345" width="1" style="53" customWidth="1"/>
    <col min="14346" max="14350" width="0" style="53" hidden="1" customWidth="1"/>
    <col min="14351" max="14352" width="1" style="53" customWidth="1"/>
    <col min="14353" max="14353" width="14.42578125" style="53" customWidth="1"/>
    <col min="14354" max="14355" width="1" style="53" customWidth="1"/>
    <col min="14356" max="14405" width="0" style="53" hidden="1" customWidth="1"/>
    <col min="14406" max="14407" width="1" style="53" customWidth="1"/>
    <col min="14408" max="14408" width="14.42578125" style="53" customWidth="1"/>
    <col min="14409" max="14412" width="1" style="53" customWidth="1"/>
    <col min="14413" max="14413" width="14.42578125" style="53" customWidth="1"/>
    <col min="14414" max="14415" width="1" style="53" customWidth="1"/>
    <col min="14416" max="14420" width="0" style="53" hidden="1" customWidth="1"/>
    <col min="14421" max="14422" width="1" style="53" customWidth="1"/>
    <col min="14423" max="14423" width="14.42578125" style="53" customWidth="1"/>
    <col min="14424" max="14425" width="1" style="53" customWidth="1"/>
    <col min="14426" max="14475" width="0" style="53" hidden="1" customWidth="1"/>
    <col min="14476" max="14477" width="1" style="53" customWidth="1"/>
    <col min="14478" max="14478" width="14.42578125" style="53" customWidth="1"/>
    <col min="14479" max="14480" width="1" style="53" customWidth="1"/>
    <col min="14481" max="14481" width="2" style="53" customWidth="1"/>
    <col min="14482" max="14482" width="3.85546875" style="53" customWidth="1"/>
    <col min="14483" max="14483" width="15.7109375" style="53" customWidth="1"/>
    <col min="14484" max="14484" width="12.85546875" style="53" bestFit="1" customWidth="1"/>
    <col min="14485" max="14485" width="13.85546875" style="53" customWidth="1"/>
    <col min="14486" max="14486" width="12.85546875" style="53" bestFit="1" customWidth="1"/>
    <col min="14487" max="14592" width="10" style="53"/>
    <col min="14593" max="14594" width="0" style="53" hidden="1" customWidth="1"/>
    <col min="14595" max="14595" width="1" style="53" customWidth="1"/>
    <col min="14596" max="14596" width="56" style="53" customWidth="1"/>
    <col min="14597" max="14598" width="1" style="53" customWidth="1"/>
    <col min="14599" max="14599" width="14.42578125" style="53" customWidth="1"/>
    <col min="14600" max="14601" width="1" style="53" customWidth="1"/>
    <col min="14602" max="14606" width="0" style="53" hidden="1" customWidth="1"/>
    <col min="14607" max="14608" width="1" style="53" customWidth="1"/>
    <col min="14609" max="14609" width="14.42578125" style="53" customWidth="1"/>
    <col min="14610" max="14611" width="1" style="53" customWidth="1"/>
    <col min="14612" max="14661" width="0" style="53" hidden="1" customWidth="1"/>
    <col min="14662" max="14663" width="1" style="53" customWidth="1"/>
    <col min="14664" max="14664" width="14.42578125" style="53" customWidth="1"/>
    <col min="14665" max="14668" width="1" style="53" customWidth="1"/>
    <col min="14669" max="14669" width="14.42578125" style="53" customWidth="1"/>
    <col min="14670" max="14671" width="1" style="53" customWidth="1"/>
    <col min="14672" max="14676" width="0" style="53" hidden="1" customWidth="1"/>
    <col min="14677" max="14678" width="1" style="53" customWidth="1"/>
    <col min="14679" max="14679" width="14.42578125" style="53" customWidth="1"/>
    <col min="14680" max="14681" width="1" style="53" customWidth="1"/>
    <col min="14682" max="14731" width="0" style="53" hidden="1" customWidth="1"/>
    <col min="14732" max="14733" width="1" style="53" customWidth="1"/>
    <col min="14734" max="14734" width="14.42578125" style="53" customWidth="1"/>
    <col min="14735" max="14736" width="1" style="53" customWidth="1"/>
    <col min="14737" max="14737" width="2" style="53" customWidth="1"/>
    <col min="14738" max="14738" width="3.85546875" style="53" customWidth="1"/>
    <col min="14739" max="14739" width="15.7109375" style="53" customWidth="1"/>
    <col min="14740" max="14740" width="12.85546875" style="53" bestFit="1" customWidth="1"/>
    <col min="14741" max="14741" width="13.85546875" style="53" customWidth="1"/>
    <col min="14742" max="14742" width="12.85546875" style="53" bestFit="1" customWidth="1"/>
    <col min="14743" max="14848" width="10" style="53"/>
    <col min="14849" max="14850" width="0" style="53" hidden="1" customWidth="1"/>
    <col min="14851" max="14851" width="1" style="53" customWidth="1"/>
    <col min="14852" max="14852" width="56" style="53" customWidth="1"/>
    <col min="14853" max="14854" width="1" style="53" customWidth="1"/>
    <col min="14855" max="14855" width="14.42578125" style="53" customWidth="1"/>
    <col min="14856" max="14857" width="1" style="53" customWidth="1"/>
    <col min="14858" max="14862" width="0" style="53" hidden="1" customWidth="1"/>
    <col min="14863" max="14864" width="1" style="53" customWidth="1"/>
    <col min="14865" max="14865" width="14.42578125" style="53" customWidth="1"/>
    <col min="14866" max="14867" width="1" style="53" customWidth="1"/>
    <col min="14868" max="14917" width="0" style="53" hidden="1" customWidth="1"/>
    <col min="14918" max="14919" width="1" style="53" customWidth="1"/>
    <col min="14920" max="14920" width="14.42578125" style="53" customWidth="1"/>
    <col min="14921" max="14924" width="1" style="53" customWidth="1"/>
    <col min="14925" max="14925" width="14.42578125" style="53" customWidth="1"/>
    <col min="14926" max="14927" width="1" style="53" customWidth="1"/>
    <col min="14928" max="14932" width="0" style="53" hidden="1" customWidth="1"/>
    <col min="14933" max="14934" width="1" style="53" customWidth="1"/>
    <col min="14935" max="14935" width="14.42578125" style="53" customWidth="1"/>
    <col min="14936" max="14937" width="1" style="53" customWidth="1"/>
    <col min="14938" max="14987" width="0" style="53" hidden="1" customWidth="1"/>
    <col min="14988" max="14989" width="1" style="53" customWidth="1"/>
    <col min="14990" max="14990" width="14.42578125" style="53" customWidth="1"/>
    <col min="14991" max="14992" width="1" style="53" customWidth="1"/>
    <col min="14993" max="14993" width="2" style="53" customWidth="1"/>
    <col min="14994" max="14994" width="3.85546875" style="53" customWidth="1"/>
    <col min="14995" max="14995" width="15.7109375" style="53" customWidth="1"/>
    <col min="14996" max="14996" width="12.85546875" style="53" bestFit="1" customWidth="1"/>
    <col min="14997" max="14997" width="13.85546875" style="53" customWidth="1"/>
    <col min="14998" max="14998" width="12.85546875" style="53" bestFit="1" customWidth="1"/>
    <col min="14999" max="15104" width="10" style="53"/>
    <col min="15105" max="15106" width="0" style="53" hidden="1" customWidth="1"/>
    <col min="15107" max="15107" width="1" style="53" customWidth="1"/>
    <col min="15108" max="15108" width="56" style="53" customWidth="1"/>
    <col min="15109" max="15110" width="1" style="53" customWidth="1"/>
    <col min="15111" max="15111" width="14.42578125" style="53" customWidth="1"/>
    <col min="15112" max="15113" width="1" style="53" customWidth="1"/>
    <col min="15114" max="15118" width="0" style="53" hidden="1" customWidth="1"/>
    <col min="15119" max="15120" width="1" style="53" customWidth="1"/>
    <col min="15121" max="15121" width="14.42578125" style="53" customWidth="1"/>
    <col min="15122" max="15123" width="1" style="53" customWidth="1"/>
    <col min="15124" max="15173" width="0" style="53" hidden="1" customWidth="1"/>
    <col min="15174" max="15175" width="1" style="53" customWidth="1"/>
    <col min="15176" max="15176" width="14.42578125" style="53" customWidth="1"/>
    <col min="15177" max="15180" width="1" style="53" customWidth="1"/>
    <col min="15181" max="15181" width="14.42578125" style="53" customWidth="1"/>
    <col min="15182" max="15183" width="1" style="53" customWidth="1"/>
    <col min="15184" max="15188" width="0" style="53" hidden="1" customWidth="1"/>
    <col min="15189" max="15190" width="1" style="53" customWidth="1"/>
    <col min="15191" max="15191" width="14.42578125" style="53" customWidth="1"/>
    <col min="15192" max="15193" width="1" style="53" customWidth="1"/>
    <col min="15194" max="15243" width="0" style="53" hidden="1" customWidth="1"/>
    <col min="15244" max="15245" width="1" style="53" customWidth="1"/>
    <col min="15246" max="15246" width="14.42578125" style="53" customWidth="1"/>
    <col min="15247" max="15248" width="1" style="53" customWidth="1"/>
    <col min="15249" max="15249" width="2" style="53" customWidth="1"/>
    <col min="15250" max="15250" width="3.85546875" style="53" customWidth="1"/>
    <col min="15251" max="15251" width="15.7109375" style="53" customWidth="1"/>
    <col min="15252" max="15252" width="12.85546875" style="53" bestFit="1" customWidth="1"/>
    <col min="15253" max="15253" width="13.85546875" style="53" customWidth="1"/>
    <col min="15254" max="15254" width="12.85546875" style="53" bestFit="1" customWidth="1"/>
    <col min="15255" max="15360" width="10" style="53"/>
    <col min="15361" max="15362" width="0" style="53" hidden="1" customWidth="1"/>
    <col min="15363" max="15363" width="1" style="53" customWidth="1"/>
    <col min="15364" max="15364" width="56" style="53" customWidth="1"/>
    <col min="15365" max="15366" width="1" style="53" customWidth="1"/>
    <col min="15367" max="15367" width="14.42578125" style="53" customWidth="1"/>
    <col min="15368" max="15369" width="1" style="53" customWidth="1"/>
    <col min="15370" max="15374" width="0" style="53" hidden="1" customWidth="1"/>
    <col min="15375" max="15376" width="1" style="53" customWidth="1"/>
    <col min="15377" max="15377" width="14.42578125" style="53" customWidth="1"/>
    <col min="15378" max="15379" width="1" style="53" customWidth="1"/>
    <col min="15380" max="15429" width="0" style="53" hidden="1" customWidth="1"/>
    <col min="15430" max="15431" width="1" style="53" customWidth="1"/>
    <col min="15432" max="15432" width="14.42578125" style="53" customWidth="1"/>
    <col min="15433" max="15436" width="1" style="53" customWidth="1"/>
    <col min="15437" max="15437" width="14.42578125" style="53" customWidth="1"/>
    <col min="15438" max="15439" width="1" style="53" customWidth="1"/>
    <col min="15440" max="15444" width="0" style="53" hidden="1" customWidth="1"/>
    <col min="15445" max="15446" width="1" style="53" customWidth="1"/>
    <col min="15447" max="15447" width="14.42578125" style="53" customWidth="1"/>
    <col min="15448" max="15449" width="1" style="53" customWidth="1"/>
    <col min="15450" max="15499" width="0" style="53" hidden="1" customWidth="1"/>
    <col min="15500" max="15501" width="1" style="53" customWidth="1"/>
    <col min="15502" max="15502" width="14.42578125" style="53" customWidth="1"/>
    <col min="15503" max="15504" width="1" style="53" customWidth="1"/>
    <col min="15505" max="15505" width="2" style="53" customWidth="1"/>
    <col min="15506" max="15506" width="3.85546875" style="53" customWidth="1"/>
    <col min="15507" max="15507" width="15.7109375" style="53" customWidth="1"/>
    <col min="15508" max="15508" width="12.85546875" style="53" bestFit="1" customWidth="1"/>
    <col min="15509" max="15509" width="13.85546875" style="53" customWidth="1"/>
    <col min="15510" max="15510" width="12.85546875" style="53" bestFit="1" customWidth="1"/>
    <col min="15511" max="15616" width="10" style="53"/>
    <col min="15617" max="15618" width="0" style="53" hidden="1" customWidth="1"/>
    <col min="15619" max="15619" width="1" style="53" customWidth="1"/>
    <col min="15620" max="15620" width="56" style="53" customWidth="1"/>
    <col min="15621" max="15622" width="1" style="53" customWidth="1"/>
    <col min="15623" max="15623" width="14.42578125" style="53" customWidth="1"/>
    <col min="15624" max="15625" width="1" style="53" customWidth="1"/>
    <col min="15626" max="15630" width="0" style="53" hidden="1" customWidth="1"/>
    <col min="15631" max="15632" width="1" style="53" customWidth="1"/>
    <col min="15633" max="15633" width="14.42578125" style="53" customWidth="1"/>
    <col min="15634" max="15635" width="1" style="53" customWidth="1"/>
    <col min="15636" max="15685" width="0" style="53" hidden="1" customWidth="1"/>
    <col min="15686" max="15687" width="1" style="53" customWidth="1"/>
    <col min="15688" max="15688" width="14.42578125" style="53" customWidth="1"/>
    <col min="15689" max="15692" width="1" style="53" customWidth="1"/>
    <col min="15693" max="15693" width="14.42578125" style="53" customWidth="1"/>
    <col min="15694" max="15695" width="1" style="53" customWidth="1"/>
    <col min="15696" max="15700" width="0" style="53" hidden="1" customWidth="1"/>
    <col min="15701" max="15702" width="1" style="53" customWidth="1"/>
    <col min="15703" max="15703" width="14.42578125" style="53" customWidth="1"/>
    <col min="15704" max="15705" width="1" style="53" customWidth="1"/>
    <col min="15706" max="15755" width="0" style="53" hidden="1" customWidth="1"/>
    <col min="15756" max="15757" width="1" style="53" customWidth="1"/>
    <col min="15758" max="15758" width="14.42578125" style="53" customWidth="1"/>
    <col min="15759" max="15760" width="1" style="53" customWidth="1"/>
    <col min="15761" max="15761" width="2" style="53" customWidth="1"/>
    <col min="15762" max="15762" width="3.85546875" style="53" customWidth="1"/>
    <col min="15763" max="15763" width="15.7109375" style="53" customWidth="1"/>
    <col min="15764" max="15764" width="12.85546875" style="53" bestFit="1" customWidth="1"/>
    <col min="15765" max="15765" width="13.85546875" style="53" customWidth="1"/>
    <col min="15766" max="15766" width="12.85546875" style="53" bestFit="1" customWidth="1"/>
    <col min="15767" max="15872" width="10" style="53"/>
    <col min="15873" max="15874" width="0" style="53" hidden="1" customWidth="1"/>
    <col min="15875" max="15875" width="1" style="53" customWidth="1"/>
    <col min="15876" max="15876" width="56" style="53" customWidth="1"/>
    <col min="15877" max="15878" width="1" style="53" customWidth="1"/>
    <col min="15879" max="15879" width="14.42578125" style="53" customWidth="1"/>
    <col min="15880" max="15881" width="1" style="53" customWidth="1"/>
    <col min="15882" max="15886" width="0" style="53" hidden="1" customWidth="1"/>
    <col min="15887" max="15888" width="1" style="53" customWidth="1"/>
    <col min="15889" max="15889" width="14.42578125" style="53" customWidth="1"/>
    <col min="15890" max="15891" width="1" style="53" customWidth="1"/>
    <col min="15892" max="15941" width="0" style="53" hidden="1" customWidth="1"/>
    <col min="15942" max="15943" width="1" style="53" customWidth="1"/>
    <col min="15944" max="15944" width="14.42578125" style="53" customWidth="1"/>
    <col min="15945" max="15948" width="1" style="53" customWidth="1"/>
    <col min="15949" max="15949" width="14.42578125" style="53" customWidth="1"/>
    <col min="15950" max="15951" width="1" style="53" customWidth="1"/>
    <col min="15952" max="15956" width="0" style="53" hidden="1" customWidth="1"/>
    <col min="15957" max="15958" width="1" style="53" customWidth="1"/>
    <col min="15959" max="15959" width="14.42578125" style="53" customWidth="1"/>
    <col min="15960" max="15961" width="1" style="53" customWidth="1"/>
    <col min="15962" max="16011" width="0" style="53" hidden="1" customWidth="1"/>
    <col min="16012" max="16013" width="1" style="53" customWidth="1"/>
    <col min="16014" max="16014" width="14.42578125" style="53" customWidth="1"/>
    <col min="16015" max="16016" width="1" style="53" customWidth="1"/>
    <col min="16017" max="16017" width="2" style="53" customWidth="1"/>
    <col min="16018" max="16018" width="3.85546875" style="53" customWidth="1"/>
    <col min="16019" max="16019" width="15.7109375" style="53" customWidth="1"/>
    <col min="16020" max="16020" width="12.85546875" style="53" bestFit="1" customWidth="1"/>
    <col min="16021" max="16021" width="13.85546875" style="53" customWidth="1"/>
    <col min="16022" max="16022" width="12.85546875" style="53" bestFit="1" customWidth="1"/>
    <col min="16023" max="16128" width="10" style="53"/>
    <col min="16129" max="16130" width="0" style="53" hidden="1" customWidth="1"/>
    <col min="16131" max="16131" width="1" style="53" customWidth="1"/>
    <col min="16132" max="16132" width="56" style="53" customWidth="1"/>
    <col min="16133" max="16134" width="1" style="53" customWidth="1"/>
    <col min="16135" max="16135" width="14.42578125" style="53" customWidth="1"/>
    <col min="16136" max="16137" width="1" style="53" customWidth="1"/>
    <col min="16138" max="16142" width="0" style="53" hidden="1" customWidth="1"/>
    <col min="16143" max="16144" width="1" style="53" customWidth="1"/>
    <col min="16145" max="16145" width="14.42578125" style="53" customWidth="1"/>
    <col min="16146" max="16147" width="1" style="53" customWidth="1"/>
    <col min="16148" max="16197" width="0" style="53" hidden="1" customWidth="1"/>
    <col min="16198" max="16199" width="1" style="53" customWidth="1"/>
    <col min="16200" max="16200" width="14.42578125" style="53" customWidth="1"/>
    <col min="16201" max="16204" width="1" style="53" customWidth="1"/>
    <col min="16205" max="16205" width="14.42578125" style="53" customWidth="1"/>
    <col min="16206" max="16207" width="1" style="53" customWidth="1"/>
    <col min="16208" max="16212" width="0" style="53" hidden="1" customWidth="1"/>
    <col min="16213" max="16214" width="1" style="53" customWidth="1"/>
    <col min="16215" max="16215" width="14.42578125" style="53" customWidth="1"/>
    <col min="16216" max="16217" width="1" style="53" customWidth="1"/>
    <col min="16218" max="16267" width="0" style="53" hidden="1" customWidth="1"/>
    <col min="16268" max="16269" width="1" style="53" customWidth="1"/>
    <col min="16270" max="16270" width="14.42578125" style="53" customWidth="1"/>
    <col min="16271" max="16272" width="1" style="53" customWidth="1"/>
    <col min="16273" max="16273" width="2" style="53" customWidth="1"/>
    <col min="16274" max="16274" width="3.85546875" style="53" customWidth="1"/>
    <col min="16275" max="16275" width="15.7109375" style="53" customWidth="1"/>
    <col min="16276" max="16276" width="12.85546875" style="53" bestFit="1" customWidth="1"/>
    <col min="16277" max="16277" width="13.85546875" style="53" customWidth="1"/>
    <col min="16278" max="16278" width="12.85546875" style="53" bestFit="1" customWidth="1"/>
    <col min="16279" max="16384" width="10" style="53"/>
  </cols>
  <sheetData>
    <row r="1" spans="1:149" x14ac:dyDescent="0.2"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>
        <f>1770000000+11234076861+1105000000</f>
        <v>14109076861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</row>
    <row r="2" spans="1:149" ht="5.25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</row>
    <row r="3" spans="1:149" x14ac:dyDescent="0.2">
      <c r="A3" s="442"/>
      <c r="B3" s="442"/>
      <c r="D3" s="442"/>
      <c r="E3" s="53"/>
      <c r="EO3" s="442"/>
    </row>
    <row r="4" spans="1:149" x14ac:dyDescent="0.2">
      <c r="A4" s="442"/>
      <c r="B4" s="442"/>
      <c r="D4" s="472"/>
      <c r="E4" s="472"/>
      <c r="F4" s="472"/>
      <c r="CN4" s="442"/>
      <c r="EO4" s="442"/>
    </row>
    <row r="5" spans="1:149" x14ac:dyDescent="0.2">
      <c r="A5" s="442"/>
      <c r="B5" s="442"/>
      <c r="E5" s="53"/>
      <c r="EO5" s="442"/>
    </row>
    <row r="6" spans="1:149" x14ac:dyDescent="0.2">
      <c r="A6" s="442"/>
      <c r="B6" s="442"/>
      <c r="E6" s="53">
        <v>0</v>
      </c>
      <c r="EO6" s="442"/>
    </row>
    <row r="7" spans="1:149" ht="15.75" x14ac:dyDescent="0.25">
      <c r="A7" s="442"/>
      <c r="B7" s="442"/>
      <c r="D7" s="532" t="s">
        <v>331</v>
      </c>
      <c r="E7" s="532">
        <v>0</v>
      </c>
      <c r="F7" s="532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EJ7" s="445"/>
      <c r="EK7" s="445"/>
      <c r="EL7" s="445"/>
      <c r="EM7" s="445"/>
      <c r="EN7" s="445"/>
      <c r="EO7" s="442"/>
    </row>
    <row r="8" spans="1:149" ht="15" customHeight="1" x14ac:dyDescent="0.25">
      <c r="A8" s="442"/>
      <c r="B8" s="442"/>
      <c r="D8" s="466"/>
      <c r="E8" s="533">
        <v>0</v>
      </c>
      <c r="F8" s="534"/>
      <c r="G8" s="144" t="str">
        <f>[12]summary!H8</f>
        <v>2020/21</v>
      </c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535"/>
      <c r="BV8" s="535"/>
      <c r="BW8" s="536"/>
      <c r="BX8" s="535"/>
      <c r="BY8" s="537" t="str">
        <f>[12]summary!BZ8</f>
        <v>2019/20</v>
      </c>
      <c r="BZ8" s="537"/>
      <c r="CA8" s="537"/>
      <c r="CB8" s="537"/>
      <c r="CC8" s="537"/>
      <c r="CD8" s="537"/>
      <c r="CE8" s="537"/>
      <c r="CF8" s="537"/>
      <c r="CG8" s="537"/>
      <c r="CH8" s="537"/>
      <c r="CI8" s="537"/>
      <c r="CJ8" s="537"/>
      <c r="CK8" s="537"/>
      <c r="CL8" s="537"/>
      <c r="CM8" s="537"/>
      <c r="CN8" s="537"/>
      <c r="CO8" s="537"/>
      <c r="CP8" s="537"/>
      <c r="CQ8" s="537"/>
      <c r="CR8" s="537"/>
      <c r="CS8" s="537"/>
      <c r="CT8" s="537"/>
      <c r="CU8" s="537"/>
      <c r="CV8" s="537"/>
      <c r="CW8" s="537"/>
      <c r="CX8" s="537"/>
      <c r="CY8" s="537"/>
      <c r="CZ8" s="537"/>
      <c r="DA8" s="537"/>
      <c r="DB8" s="537"/>
      <c r="DC8" s="537"/>
      <c r="DD8" s="537"/>
      <c r="DE8" s="537"/>
      <c r="DF8" s="537"/>
      <c r="DG8" s="537"/>
      <c r="DH8" s="537"/>
      <c r="DI8" s="537"/>
      <c r="DJ8" s="537"/>
      <c r="DK8" s="537"/>
      <c r="DL8" s="537"/>
      <c r="DM8" s="537"/>
      <c r="DN8" s="537"/>
      <c r="DO8" s="537"/>
      <c r="DP8" s="537"/>
      <c r="DQ8" s="537"/>
      <c r="DR8" s="537"/>
      <c r="DS8" s="537"/>
      <c r="DT8" s="537"/>
      <c r="DU8" s="537"/>
      <c r="DV8" s="537"/>
      <c r="DW8" s="537"/>
      <c r="DX8" s="537"/>
      <c r="DY8" s="537"/>
      <c r="DZ8" s="537"/>
      <c r="EA8" s="537"/>
      <c r="EB8" s="537"/>
      <c r="EC8" s="537"/>
      <c r="ED8" s="537"/>
      <c r="EE8" s="537"/>
      <c r="EF8" s="537"/>
      <c r="EG8" s="537"/>
      <c r="EH8" s="537"/>
      <c r="EI8" s="537"/>
      <c r="EJ8" s="537"/>
      <c r="EK8" s="537"/>
      <c r="EL8" s="537"/>
      <c r="EM8" s="538"/>
      <c r="EN8" s="539"/>
      <c r="EO8" s="455"/>
    </row>
    <row r="9" spans="1:149" ht="18" customHeight="1" x14ac:dyDescent="0.2">
      <c r="A9" s="442"/>
      <c r="B9" s="442"/>
      <c r="D9" s="455"/>
      <c r="E9" s="465">
        <v>0</v>
      </c>
      <c r="F9" s="442"/>
      <c r="G9" s="158" t="str">
        <f>[12]summary!H9</f>
        <v>Budget</v>
      </c>
      <c r="H9" s="158"/>
      <c r="I9" s="158"/>
      <c r="J9" s="177"/>
      <c r="K9" s="158"/>
      <c r="L9" s="158" t="s">
        <v>6</v>
      </c>
      <c r="M9" s="158"/>
      <c r="N9" s="158"/>
      <c r="O9" s="177"/>
      <c r="P9" s="158"/>
      <c r="Q9" s="158" t="s">
        <v>7</v>
      </c>
      <c r="R9" s="158"/>
      <c r="S9" s="158"/>
      <c r="T9" s="177"/>
      <c r="U9" s="158"/>
      <c r="V9" s="158" t="s">
        <v>8</v>
      </c>
      <c r="W9" s="158"/>
      <c r="X9" s="158"/>
      <c r="Y9" s="177"/>
      <c r="Z9" s="158"/>
      <c r="AA9" s="158" t="s">
        <v>9</v>
      </c>
      <c r="AB9" s="158"/>
      <c r="AC9" s="158"/>
      <c r="AD9" s="177"/>
      <c r="AE9" s="158"/>
      <c r="AF9" s="158" t="s">
        <v>10</v>
      </c>
      <c r="AG9" s="158"/>
      <c r="AH9" s="158"/>
      <c r="AI9" s="177"/>
      <c r="AJ9" s="158"/>
      <c r="AK9" s="158" t="s">
        <v>11</v>
      </c>
      <c r="AL9" s="158"/>
      <c r="AM9" s="158"/>
      <c r="AN9" s="177"/>
      <c r="AO9" s="158"/>
      <c r="AP9" s="158" t="s">
        <v>12</v>
      </c>
      <c r="AQ9" s="158"/>
      <c r="AR9" s="158"/>
      <c r="AS9" s="177"/>
      <c r="AT9" s="158"/>
      <c r="AU9" s="158" t="s">
        <v>13</v>
      </c>
      <c r="AV9" s="158"/>
      <c r="AW9" s="158"/>
      <c r="AX9" s="177"/>
      <c r="AY9" s="158"/>
      <c r="AZ9" s="158" t="s">
        <v>14</v>
      </c>
      <c r="BA9" s="158"/>
      <c r="BB9" s="158"/>
      <c r="BC9" s="177"/>
      <c r="BD9" s="158"/>
      <c r="BE9" s="158" t="s">
        <v>15</v>
      </c>
      <c r="BF9" s="158"/>
      <c r="BG9" s="158"/>
      <c r="BH9" s="177"/>
      <c r="BI9" s="158"/>
      <c r="BJ9" s="158" t="s">
        <v>16</v>
      </c>
      <c r="BK9" s="158"/>
      <c r="BL9" s="158"/>
      <c r="BM9" s="177"/>
      <c r="BN9" s="158"/>
      <c r="BO9" s="158" t="s">
        <v>17</v>
      </c>
      <c r="BP9" s="158"/>
      <c r="BQ9" s="158"/>
      <c r="BR9" s="177"/>
      <c r="BS9" s="158"/>
      <c r="BT9" s="158" t="s">
        <v>18</v>
      </c>
      <c r="BU9" s="158"/>
      <c r="BV9" s="158"/>
      <c r="BW9" s="177"/>
      <c r="BX9" s="176"/>
      <c r="BY9" s="158" t="str">
        <f>[12]summary!BZ9</f>
        <v>Preliminary</v>
      </c>
      <c r="BZ9" s="158"/>
      <c r="CA9" s="158"/>
      <c r="CB9" s="177"/>
      <c r="CC9" s="158"/>
      <c r="CD9" s="158" t="s">
        <v>6</v>
      </c>
      <c r="CE9" s="158"/>
      <c r="CF9" s="158"/>
      <c r="CG9" s="177"/>
      <c r="CH9" s="158"/>
      <c r="CI9" s="158" t="s">
        <v>7</v>
      </c>
      <c r="CJ9" s="158"/>
      <c r="CK9" s="158"/>
      <c r="CL9" s="177"/>
      <c r="CM9" s="158"/>
      <c r="CN9" s="158" t="s">
        <v>8</v>
      </c>
      <c r="CO9" s="158"/>
      <c r="CP9" s="158"/>
      <c r="CQ9" s="177"/>
      <c r="CR9" s="158"/>
      <c r="CS9" s="158" t="s">
        <v>9</v>
      </c>
      <c r="CT9" s="158"/>
      <c r="CU9" s="158"/>
      <c r="CV9" s="177"/>
      <c r="CW9" s="158"/>
      <c r="CX9" s="158" t="s">
        <v>10</v>
      </c>
      <c r="CY9" s="158"/>
      <c r="CZ9" s="158"/>
      <c r="DA9" s="177"/>
      <c r="DB9" s="158"/>
      <c r="DC9" s="158" t="s">
        <v>11</v>
      </c>
      <c r="DD9" s="158"/>
      <c r="DE9" s="158"/>
      <c r="DF9" s="177"/>
      <c r="DG9" s="158"/>
      <c r="DH9" s="158" t="s">
        <v>12</v>
      </c>
      <c r="DI9" s="158"/>
      <c r="DJ9" s="158"/>
      <c r="DK9" s="177"/>
      <c r="DL9" s="158"/>
      <c r="DM9" s="158" t="s">
        <v>13</v>
      </c>
      <c r="DN9" s="158"/>
      <c r="DO9" s="158"/>
      <c r="DP9" s="177"/>
      <c r="DQ9" s="158"/>
      <c r="DR9" s="158" t="s">
        <v>14</v>
      </c>
      <c r="DS9" s="158"/>
      <c r="DT9" s="158"/>
      <c r="DU9" s="177"/>
      <c r="DV9" s="158"/>
      <c r="DW9" s="158" t="s">
        <v>15</v>
      </c>
      <c r="DX9" s="158"/>
      <c r="DY9" s="158"/>
      <c r="DZ9" s="177"/>
      <c r="EA9" s="158"/>
      <c r="EB9" s="158" t="s">
        <v>16</v>
      </c>
      <c r="EC9" s="158"/>
      <c r="ED9" s="158"/>
      <c r="EE9" s="177"/>
      <c r="EF9" s="176"/>
      <c r="EG9" s="176" t="s">
        <v>17</v>
      </c>
      <c r="EH9" s="176"/>
      <c r="EI9" s="152"/>
      <c r="EJ9" s="177"/>
      <c r="EK9" s="176"/>
      <c r="EL9" s="158" t="s">
        <v>18</v>
      </c>
      <c r="EM9" s="158"/>
      <c r="EN9" s="158"/>
      <c r="EO9" s="455"/>
    </row>
    <row r="10" spans="1:149" x14ac:dyDescent="0.2">
      <c r="A10" s="442"/>
      <c r="B10" s="442"/>
      <c r="D10" s="458" t="s">
        <v>20</v>
      </c>
      <c r="E10" s="540">
        <v>0</v>
      </c>
      <c r="F10" s="541"/>
      <c r="G10" s="242" t="s">
        <v>22</v>
      </c>
      <c r="H10" s="242"/>
      <c r="I10" s="242"/>
      <c r="J10" s="460"/>
      <c r="K10" s="242"/>
      <c r="L10" s="459"/>
      <c r="M10" s="459"/>
      <c r="N10" s="459"/>
      <c r="O10" s="542"/>
      <c r="P10" s="459"/>
      <c r="Q10" s="459"/>
      <c r="R10" s="459"/>
      <c r="S10" s="459"/>
      <c r="T10" s="542"/>
      <c r="U10" s="459"/>
      <c r="V10" s="459"/>
      <c r="W10" s="459"/>
      <c r="X10" s="459"/>
      <c r="Y10" s="542"/>
      <c r="Z10" s="459"/>
      <c r="AA10" s="459"/>
      <c r="AB10" s="459"/>
      <c r="AC10" s="459"/>
      <c r="AD10" s="542"/>
      <c r="AE10" s="459"/>
      <c r="AF10" s="459"/>
      <c r="AG10" s="459"/>
      <c r="AH10" s="459"/>
      <c r="AI10" s="542"/>
      <c r="AJ10" s="459"/>
      <c r="AK10" s="459"/>
      <c r="AL10" s="459"/>
      <c r="AM10" s="459"/>
      <c r="AN10" s="542"/>
      <c r="AO10" s="459"/>
      <c r="AP10" s="459"/>
      <c r="AQ10" s="459"/>
      <c r="AR10" s="459"/>
      <c r="AS10" s="542"/>
      <c r="AT10" s="459"/>
      <c r="AU10" s="459"/>
      <c r="AV10" s="459"/>
      <c r="AW10" s="459"/>
      <c r="AX10" s="542"/>
      <c r="AY10" s="459"/>
      <c r="AZ10" s="459"/>
      <c r="BA10" s="459"/>
      <c r="BB10" s="459"/>
      <c r="BC10" s="542"/>
      <c r="BD10" s="459"/>
      <c r="BE10" s="459"/>
      <c r="BF10" s="459"/>
      <c r="BG10" s="459"/>
      <c r="BH10" s="542"/>
      <c r="BI10" s="459"/>
      <c r="BJ10" s="459"/>
      <c r="BK10" s="459"/>
      <c r="BL10" s="459"/>
      <c r="BM10" s="542"/>
      <c r="BN10" s="459"/>
      <c r="BO10" s="459"/>
      <c r="BP10" s="459"/>
      <c r="BQ10" s="459"/>
      <c r="BR10" s="542"/>
      <c r="BS10" s="459"/>
      <c r="BT10" s="459"/>
      <c r="BU10" s="158"/>
      <c r="BV10" s="158"/>
      <c r="BW10" s="201"/>
      <c r="BX10" s="242"/>
      <c r="BY10" s="158" t="s">
        <v>23</v>
      </c>
      <c r="BZ10" s="158"/>
      <c r="CA10" s="158"/>
      <c r="CB10" s="201"/>
      <c r="CC10" s="158"/>
      <c r="CD10" s="158"/>
      <c r="CE10" s="158"/>
      <c r="CF10" s="158"/>
      <c r="CG10" s="201"/>
      <c r="CH10" s="158"/>
      <c r="CI10" s="158"/>
      <c r="CJ10" s="158"/>
      <c r="CK10" s="158"/>
      <c r="CL10" s="201"/>
      <c r="CM10" s="158"/>
      <c r="CN10" s="158"/>
      <c r="CO10" s="158"/>
      <c r="CP10" s="158"/>
      <c r="CQ10" s="201"/>
      <c r="CR10" s="158"/>
      <c r="CS10" s="158"/>
      <c r="CT10" s="158"/>
      <c r="CU10" s="158"/>
      <c r="CV10" s="201"/>
      <c r="CW10" s="158"/>
      <c r="CX10" s="158"/>
      <c r="CY10" s="158"/>
      <c r="CZ10" s="158"/>
      <c r="DA10" s="201"/>
      <c r="DB10" s="158"/>
      <c r="DC10" s="158"/>
      <c r="DD10" s="158"/>
      <c r="DE10" s="158"/>
      <c r="DF10" s="201"/>
      <c r="DG10" s="158"/>
      <c r="DH10" s="158"/>
      <c r="DI10" s="158"/>
      <c r="DJ10" s="158"/>
      <c r="DK10" s="201"/>
      <c r="DL10" s="158"/>
      <c r="DM10" s="158"/>
      <c r="DN10" s="158"/>
      <c r="DO10" s="158"/>
      <c r="DP10" s="201"/>
      <c r="DQ10" s="158"/>
      <c r="DR10" s="158"/>
      <c r="DS10" s="158"/>
      <c r="DT10" s="158"/>
      <c r="DU10" s="201"/>
      <c r="DV10" s="158"/>
      <c r="DW10" s="158"/>
      <c r="DX10" s="158"/>
      <c r="DY10" s="158"/>
      <c r="DZ10" s="201"/>
      <c r="EA10" s="158"/>
      <c r="EB10" s="158"/>
      <c r="EC10" s="158"/>
      <c r="ED10" s="158"/>
      <c r="EE10" s="201"/>
      <c r="EF10" s="158"/>
      <c r="EG10" s="158"/>
      <c r="EH10" s="158"/>
      <c r="EI10" s="161"/>
      <c r="EJ10" s="460"/>
      <c r="EK10" s="158"/>
      <c r="EL10" s="158"/>
      <c r="EM10" s="158"/>
      <c r="EN10" s="158"/>
      <c r="EO10" s="455"/>
    </row>
    <row r="11" spans="1:149" x14ac:dyDescent="0.2">
      <c r="A11" s="442"/>
      <c r="B11" s="442"/>
      <c r="D11" s="543"/>
      <c r="E11" s="496"/>
      <c r="F11" s="544"/>
      <c r="G11" s="544"/>
      <c r="H11" s="544"/>
      <c r="I11" s="544"/>
      <c r="J11" s="496"/>
      <c r="K11" s="544"/>
      <c r="L11" s="544"/>
      <c r="M11" s="544"/>
      <c r="N11" s="544"/>
      <c r="O11" s="496"/>
      <c r="P11" s="544"/>
      <c r="Q11" s="544"/>
      <c r="R11" s="544"/>
      <c r="S11" s="544"/>
      <c r="T11" s="496"/>
      <c r="U11" s="544"/>
      <c r="V11" s="544"/>
      <c r="W11" s="544"/>
      <c r="X11" s="544"/>
      <c r="Y11" s="496"/>
      <c r="Z11" s="544"/>
      <c r="AA11" s="544"/>
      <c r="AB11" s="544"/>
      <c r="AC11" s="544"/>
      <c r="AD11" s="496"/>
      <c r="AE11" s="544"/>
      <c r="AF11" s="544"/>
      <c r="AG11" s="544"/>
      <c r="AH11" s="544"/>
      <c r="AI11" s="496"/>
      <c r="AJ11" s="544"/>
      <c r="AK11" s="544"/>
      <c r="AL11" s="544"/>
      <c r="AM11" s="544"/>
      <c r="AN11" s="496"/>
      <c r="AO11" s="544"/>
      <c r="AP11" s="544"/>
      <c r="AQ11" s="544"/>
      <c r="AR11" s="544"/>
      <c r="AS11" s="496"/>
      <c r="AT11" s="544"/>
      <c r="AU11" s="544"/>
      <c r="AV11" s="544"/>
      <c r="AW11" s="544"/>
      <c r="AX11" s="496"/>
      <c r="AY11" s="544"/>
      <c r="AZ11" s="544"/>
      <c r="BA11" s="544"/>
      <c r="BB11" s="544"/>
      <c r="BC11" s="496"/>
      <c r="BD11" s="544"/>
      <c r="BE11" s="544"/>
      <c r="BF11" s="544"/>
      <c r="BG11" s="544"/>
      <c r="BH11" s="496"/>
      <c r="BI11" s="544"/>
      <c r="BJ11" s="544"/>
      <c r="BK11" s="544"/>
      <c r="BL11" s="493"/>
      <c r="BM11" s="496"/>
      <c r="BN11" s="544"/>
      <c r="BO11" s="544"/>
      <c r="BP11" s="544"/>
      <c r="BQ11" s="544"/>
      <c r="BR11" s="496"/>
      <c r="BS11" s="493"/>
      <c r="BT11" s="474"/>
      <c r="BU11" s="474"/>
      <c r="BV11" s="474"/>
      <c r="BW11" s="473"/>
      <c r="BX11" s="474"/>
      <c r="BY11" s="544"/>
      <c r="BZ11" s="544"/>
      <c r="CA11" s="544"/>
      <c r="CB11" s="496"/>
      <c r="CC11" s="544"/>
      <c r="CD11" s="544"/>
      <c r="CE11" s="544"/>
      <c r="CF11" s="544"/>
      <c r="CG11" s="496"/>
      <c r="CH11" s="544"/>
      <c r="CI11" s="544"/>
      <c r="CJ11" s="544"/>
      <c r="CK11" s="544"/>
      <c r="CL11" s="496"/>
      <c r="CM11" s="544"/>
      <c r="CN11" s="544"/>
      <c r="CO11" s="544"/>
      <c r="CP11" s="544"/>
      <c r="CQ11" s="496"/>
      <c r="CR11" s="544"/>
      <c r="CS11" s="544"/>
      <c r="CT11" s="544"/>
      <c r="CU11" s="544"/>
      <c r="CV11" s="496"/>
      <c r="CW11" s="544"/>
      <c r="CX11" s="544"/>
      <c r="CY11" s="544"/>
      <c r="CZ11" s="544"/>
      <c r="DA11" s="496"/>
      <c r="DB11" s="544"/>
      <c r="DC11" s="544"/>
      <c r="DD11" s="544"/>
      <c r="DE11" s="544"/>
      <c r="DF11" s="496"/>
      <c r="DG11" s="544"/>
      <c r="DH11" s="544"/>
      <c r="DI11" s="544"/>
      <c r="DJ11" s="544"/>
      <c r="DK11" s="496"/>
      <c r="DL11" s="544"/>
      <c r="DM11" s="544"/>
      <c r="DN11" s="544"/>
      <c r="DO11" s="544"/>
      <c r="DP11" s="496"/>
      <c r="DQ11" s="544"/>
      <c r="DR11" s="544"/>
      <c r="DS11" s="544"/>
      <c r="DT11" s="544"/>
      <c r="DU11" s="496"/>
      <c r="DV11" s="544"/>
      <c r="DW11" s="544"/>
      <c r="DX11" s="544"/>
      <c r="DY11" s="544"/>
      <c r="DZ11" s="496"/>
      <c r="EA11" s="544"/>
      <c r="EB11" s="544"/>
      <c r="EC11" s="544"/>
      <c r="ED11" s="544"/>
      <c r="EE11" s="496"/>
      <c r="EF11" s="544"/>
      <c r="EG11" s="544"/>
      <c r="EH11" s="544"/>
      <c r="EI11" s="544"/>
      <c r="EJ11" s="492"/>
      <c r="EK11" s="544"/>
      <c r="EL11" s="474"/>
      <c r="EM11" s="474"/>
      <c r="EN11" s="545"/>
      <c r="EO11" s="455"/>
    </row>
    <row r="12" spans="1:149" s="472" customFormat="1" x14ac:dyDescent="0.2">
      <c r="A12" s="443"/>
      <c r="B12" s="443"/>
      <c r="D12" s="466" t="s">
        <v>332</v>
      </c>
      <c r="E12" s="468"/>
      <c r="F12" s="443"/>
      <c r="G12" s="546">
        <f>SUM(G13:G16)</f>
        <v>343646000</v>
      </c>
      <c r="H12" s="495"/>
      <c r="I12" s="495"/>
      <c r="J12" s="494"/>
      <c r="K12" s="495"/>
      <c r="L12" s="495">
        <f>SUM(L13:L16)</f>
        <v>38837955</v>
      </c>
      <c r="M12" s="495"/>
      <c r="N12" s="495"/>
      <c r="O12" s="494"/>
      <c r="P12" s="495"/>
      <c r="Q12" s="495">
        <f>SUM(Q13:Q16)</f>
        <v>45060969.743999995</v>
      </c>
      <c r="R12" s="495"/>
      <c r="S12" s="495"/>
      <c r="T12" s="494"/>
      <c r="U12" s="495"/>
      <c r="V12" s="495">
        <f>SUM(V13:V16)</f>
        <v>0</v>
      </c>
      <c r="W12" s="495"/>
      <c r="X12" s="495"/>
      <c r="Y12" s="494"/>
      <c r="Z12" s="495"/>
      <c r="AA12" s="495">
        <f>SUM(AA13:AA16)</f>
        <v>0</v>
      </c>
      <c r="AB12" s="495"/>
      <c r="AC12" s="495"/>
      <c r="AD12" s="494"/>
      <c r="AE12" s="495"/>
      <c r="AF12" s="495">
        <f>SUM(AF13:AF16)</f>
        <v>0</v>
      </c>
      <c r="AG12" s="495"/>
      <c r="AH12" s="495"/>
      <c r="AI12" s="494"/>
      <c r="AJ12" s="495"/>
      <c r="AK12" s="495">
        <f>SUM(AK13:AK16)</f>
        <v>0</v>
      </c>
      <c r="AL12" s="495"/>
      <c r="AM12" s="495"/>
      <c r="AN12" s="494"/>
      <c r="AO12" s="495"/>
      <c r="AP12" s="495">
        <f>SUM(AP13:AP16)</f>
        <v>0</v>
      </c>
      <c r="AQ12" s="495"/>
      <c r="AR12" s="495"/>
      <c r="AS12" s="494"/>
      <c r="AT12" s="495"/>
      <c r="AU12" s="495">
        <f>SUM(AU13:AU16)</f>
        <v>0</v>
      </c>
      <c r="AV12" s="495"/>
      <c r="AW12" s="495"/>
      <c r="AX12" s="494"/>
      <c r="AY12" s="495"/>
      <c r="AZ12" s="495">
        <f>SUM(AZ13:AZ16)</f>
        <v>0</v>
      </c>
      <c r="BA12" s="495"/>
      <c r="BB12" s="495"/>
      <c r="BC12" s="494"/>
      <c r="BD12" s="495"/>
      <c r="BE12" s="495">
        <f>SUM(BE13:BE16)</f>
        <v>0</v>
      </c>
      <c r="BF12" s="495"/>
      <c r="BG12" s="495"/>
      <c r="BH12" s="494"/>
      <c r="BI12" s="495"/>
      <c r="BJ12" s="495">
        <f>SUM(BJ13:BJ16)</f>
        <v>0</v>
      </c>
      <c r="BK12" s="495"/>
      <c r="BL12" s="495"/>
      <c r="BM12" s="494"/>
      <c r="BN12" s="495"/>
      <c r="BO12" s="495">
        <f>SUM(BO13:BO16)</f>
        <v>0</v>
      </c>
      <c r="BP12" s="495"/>
      <c r="BQ12" s="495"/>
      <c r="BR12" s="494"/>
      <c r="BS12" s="495"/>
      <c r="BT12" s="495">
        <f>SUM(BT13:BT16)</f>
        <v>83898924.744000003</v>
      </c>
      <c r="BU12" s="495"/>
      <c r="BV12" s="495"/>
      <c r="BW12" s="494"/>
      <c r="BX12" s="495"/>
      <c r="BY12" s="495">
        <f>SUM(BY13:BY16)</f>
        <v>354031487</v>
      </c>
      <c r="BZ12" s="495"/>
      <c r="CA12" s="495"/>
      <c r="CB12" s="494"/>
      <c r="CC12" s="495"/>
      <c r="CD12" s="495">
        <f>SUM(CD13:CD16)</f>
        <v>23835565</v>
      </c>
      <c r="CE12" s="495"/>
      <c r="CF12" s="495"/>
      <c r="CG12" s="494"/>
      <c r="CH12" s="495"/>
      <c r="CI12" s="495">
        <f>SUM(CI13:CI16)</f>
        <v>40731907</v>
      </c>
      <c r="CJ12" s="495"/>
      <c r="CK12" s="495"/>
      <c r="CL12" s="494"/>
      <c r="CM12" s="495"/>
      <c r="CN12" s="495">
        <f>SUM(CN13:CN16)</f>
        <v>21124207</v>
      </c>
      <c r="CO12" s="495"/>
      <c r="CP12" s="495"/>
      <c r="CQ12" s="494"/>
      <c r="CR12" s="495"/>
      <c r="CS12" s="495">
        <f>SUM(CS13:CS16)</f>
        <v>24760828</v>
      </c>
      <c r="CT12" s="495"/>
      <c r="CU12" s="495"/>
      <c r="CV12" s="494"/>
      <c r="CW12" s="495"/>
      <c r="CX12" s="495">
        <f>SUM(CX13:CX16)</f>
        <v>31193951</v>
      </c>
      <c r="CY12" s="495"/>
      <c r="CZ12" s="495"/>
      <c r="DA12" s="494"/>
      <c r="DB12" s="495"/>
      <c r="DC12" s="495">
        <f>SUM(DC13:DC16)</f>
        <v>32324457</v>
      </c>
      <c r="DD12" s="495"/>
      <c r="DE12" s="495"/>
      <c r="DF12" s="494"/>
      <c r="DG12" s="495"/>
      <c r="DH12" s="495">
        <f>SUM(DH13:DH16)</f>
        <v>33970885</v>
      </c>
      <c r="DI12" s="495"/>
      <c r="DJ12" s="495"/>
      <c r="DK12" s="494"/>
      <c r="DL12" s="495"/>
      <c r="DM12" s="495">
        <f>SUM(DM13:DM16)</f>
        <v>34652962</v>
      </c>
      <c r="DN12" s="495"/>
      <c r="DO12" s="495"/>
      <c r="DP12" s="494"/>
      <c r="DQ12" s="495"/>
      <c r="DR12" s="495">
        <f>SUM(DR13:DR16)</f>
        <v>26476333</v>
      </c>
      <c r="DS12" s="495"/>
      <c r="DT12" s="495"/>
      <c r="DU12" s="494"/>
      <c r="DV12" s="495"/>
      <c r="DW12" s="495">
        <f>SUM(DW13:DW16)</f>
        <v>21562772</v>
      </c>
      <c r="DX12" s="495"/>
      <c r="DY12" s="495"/>
      <c r="DZ12" s="494"/>
      <c r="EA12" s="495"/>
      <c r="EB12" s="495">
        <f>SUM(EB13:EB16)</f>
        <v>32267535</v>
      </c>
      <c r="EC12" s="495"/>
      <c r="ED12" s="495"/>
      <c r="EE12" s="494"/>
      <c r="EF12" s="495"/>
      <c r="EG12" s="495">
        <f>SUM(EG13:EG16)</f>
        <v>31130085</v>
      </c>
      <c r="EH12" s="495"/>
      <c r="EI12" s="495"/>
      <c r="EJ12" s="494"/>
      <c r="EK12" s="495"/>
      <c r="EL12" s="495">
        <f>SUM(EL13:EL16)</f>
        <v>64567472</v>
      </c>
      <c r="EM12" s="495"/>
      <c r="EN12" s="495"/>
      <c r="EO12" s="466"/>
    </row>
    <row r="13" spans="1:149" x14ac:dyDescent="0.2">
      <c r="A13" s="442"/>
      <c r="B13" s="442"/>
      <c r="D13" s="455" t="s">
        <v>333</v>
      </c>
      <c r="F13" s="473"/>
      <c r="G13" s="547">
        <f>+G18</f>
        <v>343646000</v>
      </c>
      <c r="H13" s="548"/>
      <c r="I13" s="493"/>
      <c r="J13" s="492"/>
      <c r="K13" s="496"/>
      <c r="L13" s="544">
        <f>+L18</f>
        <v>38350619</v>
      </c>
      <c r="M13" s="548"/>
      <c r="N13" s="493"/>
      <c r="O13" s="492"/>
      <c r="P13" s="496"/>
      <c r="Q13" s="544">
        <f>+Q18</f>
        <v>45031287.743999995</v>
      </c>
      <c r="R13" s="548"/>
      <c r="S13" s="493"/>
      <c r="T13" s="492"/>
      <c r="U13" s="496"/>
      <c r="V13" s="544">
        <f>+V18</f>
        <v>0</v>
      </c>
      <c r="W13" s="548"/>
      <c r="X13" s="493"/>
      <c r="Y13" s="492"/>
      <c r="Z13" s="496"/>
      <c r="AA13" s="544">
        <f>+AA18</f>
        <v>0</v>
      </c>
      <c r="AB13" s="548"/>
      <c r="AC13" s="493"/>
      <c r="AD13" s="492"/>
      <c r="AE13" s="496"/>
      <c r="AF13" s="544">
        <f>+AF18</f>
        <v>0</v>
      </c>
      <c r="AG13" s="548"/>
      <c r="AH13" s="493"/>
      <c r="AI13" s="492"/>
      <c r="AJ13" s="496"/>
      <c r="AK13" s="544">
        <f>+AK18</f>
        <v>0</v>
      </c>
      <c r="AL13" s="548"/>
      <c r="AM13" s="493"/>
      <c r="AN13" s="492"/>
      <c r="AO13" s="496"/>
      <c r="AP13" s="544">
        <f>+AP18</f>
        <v>0</v>
      </c>
      <c r="AQ13" s="548"/>
      <c r="AR13" s="493"/>
      <c r="AS13" s="492"/>
      <c r="AT13" s="496"/>
      <c r="AU13" s="544">
        <f>+AU18</f>
        <v>0</v>
      </c>
      <c r="AV13" s="548"/>
      <c r="AW13" s="493"/>
      <c r="AX13" s="492"/>
      <c r="AY13" s="496"/>
      <c r="AZ13" s="544">
        <f>+AZ18</f>
        <v>0</v>
      </c>
      <c r="BA13" s="548"/>
      <c r="BB13" s="493"/>
      <c r="BC13" s="492"/>
      <c r="BD13" s="496"/>
      <c r="BE13" s="544">
        <f>+BE18</f>
        <v>0</v>
      </c>
      <c r="BF13" s="548"/>
      <c r="BG13" s="493"/>
      <c r="BH13" s="492"/>
      <c r="BI13" s="496"/>
      <c r="BJ13" s="544">
        <f>+BJ18</f>
        <v>0</v>
      </c>
      <c r="BK13" s="548"/>
      <c r="BL13" s="493"/>
      <c r="BM13" s="492"/>
      <c r="BN13" s="496"/>
      <c r="BO13" s="544">
        <f>+BO18</f>
        <v>0</v>
      </c>
      <c r="BP13" s="548"/>
      <c r="BQ13" s="493"/>
      <c r="BR13" s="492"/>
      <c r="BS13" s="496"/>
      <c r="BT13" s="544">
        <f>+BT18</f>
        <v>83381906.744000003</v>
      </c>
      <c r="BU13" s="548"/>
      <c r="BV13" s="493"/>
      <c r="BW13" s="492"/>
      <c r="BX13" s="496"/>
      <c r="BY13" s="544">
        <f>+BY18</f>
        <v>335517549</v>
      </c>
      <c r="BZ13" s="548"/>
      <c r="CA13" s="493"/>
      <c r="CB13" s="492"/>
      <c r="CC13" s="496"/>
      <c r="CD13" s="544">
        <f>+CD18</f>
        <v>20725876</v>
      </c>
      <c r="CE13" s="548"/>
      <c r="CF13" s="493"/>
      <c r="CG13" s="492"/>
      <c r="CH13" s="496"/>
      <c r="CI13" s="544">
        <f>+CI18</f>
        <v>26579251</v>
      </c>
      <c r="CJ13" s="548"/>
      <c r="CK13" s="493"/>
      <c r="CL13" s="492"/>
      <c r="CM13" s="496"/>
      <c r="CN13" s="544">
        <f>+CN18</f>
        <v>21124207</v>
      </c>
      <c r="CO13" s="548"/>
      <c r="CP13" s="493"/>
      <c r="CQ13" s="492"/>
      <c r="CR13" s="496"/>
      <c r="CS13" s="544">
        <f>+CS18</f>
        <v>24760828</v>
      </c>
      <c r="CT13" s="548"/>
      <c r="CU13" s="493"/>
      <c r="CV13" s="492"/>
      <c r="CW13" s="496"/>
      <c r="CX13" s="544">
        <f>+CX18</f>
        <v>30904734</v>
      </c>
      <c r="CY13" s="548"/>
      <c r="CZ13" s="493"/>
      <c r="DA13" s="492"/>
      <c r="DB13" s="496"/>
      <c r="DC13" s="544">
        <f>+DC18</f>
        <v>32089447</v>
      </c>
      <c r="DD13" s="548"/>
      <c r="DE13" s="493"/>
      <c r="DF13" s="492"/>
      <c r="DG13" s="496"/>
      <c r="DH13" s="544">
        <f>+DH18</f>
        <v>33970885</v>
      </c>
      <c r="DI13" s="548"/>
      <c r="DJ13" s="493"/>
      <c r="DK13" s="492"/>
      <c r="DL13" s="496"/>
      <c r="DM13" s="544">
        <f>+DM18</f>
        <v>34588835</v>
      </c>
      <c r="DN13" s="548"/>
      <c r="DO13" s="493"/>
      <c r="DP13" s="492"/>
      <c r="DQ13" s="496"/>
      <c r="DR13" s="544">
        <f>+DR18</f>
        <v>26476333</v>
      </c>
      <c r="DS13" s="548"/>
      <c r="DT13" s="493"/>
      <c r="DU13" s="492"/>
      <c r="DV13" s="496"/>
      <c r="DW13" s="544">
        <f>+DW18</f>
        <v>21562772</v>
      </c>
      <c r="DX13" s="548"/>
      <c r="DY13" s="493"/>
      <c r="DZ13" s="492"/>
      <c r="EA13" s="496"/>
      <c r="EB13" s="544">
        <f>+EB18</f>
        <v>32267535</v>
      </c>
      <c r="EC13" s="548"/>
      <c r="ED13" s="493"/>
      <c r="EE13" s="492"/>
      <c r="EF13" s="496"/>
      <c r="EG13" s="544">
        <f>+EG18</f>
        <v>30466846</v>
      </c>
      <c r="EH13" s="548"/>
      <c r="EI13" s="493"/>
      <c r="EJ13" s="492"/>
      <c r="EK13" s="496"/>
      <c r="EL13" s="544">
        <f>+EL18</f>
        <v>47305127</v>
      </c>
      <c r="EM13" s="548"/>
      <c r="EN13" s="493"/>
      <c r="EO13" s="455"/>
      <c r="ER13" s="472"/>
      <c r="ES13" s="472"/>
    </row>
    <row r="14" spans="1:149" x14ac:dyDescent="0.2">
      <c r="A14" s="442"/>
      <c r="B14" s="442"/>
      <c r="D14" s="455" t="s">
        <v>334</v>
      </c>
      <c r="F14" s="465"/>
      <c r="G14" s="549">
        <f>G215</f>
        <v>0</v>
      </c>
      <c r="H14" s="550"/>
      <c r="I14" s="493"/>
      <c r="J14" s="492"/>
      <c r="K14" s="492"/>
      <c r="L14" s="493">
        <f>L215</f>
        <v>0</v>
      </c>
      <c r="M14" s="550"/>
      <c r="N14" s="493"/>
      <c r="O14" s="492"/>
      <c r="P14" s="492"/>
      <c r="Q14" s="493">
        <f>Q215</f>
        <v>0</v>
      </c>
      <c r="R14" s="550"/>
      <c r="S14" s="493"/>
      <c r="T14" s="492"/>
      <c r="U14" s="492"/>
      <c r="V14" s="493">
        <f>V215</f>
        <v>0</v>
      </c>
      <c r="W14" s="550"/>
      <c r="X14" s="493"/>
      <c r="Y14" s="492"/>
      <c r="Z14" s="492"/>
      <c r="AA14" s="493">
        <f>AA215</f>
        <v>0</v>
      </c>
      <c r="AB14" s="550"/>
      <c r="AC14" s="493"/>
      <c r="AD14" s="492"/>
      <c r="AE14" s="492"/>
      <c r="AF14" s="493">
        <f>AF215</f>
        <v>0</v>
      </c>
      <c r="AG14" s="550"/>
      <c r="AH14" s="493"/>
      <c r="AI14" s="492"/>
      <c r="AJ14" s="492"/>
      <c r="AK14" s="493">
        <f>AK215</f>
        <v>0</v>
      </c>
      <c r="AL14" s="550"/>
      <c r="AM14" s="493"/>
      <c r="AN14" s="492"/>
      <c r="AO14" s="492"/>
      <c r="AP14" s="493">
        <f>AP215</f>
        <v>0</v>
      </c>
      <c r="AQ14" s="550"/>
      <c r="AR14" s="493"/>
      <c r="AS14" s="492"/>
      <c r="AT14" s="492"/>
      <c r="AU14" s="493">
        <f>AU215</f>
        <v>0</v>
      </c>
      <c r="AV14" s="550"/>
      <c r="AW14" s="493"/>
      <c r="AX14" s="492"/>
      <c r="AY14" s="492"/>
      <c r="AZ14" s="493">
        <f>AZ215</f>
        <v>0</v>
      </c>
      <c r="BA14" s="550"/>
      <c r="BB14" s="493"/>
      <c r="BC14" s="492"/>
      <c r="BD14" s="492"/>
      <c r="BE14" s="493">
        <f>BE215</f>
        <v>0</v>
      </c>
      <c r="BF14" s="550"/>
      <c r="BH14" s="492"/>
      <c r="BI14" s="492"/>
      <c r="BJ14" s="493">
        <f>BJ215</f>
        <v>0</v>
      </c>
      <c r="BK14" s="550"/>
      <c r="BL14" s="493"/>
      <c r="BM14" s="492"/>
      <c r="BN14" s="492"/>
      <c r="BO14" s="493">
        <f>BO215</f>
        <v>0</v>
      </c>
      <c r="BP14" s="550"/>
      <c r="BQ14" s="493"/>
      <c r="BR14" s="492"/>
      <c r="BS14" s="492"/>
      <c r="BT14" s="493">
        <f>BT215</f>
        <v>0</v>
      </c>
      <c r="BU14" s="550"/>
      <c r="BV14" s="493"/>
      <c r="BW14" s="492"/>
      <c r="BX14" s="492"/>
      <c r="BY14" s="493">
        <f>BY215</f>
        <v>14152656</v>
      </c>
      <c r="BZ14" s="550"/>
      <c r="CA14" s="493"/>
      <c r="CB14" s="492"/>
      <c r="CC14" s="492"/>
      <c r="CD14" s="493">
        <f>CD215</f>
        <v>0</v>
      </c>
      <c r="CE14" s="550"/>
      <c r="CF14" s="493"/>
      <c r="CG14" s="492"/>
      <c r="CH14" s="492"/>
      <c r="CI14" s="493">
        <f>CI215</f>
        <v>14152656</v>
      </c>
      <c r="CJ14" s="550"/>
      <c r="CK14" s="493"/>
      <c r="CL14" s="492"/>
      <c r="CM14" s="492"/>
      <c r="CN14" s="493">
        <f>CN215</f>
        <v>0</v>
      </c>
      <c r="CO14" s="550"/>
      <c r="CP14" s="493"/>
      <c r="CQ14" s="492"/>
      <c r="CR14" s="492"/>
      <c r="CS14" s="493">
        <f>CS215</f>
        <v>0</v>
      </c>
      <c r="CT14" s="550"/>
      <c r="CU14" s="493"/>
      <c r="CV14" s="492"/>
      <c r="CW14" s="492"/>
      <c r="CX14" s="493">
        <f>CX215</f>
        <v>0</v>
      </c>
      <c r="CY14" s="550"/>
      <c r="CZ14" s="493"/>
      <c r="DA14" s="492"/>
      <c r="DB14" s="492"/>
      <c r="DC14" s="493">
        <f>DC215</f>
        <v>0</v>
      </c>
      <c r="DD14" s="550"/>
      <c r="DE14" s="493"/>
      <c r="DF14" s="492"/>
      <c r="DG14" s="492"/>
      <c r="DH14" s="493">
        <f>DH215</f>
        <v>0</v>
      </c>
      <c r="DI14" s="550"/>
      <c r="DJ14" s="493"/>
      <c r="DK14" s="492"/>
      <c r="DL14" s="492"/>
      <c r="DM14" s="493">
        <f>DM215</f>
        <v>0</v>
      </c>
      <c r="DN14" s="550"/>
      <c r="DO14" s="493"/>
      <c r="DP14" s="492"/>
      <c r="DQ14" s="492"/>
      <c r="DR14" s="493">
        <f>DR215</f>
        <v>0</v>
      </c>
      <c r="DS14" s="550"/>
      <c r="DT14" s="493"/>
      <c r="DU14" s="492"/>
      <c r="DV14" s="492"/>
      <c r="DW14" s="493">
        <f>DW215</f>
        <v>0</v>
      </c>
      <c r="DX14" s="550"/>
      <c r="DZ14" s="492"/>
      <c r="EA14" s="492"/>
      <c r="EB14" s="493">
        <f>EB215</f>
        <v>0</v>
      </c>
      <c r="EC14" s="550"/>
      <c r="ED14" s="493"/>
      <c r="EE14" s="492"/>
      <c r="EF14" s="492"/>
      <c r="EG14" s="493">
        <f>EG215</f>
        <v>0</v>
      </c>
      <c r="EH14" s="550"/>
      <c r="EI14" s="493"/>
      <c r="EJ14" s="492"/>
      <c r="EK14" s="492"/>
      <c r="EL14" s="493">
        <f>EL215</f>
        <v>14152656</v>
      </c>
      <c r="EM14" s="550"/>
      <c r="EN14" s="493"/>
      <c r="EO14" s="455"/>
      <c r="ER14" s="472"/>
      <c r="ES14" s="472"/>
    </row>
    <row r="15" spans="1:149" x14ac:dyDescent="0.2">
      <c r="A15" s="442"/>
      <c r="B15" s="442"/>
      <c r="D15" s="455" t="s">
        <v>335</v>
      </c>
      <c r="F15" s="488"/>
      <c r="G15" s="551">
        <f>G285</f>
        <v>0</v>
      </c>
      <c r="H15" s="552"/>
      <c r="I15" s="493"/>
      <c r="J15" s="492"/>
      <c r="K15" s="508"/>
      <c r="L15" s="553">
        <f>L285</f>
        <v>487336</v>
      </c>
      <c r="M15" s="552"/>
      <c r="N15" s="493"/>
      <c r="O15" s="492"/>
      <c r="P15" s="508"/>
      <c r="Q15" s="553">
        <f>Q285</f>
        <v>29682</v>
      </c>
      <c r="R15" s="552"/>
      <c r="S15" s="493"/>
      <c r="T15" s="492"/>
      <c r="U15" s="508"/>
      <c r="V15" s="553">
        <f>V285</f>
        <v>0</v>
      </c>
      <c r="W15" s="552"/>
      <c r="X15" s="493"/>
      <c r="Y15" s="492"/>
      <c r="Z15" s="508"/>
      <c r="AA15" s="553">
        <f>AA285</f>
        <v>0</v>
      </c>
      <c r="AB15" s="552"/>
      <c r="AC15" s="493"/>
      <c r="AD15" s="492"/>
      <c r="AE15" s="508"/>
      <c r="AF15" s="553">
        <f>AF285</f>
        <v>0</v>
      </c>
      <c r="AG15" s="552"/>
      <c r="AH15" s="493"/>
      <c r="AI15" s="492"/>
      <c r="AJ15" s="508"/>
      <c r="AK15" s="553">
        <f>AK285</f>
        <v>0</v>
      </c>
      <c r="AL15" s="552"/>
      <c r="AM15" s="493"/>
      <c r="AN15" s="492"/>
      <c r="AO15" s="508"/>
      <c r="AP15" s="553">
        <f>AP285</f>
        <v>0</v>
      </c>
      <c r="AQ15" s="552"/>
      <c r="AR15" s="493"/>
      <c r="AS15" s="492"/>
      <c r="AT15" s="508"/>
      <c r="AU15" s="553">
        <f>AU285</f>
        <v>0</v>
      </c>
      <c r="AV15" s="552"/>
      <c r="AW15" s="493"/>
      <c r="AX15" s="492"/>
      <c r="AY15" s="508"/>
      <c r="AZ15" s="553">
        <f>AZ285</f>
        <v>0</v>
      </c>
      <c r="BA15" s="552"/>
      <c r="BB15" s="493"/>
      <c r="BC15" s="492"/>
      <c r="BD15" s="508"/>
      <c r="BE15" s="553">
        <f>BE285</f>
        <v>0</v>
      </c>
      <c r="BF15" s="552"/>
      <c r="BG15" s="493"/>
      <c r="BH15" s="492"/>
      <c r="BI15" s="508"/>
      <c r="BJ15" s="553">
        <f>BJ285</f>
        <v>0</v>
      </c>
      <c r="BK15" s="552"/>
      <c r="BL15" s="493"/>
      <c r="BM15" s="492"/>
      <c r="BN15" s="508"/>
      <c r="BO15" s="553">
        <f>BO285</f>
        <v>0</v>
      </c>
      <c r="BP15" s="552"/>
      <c r="BQ15" s="493"/>
      <c r="BR15" s="492"/>
      <c r="BS15" s="508"/>
      <c r="BT15" s="553">
        <f>BT285</f>
        <v>517018</v>
      </c>
      <c r="BU15" s="552"/>
      <c r="BV15" s="493"/>
      <c r="BW15" s="492"/>
      <c r="BX15" s="508"/>
      <c r="BY15" s="553">
        <f>BY285</f>
        <v>4361282</v>
      </c>
      <c r="BZ15" s="552"/>
      <c r="CA15" s="493"/>
      <c r="CB15" s="492"/>
      <c r="CC15" s="508"/>
      <c r="CD15" s="553">
        <f>CD285</f>
        <v>3109689</v>
      </c>
      <c r="CE15" s="552"/>
      <c r="CF15" s="493"/>
      <c r="CG15" s="492"/>
      <c r="CH15" s="508"/>
      <c r="CI15" s="553">
        <f>CI285</f>
        <v>0</v>
      </c>
      <c r="CJ15" s="552"/>
      <c r="CK15" s="493"/>
      <c r="CL15" s="492"/>
      <c r="CM15" s="508"/>
      <c r="CN15" s="553">
        <f>CN285</f>
        <v>0</v>
      </c>
      <c r="CO15" s="552"/>
      <c r="CP15" s="493"/>
      <c r="CQ15" s="492"/>
      <c r="CR15" s="508"/>
      <c r="CS15" s="553">
        <f>CS285</f>
        <v>0</v>
      </c>
      <c r="CT15" s="552"/>
      <c r="CU15" s="493"/>
      <c r="CV15" s="492"/>
      <c r="CW15" s="508"/>
      <c r="CX15" s="553">
        <f>CX285</f>
        <v>289217</v>
      </c>
      <c r="CY15" s="552"/>
      <c r="CZ15" s="493"/>
      <c r="DA15" s="492"/>
      <c r="DB15" s="508"/>
      <c r="DC15" s="553">
        <f>DC285</f>
        <v>235010</v>
      </c>
      <c r="DD15" s="552"/>
      <c r="DE15" s="493"/>
      <c r="DF15" s="492"/>
      <c r="DG15" s="508"/>
      <c r="DH15" s="553">
        <f>DH285</f>
        <v>0</v>
      </c>
      <c r="DI15" s="552"/>
      <c r="DJ15" s="493"/>
      <c r="DK15" s="492"/>
      <c r="DL15" s="508"/>
      <c r="DM15" s="553">
        <f>DM285</f>
        <v>64127</v>
      </c>
      <c r="DN15" s="552"/>
      <c r="DO15" s="493"/>
      <c r="DP15" s="492"/>
      <c r="DQ15" s="508"/>
      <c r="DR15" s="553">
        <f>DR285</f>
        <v>0</v>
      </c>
      <c r="DS15" s="552"/>
      <c r="DT15" s="493"/>
      <c r="DU15" s="492"/>
      <c r="DV15" s="508"/>
      <c r="DW15" s="553">
        <f>DW285</f>
        <v>0</v>
      </c>
      <c r="DX15" s="552"/>
      <c r="DY15" s="493"/>
      <c r="DZ15" s="492"/>
      <c r="EA15" s="508"/>
      <c r="EB15" s="553">
        <f>EB285</f>
        <v>0</v>
      </c>
      <c r="EC15" s="552"/>
      <c r="ED15" s="493"/>
      <c r="EE15" s="492"/>
      <c r="EF15" s="508"/>
      <c r="EG15" s="553">
        <f>EG285</f>
        <v>663239</v>
      </c>
      <c r="EH15" s="552"/>
      <c r="EI15" s="493"/>
      <c r="EJ15" s="492"/>
      <c r="EK15" s="508"/>
      <c r="EL15" s="553">
        <f>EL285</f>
        <v>3109689</v>
      </c>
      <c r="EM15" s="552"/>
      <c r="EN15" s="493"/>
      <c r="EO15" s="455"/>
      <c r="ER15" s="472"/>
      <c r="ES15" s="472"/>
    </row>
    <row r="16" spans="1:149" ht="12.75" hidden="1" customHeight="1" x14ac:dyDescent="0.2">
      <c r="A16" s="442"/>
      <c r="B16" s="442"/>
      <c r="D16" s="487" t="s">
        <v>336</v>
      </c>
      <c r="E16" s="554"/>
      <c r="F16" s="555"/>
      <c r="G16" s="551">
        <v>0</v>
      </c>
      <c r="H16" s="552"/>
      <c r="I16" s="493"/>
      <c r="J16" s="492"/>
      <c r="K16" s="508"/>
      <c r="L16" s="553">
        <f>L315</f>
        <v>0</v>
      </c>
      <c r="M16" s="552"/>
      <c r="N16" s="493"/>
      <c r="O16" s="492"/>
      <c r="P16" s="508"/>
      <c r="Q16" s="553">
        <f>Q315</f>
        <v>0</v>
      </c>
      <c r="R16" s="552"/>
      <c r="S16" s="493"/>
      <c r="T16" s="492"/>
      <c r="U16" s="508"/>
      <c r="V16" s="553">
        <f>V315</f>
        <v>0</v>
      </c>
      <c r="W16" s="552"/>
      <c r="X16" s="493"/>
      <c r="Y16" s="492"/>
      <c r="Z16" s="508"/>
      <c r="AA16" s="553">
        <f>AA315</f>
        <v>0</v>
      </c>
      <c r="AB16" s="552"/>
      <c r="AC16" s="493"/>
      <c r="AD16" s="492"/>
      <c r="AE16" s="508"/>
      <c r="AF16" s="553">
        <v>0</v>
      </c>
      <c r="AG16" s="552"/>
      <c r="AH16" s="493"/>
      <c r="AI16" s="492"/>
      <c r="AJ16" s="508"/>
      <c r="AK16" s="553">
        <v>0</v>
      </c>
      <c r="AL16" s="552"/>
      <c r="AM16" s="493"/>
      <c r="AN16" s="492"/>
      <c r="AO16" s="508"/>
      <c r="AP16" s="553">
        <f>AP315</f>
        <v>0</v>
      </c>
      <c r="AQ16" s="552"/>
      <c r="AR16" s="493"/>
      <c r="AS16" s="492"/>
      <c r="AT16" s="508"/>
      <c r="AU16" s="553">
        <f>AU315</f>
        <v>0</v>
      </c>
      <c r="AV16" s="552"/>
      <c r="AW16" s="493"/>
      <c r="AX16" s="492"/>
      <c r="AY16" s="508"/>
      <c r="AZ16" s="553">
        <f>AZ315</f>
        <v>0</v>
      </c>
      <c r="BA16" s="552"/>
      <c r="BB16" s="493"/>
      <c r="BC16" s="492"/>
      <c r="BD16" s="508"/>
      <c r="BE16" s="553">
        <f>BE315</f>
        <v>0</v>
      </c>
      <c r="BF16" s="552"/>
      <c r="BG16" s="493"/>
      <c r="BH16" s="492"/>
      <c r="BI16" s="508"/>
      <c r="BJ16" s="553">
        <f>BJ315</f>
        <v>0</v>
      </c>
      <c r="BK16" s="552"/>
      <c r="BL16" s="493"/>
      <c r="BM16" s="492"/>
      <c r="BN16" s="508"/>
      <c r="BO16" s="553">
        <f>BO315</f>
        <v>0</v>
      </c>
      <c r="BP16" s="552"/>
      <c r="BQ16" s="493"/>
      <c r="BR16" s="492"/>
      <c r="BS16" s="508"/>
      <c r="BT16" s="553">
        <v>0</v>
      </c>
      <c r="BU16" s="552"/>
      <c r="BV16" s="493"/>
      <c r="BW16" s="492"/>
      <c r="BX16" s="508"/>
      <c r="BY16" s="553">
        <v>0</v>
      </c>
      <c r="BZ16" s="552"/>
      <c r="CA16" s="493"/>
      <c r="CB16" s="492"/>
      <c r="CC16" s="508"/>
      <c r="CD16" s="553">
        <f>CD315</f>
        <v>0</v>
      </c>
      <c r="CE16" s="552"/>
      <c r="CF16" s="493"/>
      <c r="CG16" s="492"/>
      <c r="CH16" s="508"/>
      <c r="CI16" s="553">
        <f>CI315</f>
        <v>0</v>
      </c>
      <c r="CJ16" s="552"/>
      <c r="CK16" s="493"/>
      <c r="CL16" s="492"/>
      <c r="CM16" s="508"/>
      <c r="CN16" s="553">
        <f>CN315</f>
        <v>0</v>
      </c>
      <c r="CO16" s="552"/>
      <c r="CP16" s="493"/>
      <c r="CQ16" s="492"/>
      <c r="CR16" s="508"/>
      <c r="CS16" s="553">
        <f>CS315</f>
        <v>0</v>
      </c>
      <c r="CT16" s="552"/>
      <c r="CU16" s="493"/>
      <c r="CV16" s="492"/>
      <c r="CW16" s="508"/>
      <c r="CX16" s="553">
        <v>0</v>
      </c>
      <c r="CY16" s="552"/>
      <c r="CZ16" s="493"/>
      <c r="DA16" s="492"/>
      <c r="DB16" s="508"/>
      <c r="DC16" s="553">
        <v>0</v>
      </c>
      <c r="DD16" s="552"/>
      <c r="DE16" s="493"/>
      <c r="DF16" s="492"/>
      <c r="DG16" s="508"/>
      <c r="DH16" s="553">
        <f>DH315</f>
        <v>0</v>
      </c>
      <c r="DI16" s="552"/>
      <c r="DJ16" s="493"/>
      <c r="DK16" s="492"/>
      <c r="DL16" s="508"/>
      <c r="DM16" s="553">
        <f>DM315</f>
        <v>0</v>
      </c>
      <c r="DN16" s="552"/>
      <c r="DO16" s="493"/>
      <c r="DP16" s="492"/>
      <c r="DQ16" s="508"/>
      <c r="DR16" s="553">
        <f>DR315</f>
        <v>0</v>
      </c>
      <c r="DS16" s="552"/>
      <c r="DT16" s="493"/>
      <c r="DU16" s="492"/>
      <c r="DV16" s="508"/>
      <c r="DW16" s="553">
        <f>DW315</f>
        <v>0</v>
      </c>
      <c r="DX16" s="552"/>
      <c r="DY16" s="493"/>
      <c r="DZ16" s="492"/>
      <c r="EA16" s="508"/>
      <c r="EB16" s="553">
        <f>EB315</f>
        <v>0</v>
      </c>
      <c r="EC16" s="552"/>
      <c r="ED16" s="493"/>
      <c r="EE16" s="492"/>
      <c r="EF16" s="508"/>
      <c r="EG16" s="553">
        <f>EG315</f>
        <v>0</v>
      </c>
      <c r="EH16" s="552"/>
      <c r="EI16" s="493"/>
      <c r="EJ16" s="492"/>
      <c r="EK16" s="508"/>
      <c r="EL16" s="553">
        <v>0</v>
      </c>
      <c r="EM16" s="552"/>
      <c r="EN16" s="493"/>
      <c r="EO16" s="455"/>
      <c r="ER16" s="472"/>
      <c r="ES16" s="472"/>
    </row>
    <row r="17" spans="1:150" x14ac:dyDescent="0.2">
      <c r="A17" s="442"/>
      <c r="B17" s="442"/>
      <c r="D17" s="455"/>
      <c r="F17" s="442"/>
      <c r="G17" s="549"/>
      <c r="H17" s="493"/>
      <c r="I17" s="493"/>
      <c r="J17" s="492"/>
      <c r="K17" s="493"/>
      <c r="L17" s="493"/>
      <c r="M17" s="493"/>
      <c r="N17" s="493"/>
      <c r="O17" s="492"/>
      <c r="P17" s="493"/>
      <c r="Q17" s="493"/>
      <c r="R17" s="493"/>
      <c r="S17" s="493"/>
      <c r="T17" s="492"/>
      <c r="U17" s="493"/>
      <c r="V17" s="493"/>
      <c r="W17" s="493"/>
      <c r="X17" s="493"/>
      <c r="Y17" s="492"/>
      <c r="Z17" s="493"/>
      <c r="AA17" s="493"/>
      <c r="AB17" s="493"/>
      <c r="AC17" s="493"/>
      <c r="AD17" s="492"/>
      <c r="AE17" s="493"/>
      <c r="AF17" s="493"/>
      <c r="AG17" s="493"/>
      <c r="AH17" s="493"/>
      <c r="AI17" s="492"/>
      <c r="AJ17" s="493"/>
      <c r="AK17" s="493"/>
      <c r="AL17" s="493"/>
      <c r="AM17" s="493"/>
      <c r="AN17" s="492"/>
      <c r="AO17" s="493"/>
      <c r="AP17" s="493"/>
      <c r="AQ17" s="493"/>
      <c r="AR17" s="493"/>
      <c r="AS17" s="492"/>
      <c r="AT17" s="493"/>
      <c r="AU17" s="493"/>
      <c r="AV17" s="493"/>
      <c r="AW17" s="493"/>
      <c r="AX17" s="492"/>
      <c r="AY17" s="493"/>
      <c r="AZ17" s="493"/>
      <c r="BA17" s="493"/>
      <c r="BB17" s="493"/>
      <c r="BC17" s="492"/>
      <c r="BD17" s="493"/>
      <c r="BE17" s="493"/>
      <c r="BF17" s="493"/>
      <c r="BG17" s="493"/>
      <c r="BH17" s="492"/>
      <c r="BI17" s="493"/>
      <c r="BJ17" s="493"/>
      <c r="BK17" s="493"/>
      <c r="BL17" s="493"/>
      <c r="BM17" s="492"/>
      <c r="BN17" s="493"/>
      <c r="BO17" s="493"/>
      <c r="BP17" s="493"/>
      <c r="BQ17" s="493"/>
      <c r="BR17" s="492"/>
      <c r="BS17" s="493"/>
      <c r="BT17" s="493"/>
      <c r="BU17" s="493"/>
      <c r="BV17" s="493"/>
      <c r="BW17" s="492"/>
      <c r="BX17" s="493"/>
      <c r="BY17" s="493"/>
      <c r="BZ17" s="493"/>
      <c r="CA17" s="493"/>
      <c r="CB17" s="492"/>
      <c r="CC17" s="493"/>
      <c r="CD17" s="493"/>
      <c r="CE17" s="493"/>
      <c r="CF17" s="493"/>
      <c r="CG17" s="492"/>
      <c r="CH17" s="493"/>
      <c r="CI17" s="493"/>
      <c r="CJ17" s="493"/>
      <c r="CK17" s="493"/>
      <c r="CL17" s="492"/>
      <c r="CM17" s="493"/>
      <c r="CN17" s="493"/>
      <c r="CO17" s="493"/>
      <c r="CP17" s="493"/>
      <c r="CQ17" s="492"/>
      <c r="CR17" s="493"/>
      <c r="CS17" s="493"/>
      <c r="CT17" s="493"/>
      <c r="CU17" s="493"/>
      <c r="CV17" s="492"/>
      <c r="CW17" s="493"/>
      <c r="CX17" s="493"/>
      <c r="CY17" s="493"/>
      <c r="CZ17" s="493"/>
      <c r="DA17" s="492"/>
      <c r="DB17" s="493"/>
      <c r="DC17" s="493"/>
      <c r="DD17" s="493"/>
      <c r="DE17" s="493"/>
      <c r="DF17" s="492"/>
      <c r="DG17" s="493"/>
      <c r="DH17" s="493"/>
      <c r="DI17" s="493"/>
      <c r="DJ17" s="493"/>
      <c r="DK17" s="492"/>
      <c r="DL17" s="493"/>
      <c r="DM17" s="493"/>
      <c r="DN17" s="493"/>
      <c r="DO17" s="493"/>
      <c r="DP17" s="492"/>
      <c r="DQ17" s="493"/>
      <c r="DR17" s="493"/>
      <c r="DS17" s="493"/>
      <c r="DT17" s="493"/>
      <c r="DU17" s="492"/>
      <c r="DV17" s="493"/>
      <c r="DW17" s="493"/>
      <c r="DX17" s="493"/>
      <c r="DY17" s="493"/>
      <c r="DZ17" s="492"/>
      <c r="EA17" s="493"/>
      <c r="EB17" s="493"/>
      <c r="EC17" s="493"/>
      <c r="ED17" s="493"/>
      <c r="EE17" s="492"/>
      <c r="EF17" s="493"/>
      <c r="EG17" s="493"/>
      <c r="EH17" s="493"/>
      <c r="EI17" s="493"/>
      <c r="EJ17" s="492"/>
      <c r="EK17" s="493"/>
      <c r="EL17" s="493"/>
      <c r="EM17" s="493"/>
      <c r="EN17" s="493"/>
      <c r="EO17" s="455"/>
      <c r="ER17" s="472"/>
      <c r="ES17" s="472"/>
    </row>
    <row r="18" spans="1:150" s="472" customFormat="1" x14ac:dyDescent="0.2">
      <c r="A18" s="443"/>
      <c r="B18" s="443"/>
      <c r="D18" s="466" t="s">
        <v>337</v>
      </c>
      <c r="E18" s="468"/>
      <c r="F18" s="443"/>
      <c r="G18" s="58">
        <f>SUM(G19:G22)</f>
        <v>343646000</v>
      </c>
      <c r="H18" s="58"/>
      <c r="I18" s="58"/>
      <c r="J18" s="556"/>
      <c r="K18" s="58"/>
      <c r="L18" s="58">
        <f>SUM(L19:L22)</f>
        <v>38350619</v>
      </c>
      <c r="M18" s="58"/>
      <c r="N18" s="58"/>
      <c r="O18" s="556"/>
      <c r="P18" s="58"/>
      <c r="Q18" s="58">
        <f>SUM(Q19:Q22)</f>
        <v>45031287.743999995</v>
      </c>
      <c r="R18" s="58"/>
      <c r="S18" s="58"/>
      <c r="T18" s="556"/>
      <c r="U18" s="58"/>
      <c r="V18" s="58">
        <f>SUM(V19:V22)</f>
        <v>0</v>
      </c>
      <c r="W18" s="58"/>
      <c r="X18" s="58"/>
      <c r="Y18" s="556"/>
      <c r="Z18" s="58"/>
      <c r="AA18" s="58">
        <f>SUM(AA19:AA22)</f>
        <v>0</v>
      </c>
      <c r="AB18" s="58"/>
      <c r="AC18" s="58"/>
      <c r="AD18" s="556"/>
      <c r="AE18" s="58"/>
      <c r="AF18" s="58">
        <f>SUM(AF19:AF22)</f>
        <v>0</v>
      </c>
      <c r="AG18" s="58"/>
      <c r="AH18" s="58"/>
      <c r="AI18" s="556"/>
      <c r="AJ18" s="58"/>
      <c r="AK18" s="58">
        <f>SUM(AK19:AK22)</f>
        <v>0</v>
      </c>
      <c r="AL18" s="58"/>
      <c r="AM18" s="58"/>
      <c r="AN18" s="556"/>
      <c r="AO18" s="58"/>
      <c r="AP18" s="58">
        <f>SUM(AP19:AP22)</f>
        <v>0</v>
      </c>
      <c r="AQ18" s="58"/>
      <c r="AR18" s="58"/>
      <c r="AS18" s="556"/>
      <c r="AT18" s="58"/>
      <c r="AU18" s="58">
        <f>SUM(AU19:AU22)</f>
        <v>0</v>
      </c>
      <c r="AV18" s="58"/>
      <c r="AW18" s="58"/>
      <c r="AX18" s="556"/>
      <c r="AY18" s="58"/>
      <c r="AZ18" s="58">
        <f>SUM(AZ19:AZ22)</f>
        <v>0</v>
      </c>
      <c r="BA18" s="58"/>
      <c r="BB18" s="58"/>
      <c r="BC18" s="556"/>
      <c r="BD18" s="58"/>
      <c r="BE18" s="58">
        <f>SUM(BE19:BE22)</f>
        <v>0</v>
      </c>
      <c r="BF18" s="58"/>
      <c r="BG18" s="58"/>
      <c r="BH18" s="556"/>
      <c r="BI18" s="58"/>
      <c r="BJ18" s="58">
        <f>SUM(BJ19:BJ22)</f>
        <v>0</v>
      </c>
      <c r="BK18" s="58"/>
      <c r="BL18" s="58"/>
      <c r="BM18" s="556"/>
      <c r="BN18" s="58"/>
      <c r="BO18" s="58">
        <f>SUM(BO19:BO22)</f>
        <v>0</v>
      </c>
      <c r="BP18" s="58"/>
      <c r="BQ18" s="58"/>
      <c r="BR18" s="556"/>
      <c r="BS18" s="58"/>
      <c r="BT18" s="58">
        <f>SUM(BT19:BT22)</f>
        <v>83381906.744000003</v>
      </c>
      <c r="BU18" s="58"/>
      <c r="BV18" s="58"/>
      <c r="BW18" s="556"/>
      <c r="BX18" s="58"/>
      <c r="BY18" s="58">
        <f>SUM(BY19:BY22)</f>
        <v>335517549</v>
      </c>
      <c r="BZ18" s="58"/>
      <c r="CA18" s="58"/>
      <c r="CB18" s="556"/>
      <c r="CC18" s="58"/>
      <c r="CD18" s="58">
        <f>SUM(CD19:CD22)</f>
        <v>20725876</v>
      </c>
      <c r="CE18" s="58"/>
      <c r="CF18" s="58"/>
      <c r="CG18" s="556"/>
      <c r="CH18" s="58"/>
      <c r="CI18" s="58">
        <f>SUM(CI19:CI22)</f>
        <v>26579251</v>
      </c>
      <c r="CJ18" s="58"/>
      <c r="CK18" s="58"/>
      <c r="CL18" s="556"/>
      <c r="CM18" s="58"/>
      <c r="CN18" s="58">
        <f>SUM(CN19:CN22)</f>
        <v>21124207</v>
      </c>
      <c r="CO18" s="58"/>
      <c r="CP18" s="58"/>
      <c r="CQ18" s="556"/>
      <c r="CR18" s="58"/>
      <c r="CS18" s="58">
        <f>SUM(CS19:CS22)</f>
        <v>24760828</v>
      </c>
      <c r="CT18" s="58"/>
      <c r="CU18" s="58"/>
      <c r="CV18" s="556"/>
      <c r="CW18" s="58"/>
      <c r="CX18" s="58">
        <f>SUM(CX19:CX22)</f>
        <v>30904734</v>
      </c>
      <c r="CY18" s="58"/>
      <c r="CZ18" s="58"/>
      <c r="DA18" s="556"/>
      <c r="DB18" s="58"/>
      <c r="DC18" s="58">
        <f>SUM(DC19:DC22)</f>
        <v>32089447</v>
      </c>
      <c r="DD18" s="58"/>
      <c r="DE18" s="58"/>
      <c r="DF18" s="556"/>
      <c r="DG18" s="58"/>
      <c r="DH18" s="58">
        <f>SUM(DH19:DH22)</f>
        <v>33970885</v>
      </c>
      <c r="DI18" s="58"/>
      <c r="DJ18" s="58"/>
      <c r="DK18" s="556"/>
      <c r="DL18" s="58"/>
      <c r="DM18" s="58">
        <f>SUM(DM19:DM22)</f>
        <v>34588835</v>
      </c>
      <c r="DN18" s="58"/>
      <c r="DO18" s="58"/>
      <c r="DP18" s="556"/>
      <c r="DQ18" s="58"/>
      <c r="DR18" s="58">
        <f>SUM(DR19:DR22)</f>
        <v>26476333</v>
      </c>
      <c r="DS18" s="58"/>
      <c r="DT18" s="58"/>
      <c r="DU18" s="556"/>
      <c r="DV18" s="58"/>
      <c r="DW18" s="58">
        <f>SUM(DW19:DW22)</f>
        <v>21562772</v>
      </c>
      <c r="DX18" s="58"/>
      <c r="DY18" s="58"/>
      <c r="DZ18" s="556"/>
      <c r="EA18" s="58"/>
      <c r="EB18" s="58">
        <f>SUM(EB19:EB22)</f>
        <v>32267535</v>
      </c>
      <c r="EC18" s="58"/>
      <c r="ED18" s="58"/>
      <c r="EE18" s="556"/>
      <c r="EF18" s="58"/>
      <c r="EG18" s="58">
        <f>SUM(EG19:EG22)</f>
        <v>30466846</v>
      </c>
      <c r="EH18" s="58"/>
      <c r="EI18" s="58"/>
      <c r="EJ18" s="556"/>
      <c r="EK18" s="58"/>
      <c r="EL18" s="58">
        <f>SUM(EL19:EL22)</f>
        <v>47305127</v>
      </c>
      <c r="EM18" s="58"/>
      <c r="EN18" s="58"/>
      <c r="EO18" s="466"/>
      <c r="ET18" s="557"/>
    </row>
    <row r="19" spans="1:150" x14ac:dyDescent="0.2">
      <c r="A19" s="442"/>
      <c r="B19" s="442"/>
      <c r="D19" s="455" t="s">
        <v>338</v>
      </c>
      <c r="F19" s="473"/>
      <c r="G19" s="558">
        <f>337700000</f>
        <v>337700000</v>
      </c>
      <c r="H19" s="559"/>
      <c r="I19" s="67"/>
      <c r="J19" s="560"/>
      <c r="K19" s="561"/>
      <c r="L19" s="558">
        <f>+L25+L58+L63+L68+L74+L80+L85+L91+L96+L101+L106+L111+L116+L121+L126+L132+L138+L144+L149+L192+L206+L154+L179+L28+L34+L52+L40+L159+L164+L169+L174+L46</f>
        <v>32408976</v>
      </c>
      <c r="M19" s="559"/>
      <c r="N19" s="67"/>
      <c r="O19" s="560"/>
      <c r="P19" s="561"/>
      <c r="Q19" s="558">
        <f>+Q25+Q58+Q63+Q68+Q74+Q80+Q85+Q91+Q96+Q101+Q106+Q111+Q116+Q121+Q126+Q132+Q138+Q144+Q149+Q192+Q206+Q154+Q179+Q28+Q34+Q52+Q40+Q159+Q164+Q169+Q174+Q46</f>
        <v>40737984.292999998</v>
      </c>
      <c r="R19" s="559"/>
      <c r="S19" s="67"/>
      <c r="T19" s="560"/>
      <c r="U19" s="561"/>
      <c r="V19" s="558">
        <f>+V25+V58+V63+V68+V74+V80+V85+V91+V96+V101+V106+V111+V116+V121+V126+V132+V138+V144+V149+V192+V206+V154+V179+V28+V34+V52+V40+V159+V164+V169+V174+V46</f>
        <v>0</v>
      </c>
      <c r="W19" s="559"/>
      <c r="X19" s="67"/>
      <c r="Y19" s="560"/>
      <c r="Z19" s="561"/>
      <c r="AA19" s="558">
        <f>+AA25+AA58+AA63+AA68+AA74+AA80+AA85+AA91+AA96+AA101+AA106+AA111+AA116+AA121+AA126+AA132+AA138+AA144+AA149+AA192+AA206+AA154+AA179+AA28+AA34+AA52+AA40+AA159+AA164+AA169+AA174+AA46</f>
        <v>0</v>
      </c>
      <c r="AB19" s="559"/>
      <c r="AC19" s="67"/>
      <c r="AD19" s="560"/>
      <c r="AE19" s="561"/>
      <c r="AF19" s="558">
        <f>+AF25+AF58+AF63+AF68+AF74+AF80+AF85+AF91+AF96+AF101+AF106+AF111+AF116+AF121+AF126+AF132+AF138+AF144+AF149+AF192+AF206+AF154+AF179+AF28+AF34+AF52+AF40+AF159+AF164+AF169+AF174+AF46</f>
        <v>0</v>
      </c>
      <c r="AG19" s="559"/>
      <c r="AH19" s="67"/>
      <c r="AI19" s="560"/>
      <c r="AJ19" s="561"/>
      <c r="AK19" s="558">
        <f>+AK25+AK58+AK63+AK68+AK74+AK80+AK85+AK91+AK96+AK101+AK106+AK111+AK116+AK121+AK126+AK132+AK138+AK144+AK149+AK192+AK206+AK154+AK179+AK28+AK34+AK52+AK40+AK159+AK164+AK169+AK174+AK46</f>
        <v>0</v>
      </c>
      <c r="AL19" s="559"/>
      <c r="AM19" s="67"/>
      <c r="AN19" s="560"/>
      <c r="AO19" s="561"/>
      <c r="AP19" s="558">
        <f>+AP25+AP58+AP63+AP68+AP74+AP80+AP85+AP91+AP96+AP101+AP106+AP111+AP116+AP121+AP126+AP132+AP138+AP144+AP149+AP192+AP206+AP154+AP179+AP28+AP34+AP52+AP40+AP159+AP164+AP169+AP174+AP46</f>
        <v>0</v>
      </c>
      <c r="AQ19" s="559"/>
      <c r="AR19" s="67"/>
      <c r="AS19" s="560"/>
      <c r="AT19" s="561"/>
      <c r="AU19" s="558">
        <f>+AU25+AU58+AU63+AU68+AU74+AU80+AU85+AU91+AU96+AU101+AU106+AU111+AU116+AU121+AU126+AU132+AU138+AU144+AU149+AU192+AU206+AU154+AU179+AU28+AU34+AU52+AU40+AU159+AU164+AU169+AU174+AU46</f>
        <v>0</v>
      </c>
      <c r="AV19" s="559"/>
      <c r="AW19" s="67"/>
      <c r="AX19" s="560"/>
      <c r="AY19" s="561"/>
      <c r="AZ19" s="558">
        <f>+AZ25+AZ58+AZ63+AZ68+AZ74+AZ80+AZ85+AZ91+AZ96+AZ101+AZ106+AZ111+AZ116+AZ121+AZ126+AZ132+AZ138+AZ144+AZ149+AZ192+AZ206+AZ154+AZ179+AZ28+AZ34+AZ52+AZ40+AZ159+AZ164+AZ169+AZ174+AZ46</f>
        <v>0</v>
      </c>
      <c r="BA19" s="559"/>
      <c r="BB19" s="67"/>
      <c r="BC19" s="560"/>
      <c r="BD19" s="561"/>
      <c r="BE19" s="558">
        <f>+BE25+BE58+BE63+BE68+BE74+BE80+BE85+BE91+BE96+BE101+BE106+BE111+BE116+BE121+BE126+BE132+BE138+BE144+BE149+BE192+BE206+BE154+BE179+BE28+BE34+BE52+BE40+BE159+BE164+BE169+BE174+BE46</f>
        <v>0</v>
      </c>
      <c r="BF19" s="559"/>
      <c r="BG19" s="67"/>
      <c r="BH19" s="560"/>
      <c r="BI19" s="561"/>
      <c r="BJ19" s="558">
        <f>+BJ25+BJ58+BJ63+BJ68+BJ74+BJ80+BJ85+BJ91+BJ96+BJ101+BJ106+BJ111+BJ116+BJ121+BJ126+BJ132+BJ138+BJ144+BJ149+BJ192+BJ206+BJ154+BJ179+BJ28+BJ34+BJ52+BJ40+BJ159+BJ164+BJ169+BJ174+BJ46</f>
        <v>0</v>
      </c>
      <c r="BK19" s="559"/>
      <c r="BL19" s="67"/>
      <c r="BM19" s="560"/>
      <c r="BN19" s="561"/>
      <c r="BO19" s="558">
        <f>+BO25+BO58+BO63+BO68+BO74+BO80+BO85+BO91+BO96+BO101+BO106+BO111+BO116+BO121+BO126+BO132+BO138+BO144+BO149+BO192+BO206+BO154+BO179+BO28+BO34+BO52+BO40+BO159+BO164+BO169+BO174+BO46</f>
        <v>0</v>
      </c>
      <c r="BP19" s="559"/>
      <c r="BQ19" s="67"/>
      <c r="BR19" s="560"/>
      <c r="BS19" s="561"/>
      <c r="BT19" s="558">
        <f>+BT25+BT58+BT63+BT68+BT74+BT80+BT85+BT91+BT96+BT101+BT106+BT111+BT116+BT121+BT126+BT132+BT138+BT144+BT149+BT192+BT206+BT154+BT179+BT28+BT34+BT52+BT40+BT159+BT164+BT169+BT174+BT46</f>
        <v>73146960.292999998</v>
      </c>
      <c r="BU19" s="559"/>
      <c r="BV19" s="67"/>
      <c r="BW19" s="560"/>
      <c r="BX19" s="561"/>
      <c r="BY19" s="558">
        <f>+BY25+BY58+BY63+BY68+BY74+BY80+BY85+BY91+BY96+BY101+BY106+BY111+BY116+BY121+BY126+BY132+BY138+BY144+BY149+BY192+BY206+BY154+BY179+BY28+BY34+BY52+BY40+BY159+BY164+BY169+BY174+BY46</f>
        <v>293250059</v>
      </c>
      <c r="BZ19" s="559"/>
      <c r="CA19" s="67"/>
      <c r="CB19" s="560"/>
      <c r="CC19" s="561"/>
      <c r="CD19" s="558">
        <f>+CD25+CD58+CD63+CD68+CD74+CD80+CD85+CD91+CD96+CD101+CD106+CD111+CD116+CD121+CD126+CD132+CD138+CD144+CD149+CD192+CD206+CD154+CD179+CD28+CD34+CD52+CD40+CD159+CD164+CD169+CD174+CD46</f>
        <v>18959941</v>
      </c>
      <c r="CE19" s="559"/>
      <c r="CF19" s="67"/>
      <c r="CG19" s="560"/>
      <c r="CH19" s="561"/>
      <c r="CI19" s="558">
        <f>+CI25+CI58+CI63+CI68+CI74+CI80+CI85+CI91+CI96+CI101+CI106+CI111+CI116+CI121+CI126+CI132+CI138+CI144+CI149+CI192+CI206+CI154+CI179+CI28+CI34+CI52+CI40+CI159+CI164+CI169+CI174+CI46</f>
        <v>23896823</v>
      </c>
      <c r="CJ19" s="559"/>
      <c r="CK19" s="67"/>
      <c r="CL19" s="560"/>
      <c r="CM19" s="561"/>
      <c r="CN19" s="558">
        <f>+CN25+CN58+CN63+CN68+CN74+CN80+CN85+CN91+CN96+CN101+CN106+CN111+CN116+CN121+CN126+CN132+CN138+CN144+CN149+CN192+CN206+CN154+CN179+CN28+CN34+CN52+CN40+CN159+CN164+CN169+CN174+CN46</f>
        <v>18463838</v>
      </c>
      <c r="CO19" s="559"/>
      <c r="CP19" s="67"/>
      <c r="CQ19" s="560"/>
      <c r="CR19" s="561"/>
      <c r="CS19" s="558">
        <f>+CS25+CS58+CS63+CS68+CS74+CS80+CS85+CS91+CS96+CS101+CS106+CS111+CS116+CS121+CS126+CS132+CS138+CS144+CS149+CS192+CS206+CS154+CS179+CS28+CS34+CS52+CS40+CS159+CS164+CS169+CS174+CS46</f>
        <v>21885248</v>
      </c>
      <c r="CT19" s="559"/>
      <c r="CU19" s="67"/>
      <c r="CV19" s="560"/>
      <c r="CW19" s="561"/>
      <c r="CX19" s="558">
        <f>+CX25+CX58+CX63+CX68+CX74+CX80+CX85+CX91+CX96+CX101+CX106+CX111+CX116+CX121+CX126+CX132+CX138+CX144+CX149+CX192+CX206+CX154+CX179+CX28+CX34+CX52+CX40+CX159+CX164+CX169+CX174+CX46</f>
        <v>28048130</v>
      </c>
      <c r="CY19" s="559"/>
      <c r="CZ19" s="67"/>
      <c r="DA19" s="560"/>
      <c r="DB19" s="561"/>
      <c r="DC19" s="558">
        <f>+DC25+DC58+DC63+DC68+DC74+DC80+DC85+DC91+DC96+DC101+DC106+DC111+DC116+DC121+DC126+DC132+DC138+DC144+DC149+DC192+DC206+DC154+DC179+DC28+DC34+DC52+DC40+DC159+DC164+DC169+DC174+DC46</f>
        <v>28282304</v>
      </c>
      <c r="DD19" s="559"/>
      <c r="DE19" s="67"/>
      <c r="DF19" s="560"/>
      <c r="DG19" s="561"/>
      <c r="DH19" s="558">
        <f>+DH25+DH58+DH63+DH68+DH74+DH80+DH85+DH91+DH96+DH101+DH106+DH111+DH116+DH121+DH126+DH132+DH138+DH144+DH149+DH192+DH206+DH154+DH179+DH28+DH34+DH52+DH40+DH159+DH164+DH169+DH174+DH46</f>
        <v>29086988</v>
      </c>
      <c r="DI19" s="559"/>
      <c r="DJ19" s="67"/>
      <c r="DK19" s="560"/>
      <c r="DL19" s="561"/>
      <c r="DM19" s="558">
        <f>+DM25+DM58+DM63+DM68+DM74+DM80+DM85+DM91+DM96+DM101+DM106+DM111+DM116+DM121+DM126+DM132+DM138+DM144+DM149+DM192+DM206+DM154+DM179+DM28+DM34+DM52+DM40+DM159+DM164+DM169+DM174+DM46</f>
        <v>29883343</v>
      </c>
      <c r="DN19" s="559"/>
      <c r="DO19" s="67"/>
      <c r="DP19" s="560"/>
      <c r="DQ19" s="561"/>
      <c r="DR19" s="558">
        <f>+DR25+DR58+DR63+DR68+DR74+DR80+DR85+DR91+DR96+DR101+DR106+DR111+DR116+DR121+DR126+DR132+DR138+DR144+DR149+DR192+DR206+DR154+DR179+DR28+DR34+DR52+DR40+DR159+DR164+DR169+DR174+DR46</f>
        <v>23116933</v>
      </c>
      <c r="DS19" s="559"/>
      <c r="DT19" s="67"/>
      <c r="DU19" s="560"/>
      <c r="DV19" s="561"/>
      <c r="DW19" s="558">
        <f>+DW25+DW58+DW63+DW68+DW74+DW80+DW85+DW91+DW96+DW101+DW106+DW111+DW116+DW121+DW126+DW132+DW138+DW144+DW149+DW192+DW206+DW154+DW179+DW28+DW34+DW52+DW40+DW159+DW164+DW169+DW174+DW46</f>
        <v>18604025</v>
      </c>
      <c r="DX19" s="559"/>
      <c r="DY19" s="67"/>
      <c r="DZ19" s="560"/>
      <c r="EA19" s="561"/>
      <c r="EB19" s="558">
        <f>+EB25+EB58+EB63+EB68+EB74+EB80+EB85+EB91+EB96+EB101+EB106+EB111+EB116+EB121+EB126+EB132+EB138+EB144+EB149+EB192+EB206+EB154+EB179+EB28+EB34+EB52+EB40+EB159+EB164+EB169+EB174+EB46</f>
        <v>28287081</v>
      </c>
      <c r="EC19" s="559"/>
      <c r="ED19" s="67"/>
      <c r="EE19" s="560"/>
      <c r="EF19" s="561"/>
      <c r="EG19" s="558">
        <f>+EG25+EG58+EG63+EG68+EG74+EG80+EG85+EG91+EG96+EG101+EG106+EG111+EG116+EG121+EG126+EG132+EG138+EG144+EG149+EG192+EG206+EG154+EG179+EG28+EG34+EG52+EG40+EG159+EG164+EG169+EG174+EG46</f>
        <v>24735405</v>
      </c>
      <c r="EH19" s="559"/>
      <c r="EI19" s="67"/>
      <c r="EJ19" s="560"/>
      <c r="EK19" s="561"/>
      <c r="EL19" s="558">
        <f>+EL25+EL58+EL63+EL68+EL74+EL80+EL85+EL91+EL96+EL101+EL106+EL111+EL116+EL121+EL126+EL132+EL138+EL144+EL149+EL192+EL206+EL154+EL179+EL28+EL34+EL52+EL40+EL159+EL164+EL169+EL174+EL46</f>
        <v>42856764</v>
      </c>
      <c r="EM19" s="559"/>
      <c r="EN19" s="67"/>
      <c r="EO19" s="455"/>
      <c r="ER19" s="472"/>
      <c r="ES19" s="472"/>
      <c r="ET19" s="562"/>
    </row>
    <row r="20" spans="1:150" x14ac:dyDescent="0.2">
      <c r="A20" s="442"/>
      <c r="B20" s="442"/>
      <c r="D20" s="455" t="s">
        <v>302</v>
      </c>
      <c r="F20" s="465"/>
      <c r="G20" s="67">
        <v>5946000</v>
      </c>
      <c r="H20" s="66"/>
      <c r="I20" s="67"/>
      <c r="J20" s="560"/>
      <c r="K20" s="560"/>
      <c r="L20" s="67">
        <f>+L59+L64+L69+L75+L81+L86+L92+L97+L102+L107+L112+L117+L122+L127+L133+L139+L145+L150+L155+L180+L29+L35+L53+L41+L160+L165+L170+L175+L47</f>
        <v>4299769</v>
      </c>
      <c r="M20" s="66"/>
      <c r="N20" s="67"/>
      <c r="O20" s="560"/>
      <c r="P20" s="560"/>
      <c r="Q20" s="67">
        <f>+Q59+Q64+Q69+Q75+Q81+Q86+Q92+Q97+Q102+Q107+Q112+Q117+Q122+Q127+Q133+Q139+Q145+Q150+Q155+Q180+Q29+Q35+Q53+Q41+Q160+Q165+Q170+Q175+Q47</f>
        <v>4058204</v>
      </c>
      <c r="R20" s="66"/>
      <c r="S20" s="67"/>
      <c r="T20" s="560"/>
      <c r="U20" s="560"/>
      <c r="V20" s="67">
        <f>+V59+V64+V69+V75+V81+V86+V92+V97+V102+V107+V112+V117+V122+V127+V133+V139+V145+V150+V155+V180+V29+V35+V53+V41+V160+V165+V170+V175+V47</f>
        <v>0</v>
      </c>
      <c r="W20" s="66"/>
      <c r="X20" s="67"/>
      <c r="Y20" s="560"/>
      <c r="Z20" s="560"/>
      <c r="AA20" s="67">
        <f>+AA59+AA64+AA69+AA75+AA81+AA86+AA92+AA97+AA102+AA107+AA112+AA117+AA122+AA127+AA133+AA139+AA145+AA150+AA155+AA180+AA29+AA35+AA53+AA41+AA160+AA165+AA170+AA175+AA47</f>
        <v>0</v>
      </c>
      <c r="AB20" s="66"/>
      <c r="AC20" s="67"/>
      <c r="AD20" s="560"/>
      <c r="AE20" s="560"/>
      <c r="AF20" s="67">
        <f>+AF59+AF64+AF69+AF75+AF81+AF86+AF92+AF97+AF102+AF107+AF112+AF117+AF122+AF127+AF133+AF139+AF145+AF150+AF155+AF180+AF29+AF35+AF53+AF41+AF160+AF165+AF170+AF175+AF47</f>
        <v>0</v>
      </c>
      <c r="AG20" s="66"/>
      <c r="AH20" s="67"/>
      <c r="AI20" s="560"/>
      <c r="AJ20" s="560"/>
      <c r="AK20" s="67">
        <f>+AK59+AK64+AK69+AK75+AK81+AK86+AK92+AK97+AK102+AK107+AK112+AK117+AK122+AK127+AK133+AK139+AK145+AK150+AK155+AK180+AK29+AK35+AK53+AK41+AK160+AK165+AK170+AK175+AK47</f>
        <v>0</v>
      </c>
      <c r="AL20" s="66"/>
      <c r="AM20" s="67"/>
      <c r="AN20" s="560"/>
      <c r="AO20" s="560"/>
      <c r="AP20" s="67">
        <f>+AP59+AP64+AP69+AP75+AP81+AP86+AP92+AP97+AP102+AP107+AP112+AP117+AP122+AP127+AP133+AP139+AP145+AP150+AP155+AP180+AP29+AP35+AP53+AP41+AP160+AP165+AP170+AP175+AP47</f>
        <v>0</v>
      </c>
      <c r="AQ20" s="66"/>
      <c r="AR20" s="67"/>
      <c r="AS20" s="560"/>
      <c r="AT20" s="560"/>
      <c r="AU20" s="67">
        <f>+AU59+AU64+AU69+AU75+AU81+AU86+AU92+AU97+AU102+AU107+AU112+AU117+AU122+AU127+AU133+AU139+AU145+AU150+AU155+AU180+AU29+AU35+AU53+AU41+AU160+AU165+AU170+AU175+AU47</f>
        <v>0</v>
      </c>
      <c r="AV20" s="66"/>
      <c r="AW20" s="67"/>
      <c r="AX20" s="560"/>
      <c r="AY20" s="560"/>
      <c r="AZ20" s="67">
        <f>+AZ59+AZ64+AZ69+AZ75+AZ81+AZ86+AZ92+AZ97+AZ102+AZ107+AZ112+AZ117+AZ122+AZ127+AZ133+AZ139+AZ145+AZ150+AZ155+AZ180+AZ29+AZ35+AZ53+AZ41+AZ160+AZ165+AZ170+AZ175+AZ47</f>
        <v>0</v>
      </c>
      <c r="BA20" s="66"/>
      <c r="BB20" s="67"/>
      <c r="BC20" s="560"/>
      <c r="BD20" s="560"/>
      <c r="BE20" s="67">
        <f>+BE59+BE64+BE69+BE75+BE81+BE86+BE92+BE97+BE102+BE107+BE112+BE117+BE122+BE127+BE133+BE139+BE145+BE150+BE155+BE180+BE29+BE35+BE53+BE41+BE160+BE165+BE170+BE175+BE47</f>
        <v>0</v>
      </c>
      <c r="BF20" s="66"/>
      <c r="BG20" s="67"/>
      <c r="BH20" s="560"/>
      <c r="BI20" s="560"/>
      <c r="BJ20" s="67">
        <f>+BJ59+BJ64+BJ69+BJ75+BJ81+BJ86+BJ92+BJ97+BJ102+BJ107+BJ112+BJ117+BJ122+BJ127+BJ133+BJ139+BJ145+BJ150+BJ155+BJ180+BJ29+BJ35+BJ53+BJ41+BJ160+BJ165+BJ170+BJ175+BJ47</f>
        <v>0</v>
      </c>
      <c r="BK20" s="66"/>
      <c r="BL20" s="67"/>
      <c r="BM20" s="560"/>
      <c r="BN20" s="560"/>
      <c r="BO20" s="67">
        <f>+BO59+BO64+BO69+BO75+BO81+BO86+BO92+BO97+BO102+BO107+BO112+BO117+BO122+BO127+BO133+BO139+BO145+BO150+BO155+BO180+BO29+BO35+BO53+BO41+BO160+BO165+BO170+BO175+BO47</f>
        <v>0</v>
      </c>
      <c r="BP20" s="66"/>
      <c r="BQ20" s="67"/>
      <c r="BR20" s="560"/>
      <c r="BS20" s="560"/>
      <c r="BT20" s="67">
        <f>+BT59+BT64+BT69+BT75+BT81+BT86+BT92+BT97+BT102+BT107+BT112+BT117+BT122+BT127+BT133+BT139+BT145+BT150+BT155+BT180+BT29+BT35+BT53+BT41+BT160+BT165+BT170+BT175+BT47</f>
        <v>8357973</v>
      </c>
      <c r="BU20" s="66"/>
      <c r="BV20" s="67"/>
      <c r="BW20" s="560"/>
      <c r="BX20" s="560"/>
      <c r="BY20" s="67">
        <f>+BY59+BY64+BY69+BY75+BY81+BY86+BY92+BY97+BY102+BY107+BY112+BY117+BY122+BY127+BY133+BY139+BY145+BY150+BY155+BY180+BY29+BY35+BY53+BY41+BY160+BY165+BY170+BY175+BY47</f>
        <v>29779023</v>
      </c>
      <c r="BZ20" s="66"/>
      <c r="CA20" s="67"/>
      <c r="CB20" s="560"/>
      <c r="CC20" s="560"/>
      <c r="CD20" s="67">
        <f>+CD59+CD64+CD69+CD75+CD81+CD86+CD92+CD97+CD102+CD107+CD112+CD117+CD122+CD127+CD133+CD139+CD145+CD150+CD155+CD180+CD29+CD35+CD53+CD41+CD160+CD165+CD170+CD175+CD47</f>
        <v>1256954</v>
      </c>
      <c r="CE20" s="66"/>
      <c r="CF20" s="67"/>
      <c r="CG20" s="560"/>
      <c r="CH20" s="560"/>
      <c r="CI20" s="67">
        <f>+CI59+CI64+CI69+CI75+CI81+CI86+CI92+CI97+CI102+CI107+CI112+CI117+CI122+CI127+CI133+CI139+CI145+CI150+CI155+CI180+CI29+CI35+CI53+CI41+CI160+CI165+CI170+CI175+CI47</f>
        <v>1652532</v>
      </c>
      <c r="CJ20" s="66"/>
      <c r="CK20" s="67"/>
      <c r="CL20" s="560"/>
      <c r="CM20" s="560"/>
      <c r="CN20" s="67">
        <f>+CN59+CN64+CN69+CN75+CN81+CN86+CN92+CN97+CN102+CN107+CN112+CN117+CN122+CN127+CN133+CN139+CN145+CN150+CN155+CN180+CN29+CN35+CN53+CN41+CN160+CN165+CN170+CN175+CN47</f>
        <v>1668026</v>
      </c>
      <c r="CO20" s="66"/>
      <c r="CP20" s="67"/>
      <c r="CQ20" s="560"/>
      <c r="CR20" s="560"/>
      <c r="CS20" s="67">
        <f>+CS59+CS64+CS69+CS75+CS81+CS86+CS92+CS97+CS102+CS107+CS112+CS117+CS122+CS127+CS133+CS139+CS145+CS150+CS155+CS180+CS29+CS35+CS53+CS41+CS160+CS165+CS170+CS175+CS47</f>
        <v>1721005</v>
      </c>
      <c r="CT20" s="66"/>
      <c r="CU20" s="67"/>
      <c r="CV20" s="560"/>
      <c r="CW20" s="560"/>
      <c r="CX20" s="67">
        <f>+CX59+CX64+CX69+CX75+CX81+CX86+CX92+CX97+CX102+CX107+CX112+CX117+CX122+CX127+CX133+CX139+CX145+CX150+CX155+CX180+CX29+CX35+CX53+CX41+CX160+CX165+CX170+CX175+CX47</f>
        <v>2422421</v>
      </c>
      <c r="CY20" s="66"/>
      <c r="CZ20" s="67"/>
      <c r="DA20" s="560"/>
      <c r="DB20" s="560"/>
      <c r="DC20" s="67">
        <f>+DC59+DC64+DC69+DC75+DC81+DC86+DC92+DC97+DC102+DC107+DC112+DC117+DC122+DC127+DC133+DC139+DC145+DC150+DC155+DC180+DC29+DC35+DC53+DC41+DC160+DC165+DC170+DC175+DC47</f>
        <v>2517677</v>
      </c>
      <c r="DD20" s="66"/>
      <c r="DE20" s="67"/>
      <c r="DF20" s="560"/>
      <c r="DG20" s="560"/>
      <c r="DH20" s="67">
        <f>+DH59+DH64+DH69+DH75+DH81+DH86+DH92+DH97+DH102+DH107+DH112+DH117+DH122+DH127+DH133+DH139+DH145+DH150+DH155+DH180+DH29+DH35+DH53+DH41+DH160+DH165+DH170+DH175+DH47</f>
        <v>2852893</v>
      </c>
      <c r="DI20" s="66"/>
      <c r="DJ20" s="67"/>
      <c r="DK20" s="560"/>
      <c r="DL20" s="560"/>
      <c r="DM20" s="67">
        <f>+DM59+DM64+DM69+DM75+DM81+DM86+DM92+DM97+DM102+DM107+DM112+DM117+DM122+DM127+DM133+DM139+DM145+DM150+DM155+DM180+DM29+DM35+DM53+DM41+DM160+DM165+DM170+DM175+DM47</f>
        <v>3497342</v>
      </c>
      <c r="DN20" s="66"/>
      <c r="DO20" s="67"/>
      <c r="DP20" s="560"/>
      <c r="DQ20" s="560"/>
      <c r="DR20" s="67">
        <f>+DR59+DR64+DR69+DR75+DR81+DR86+DR92+DR97+DR102+DR107+DR112+DR117+DR122+DR127+DR133+DR139+DR145+DR150+DR155+DR180+DR29+DR35+DR53+DR41+DR160+DR165+DR170+DR175+DR47</f>
        <v>2287072</v>
      </c>
      <c r="DS20" s="66"/>
      <c r="DT20" s="67"/>
      <c r="DU20" s="560"/>
      <c r="DV20" s="560"/>
      <c r="DW20" s="67">
        <f>+DW59+DW64+DW69+DW75+DW81+DW86+DW92+DW97+DW102+DW107+DW112+DW117+DW122+DW127+DW133+DW139+DW145+DW150+DW155+DW180+DW29+DW35+DW53+DW41+DW160+DW165+DW170+DW175+DW47</f>
        <v>2282238</v>
      </c>
      <c r="DX20" s="66"/>
      <c r="DY20" s="67"/>
      <c r="DZ20" s="560"/>
      <c r="EA20" s="560"/>
      <c r="EB20" s="67">
        <f>+EB59+EB64+EB69+EB75+EB81+EB86+EB92+EB97+EB102+EB107+EB112+EB117+EB122+EB127+EB133+EB139+EB145+EB150+EB155+EB180+EB29+EB35+EB53+EB41+EB160+EB165+EB170+EB175+EB47</f>
        <v>2868557</v>
      </c>
      <c r="EC20" s="66"/>
      <c r="ED20" s="67"/>
      <c r="EE20" s="560"/>
      <c r="EF20" s="560"/>
      <c r="EG20" s="67">
        <f>+EG59+EG64+EG69+EG75+EG81+EG86+EG92+EG97+EG102+EG107+EG112+EG117+EG122+EG127+EG133+EG139+EG145+EG150+EG155+EG180+EG29+EG35+EG53+EG41+EG160+EG165+EG170+EG175+EG47</f>
        <v>4752306</v>
      </c>
      <c r="EH20" s="66"/>
      <c r="EI20" s="67"/>
      <c r="EJ20" s="560"/>
      <c r="EK20" s="560"/>
      <c r="EL20" s="67">
        <f>+EL59+EL64+EL69+EL75+EL81+EL86+EL92+EL97+EL102+EL107+EL112+EL117+EL122+EL127+EL133+EL139+EL145+EL150+EL155+EL180+EL29+EL35+EL53+EL41+EL160+EL165+EL170+EL175+EL47</f>
        <v>2909486</v>
      </c>
      <c r="EM20" s="66"/>
      <c r="EN20" s="67"/>
      <c r="EO20" s="455"/>
      <c r="ER20" s="472"/>
      <c r="ES20" s="472"/>
      <c r="ET20" s="562"/>
    </row>
    <row r="21" spans="1:150" x14ac:dyDescent="0.2">
      <c r="A21" s="442"/>
      <c r="B21" s="442"/>
      <c r="D21" s="455" t="s">
        <v>339</v>
      </c>
      <c r="F21" s="465"/>
      <c r="G21" s="486">
        <v>0</v>
      </c>
      <c r="H21" s="480"/>
      <c r="I21" s="442"/>
      <c r="J21" s="465"/>
      <c r="K21" s="465"/>
      <c r="L21" s="67">
        <f>+L60+L65+L70+L76+L82+L87+L93+L98+L103+L108+L113+L118+L123+L128+L134+L140+L146+L151+L156+L181+L30+L36+L54+L42+L161+L166+L171+L176+L48</f>
        <v>-376261</v>
      </c>
      <c r="M21" s="66"/>
      <c r="N21" s="67"/>
      <c r="O21" s="560"/>
      <c r="P21" s="560"/>
      <c r="Q21" s="67">
        <f>+Q60+Q65+Q70+Q76+Q82+Q87+Q93+Q98+Q103+Q108+Q113+Q118+Q123+Q128+Q134+Q140+Q146+Q151+Q156+Q181+Q30+Q36+Q54+Q42+Q161+Q166+Q171+Q176+Q48</f>
        <v>-1466989</v>
      </c>
      <c r="R21" s="66"/>
      <c r="S21" s="67"/>
      <c r="T21" s="560"/>
      <c r="U21" s="560"/>
      <c r="V21" s="67">
        <f>+V60+V65+V70+V76+V82+V87+V93+V98+V103+V108+V113+V118+V123+V128+V134+V140+V146+V151+V156+V181+V30+V36+V54+V42+V161+V166+V171+V176+V48</f>
        <v>0</v>
      </c>
      <c r="W21" s="66"/>
      <c r="X21" s="67"/>
      <c r="Y21" s="560"/>
      <c r="Z21" s="560"/>
      <c r="AA21" s="67">
        <f>+AA60+AA65+AA70+AA76+AA82+AA87+AA93+AA98+AA103+AA108+AA113+AA118+AA123+AA128+AA134+AA140+AA146+AA151+AA156+AA181+AA30+AA36+AA54+AA42+AA161+AA166+AA171+AA176+AA48</f>
        <v>0</v>
      </c>
      <c r="AB21" s="66"/>
      <c r="AC21" s="67"/>
      <c r="AD21" s="560"/>
      <c r="AE21" s="560"/>
      <c r="AF21" s="67">
        <f>+AF60+AF65+AF70+AF76+AF82+AF87+AF93+AF98+AF103+AF108+AF113+AF118+AF123+AF128+AF134+AF140+AF146+AF151+AF156+AF181+AF30+AF36+AF54+AF42+AF161+AF166+AF171+AF176+AF48</f>
        <v>0</v>
      </c>
      <c r="AG21" s="66"/>
      <c r="AH21" s="67"/>
      <c r="AI21" s="560"/>
      <c r="AJ21" s="560"/>
      <c r="AK21" s="67">
        <f>+AK60+AK65+AK70+AK76+AK82+AK87+AK93+AK98+AK103+AK108+AK113+AK118+AK123+AK128+AK134+AK140+AK146+AK151+AK156+AK181+AK30+AK36+AK54+AK42+AK161+AK166+AK171+AK176+AK48</f>
        <v>0</v>
      </c>
      <c r="AL21" s="66"/>
      <c r="AM21" s="67"/>
      <c r="AN21" s="560"/>
      <c r="AO21" s="560"/>
      <c r="AP21" s="67">
        <f>+AP60+AP65+AP70+AP76+AP82+AP87+AP93+AP98+AP103+AP108+AP113+AP118+AP123+AP128+AP134+AP140+AP146+AP151+AP156+AP181+AP30+AP36+AP54+AP42+AP161+AP166+AP171+AP176+AP48</f>
        <v>0</v>
      </c>
      <c r="AQ21" s="66"/>
      <c r="AR21" s="67"/>
      <c r="AS21" s="560"/>
      <c r="AT21" s="560"/>
      <c r="AU21" s="67">
        <f>+AU60+AU65+AU70+AU76+AU82+AU87+AU93+AU98+AU103+AU108+AU113+AU118+AU123+AU128+AU134+AU140+AU146+AU151+AU156+AU181+AU30+AU36+AU54+AU42+AU161+AU166+AU171+AU176+AU48</f>
        <v>0</v>
      </c>
      <c r="AV21" s="66"/>
      <c r="AW21" s="67"/>
      <c r="AX21" s="560"/>
      <c r="AY21" s="560"/>
      <c r="AZ21" s="67">
        <f>+AZ60+AZ65+AZ70+AZ76+AZ82+AZ87+AZ93+AZ98+AZ103+AZ108+AZ113+AZ118+AZ123+AZ128+AZ134+AZ140+AZ146+AZ151+AZ156+AZ181+AZ30+AZ36+AZ54+AZ42+AZ161+AZ166+AZ171+AZ176+AZ48</f>
        <v>0</v>
      </c>
      <c r="BA21" s="66"/>
      <c r="BB21" s="67"/>
      <c r="BC21" s="560"/>
      <c r="BD21" s="560"/>
      <c r="BE21" s="67">
        <f>+BE60+BE65+BE70+BE76+BE82+BE87+BE93+BE98+BE103+BE108+BE113+BE118+BE123+BE128+BE134+BE140+BE146+BE151+BE156+BE181+BE30+BE36+BE54+BE42+BE161+BE166+BE171+BE176+BE48</f>
        <v>0</v>
      </c>
      <c r="BF21" s="66"/>
      <c r="BG21" s="67"/>
      <c r="BH21" s="560"/>
      <c r="BI21" s="560"/>
      <c r="BJ21" s="67">
        <f>+BJ60+BJ65+BJ70+BJ76+BJ82+BJ87+BJ93+BJ98+BJ103+BJ108+BJ113+BJ118+BJ123+BJ128+BJ134+BJ140+BJ146+BJ151+BJ156+BJ181+BJ30+BJ36+BJ54+BJ42+BJ161+BJ166+BJ171+BJ176+BJ48</f>
        <v>0</v>
      </c>
      <c r="BK21" s="66"/>
      <c r="BL21" s="67"/>
      <c r="BM21" s="560"/>
      <c r="BN21" s="560"/>
      <c r="BO21" s="67">
        <f>+BO60+BO65+BO70+BO76+BO82+BO87+BO93+BO98+BO103+BO108+BO113+BO118+BO123+BO128+BO134+BO140+BO146+BO151+BO156+BO181+BO30+BO36+BO54+BO42+BO161+BO166+BO171+BO176+BO48</f>
        <v>0</v>
      </c>
      <c r="BP21" s="66"/>
      <c r="BQ21" s="67"/>
      <c r="BR21" s="560"/>
      <c r="BS21" s="560"/>
      <c r="BT21" s="67">
        <f>+BT60+BT65+BT70+BT76+BT82+BT87+BT93+BT98+BT103+BT108+BT113+BT118+BT123+BT128+BT134+BT140+BT146+BT151+BT156+BT181+BT30+BT36+BT54+BT42+BT161+BT166+BT171+BT176+BT48</f>
        <v>-1843250</v>
      </c>
      <c r="BU21" s="66"/>
      <c r="BV21" s="67"/>
      <c r="BW21" s="560"/>
      <c r="BX21" s="560"/>
      <c r="BY21" s="67">
        <f>+BY60+BY65+BY70+BY76+BY82+BY87+BY93+BY98+BY103+BY108+BY113+BY118+BY123+BY128+BY134+BY140+BY146+BY151+BY156+BY181+BY30+BY36+BY54+BY42+BY161+BY166+BY171+BY176+BY48</f>
        <v>-3462654</v>
      </c>
      <c r="BZ21" s="480"/>
      <c r="CA21" s="442"/>
      <c r="CB21" s="465"/>
      <c r="CC21" s="465"/>
      <c r="CD21" s="67">
        <f>+CD60+CD65+CD70+CD76+CD82+CD87+CD93+CD98+CD103+CD108+CD113+CD118+CD123+CD128+CD134+CD140+CD146+CD151+CD156+CD181+CD30+CD36+CD54+CD42+CD161+CD166+CD171+CD176+CD48</f>
        <v>-236014</v>
      </c>
      <c r="CE21" s="66"/>
      <c r="CF21" s="67"/>
      <c r="CG21" s="560"/>
      <c r="CH21" s="560"/>
      <c r="CI21" s="67">
        <f>+CI60+CI65+CI70+CI76+CI82+CI87+CI93+CI98+CI103+CI108+CI113+CI118+CI123+CI128+CI134+CI140+CI146+CI151+CI156+CI181+CI30+CI36+CI54+CI42+CI161+CI166+CI171+CI176+CI48</f>
        <v>-324359</v>
      </c>
      <c r="CJ21" s="66"/>
      <c r="CK21" s="67"/>
      <c r="CL21" s="560"/>
      <c r="CM21" s="560"/>
      <c r="CN21" s="67">
        <f>+CN60+CN65+CN70+CN76+CN82+CN87+CN93+CN98+CN103+CN108+CN113+CN118+CN123+CN128+CN134+CN140+CN146+CN151+CN156+CN181+CN30+CN36+CN54+CN42+CN161+CN166+CN171+CN176+CN48</f>
        <v>-183896</v>
      </c>
      <c r="CO21" s="66"/>
      <c r="CP21" s="67"/>
      <c r="CQ21" s="560"/>
      <c r="CR21" s="560"/>
      <c r="CS21" s="67">
        <f>+CS60+CS65+CS70+CS76+CS82+CS87+CS93+CS98+CS103+CS108+CS113+CS118+CS123+CS128+CS134+CS140+CS146+CS151+CS156+CS181+CS30+CS36+CS54+CS42+CS161+CS166+CS171+CS176+CS48</f>
        <v>-236661</v>
      </c>
      <c r="CT21" s="66"/>
      <c r="CU21" s="67"/>
      <c r="CV21" s="560"/>
      <c r="CW21" s="560"/>
      <c r="CX21" s="67">
        <f>+CX60+CX65+CX70+CX76+CX82+CX87+CX93+CX98+CX103+CX108+CX113+CX118+CX123+CX128+CX134+CX140+CX146+CX151+CX156+CX181+CX30+CX36+CX54+CX42+CX161+CX166+CX171+CX176+CX48</f>
        <v>-513408</v>
      </c>
      <c r="CY21" s="66"/>
      <c r="CZ21" s="67"/>
      <c r="DA21" s="560"/>
      <c r="DB21" s="560"/>
      <c r="DC21" s="67">
        <f>+DC60+DC65+DC70+DC76+DC82+DC87+DC93+DC98+DC103+DC108+DC113+DC118+DC123+DC128+DC134+DC140+DC146+DC151+DC156+DC181+DC30+DC36+DC54+DC42+DC161+DC166+DC171+DC176+DC48</f>
        <v>-241446</v>
      </c>
      <c r="DD21" s="66"/>
      <c r="DE21" s="67"/>
      <c r="DF21" s="560"/>
      <c r="DG21" s="560"/>
      <c r="DH21" s="67">
        <f>+DH60+DH65+DH70+DH76+DH82+DH87+DH93+DH98+DH103+DH108+DH113+DH118+DH123+DH128+DH134+DH140+DH146+DH151+DH156+DH181+DH30+DH36+DH54+DH42+DH161+DH166+DH171+DH176+DH48</f>
        <v>-54544</v>
      </c>
      <c r="DI21" s="66"/>
      <c r="DJ21" s="67"/>
      <c r="DK21" s="560"/>
      <c r="DL21" s="560"/>
      <c r="DM21" s="67">
        <f>+DM60+DM65+DM70+DM76+DM82+DM87+DM93+DM98+DM103+DM108+DM113+DM118+DM123+DM128+DM134+DM140+DM146+DM151+DM156+DM181+DM30+DM36+DM54+DM42+DM161+DM166+DM171+DM176+DM48</f>
        <v>-368953</v>
      </c>
      <c r="DN21" s="66"/>
      <c r="DO21" s="67"/>
      <c r="DP21" s="560"/>
      <c r="DQ21" s="560"/>
      <c r="DR21" s="67">
        <f>+DR60+DR65+DR70+DR76+DR82+DR87+DR93+DR98+DR103+DR108+DR113+DR118+DR123+DR128+DR134+DR140+DR146+DR151+DR156+DR181+DR30+DR36+DR54+DR42+DR161+DR166+DR171+DR176+DR48</f>
        <v>-133270</v>
      </c>
      <c r="DS21" s="66"/>
      <c r="DT21" s="67"/>
      <c r="DU21" s="560"/>
      <c r="DV21" s="560"/>
      <c r="DW21" s="67">
        <f>+DW60+DW65+DW70+DW76+DW82+DW87+DW93+DW98+DW103+DW108+DW113+DW118+DW123+DW128+DW134+DW140+DW146+DW151+DW156+DW181+DW30+DW36+DW54+DW42+DW161+DW166+DW171+DW176+DW48</f>
        <v>-279324</v>
      </c>
      <c r="DX21" s="66"/>
      <c r="DY21" s="67"/>
      <c r="DZ21" s="560"/>
      <c r="EA21" s="560"/>
      <c r="EB21" s="67">
        <f>+EB60+EB65+EB70+EB76+EB82+EB87+EB93+EB98+EB103+EB108+EB113+EB118+EB123+EB128+EB134+EB140+EB146+EB151+EB156+EB181+EB30+EB36+EB54+EB42+EB161+EB166+EB171+EB176+EB48</f>
        <v>-508862</v>
      </c>
      <c r="EC21" s="66"/>
      <c r="ED21" s="67"/>
      <c r="EE21" s="560"/>
      <c r="EF21" s="560"/>
      <c r="EG21" s="67">
        <f>+EG60+EG65+EG70+EG76+EG82+EG87+EG93+EG98+EG103+EG108+EG113+EG118+EG123+EG128+EG134+EG140+EG146+EG151+EG156+EG181+EG30+EG36+EG54+EG42+EG161+EG166+EG171+EG176+EG48</f>
        <v>-381917</v>
      </c>
      <c r="EH21" s="66"/>
      <c r="EI21" s="67"/>
      <c r="EJ21" s="560"/>
      <c r="EK21" s="560"/>
      <c r="EL21" s="67">
        <f>+EL60+EL65+EL70+EL76+EL82+EL87+EL93+EL98+EL103+EL108+EL113+EL118+EL123+EL128+EL134+EL140+EL146+EL151+EL156+EL181+EL30+EL36+EL54+EL42+EL161+EL166+EL171+EL176+EL48</f>
        <v>-560373</v>
      </c>
      <c r="EM21" s="66"/>
      <c r="EN21" s="67"/>
      <c r="EO21" s="455"/>
      <c r="ER21" s="472"/>
      <c r="ES21" s="472"/>
      <c r="ET21" s="562"/>
    </row>
    <row r="22" spans="1:150" x14ac:dyDescent="0.2">
      <c r="A22" s="442"/>
      <c r="B22" s="442"/>
      <c r="D22" s="455" t="s">
        <v>340</v>
      </c>
      <c r="F22" s="488"/>
      <c r="G22" s="489">
        <v>0</v>
      </c>
      <c r="H22" s="490"/>
      <c r="I22" s="442"/>
      <c r="J22" s="465"/>
      <c r="K22" s="488"/>
      <c r="L22" s="491">
        <f>+L71+L77+L88+L129+L135+L141+L31+L37+L55+L43+L49</f>
        <v>2018135</v>
      </c>
      <c r="M22" s="490"/>
      <c r="N22" s="442"/>
      <c r="O22" s="465"/>
      <c r="P22" s="488"/>
      <c r="Q22" s="491">
        <f>+Q71+Q77+Q88+Q129+Q135+Q141+Q31+Q37+Q55+Q43+Q49</f>
        <v>1702088.4509999999</v>
      </c>
      <c r="R22" s="490"/>
      <c r="S22" s="442"/>
      <c r="T22" s="465"/>
      <c r="U22" s="488"/>
      <c r="V22" s="491">
        <f>+V71+V77+V88+V129+V135+V141+V31+V37+V55+V43+V49</f>
        <v>0</v>
      </c>
      <c r="W22" s="490"/>
      <c r="X22" s="442"/>
      <c r="Y22" s="465"/>
      <c r="Z22" s="488"/>
      <c r="AA22" s="491">
        <f>+AA71+AA77+AA88+AA129+AA135+AA141+AA31+AA37+AA55+AA43+AA49</f>
        <v>0</v>
      </c>
      <c r="AB22" s="490"/>
      <c r="AC22" s="442"/>
      <c r="AD22" s="465"/>
      <c r="AE22" s="488"/>
      <c r="AF22" s="491">
        <f>+AF71+AF77+AF88+AF129+AF135+AF141+AF31+AF37+AF55+AF43+AF49</f>
        <v>0</v>
      </c>
      <c r="AG22" s="490"/>
      <c r="AH22" s="442"/>
      <c r="AI22" s="465"/>
      <c r="AJ22" s="488"/>
      <c r="AK22" s="491">
        <f>+AK71+AK77+AK88+AK129+AK135+AK141+AK31+AK37+AK55+AK43+AK49</f>
        <v>0</v>
      </c>
      <c r="AL22" s="490"/>
      <c r="AM22" s="442"/>
      <c r="AN22" s="465"/>
      <c r="AO22" s="488"/>
      <c r="AP22" s="491">
        <f>+AP71+AP77+AP88+AP129+AP135+AP141+AP31+AP37+AP55+AP43+AP49</f>
        <v>0</v>
      </c>
      <c r="AQ22" s="490"/>
      <c r="AR22" s="442"/>
      <c r="AS22" s="465"/>
      <c r="AT22" s="488"/>
      <c r="AU22" s="491">
        <f>+AU71+AU77+AU88+AU129+AU135+AU141+AU31+AU37+AU55+AU43+AU49</f>
        <v>0</v>
      </c>
      <c r="AV22" s="490"/>
      <c r="AW22" s="442"/>
      <c r="AX22" s="465"/>
      <c r="AY22" s="488"/>
      <c r="AZ22" s="491">
        <f>+AZ71+AZ77+AZ88+AZ129+AZ135+AZ141+AZ31+AZ37+AZ55+AZ43+AZ49</f>
        <v>0</v>
      </c>
      <c r="BA22" s="490"/>
      <c r="BB22" s="442"/>
      <c r="BC22" s="465"/>
      <c r="BD22" s="488"/>
      <c r="BE22" s="491">
        <f>+BE71+BE77+BE88+BE129+BE135+BE141+BE31+BE37+BE55+BE43+BE49</f>
        <v>0</v>
      </c>
      <c r="BF22" s="490"/>
      <c r="BG22" s="442"/>
      <c r="BH22" s="465"/>
      <c r="BI22" s="488"/>
      <c r="BJ22" s="491">
        <f>+BJ71+BJ77+BJ88+BJ129+BJ135+BJ141+BJ31+BJ37+BJ55+BJ43+BJ49</f>
        <v>0</v>
      </c>
      <c r="BK22" s="490"/>
      <c r="BL22" s="442"/>
      <c r="BM22" s="465"/>
      <c r="BN22" s="488"/>
      <c r="BO22" s="491">
        <f>+BO71+BO77+BO88+BO129+BO135+BO141+BO31+BO37+BO55+BO43+BO49</f>
        <v>0</v>
      </c>
      <c r="BP22" s="490"/>
      <c r="BQ22" s="442"/>
      <c r="BR22" s="465"/>
      <c r="BS22" s="488"/>
      <c r="BT22" s="491">
        <f>+BT71+BT77+BT88+BT129+BT135+BT141+BT31+BT37+BT55+BT43+BT49</f>
        <v>3720223.4509999999</v>
      </c>
      <c r="BU22" s="490"/>
      <c r="BV22" s="442"/>
      <c r="BW22" s="465"/>
      <c r="BX22" s="488"/>
      <c r="BY22" s="491">
        <f>+BY71+BY77+BY88+BY129+BY135+BY141+BY31+BY37+BY55+BY43+BY49</f>
        <v>15951121</v>
      </c>
      <c r="BZ22" s="490"/>
      <c r="CA22" s="442"/>
      <c r="CB22" s="465"/>
      <c r="CC22" s="488"/>
      <c r="CD22" s="491">
        <f>+CD71+CD77+CD88+CD129+CD135+CD141+CD31+CD37+CD55+CD43+CD49</f>
        <v>744995</v>
      </c>
      <c r="CE22" s="490"/>
      <c r="CF22" s="442"/>
      <c r="CG22" s="465"/>
      <c r="CH22" s="488"/>
      <c r="CI22" s="491">
        <f>+CI71+CI77+CI88+CI129+CI135+CI141+CI31+CI37+CI55+CI43+CI49</f>
        <v>1354255</v>
      </c>
      <c r="CJ22" s="490"/>
      <c r="CK22" s="442"/>
      <c r="CL22" s="465"/>
      <c r="CM22" s="488"/>
      <c r="CN22" s="491">
        <f>+CN71+CN77+CN88+CN129+CN135+CN141+CN31+CN37+CN55+CN43+CN49</f>
        <v>1176239</v>
      </c>
      <c r="CO22" s="490"/>
      <c r="CP22" s="442"/>
      <c r="CQ22" s="465"/>
      <c r="CR22" s="488"/>
      <c r="CS22" s="491">
        <f>+CS71+CS77+CS88+CS129+CS135+CS141+CS31+CS37+CS55+CS43+CS49</f>
        <v>1391236</v>
      </c>
      <c r="CT22" s="490"/>
      <c r="CU22" s="442"/>
      <c r="CV22" s="465"/>
      <c r="CW22" s="488"/>
      <c r="CX22" s="491">
        <f>+CX71+CX77+CX88+CX129+CX135+CX141+CX31+CX37+CX55+CX43+CX49</f>
        <v>947591</v>
      </c>
      <c r="CY22" s="490"/>
      <c r="CZ22" s="442"/>
      <c r="DA22" s="465"/>
      <c r="DB22" s="488"/>
      <c r="DC22" s="491">
        <f>+DC71+DC77+DC88+DC129+DC135+DC141+DC31+DC37+DC55+DC43+DC49</f>
        <v>1530912</v>
      </c>
      <c r="DD22" s="490"/>
      <c r="DE22" s="442"/>
      <c r="DF22" s="465"/>
      <c r="DG22" s="488"/>
      <c r="DH22" s="491">
        <f>+DH71+DH77+DH88+DH129+DH135+DH141+DH31+DH37+DH55+DH43+DH49</f>
        <v>2085548</v>
      </c>
      <c r="DI22" s="490"/>
      <c r="DJ22" s="442"/>
      <c r="DK22" s="465"/>
      <c r="DL22" s="488"/>
      <c r="DM22" s="491">
        <f>+DM71+DM77+DM88+DM129+DM135+DM141+DM31+DM37+DM55+DM43+DM49</f>
        <v>1577103</v>
      </c>
      <c r="DN22" s="490"/>
      <c r="DO22" s="442"/>
      <c r="DP22" s="465"/>
      <c r="DQ22" s="488"/>
      <c r="DR22" s="491">
        <f>+DR71+DR77+DR88+DR129+DR135+DR141+DR31+DR37+DR55+DR43+DR49</f>
        <v>1205598</v>
      </c>
      <c r="DS22" s="490"/>
      <c r="DT22" s="442"/>
      <c r="DU22" s="465"/>
      <c r="DV22" s="488"/>
      <c r="DW22" s="491">
        <f>+DW71+DW77+DW88+DW129+DW135+DW141+DW31+DW37+DW55+DW43+DW49</f>
        <v>955833</v>
      </c>
      <c r="DX22" s="490"/>
      <c r="DY22" s="442"/>
      <c r="DZ22" s="465"/>
      <c r="EA22" s="488"/>
      <c r="EB22" s="491">
        <f>+EB71+EB77+EB88+EB129+EB135+EB141+EB31+EB37+EB55+EB43+EB49</f>
        <v>1620759</v>
      </c>
      <c r="EC22" s="490"/>
      <c r="ED22" s="442"/>
      <c r="EE22" s="465"/>
      <c r="EF22" s="488"/>
      <c r="EG22" s="491">
        <f>+EG71+EG77+EG88+EG129+EG135+EG141+EG31+EG37+EG55+EG43+EG49</f>
        <v>1361052</v>
      </c>
      <c r="EH22" s="490"/>
      <c r="EI22" s="442"/>
      <c r="EJ22" s="465"/>
      <c r="EK22" s="488"/>
      <c r="EL22" s="491">
        <f>+EL71+EL77+EL88+EL129+EL135+EL141+EL31+EL37+EL55+EL43+EL49</f>
        <v>2099250</v>
      </c>
      <c r="EM22" s="490"/>
      <c r="EN22" s="442"/>
      <c r="EO22" s="455"/>
      <c r="ER22" s="472"/>
      <c r="ES22" s="472"/>
    </row>
    <row r="23" spans="1:150" x14ac:dyDescent="0.2">
      <c r="A23" s="442"/>
      <c r="B23" s="442"/>
      <c r="D23" s="455"/>
      <c r="F23" s="442"/>
      <c r="G23" s="67"/>
      <c r="H23" s="67"/>
      <c r="I23" s="67"/>
      <c r="J23" s="560"/>
      <c r="K23" s="67"/>
      <c r="L23" s="67"/>
      <c r="M23" s="67"/>
      <c r="N23" s="67"/>
      <c r="O23" s="560"/>
      <c r="P23" s="67"/>
      <c r="Q23" s="67">
        <f>Q19-Q20</f>
        <v>36679780.292999998</v>
      </c>
      <c r="R23" s="67"/>
      <c r="S23" s="67"/>
      <c r="T23" s="560"/>
      <c r="U23" s="67"/>
      <c r="V23" s="67"/>
      <c r="W23" s="67"/>
      <c r="X23" s="67"/>
      <c r="Y23" s="560"/>
      <c r="Z23" s="67"/>
      <c r="AA23" s="67"/>
      <c r="AB23" s="67"/>
      <c r="AC23" s="67"/>
      <c r="AD23" s="560"/>
      <c r="AE23" s="67"/>
      <c r="AF23" s="67"/>
      <c r="AG23" s="67"/>
      <c r="AH23" s="67"/>
      <c r="AI23" s="560"/>
      <c r="AJ23" s="67"/>
      <c r="AK23" s="67"/>
      <c r="AL23" s="67"/>
      <c r="AM23" s="67"/>
      <c r="AN23" s="560"/>
      <c r="AO23" s="67"/>
      <c r="AP23" s="67"/>
      <c r="AQ23" s="67"/>
      <c r="AR23" s="67"/>
      <c r="AS23" s="560"/>
      <c r="AT23" s="67"/>
      <c r="AU23" s="67"/>
      <c r="AV23" s="67"/>
      <c r="AW23" s="67"/>
      <c r="AX23" s="560"/>
      <c r="AY23" s="67"/>
      <c r="AZ23" s="67"/>
      <c r="BA23" s="67"/>
      <c r="BB23" s="67"/>
      <c r="BC23" s="560"/>
      <c r="BD23" s="67"/>
      <c r="BE23" s="67"/>
      <c r="BF23" s="67"/>
      <c r="BG23" s="67"/>
      <c r="BH23" s="560"/>
      <c r="BI23" s="67"/>
      <c r="BJ23" s="67"/>
      <c r="BK23" s="67"/>
      <c r="BL23" s="67"/>
      <c r="BM23" s="560"/>
      <c r="BN23" s="67"/>
      <c r="BO23" s="67"/>
      <c r="BP23" s="67"/>
      <c r="BQ23" s="67"/>
      <c r="BR23" s="560"/>
      <c r="BS23" s="67"/>
      <c r="BT23" s="67"/>
      <c r="BU23" s="67"/>
      <c r="BV23" s="67"/>
      <c r="BW23" s="560"/>
      <c r="BX23" s="67"/>
      <c r="BY23" s="67"/>
      <c r="BZ23" s="67"/>
      <c r="CA23" s="67"/>
      <c r="CB23" s="560"/>
      <c r="CC23" s="67"/>
      <c r="CD23" s="67"/>
      <c r="CE23" s="67"/>
      <c r="CF23" s="67"/>
      <c r="CG23" s="560"/>
      <c r="CH23" s="67"/>
      <c r="CI23" s="67"/>
      <c r="CJ23" s="67"/>
      <c r="CK23" s="67"/>
      <c r="CL23" s="560"/>
      <c r="CM23" s="67"/>
      <c r="CN23" s="67"/>
      <c r="CO23" s="67"/>
      <c r="CP23" s="67"/>
      <c r="CQ23" s="560"/>
      <c r="CR23" s="67"/>
      <c r="CS23" s="67"/>
      <c r="CT23" s="67"/>
      <c r="CU23" s="67"/>
      <c r="CV23" s="560"/>
      <c r="CW23" s="67"/>
      <c r="CX23" s="67"/>
      <c r="CY23" s="67"/>
      <c r="CZ23" s="67"/>
      <c r="DA23" s="560"/>
      <c r="DB23" s="67"/>
      <c r="DC23" s="67"/>
      <c r="DD23" s="67"/>
      <c r="DE23" s="67"/>
      <c r="DF23" s="560"/>
      <c r="DG23" s="67"/>
      <c r="DH23" s="67"/>
      <c r="DI23" s="67"/>
      <c r="DJ23" s="67"/>
      <c r="DK23" s="560"/>
      <c r="DL23" s="67"/>
      <c r="DM23" s="67"/>
      <c r="DN23" s="67"/>
      <c r="DO23" s="67"/>
      <c r="DP23" s="560"/>
      <c r="DQ23" s="67"/>
      <c r="DR23" s="67"/>
      <c r="DS23" s="67"/>
      <c r="DT23" s="67"/>
      <c r="DU23" s="560"/>
      <c r="DV23" s="67"/>
      <c r="DW23" s="67"/>
      <c r="DX23" s="67"/>
      <c r="DY23" s="67"/>
      <c r="DZ23" s="560"/>
      <c r="EA23" s="67"/>
      <c r="EB23" s="67"/>
      <c r="EC23" s="67"/>
      <c r="ED23" s="67"/>
      <c r="EE23" s="560"/>
      <c r="EF23" s="67"/>
      <c r="EG23" s="67"/>
      <c r="EH23" s="67"/>
      <c r="EI23" s="67"/>
      <c r="EJ23" s="560"/>
      <c r="EK23" s="67"/>
      <c r="EL23" s="67"/>
      <c r="EM23" s="67"/>
      <c r="EN23" s="67"/>
      <c r="EO23" s="455"/>
      <c r="ER23" s="472"/>
      <c r="ES23" s="472"/>
    </row>
    <row r="24" spans="1:150" ht="12.75" customHeight="1" x14ac:dyDescent="0.2">
      <c r="A24" s="442"/>
      <c r="B24" s="442"/>
      <c r="D24" s="455" t="s">
        <v>341</v>
      </c>
      <c r="F24" s="442"/>
      <c r="G24" s="67">
        <f>SUM(G25:G25)</f>
        <v>0</v>
      </c>
      <c r="H24" s="67"/>
      <c r="I24" s="67"/>
      <c r="J24" s="560"/>
      <c r="K24" s="67"/>
      <c r="L24" s="67">
        <f>SUM(L25:L25)</f>
        <v>2634484</v>
      </c>
      <c r="M24" s="67"/>
      <c r="N24" s="67"/>
      <c r="O24" s="560"/>
      <c r="P24" s="67"/>
      <c r="Q24" s="67">
        <f>SUM(Q25:Q25)</f>
        <v>1723199.2930000001</v>
      </c>
      <c r="R24" s="67"/>
      <c r="S24" s="67"/>
      <c r="T24" s="560"/>
      <c r="U24" s="67"/>
      <c r="V24" s="67">
        <f>SUM(V25:V25)</f>
        <v>0</v>
      </c>
      <c r="W24" s="67"/>
      <c r="X24" s="67"/>
      <c r="Y24" s="560"/>
      <c r="Z24" s="67"/>
      <c r="AA24" s="67">
        <f>SUM(AA25:AA25)</f>
        <v>0</v>
      </c>
      <c r="AB24" s="67"/>
      <c r="AC24" s="67"/>
      <c r="AD24" s="560"/>
      <c r="AE24" s="67"/>
      <c r="AF24" s="67">
        <f>SUM(AF25:AF25)</f>
        <v>0</v>
      </c>
      <c r="AG24" s="67"/>
      <c r="AH24" s="67"/>
      <c r="AI24" s="560"/>
      <c r="AJ24" s="67"/>
      <c r="AK24" s="67">
        <f>SUM(AK25:AK25)</f>
        <v>0</v>
      </c>
      <c r="AL24" s="67"/>
      <c r="AM24" s="67"/>
      <c r="AN24" s="560"/>
      <c r="AO24" s="67"/>
      <c r="AP24" s="67">
        <f>SUM(AP25:AP25)</f>
        <v>0</v>
      </c>
      <c r="AQ24" s="67"/>
      <c r="AR24" s="67"/>
      <c r="AS24" s="560"/>
      <c r="AT24" s="67"/>
      <c r="AU24" s="67">
        <f>SUM(AU25:AU25)</f>
        <v>0</v>
      </c>
      <c r="AV24" s="67"/>
      <c r="AW24" s="67"/>
      <c r="AX24" s="560"/>
      <c r="AY24" s="67"/>
      <c r="AZ24" s="67">
        <f>SUM(AZ25:AZ25)</f>
        <v>0</v>
      </c>
      <c r="BA24" s="67"/>
      <c r="BB24" s="67"/>
      <c r="BC24" s="560"/>
      <c r="BD24" s="67"/>
      <c r="BE24" s="67">
        <f>SUM(BE25:BE25)</f>
        <v>0</v>
      </c>
      <c r="BF24" s="67"/>
      <c r="BG24" s="67"/>
      <c r="BH24" s="560"/>
      <c r="BI24" s="67"/>
      <c r="BJ24" s="67">
        <f>SUM(BJ25:BJ25)</f>
        <v>0</v>
      </c>
      <c r="BK24" s="67"/>
      <c r="BL24" s="67"/>
      <c r="BM24" s="560"/>
      <c r="BN24" s="67"/>
      <c r="BO24" s="67">
        <f>SUM(BO25:BO25)</f>
        <v>0</v>
      </c>
      <c r="BP24" s="67"/>
      <c r="BQ24" s="67"/>
      <c r="BR24" s="560"/>
      <c r="BS24" s="67"/>
      <c r="BT24" s="67">
        <f>SUM(BT25:BT25)</f>
        <v>4357683.2929999996</v>
      </c>
      <c r="BU24" s="67"/>
      <c r="BV24" s="67"/>
      <c r="BW24" s="560"/>
      <c r="BX24" s="67"/>
      <c r="BY24" s="67">
        <f>SUM(BY25:BY25)</f>
        <v>3567262</v>
      </c>
      <c r="BZ24" s="67"/>
      <c r="CA24" s="67"/>
      <c r="CB24" s="560"/>
      <c r="CC24" s="67"/>
      <c r="CD24" s="67">
        <f>SUM(CD25:CD25)</f>
        <v>278881</v>
      </c>
      <c r="CE24" s="67"/>
      <c r="CF24" s="67"/>
      <c r="CG24" s="560"/>
      <c r="CH24" s="67"/>
      <c r="CI24" s="67">
        <f>SUM(CI25:CI25)</f>
        <v>240457</v>
      </c>
      <c r="CJ24" s="67"/>
      <c r="CK24" s="67"/>
      <c r="CL24" s="560"/>
      <c r="CM24" s="67"/>
      <c r="CN24" s="67">
        <f>SUM(CN25:CN25)</f>
        <v>260968</v>
      </c>
      <c r="CO24" s="67"/>
      <c r="CP24" s="67"/>
      <c r="CQ24" s="560"/>
      <c r="CR24" s="67"/>
      <c r="CS24" s="67">
        <f>SUM(CS25:CS25)</f>
        <v>254592</v>
      </c>
      <c r="CT24" s="67"/>
      <c r="CU24" s="67"/>
      <c r="CV24" s="560"/>
      <c r="CW24" s="67"/>
      <c r="CX24" s="67">
        <f>SUM(CX25:CX25)</f>
        <v>286143</v>
      </c>
      <c r="CY24" s="67"/>
      <c r="CZ24" s="67"/>
      <c r="DA24" s="560"/>
      <c r="DB24" s="67"/>
      <c r="DC24" s="67">
        <f>SUM(DC25:DC25)</f>
        <v>475908</v>
      </c>
      <c r="DD24" s="67"/>
      <c r="DE24" s="67"/>
      <c r="DF24" s="560"/>
      <c r="DG24" s="67"/>
      <c r="DH24" s="67">
        <f>SUM(DH25:DH25)</f>
        <v>320337</v>
      </c>
      <c r="DI24" s="67"/>
      <c r="DJ24" s="67"/>
      <c r="DK24" s="560"/>
      <c r="DL24" s="67"/>
      <c r="DM24" s="67">
        <f>SUM(DM25:DM25)</f>
        <v>279732</v>
      </c>
      <c r="DN24" s="67"/>
      <c r="DO24" s="67"/>
      <c r="DP24" s="560"/>
      <c r="DQ24" s="67"/>
      <c r="DR24" s="67">
        <f>SUM(DR25:DR25)</f>
        <v>238735</v>
      </c>
      <c r="DS24" s="67"/>
      <c r="DT24" s="67"/>
      <c r="DU24" s="560"/>
      <c r="DV24" s="67"/>
      <c r="DW24" s="67">
        <f>SUM(DW25:DW25)</f>
        <v>304939</v>
      </c>
      <c r="DX24" s="67"/>
      <c r="DY24" s="67"/>
      <c r="DZ24" s="560"/>
      <c r="EA24" s="67"/>
      <c r="EB24" s="67">
        <f>SUM(EB25:EB25)</f>
        <v>254776</v>
      </c>
      <c r="EC24" s="67"/>
      <c r="ED24" s="67"/>
      <c r="EE24" s="560"/>
      <c r="EF24" s="67"/>
      <c r="EG24" s="67">
        <f>SUM(EG25:EG25)</f>
        <v>371794</v>
      </c>
      <c r="EH24" s="67"/>
      <c r="EI24" s="67"/>
      <c r="EJ24" s="560"/>
      <c r="EK24" s="67"/>
      <c r="EL24" s="67">
        <f>SUM(EL25:EL25)</f>
        <v>519338</v>
      </c>
      <c r="EM24" s="67"/>
      <c r="EN24" s="67"/>
      <c r="EO24" s="455"/>
      <c r="ER24" s="472"/>
      <c r="ES24" s="472"/>
    </row>
    <row r="25" spans="1:150" x14ac:dyDescent="0.2">
      <c r="A25" s="442"/>
      <c r="B25" s="442"/>
      <c r="D25" s="487" t="s">
        <v>342</v>
      </c>
      <c r="E25" s="560"/>
      <c r="F25" s="563"/>
      <c r="G25" s="564">
        <v>0</v>
      </c>
      <c r="H25" s="565"/>
      <c r="I25" s="67"/>
      <c r="J25" s="560"/>
      <c r="K25" s="566"/>
      <c r="L25" s="564">
        <v>2634484</v>
      </c>
      <c r="M25" s="565"/>
      <c r="N25" s="67"/>
      <c r="O25" s="560"/>
      <c r="P25" s="566"/>
      <c r="Q25" s="567">
        <v>1723199.2930000001</v>
      </c>
      <c r="R25" s="565"/>
      <c r="S25" s="67"/>
      <c r="T25" s="560"/>
      <c r="U25" s="566"/>
      <c r="V25" s="567">
        <v>0</v>
      </c>
      <c r="W25" s="565"/>
      <c r="X25" s="67"/>
      <c r="Y25" s="560"/>
      <c r="Z25" s="566"/>
      <c r="AA25" s="567">
        <v>0</v>
      </c>
      <c r="AB25" s="565"/>
      <c r="AC25" s="67"/>
      <c r="AD25" s="560"/>
      <c r="AE25" s="566"/>
      <c r="AF25" s="567">
        <v>0</v>
      </c>
      <c r="AG25" s="565"/>
      <c r="AH25" s="67"/>
      <c r="AI25" s="560"/>
      <c r="AJ25" s="566"/>
      <c r="AK25" s="567">
        <v>0</v>
      </c>
      <c r="AL25" s="565"/>
      <c r="AM25" s="67"/>
      <c r="AN25" s="560"/>
      <c r="AO25" s="566"/>
      <c r="AP25" s="567">
        <v>0</v>
      </c>
      <c r="AQ25" s="565"/>
      <c r="AR25" s="67"/>
      <c r="AS25" s="560"/>
      <c r="AT25" s="566"/>
      <c r="AU25" s="567">
        <v>0</v>
      </c>
      <c r="AV25" s="565"/>
      <c r="AW25" s="67"/>
      <c r="AX25" s="560"/>
      <c r="AY25" s="566"/>
      <c r="AZ25" s="567">
        <v>0</v>
      </c>
      <c r="BA25" s="565"/>
      <c r="BB25" s="67"/>
      <c r="BC25" s="560"/>
      <c r="BD25" s="566"/>
      <c r="BE25" s="567">
        <v>0</v>
      </c>
      <c r="BF25" s="565"/>
      <c r="BG25" s="67"/>
      <c r="BH25" s="560"/>
      <c r="BI25" s="566"/>
      <c r="BJ25" s="567">
        <v>0</v>
      </c>
      <c r="BK25" s="565"/>
      <c r="BL25" s="67"/>
      <c r="BM25" s="560"/>
      <c r="BN25" s="566"/>
      <c r="BO25" s="567">
        <v>0</v>
      </c>
      <c r="BP25" s="565"/>
      <c r="BQ25" s="67"/>
      <c r="BR25" s="560"/>
      <c r="BS25" s="566"/>
      <c r="BT25" s="564">
        <f>SUM(L25:BO25)</f>
        <v>4357683.2929999996</v>
      </c>
      <c r="BU25" s="565"/>
      <c r="BV25" s="67"/>
      <c r="BW25" s="560"/>
      <c r="BX25" s="566"/>
      <c r="BY25" s="564">
        <v>3567262</v>
      </c>
      <c r="BZ25" s="565"/>
      <c r="CA25" s="67"/>
      <c r="CB25" s="560"/>
      <c r="CC25" s="566"/>
      <c r="CD25" s="564">
        <v>278881</v>
      </c>
      <c r="CE25" s="565"/>
      <c r="CF25" s="67"/>
      <c r="CG25" s="560"/>
      <c r="CH25" s="566"/>
      <c r="CI25" s="567">
        <v>240457</v>
      </c>
      <c r="CJ25" s="565"/>
      <c r="CK25" s="67"/>
      <c r="CL25" s="560"/>
      <c r="CM25" s="566"/>
      <c r="CN25" s="567">
        <v>260968</v>
      </c>
      <c r="CO25" s="565"/>
      <c r="CP25" s="67"/>
      <c r="CQ25" s="560"/>
      <c r="CR25" s="566"/>
      <c r="CS25" s="567">
        <v>254592</v>
      </c>
      <c r="CT25" s="565"/>
      <c r="CU25" s="67"/>
      <c r="CV25" s="560"/>
      <c r="CW25" s="566"/>
      <c r="CX25" s="567">
        <v>286143</v>
      </c>
      <c r="CY25" s="565"/>
      <c r="CZ25" s="67"/>
      <c r="DA25" s="560"/>
      <c r="DB25" s="566"/>
      <c r="DC25" s="567">
        <v>475908</v>
      </c>
      <c r="DD25" s="565"/>
      <c r="DE25" s="67"/>
      <c r="DF25" s="560"/>
      <c r="DG25" s="566"/>
      <c r="DH25" s="567">
        <v>320337</v>
      </c>
      <c r="DI25" s="565"/>
      <c r="DJ25" s="67"/>
      <c r="DK25" s="560"/>
      <c r="DL25" s="566"/>
      <c r="DM25" s="567">
        <v>279732</v>
      </c>
      <c r="DN25" s="565"/>
      <c r="DO25" s="67"/>
      <c r="DP25" s="560"/>
      <c r="DQ25" s="566"/>
      <c r="DR25" s="567">
        <v>238735</v>
      </c>
      <c r="DS25" s="565"/>
      <c r="DT25" s="67"/>
      <c r="DU25" s="560"/>
      <c r="DV25" s="566"/>
      <c r="DW25" s="567">
        <v>304939</v>
      </c>
      <c r="DX25" s="565"/>
      <c r="DY25" s="67"/>
      <c r="DZ25" s="560"/>
      <c r="EA25" s="566"/>
      <c r="EB25" s="567">
        <v>254776</v>
      </c>
      <c r="EC25" s="565"/>
      <c r="ED25" s="67"/>
      <c r="EE25" s="560"/>
      <c r="EF25" s="566"/>
      <c r="EG25" s="567">
        <v>371794</v>
      </c>
      <c r="EH25" s="565"/>
      <c r="EI25" s="67"/>
      <c r="EJ25" s="560"/>
      <c r="EK25" s="566"/>
      <c r="EL25" s="564">
        <f>SUM(CD25:CI25)</f>
        <v>519338</v>
      </c>
      <c r="EM25" s="565"/>
      <c r="EN25" s="67"/>
      <c r="EO25" s="455"/>
      <c r="ER25" s="472"/>
      <c r="ES25" s="472"/>
    </row>
    <row r="26" spans="1:150" x14ac:dyDescent="0.2">
      <c r="A26" s="442"/>
      <c r="B26" s="442"/>
      <c r="D26" s="568"/>
      <c r="E26" s="560"/>
      <c r="F26" s="442"/>
      <c r="G26" s="67"/>
      <c r="H26" s="67"/>
      <c r="I26" s="67"/>
      <c r="J26" s="560"/>
      <c r="K26" s="67"/>
      <c r="L26" s="67"/>
      <c r="M26" s="67"/>
      <c r="N26" s="67"/>
      <c r="O26" s="560"/>
      <c r="P26" s="67"/>
      <c r="Q26" s="67"/>
      <c r="R26" s="67"/>
      <c r="S26" s="67"/>
      <c r="T26" s="560"/>
      <c r="U26" s="67"/>
      <c r="V26" s="67"/>
      <c r="W26" s="67"/>
      <c r="X26" s="67"/>
      <c r="Y26" s="560"/>
      <c r="Z26" s="67"/>
      <c r="AA26" s="67"/>
      <c r="AB26" s="67"/>
      <c r="AC26" s="67"/>
      <c r="AD26" s="560"/>
      <c r="AE26" s="67"/>
      <c r="AF26" s="67"/>
      <c r="AG26" s="67"/>
      <c r="AH26" s="67"/>
      <c r="AI26" s="560"/>
      <c r="AJ26" s="67"/>
      <c r="AK26" s="67"/>
      <c r="AL26" s="67"/>
      <c r="AM26" s="67"/>
      <c r="AN26" s="560"/>
      <c r="AO26" s="67"/>
      <c r="AP26" s="67"/>
      <c r="AQ26" s="67"/>
      <c r="AR26" s="67"/>
      <c r="AS26" s="560"/>
      <c r="AT26" s="67"/>
      <c r="AU26" s="67"/>
      <c r="AV26" s="67"/>
      <c r="AW26" s="67"/>
      <c r="AX26" s="560"/>
      <c r="AY26" s="67"/>
      <c r="AZ26" s="67"/>
      <c r="BA26" s="67"/>
      <c r="BB26" s="67"/>
      <c r="BC26" s="560"/>
      <c r="BD26" s="67"/>
      <c r="BE26" s="67"/>
      <c r="BF26" s="67"/>
      <c r="BG26" s="67"/>
      <c r="BH26" s="560"/>
      <c r="BI26" s="67"/>
      <c r="BJ26" s="67"/>
      <c r="BK26" s="67"/>
      <c r="BL26" s="67"/>
      <c r="BM26" s="560"/>
      <c r="BN26" s="67"/>
      <c r="BO26" s="67"/>
      <c r="BP26" s="67"/>
      <c r="BQ26" s="67"/>
      <c r="BR26" s="560"/>
      <c r="BS26" s="67"/>
      <c r="BT26" s="67"/>
      <c r="BU26" s="67"/>
      <c r="BV26" s="67"/>
      <c r="BW26" s="560"/>
      <c r="BX26" s="67"/>
      <c r="BY26" s="67"/>
      <c r="BZ26" s="67"/>
      <c r="CA26" s="67"/>
      <c r="CB26" s="560"/>
      <c r="CC26" s="67"/>
      <c r="CD26" s="67"/>
      <c r="CE26" s="67"/>
      <c r="CF26" s="67"/>
      <c r="CG26" s="560"/>
      <c r="CH26" s="67"/>
      <c r="CI26" s="67"/>
      <c r="CJ26" s="67"/>
      <c r="CK26" s="67"/>
      <c r="CL26" s="560"/>
      <c r="CM26" s="67"/>
      <c r="CN26" s="67"/>
      <c r="CO26" s="67"/>
      <c r="CP26" s="67"/>
      <c r="CQ26" s="560"/>
      <c r="CR26" s="67"/>
      <c r="CS26" s="67"/>
      <c r="CT26" s="67"/>
      <c r="CU26" s="67"/>
      <c r="CV26" s="560"/>
      <c r="CW26" s="67"/>
      <c r="CX26" s="67"/>
      <c r="CY26" s="67"/>
      <c r="CZ26" s="67"/>
      <c r="DA26" s="560"/>
      <c r="DB26" s="67"/>
      <c r="DC26" s="67"/>
      <c r="DD26" s="67"/>
      <c r="DE26" s="67"/>
      <c r="DF26" s="560"/>
      <c r="DG26" s="67"/>
      <c r="DH26" s="67"/>
      <c r="DI26" s="67"/>
      <c r="DJ26" s="67"/>
      <c r="DK26" s="560"/>
      <c r="DL26" s="67"/>
      <c r="DM26" s="67"/>
      <c r="DN26" s="67"/>
      <c r="DO26" s="67"/>
      <c r="DP26" s="560"/>
      <c r="DQ26" s="67"/>
      <c r="DR26" s="67"/>
      <c r="DS26" s="67"/>
      <c r="DT26" s="67"/>
      <c r="DU26" s="560"/>
      <c r="DV26" s="67"/>
      <c r="DW26" s="67"/>
      <c r="DX26" s="67"/>
      <c r="DY26" s="67"/>
      <c r="DZ26" s="560"/>
      <c r="EA26" s="67"/>
      <c r="EB26" s="67"/>
      <c r="EC26" s="67"/>
      <c r="ED26" s="67"/>
      <c r="EE26" s="560"/>
      <c r="EF26" s="67"/>
      <c r="EG26" s="67"/>
      <c r="EH26" s="67"/>
      <c r="EI26" s="67"/>
      <c r="EJ26" s="560"/>
      <c r="EK26" s="67"/>
      <c r="EL26" s="67"/>
      <c r="EM26" s="67"/>
      <c r="EN26" s="67"/>
      <c r="EO26" s="455"/>
      <c r="ER26" s="472"/>
      <c r="ES26" s="472"/>
    </row>
    <row r="27" spans="1:150" ht="12.75" customHeight="1" x14ac:dyDescent="0.2">
      <c r="A27" s="442"/>
      <c r="B27" s="442"/>
      <c r="D27" s="455" t="s">
        <v>343</v>
      </c>
      <c r="E27" s="560"/>
      <c r="F27" s="442"/>
      <c r="G27" s="67">
        <f>SUM(G28:G31)</f>
        <v>0</v>
      </c>
      <c r="H27" s="67"/>
      <c r="I27" s="67"/>
      <c r="J27" s="560"/>
      <c r="K27" s="67"/>
      <c r="L27" s="67">
        <f>SUM(L28:L31)</f>
        <v>1042197</v>
      </c>
      <c r="M27" s="67"/>
      <c r="N27" s="67"/>
      <c r="O27" s="560"/>
      <c r="P27" s="67"/>
      <c r="Q27" s="67">
        <f>SUM(Q28:Q31)</f>
        <v>1058402</v>
      </c>
      <c r="R27" s="67"/>
      <c r="S27" s="67"/>
      <c r="T27" s="560"/>
      <c r="U27" s="67"/>
      <c r="V27" s="67">
        <f>SUM(V28:V31)</f>
        <v>0</v>
      </c>
      <c r="W27" s="67"/>
      <c r="X27" s="67"/>
      <c r="Y27" s="560"/>
      <c r="Z27" s="67"/>
      <c r="AA27" s="67">
        <f>SUM(AA28:AA31)</f>
        <v>0</v>
      </c>
      <c r="AB27" s="67"/>
      <c r="AC27" s="67"/>
      <c r="AD27" s="560"/>
      <c r="AE27" s="67"/>
      <c r="AF27" s="67">
        <f>SUM(AF28:AF31)</f>
        <v>0</v>
      </c>
      <c r="AG27" s="67"/>
      <c r="AH27" s="67"/>
      <c r="AI27" s="560"/>
      <c r="AJ27" s="67"/>
      <c r="AK27" s="67">
        <f>SUM(AK28:AK31)</f>
        <v>0</v>
      </c>
      <c r="AL27" s="67"/>
      <c r="AM27" s="67"/>
      <c r="AN27" s="560"/>
      <c r="AO27" s="67"/>
      <c r="AP27" s="67">
        <f>SUM(AP28:AP31)</f>
        <v>0</v>
      </c>
      <c r="AQ27" s="67"/>
      <c r="AR27" s="67"/>
      <c r="AS27" s="560"/>
      <c r="AT27" s="67"/>
      <c r="AU27" s="67">
        <f>SUM(AU28:AU31)</f>
        <v>0</v>
      </c>
      <c r="AV27" s="67"/>
      <c r="AW27" s="67"/>
      <c r="AX27" s="560"/>
      <c r="AY27" s="67"/>
      <c r="AZ27" s="67">
        <f>SUM(AZ28:AZ31)</f>
        <v>0</v>
      </c>
      <c r="BA27" s="67"/>
      <c r="BB27" s="67"/>
      <c r="BC27" s="560"/>
      <c r="BD27" s="67"/>
      <c r="BE27" s="67">
        <f>SUM(BE28:BE31)</f>
        <v>0</v>
      </c>
      <c r="BF27" s="67"/>
      <c r="BG27" s="67"/>
      <c r="BH27" s="560"/>
      <c r="BI27" s="67"/>
      <c r="BJ27" s="67">
        <f>SUM(BJ28:BJ31)</f>
        <v>0</v>
      </c>
      <c r="BK27" s="67"/>
      <c r="BL27" s="67"/>
      <c r="BM27" s="560"/>
      <c r="BN27" s="67"/>
      <c r="BO27" s="67">
        <f>SUM(BO28:BO31)</f>
        <v>0</v>
      </c>
      <c r="BP27" s="67"/>
      <c r="BQ27" s="67"/>
      <c r="BR27" s="560"/>
      <c r="BS27" s="67"/>
      <c r="BT27" s="67">
        <f>SUM(BT28:BT31)</f>
        <v>2100599</v>
      </c>
      <c r="BU27" s="67"/>
      <c r="BV27" s="67"/>
      <c r="BW27" s="560"/>
      <c r="BX27" s="67"/>
      <c r="BY27" s="67">
        <f>SUM(BY28:BY31)</f>
        <v>11961510</v>
      </c>
      <c r="BZ27" s="67"/>
      <c r="CA27" s="67"/>
      <c r="CB27" s="560"/>
      <c r="CC27" s="67"/>
      <c r="CD27" s="67">
        <f>SUM(CD28:CD31)</f>
        <v>852104</v>
      </c>
      <c r="CE27" s="67"/>
      <c r="CF27" s="67"/>
      <c r="CG27" s="560"/>
      <c r="CH27" s="67"/>
      <c r="CI27" s="67">
        <f>SUM(CI28:CI31)</f>
        <v>747025</v>
      </c>
      <c r="CJ27" s="67"/>
      <c r="CK27" s="67"/>
      <c r="CL27" s="560"/>
      <c r="CM27" s="67"/>
      <c r="CN27" s="67">
        <f>SUM(CN28:CN31)</f>
        <v>841254</v>
      </c>
      <c r="CO27" s="67"/>
      <c r="CP27" s="67"/>
      <c r="CQ27" s="560"/>
      <c r="CR27" s="67"/>
      <c r="CS27" s="67">
        <f>SUM(CS28:CS31)</f>
        <v>717377</v>
      </c>
      <c r="CT27" s="67"/>
      <c r="CU27" s="67"/>
      <c r="CV27" s="560"/>
      <c r="CW27" s="67"/>
      <c r="CX27" s="67">
        <f>SUM(CX28:CX31)</f>
        <v>1066256</v>
      </c>
      <c r="CY27" s="67"/>
      <c r="CZ27" s="67"/>
      <c r="DA27" s="560"/>
      <c r="DB27" s="67"/>
      <c r="DC27" s="67">
        <f>SUM(DC28:DC31)</f>
        <v>1082818</v>
      </c>
      <c r="DD27" s="67"/>
      <c r="DE27" s="67"/>
      <c r="DF27" s="560"/>
      <c r="DG27" s="67"/>
      <c r="DH27" s="67">
        <f>SUM(DH28:DH31)</f>
        <v>1806847</v>
      </c>
      <c r="DI27" s="67"/>
      <c r="DJ27" s="67"/>
      <c r="DK27" s="560"/>
      <c r="DL27" s="67"/>
      <c r="DM27" s="67">
        <f>SUM(DM28:DM31)</f>
        <v>472966</v>
      </c>
      <c r="DN27" s="67"/>
      <c r="DO27" s="67"/>
      <c r="DP27" s="560"/>
      <c r="DQ27" s="67"/>
      <c r="DR27" s="67">
        <f>SUM(DR28:DR31)</f>
        <v>1305236</v>
      </c>
      <c r="DS27" s="67"/>
      <c r="DT27" s="67"/>
      <c r="DU27" s="560"/>
      <c r="DV27" s="67"/>
      <c r="DW27" s="67">
        <f>SUM(DW28:DW31)</f>
        <v>452852</v>
      </c>
      <c r="DX27" s="67"/>
      <c r="DY27" s="67"/>
      <c r="DZ27" s="560"/>
      <c r="EA27" s="67"/>
      <c r="EB27" s="67">
        <f>SUM(EB28:EB31)</f>
        <v>2075040</v>
      </c>
      <c r="EC27" s="67"/>
      <c r="ED27" s="67"/>
      <c r="EE27" s="560"/>
      <c r="EF27" s="67"/>
      <c r="EG27" s="67">
        <f>SUM(EG28:EG31)</f>
        <v>541735</v>
      </c>
      <c r="EH27" s="67"/>
      <c r="EI27" s="67"/>
      <c r="EJ27" s="560"/>
      <c r="EK27" s="67"/>
      <c r="EL27" s="67">
        <f>SUM(EL28:EL31)</f>
        <v>1599129</v>
      </c>
      <c r="EM27" s="67"/>
      <c r="EN27" s="67"/>
      <c r="EO27" s="455"/>
      <c r="ER27" s="472"/>
      <c r="ES27" s="472"/>
    </row>
    <row r="28" spans="1:150" ht="12.75" customHeight="1" x14ac:dyDescent="0.2">
      <c r="A28" s="442"/>
      <c r="B28" s="442"/>
      <c r="D28" s="455" t="s">
        <v>342</v>
      </c>
      <c r="E28" s="63"/>
      <c r="F28" s="473"/>
      <c r="G28" s="558">
        <v>0</v>
      </c>
      <c r="H28" s="559"/>
      <c r="I28" s="67"/>
      <c r="J28" s="560"/>
      <c r="K28" s="561"/>
      <c r="L28" s="558">
        <f>710000-92043</f>
        <v>617957</v>
      </c>
      <c r="M28" s="559"/>
      <c r="N28" s="67"/>
      <c r="O28" s="560"/>
      <c r="P28" s="561"/>
      <c r="Q28" s="558">
        <f>715000-81485</f>
        <v>633515</v>
      </c>
      <c r="R28" s="559"/>
      <c r="S28" s="67"/>
      <c r="T28" s="560"/>
      <c r="U28" s="561"/>
      <c r="V28" s="558">
        <v>0</v>
      </c>
      <c r="W28" s="559"/>
      <c r="X28" s="67"/>
      <c r="Y28" s="560"/>
      <c r="Z28" s="561"/>
      <c r="AA28" s="558">
        <v>0</v>
      </c>
      <c r="AB28" s="559"/>
      <c r="AC28" s="67"/>
      <c r="AD28" s="560"/>
      <c r="AE28" s="561"/>
      <c r="AF28" s="558">
        <v>0</v>
      </c>
      <c r="AG28" s="559"/>
      <c r="AH28" s="67"/>
      <c r="AI28" s="560"/>
      <c r="AJ28" s="561"/>
      <c r="AK28" s="558">
        <v>0</v>
      </c>
      <c r="AL28" s="559"/>
      <c r="AM28" s="67"/>
      <c r="AN28" s="560"/>
      <c r="AO28" s="561"/>
      <c r="AP28" s="558">
        <v>0</v>
      </c>
      <c r="AQ28" s="559"/>
      <c r="AR28" s="67"/>
      <c r="AS28" s="560"/>
      <c r="AT28" s="561"/>
      <c r="AU28" s="558">
        <v>0</v>
      </c>
      <c r="AV28" s="559"/>
      <c r="AW28" s="67"/>
      <c r="AX28" s="560"/>
      <c r="AY28" s="561"/>
      <c r="AZ28" s="558">
        <v>0</v>
      </c>
      <c r="BA28" s="559"/>
      <c r="BB28" s="67"/>
      <c r="BC28" s="560"/>
      <c r="BD28" s="561"/>
      <c r="BE28" s="558">
        <v>0</v>
      </c>
      <c r="BF28" s="559"/>
      <c r="BG28" s="67"/>
      <c r="BH28" s="560"/>
      <c r="BI28" s="561"/>
      <c r="BJ28" s="558">
        <v>0</v>
      </c>
      <c r="BK28" s="559"/>
      <c r="BL28" s="67"/>
      <c r="BM28" s="560"/>
      <c r="BN28" s="561"/>
      <c r="BO28" s="558">
        <v>0</v>
      </c>
      <c r="BP28" s="559"/>
      <c r="BQ28" s="67"/>
      <c r="BR28" s="560"/>
      <c r="BS28" s="561"/>
      <c r="BT28" s="558">
        <f>SUM(L28:BO28)</f>
        <v>1251472</v>
      </c>
      <c r="BU28" s="559"/>
      <c r="BV28" s="67"/>
      <c r="BW28" s="560"/>
      <c r="BX28" s="561"/>
      <c r="BY28" s="558">
        <v>7519847</v>
      </c>
      <c r="BZ28" s="559"/>
      <c r="CA28" s="67"/>
      <c r="CB28" s="560"/>
      <c r="CC28" s="561"/>
      <c r="CD28" s="558">
        <f>605000-50815</f>
        <v>554185</v>
      </c>
      <c r="CE28" s="559"/>
      <c r="CF28" s="67"/>
      <c r="CG28" s="560"/>
      <c r="CH28" s="561"/>
      <c r="CI28" s="558">
        <f>530000-34099</f>
        <v>495901</v>
      </c>
      <c r="CJ28" s="559"/>
      <c r="CK28" s="67"/>
      <c r="CL28" s="560"/>
      <c r="CM28" s="561"/>
      <c r="CN28" s="558">
        <f>590000-45983</f>
        <v>544017</v>
      </c>
      <c r="CO28" s="559"/>
      <c r="CP28" s="67"/>
      <c r="CQ28" s="560"/>
      <c r="CR28" s="561"/>
      <c r="CS28" s="558">
        <f>500000-36643</f>
        <v>463357</v>
      </c>
      <c r="CT28" s="559"/>
      <c r="CU28" s="67"/>
      <c r="CV28" s="560"/>
      <c r="CW28" s="561"/>
      <c r="CX28" s="558">
        <f>740000-63052</f>
        <v>676948</v>
      </c>
      <c r="CY28" s="559"/>
      <c r="CZ28" s="67"/>
      <c r="DA28" s="560"/>
      <c r="DB28" s="561"/>
      <c r="DC28" s="558">
        <f>750000-66943</f>
        <v>683057</v>
      </c>
      <c r="DD28" s="559"/>
      <c r="DE28" s="67"/>
      <c r="DF28" s="560"/>
      <c r="DG28" s="561"/>
      <c r="DH28" s="558">
        <f>1245000-108105</f>
        <v>1136895</v>
      </c>
      <c r="DI28" s="559"/>
      <c r="DJ28" s="67"/>
      <c r="DK28" s="560"/>
      <c r="DL28" s="561"/>
      <c r="DM28" s="558">
        <f>325000-32227</f>
        <v>292773</v>
      </c>
      <c r="DN28" s="559"/>
      <c r="DO28" s="67"/>
      <c r="DP28" s="560"/>
      <c r="DQ28" s="561"/>
      <c r="DR28" s="558">
        <f>895000-94943</f>
        <v>800057</v>
      </c>
      <c r="DS28" s="559"/>
      <c r="DT28" s="67"/>
      <c r="DU28" s="560"/>
      <c r="DV28" s="561"/>
      <c r="DW28" s="558">
        <f>310000-33028</f>
        <v>276972</v>
      </c>
      <c r="DX28" s="559"/>
      <c r="DY28" s="67"/>
      <c r="DZ28" s="560"/>
      <c r="EA28" s="561"/>
      <c r="EB28" s="558">
        <f>1420000-146176</f>
        <v>1273824</v>
      </c>
      <c r="EC28" s="559"/>
      <c r="ED28" s="67"/>
      <c r="EE28" s="560"/>
      <c r="EF28" s="561"/>
      <c r="EG28" s="558">
        <f>370000-48139</f>
        <v>321861</v>
      </c>
      <c r="EH28" s="559"/>
      <c r="EI28" s="67"/>
      <c r="EJ28" s="560"/>
      <c r="EK28" s="561"/>
      <c r="EL28" s="558">
        <f>SUM(CD28:CI28)</f>
        <v>1050086</v>
      </c>
      <c r="EM28" s="559"/>
      <c r="EN28" s="67"/>
      <c r="EO28" s="455"/>
      <c r="ER28" s="472"/>
      <c r="ES28" s="472"/>
    </row>
    <row r="29" spans="1:150" ht="12.75" customHeight="1" x14ac:dyDescent="0.2">
      <c r="A29" s="442"/>
      <c r="B29" s="442"/>
      <c r="D29" s="455" t="s">
        <v>344</v>
      </c>
      <c r="E29" s="560"/>
      <c r="F29" s="465"/>
      <c r="G29" s="67">
        <v>0</v>
      </c>
      <c r="H29" s="66"/>
      <c r="I29" s="67"/>
      <c r="J29" s="560"/>
      <c r="K29" s="560"/>
      <c r="L29" s="67">
        <v>92043</v>
      </c>
      <c r="M29" s="66"/>
      <c r="N29" s="67"/>
      <c r="O29" s="560"/>
      <c r="P29" s="560"/>
      <c r="Q29" s="67">
        <v>81485</v>
      </c>
      <c r="R29" s="66"/>
      <c r="S29" s="67"/>
      <c r="T29" s="560"/>
      <c r="U29" s="560"/>
      <c r="V29" s="67">
        <v>0</v>
      </c>
      <c r="W29" s="66"/>
      <c r="X29" s="67"/>
      <c r="Y29" s="560"/>
      <c r="Z29" s="560"/>
      <c r="AA29" s="67">
        <v>0</v>
      </c>
      <c r="AB29" s="66"/>
      <c r="AC29" s="67"/>
      <c r="AD29" s="560"/>
      <c r="AE29" s="560"/>
      <c r="AF29" s="67">
        <v>0</v>
      </c>
      <c r="AG29" s="66"/>
      <c r="AH29" s="67"/>
      <c r="AI29" s="560"/>
      <c r="AJ29" s="560"/>
      <c r="AK29" s="67">
        <v>0</v>
      </c>
      <c r="AL29" s="66"/>
      <c r="AM29" s="67"/>
      <c r="AN29" s="560"/>
      <c r="AO29" s="560"/>
      <c r="AP29" s="67">
        <v>0</v>
      </c>
      <c r="AQ29" s="66"/>
      <c r="AR29" s="67"/>
      <c r="AS29" s="560"/>
      <c r="AT29" s="560"/>
      <c r="AU29" s="67">
        <v>0</v>
      </c>
      <c r="AV29" s="66"/>
      <c r="AW29" s="67"/>
      <c r="AX29" s="560"/>
      <c r="AY29" s="560"/>
      <c r="AZ29" s="67">
        <v>0</v>
      </c>
      <c r="BA29" s="66"/>
      <c r="BB29" s="67"/>
      <c r="BC29" s="560"/>
      <c r="BD29" s="560"/>
      <c r="BE29" s="67">
        <v>0</v>
      </c>
      <c r="BF29" s="66"/>
      <c r="BG29" s="67"/>
      <c r="BH29" s="560"/>
      <c r="BI29" s="560"/>
      <c r="BJ29" s="67">
        <v>0</v>
      </c>
      <c r="BK29" s="66"/>
      <c r="BL29" s="67"/>
      <c r="BM29" s="560"/>
      <c r="BN29" s="560"/>
      <c r="BO29" s="67">
        <v>0</v>
      </c>
      <c r="BP29" s="66"/>
      <c r="BQ29" s="67"/>
      <c r="BR29" s="560"/>
      <c r="BS29" s="560"/>
      <c r="BT29" s="67">
        <f>SUM(L29:BO29)</f>
        <v>173528</v>
      </c>
      <c r="BU29" s="66"/>
      <c r="BV29" s="67"/>
      <c r="BW29" s="560"/>
      <c r="BX29" s="560"/>
      <c r="BY29" s="67">
        <v>760153</v>
      </c>
      <c r="BZ29" s="66"/>
      <c r="CA29" s="67"/>
      <c r="CB29" s="560"/>
      <c r="CC29" s="560"/>
      <c r="CD29" s="67">
        <v>50815</v>
      </c>
      <c r="CE29" s="66"/>
      <c r="CF29" s="67"/>
      <c r="CG29" s="560"/>
      <c r="CH29" s="560"/>
      <c r="CI29" s="67">
        <v>34099</v>
      </c>
      <c r="CJ29" s="66"/>
      <c r="CK29" s="67"/>
      <c r="CL29" s="560"/>
      <c r="CM29" s="560"/>
      <c r="CN29" s="67">
        <v>45983</v>
      </c>
      <c r="CO29" s="66"/>
      <c r="CP29" s="67"/>
      <c r="CQ29" s="560"/>
      <c r="CR29" s="560"/>
      <c r="CS29" s="67">
        <v>36643</v>
      </c>
      <c r="CT29" s="66"/>
      <c r="CU29" s="67"/>
      <c r="CV29" s="560"/>
      <c r="CW29" s="560"/>
      <c r="CX29" s="67">
        <v>63052</v>
      </c>
      <c r="CY29" s="66"/>
      <c r="CZ29" s="67"/>
      <c r="DA29" s="560"/>
      <c r="DB29" s="560"/>
      <c r="DC29" s="67">
        <v>66943</v>
      </c>
      <c r="DD29" s="66"/>
      <c r="DE29" s="67"/>
      <c r="DF29" s="560"/>
      <c r="DG29" s="560"/>
      <c r="DH29" s="67">
        <v>108105</v>
      </c>
      <c r="DI29" s="66"/>
      <c r="DJ29" s="67"/>
      <c r="DK29" s="560"/>
      <c r="DL29" s="560"/>
      <c r="DM29" s="67">
        <v>32227</v>
      </c>
      <c r="DN29" s="66"/>
      <c r="DO29" s="67"/>
      <c r="DP29" s="560"/>
      <c r="DQ29" s="560"/>
      <c r="DR29" s="67">
        <v>94943</v>
      </c>
      <c r="DS29" s="66"/>
      <c r="DT29" s="67"/>
      <c r="DU29" s="560"/>
      <c r="DV29" s="560"/>
      <c r="DW29" s="67">
        <v>33028</v>
      </c>
      <c r="DX29" s="66"/>
      <c r="DY29" s="67"/>
      <c r="DZ29" s="560"/>
      <c r="EA29" s="560"/>
      <c r="EB29" s="67">
        <v>146176</v>
      </c>
      <c r="EC29" s="66"/>
      <c r="ED29" s="67"/>
      <c r="EE29" s="560"/>
      <c r="EF29" s="560"/>
      <c r="EG29" s="67">
        <v>48139</v>
      </c>
      <c r="EH29" s="66"/>
      <c r="EI29" s="67"/>
      <c r="EJ29" s="560"/>
      <c r="EK29" s="560"/>
      <c r="EL29" s="67">
        <f>SUM(CD29:CI29)</f>
        <v>84914</v>
      </c>
      <c r="EM29" s="66"/>
      <c r="EN29" s="67"/>
      <c r="EO29" s="455"/>
      <c r="ER29" s="472"/>
      <c r="ES29" s="472"/>
    </row>
    <row r="30" spans="1:150" ht="12.75" customHeight="1" x14ac:dyDescent="0.2">
      <c r="A30" s="442"/>
      <c r="B30" s="442"/>
      <c r="D30" s="455" t="s">
        <v>345</v>
      </c>
      <c r="E30" s="560"/>
      <c r="F30" s="465"/>
      <c r="G30" s="67">
        <v>0</v>
      </c>
      <c r="H30" s="66"/>
      <c r="I30" s="67"/>
      <c r="J30" s="560"/>
      <c r="K30" s="560"/>
      <c r="L30" s="67">
        <v>0</v>
      </c>
      <c r="M30" s="66"/>
      <c r="N30" s="67"/>
      <c r="O30" s="560"/>
      <c r="P30" s="560"/>
      <c r="Q30" s="67">
        <v>0</v>
      </c>
      <c r="R30" s="66"/>
      <c r="S30" s="67"/>
      <c r="T30" s="560"/>
      <c r="U30" s="560"/>
      <c r="V30" s="67">
        <v>0</v>
      </c>
      <c r="W30" s="66"/>
      <c r="X30" s="67"/>
      <c r="Y30" s="560"/>
      <c r="Z30" s="560"/>
      <c r="AA30" s="67">
        <v>0</v>
      </c>
      <c r="AB30" s="66"/>
      <c r="AC30" s="67"/>
      <c r="AD30" s="560"/>
      <c r="AE30" s="560"/>
      <c r="AF30" s="67">
        <v>0</v>
      </c>
      <c r="AG30" s="66"/>
      <c r="AH30" s="67"/>
      <c r="AI30" s="560"/>
      <c r="AJ30" s="560"/>
      <c r="AK30" s="67">
        <v>0</v>
      </c>
      <c r="AL30" s="66"/>
      <c r="AM30" s="67"/>
      <c r="AN30" s="560"/>
      <c r="AO30" s="560"/>
      <c r="AP30" s="67">
        <v>0</v>
      </c>
      <c r="AQ30" s="66"/>
      <c r="AR30" s="67"/>
      <c r="AS30" s="560"/>
      <c r="AT30" s="560"/>
      <c r="AU30" s="67">
        <v>0</v>
      </c>
      <c r="AV30" s="66"/>
      <c r="AW30" s="67"/>
      <c r="AX30" s="560"/>
      <c r="AY30" s="560"/>
      <c r="AZ30" s="67">
        <v>0</v>
      </c>
      <c r="BA30" s="66"/>
      <c r="BB30" s="67"/>
      <c r="BC30" s="560"/>
      <c r="BD30" s="560"/>
      <c r="BE30" s="67">
        <v>0</v>
      </c>
      <c r="BF30" s="66"/>
      <c r="BG30" s="67"/>
      <c r="BH30" s="560"/>
      <c r="BI30" s="560"/>
      <c r="BJ30" s="67">
        <v>0</v>
      </c>
      <c r="BK30" s="66"/>
      <c r="BL30" s="67"/>
      <c r="BM30" s="560"/>
      <c r="BN30" s="560"/>
      <c r="BO30" s="67">
        <v>0</v>
      </c>
      <c r="BP30" s="66"/>
      <c r="BQ30" s="67"/>
      <c r="BR30" s="560"/>
      <c r="BS30" s="560"/>
      <c r="BT30" s="67">
        <f>SUM(L30:BO30)</f>
        <v>0</v>
      </c>
      <c r="BU30" s="66"/>
      <c r="BV30" s="67"/>
      <c r="BW30" s="560"/>
      <c r="BX30" s="560"/>
      <c r="BY30" s="67">
        <v>0</v>
      </c>
      <c r="BZ30" s="66"/>
      <c r="CA30" s="67"/>
      <c r="CB30" s="560"/>
      <c r="CC30" s="560"/>
      <c r="CD30" s="67">
        <v>0</v>
      </c>
      <c r="CE30" s="66"/>
      <c r="CF30" s="67"/>
      <c r="CG30" s="560"/>
      <c r="CH30" s="560"/>
      <c r="CI30" s="67">
        <v>0</v>
      </c>
      <c r="CJ30" s="66"/>
      <c r="CK30" s="67"/>
      <c r="CL30" s="560"/>
      <c r="CM30" s="560"/>
      <c r="CN30" s="67">
        <v>0</v>
      </c>
      <c r="CO30" s="66"/>
      <c r="CP30" s="67"/>
      <c r="CQ30" s="560"/>
      <c r="CR30" s="560"/>
      <c r="CS30" s="67">
        <v>0</v>
      </c>
      <c r="CT30" s="66"/>
      <c r="CU30" s="67"/>
      <c r="CV30" s="560"/>
      <c r="CW30" s="560"/>
      <c r="CX30" s="67">
        <v>0</v>
      </c>
      <c r="CY30" s="66"/>
      <c r="CZ30" s="67"/>
      <c r="DA30" s="560"/>
      <c r="DB30" s="560"/>
      <c r="DC30" s="67">
        <v>0</v>
      </c>
      <c r="DD30" s="66"/>
      <c r="DE30" s="67"/>
      <c r="DF30" s="560"/>
      <c r="DG30" s="560"/>
      <c r="DH30" s="67">
        <v>0</v>
      </c>
      <c r="DI30" s="66"/>
      <c r="DJ30" s="67"/>
      <c r="DK30" s="560"/>
      <c r="DL30" s="560"/>
      <c r="DM30" s="67">
        <v>0</v>
      </c>
      <c r="DN30" s="66"/>
      <c r="DO30" s="67"/>
      <c r="DP30" s="560"/>
      <c r="DQ30" s="560"/>
      <c r="DR30" s="67">
        <v>0</v>
      </c>
      <c r="DS30" s="66"/>
      <c r="DT30" s="67"/>
      <c r="DU30" s="560"/>
      <c r="DV30" s="560"/>
      <c r="DW30" s="67">
        <v>0</v>
      </c>
      <c r="DX30" s="66"/>
      <c r="DY30" s="67"/>
      <c r="DZ30" s="560"/>
      <c r="EA30" s="560"/>
      <c r="EB30" s="67">
        <v>0</v>
      </c>
      <c r="EC30" s="66"/>
      <c r="ED30" s="67"/>
      <c r="EE30" s="560"/>
      <c r="EF30" s="560"/>
      <c r="EG30" s="67">
        <v>0</v>
      </c>
      <c r="EH30" s="66"/>
      <c r="EI30" s="67"/>
      <c r="EJ30" s="560"/>
      <c r="EK30" s="560"/>
      <c r="EL30" s="67">
        <f>SUM(CD30:CI30)</f>
        <v>0</v>
      </c>
      <c r="EM30" s="66"/>
      <c r="EN30" s="67"/>
      <c r="EO30" s="455"/>
      <c r="ER30" s="472"/>
      <c r="ES30" s="472"/>
    </row>
    <row r="31" spans="1:150" ht="12.75" customHeight="1" x14ac:dyDescent="0.2">
      <c r="A31" s="442"/>
      <c r="B31" s="442"/>
      <c r="D31" s="455" t="s">
        <v>346</v>
      </c>
      <c r="E31" s="560"/>
      <c r="F31" s="488"/>
      <c r="G31" s="113">
        <v>0</v>
      </c>
      <c r="H31" s="112"/>
      <c r="I31" s="67"/>
      <c r="J31" s="560"/>
      <c r="K31" s="569"/>
      <c r="L31" s="113">
        <v>332197</v>
      </c>
      <c r="M31" s="112"/>
      <c r="N31" s="67"/>
      <c r="O31" s="560"/>
      <c r="P31" s="569"/>
      <c r="Q31" s="113">
        <v>343402</v>
      </c>
      <c r="R31" s="112"/>
      <c r="S31" s="67"/>
      <c r="T31" s="560"/>
      <c r="U31" s="569"/>
      <c r="V31" s="113">
        <v>0</v>
      </c>
      <c r="W31" s="112"/>
      <c r="X31" s="67"/>
      <c r="Y31" s="560"/>
      <c r="Z31" s="569"/>
      <c r="AA31" s="113">
        <v>0</v>
      </c>
      <c r="AB31" s="112"/>
      <c r="AC31" s="67"/>
      <c r="AD31" s="560"/>
      <c r="AE31" s="569"/>
      <c r="AF31" s="113">
        <v>0</v>
      </c>
      <c r="AG31" s="112"/>
      <c r="AH31" s="67"/>
      <c r="AI31" s="560"/>
      <c r="AJ31" s="569"/>
      <c r="AK31" s="113">
        <v>0</v>
      </c>
      <c r="AL31" s="112"/>
      <c r="AM31" s="67"/>
      <c r="AN31" s="560"/>
      <c r="AO31" s="569"/>
      <c r="AP31" s="113">
        <v>0</v>
      </c>
      <c r="AQ31" s="112"/>
      <c r="AR31" s="67"/>
      <c r="AS31" s="560"/>
      <c r="AT31" s="569"/>
      <c r="AU31" s="113">
        <v>0</v>
      </c>
      <c r="AV31" s="112"/>
      <c r="AW31" s="67"/>
      <c r="AX31" s="560"/>
      <c r="AY31" s="569"/>
      <c r="AZ31" s="113">
        <v>0</v>
      </c>
      <c r="BA31" s="112"/>
      <c r="BB31" s="67"/>
      <c r="BC31" s="560"/>
      <c r="BD31" s="569"/>
      <c r="BE31" s="113">
        <v>0</v>
      </c>
      <c r="BF31" s="112"/>
      <c r="BG31" s="67"/>
      <c r="BH31" s="560"/>
      <c r="BI31" s="569"/>
      <c r="BJ31" s="113">
        <v>0</v>
      </c>
      <c r="BK31" s="112"/>
      <c r="BL31" s="67"/>
      <c r="BM31" s="560"/>
      <c r="BN31" s="569"/>
      <c r="BO31" s="113">
        <v>0</v>
      </c>
      <c r="BP31" s="112"/>
      <c r="BQ31" s="67"/>
      <c r="BR31" s="560"/>
      <c r="BS31" s="569"/>
      <c r="BT31" s="113">
        <f>SUM(L31:BO31)</f>
        <v>675599</v>
      </c>
      <c r="BU31" s="112"/>
      <c r="BV31" s="67"/>
      <c r="BW31" s="560"/>
      <c r="BX31" s="569"/>
      <c r="BY31" s="113">
        <v>3681510</v>
      </c>
      <c r="BZ31" s="112"/>
      <c r="CA31" s="67"/>
      <c r="CB31" s="560"/>
      <c r="CC31" s="569"/>
      <c r="CD31" s="113">
        <v>247104</v>
      </c>
      <c r="CE31" s="112"/>
      <c r="CF31" s="67"/>
      <c r="CG31" s="560"/>
      <c r="CH31" s="569"/>
      <c r="CI31" s="113">
        <v>217025</v>
      </c>
      <c r="CJ31" s="112"/>
      <c r="CK31" s="67"/>
      <c r="CL31" s="560"/>
      <c r="CM31" s="569"/>
      <c r="CN31" s="113">
        <v>251254</v>
      </c>
      <c r="CO31" s="112"/>
      <c r="CP31" s="67"/>
      <c r="CQ31" s="560"/>
      <c r="CR31" s="569"/>
      <c r="CS31" s="113">
        <v>217377</v>
      </c>
      <c r="CT31" s="112"/>
      <c r="CU31" s="67"/>
      <c r="CV31" s="560"/>
      <c r="CW31" s="569"/>
      <c r="CX31" s="113">
        <v>326256</v>
      </c>
      <c r="CY31" s="112"/>
      <c r="CZ31" s="67"/>
      <c r="DA31" s="560"/>
      <c r="DB31" s="569"/>
      <c r="DC31" s="113">
        <v>332818</v>
      </c>
      <c r="DD31" s="112"/>
      <c r="DE31" s="67"/>
      <c r="DF31" s="560"/>
      <c r="DG31" s="569"/>
      <c r="DH31" s="113">
        <v>561847</v>
      </c>
      <c r="DI31" s="112"/>
      <c r="DJ31" s="67"/>
      <c r="DK31" s="560"/>
      <c r="DL31" s="569"/>
      <c r="DM31" s="113">
        <v>147966</v>
      </c>
      <c r="DN31" s="112"/>
      <c r="DO31" s="67"/>
      <c r="DP31" s="560"/>
      <c r="DQ31" s="569"/>
      <c r="DR31" s="113">
        <v>410236</v>
      </c>
      <c r="DS31" s="112"/>
      <c r="DT31" s="67"/>
      <c r="DU31" s="560"/>
      <c r="DV31" s="569"/>
      <c r="DW31" s="113">
        <v>142852</v>
      </c>
      <c r="DX31" s="112"/>
      <c r="DY31" s="67"/>
      <c r="DZ31" s="560"/>
      <c r="EA31" s="569"/>
      <c r="EB31" s="113">
        <v>655040</v>
      </c>
      <c r="EC31" s="112"/>
      <c r="ED31" s="67"/>
      <c r="EE31" s="560"/>
      <c r="EF31" s="569"/>
      <c r="EG31" s="113">
        <v>171735</v>
      </c>
      <c r="EH31" s="112"/>
      <c r="EI31" s="67"/>
      <c r="EJ31" s="560"/>
      <c r="EK31" s="570"/>
      <c r="EL31" s="113">
        <f>SUM(CD31:CI31)</f>
        <v>464129</v>
      </c>
      <c r="EM31" s="571"/>
      <c r="EN31" s="67"/>
      <c r="EO31" s="455"/>
      <c r="ER31" s="472"/>
      <c r="ES31" s="472"/>
    </row>
    <row r="32" spans="1:150" x14ac:dyDescent="0.2">
      <c r="A32" s="442"/>
      <c r="B32" s="442"/>
      <c r="D32" s="455"/>
      <c r="E32" s="560"/>
      <c r="F32" s="442"/>
      <c r="G32" s="67"/>
      <c r="H32" s="67"/>
      <c r="I32" s="67"/>
      <c r="J32" s="560"/>
      <c r="K32" s="67"/>
      <c r="L32" s="67"/>
      <c r="M32" s="67"/>
      <c r="N32" s="67"/>
      <c r="O32" s="560"/>
      <c r="P32" s="67"/>
      <c r="Q32" s="67"/>
      <c r="R32" s="67"/>
      <c r="S32" s="67"/>
      <c r="T32" s="560"/>
      <c r="U32" s="67"/>
      <c r="V32" s="67"/>
      <c r="W32" s="67"/>
      <c r="X32" s="67"/>
      <c r="Y32" s="560"/>
      <c r="Z32" s="67"/>
      <c r="AA32" s="67"/>
      <c r="AB32" s="67"/>
      <c r="AC32" s="67"/>
      <c r="AD32" s="560"/>
      <c r="AE32" s="67"/>
      <c r="AF32" s="67"/>
      <c r="AG32" s="67"/>
      <c r="AH32" s="67"/>
      <c r="AI32" s="560"/>
      <c r="AJ32" s="67"/>
      <c r="AK32" s="67"/>
      <c r="AL32" s="67"/>
      <c r="AM32" s="67"/>
      <c r="AN32" s="560"/>
      <c r="AO32" s="67"/>
      <c r="AP32" s="67"/>
      <c r="AQ32" s="67"/>
      <c r="AR32" s="67"/>
      <c r="AS32" s="560"/>
      <c r="AT32" s="67"/>
      <c r="AU32" s="67"/>
      <c r="AV32" s="67"/>
      <c r="AW32" s="67"/>
      <c r="AX32" s="560"/>
      <c r="AY32" s="67"/>
      <c r="AZ32" s="67"/>
      <c r="BA32" s="67"/>
      <c r="BB32" s="67"/>
      <c r="BC32" s="560"/>
      <c r="BD32" s="67"/>
      <c r="BE32" s="67"/>
      <c r="BF32" s="67"/>
      <c r="BG32" s="67"/>
      <c r="BH32" s="560"/>
      <c r="BI32" s="67"/>
      <c r="BJ32" s="67"/>
      <c r="BK32" s="67"/>
      <c r="BL32" s="67"/>
      <c r="BM32" s="560"/>
      <c r="BN32" s="67"/>
      <c r="BO32" s="67"/>
      <c r="BP32" s="67"/>
      <c r="BQ32" s="67"/>
      <c r="BR32" s="560"/>
      <c r="BS32" s="67"/>
      <c r="BT32" s="67"/>
      <c r="BU32" s="67"/>
      <c r="BV32" s="67"/>
      <c r="BW32" s="560"/>
      <c r="BX32" s="67"/>
      <c r="BY32" s="67"/>
      <c r="BZ32" s="67"/>
      <c r="CA32" s="67"/>
      <c r="CB32" s="560"/>
      <c r="CC32" s="67"/>
      <c r="CD32" s="67"/>
      <c r="CE32" s="67"/>
      <c r="CF32" s="67"/>
      <c r="CG32" s="560"/>
      <c r="CH32" s="67"/>
      <c r="CI32" s="67"/>
      <c r="CJ32" s="67"/>
      <c r="CK32" s="67"/>
      <c r="CL32" s="560"/>
      <c r="CM32" s="67"/>
      <c r="CN32" s="67"/>
      <c r="CO32" s="67"/>
      <c r="CP32" s="67"/>
      <c r="CQ32" s="560"/>
      <c r="CR32" s="67"/>
      <c r="CS32" s="67"/>
      <c r="CT32" s="67"/>
      <c r="CU32" s="67"/>
      <c r="CV32" s="560"/>
      <c r="CW32" s="67"/>
      <c r="CX32" s="67"/>
      <c r="CY32" s="67"/>
      <c r="CZ32" s="67"/>
      <c r="DA32" s="560"/>
      <c r="DB32" s="67"/>
      <c r="DC32" s="67"/>
      <c r="DD32" s="67"/>
      <c r="DE32" s="67"/>
      <c r="DF32" s="560"/>
      <c r="DG32" s="67"/>
      <c r="DH32" s="67"/>
      <c r="DI32" s="67"/>
      <c r="DJ32" s="67"/>
      <c r="DK32" s="560"/>
      <c r="DL32" s="67"/>
      <c r="DM32" s="67"/>
      <c r="DN32" s="67"/>
      <c r="DO32" s="67"/>
      <c r="DP32" s="560"/>
      <c r="DQ32" s="67"/>
      <c r="DR32" s="67"/>
      <c r="DS32" s="67"/>
      <c r="DT32" s="67"/>
      <c r="DU32" s="560"/>
      <c r="DV32" s="67"/>
      <c r="DW32" s="67"/>
      <c r="DX32" s="67"/>
      <c r="DY32" s="67"/>
      <c r="DZ32" s="560"/>
      <c r="EA32" s="67"/>
      <c r="EB32" s="67"/>
      <c r="EC32" s="67"/>
      <c r="ED32" s="67"/>
      <c r="EE32" s="560"/>
      <c r="EF32" s="67"/>
      <c r="EG32" s="67"/>
      <c r="EH32" s="67"/>
      <c r="EI32" s="67"/>
      <c r="EJ32" s="560"/>
      <c r="EK32" s="67"/>
      <c r="EL32" s="67"/>
      <c r="EM32" s="67"/>
      <c r="EN32" s="67"/>
      <c r="EO32" s="455"/>
      <c r="ER32" s="472"/>
      <c r="ES32" s="472"/>
    </row>
    <row r="33" spans="1:149" ht="12.75" customHeight="1" x14ac:dyDescent="0.2">
      <c r="A33" s="442"/>
      <c r="B33" s="442"/>
      <c r="D33" s="455" t="s">
        <v>347</v>
      </c>
      <c r="E33" s="560"/>
      <c r="F33" s="442"/>
      <c r="G33" s="67">
        <f>SUM(G34:G37)</f>
        <v>0</v>
      </c>
      <c r="H33" s="67"/>
      <c r="I33" s="67"/>
      <c r="J33" s="560"/>
      <c r="K33" s="67"/>
      <c r="L33" s="67">
        <f>SUM(L34:L37)</f>
        <v>785463</v>
      </c>
      <c r="M33" s="67"/>
      <c r="N33" s="67"/>
      <c r="O33" s="560"/>
      <c r="P33" s="67"/>
      <c r="Q33" s="67">
        <f>SUM(Q34:Q37)</f>
        <v>1376442.4509999999</v>
      </c>
      <c r="R33" s="67"/>
      <c r="S33" s="67"/>
      <c r="T33" s="560"/>
      <c r="U33" s="67"/>
      <c r="V33" s="67">
        <f>SUM(V34:V37)</f>
        <v>0</v>
      </c>
      <c r="W33" s="67"/>
      <c r="X33" s="67"/>
      <c r="Y33" s="560"/>
      <c r="Z33" s="67"/>
      <c r="AA33" s="67">
        <f>SUM(AA34:AA37)</f>
        <v>0</v>
      </c>
      <c r="AB33" s="67"/>
      <c r="AC33" s="67"/>
      <c r="AD33" s="560"/>
      <c r="AE33" s="67"/>
      <c r="AF33" s="67">
        <f>SUM(AF34:AF37)</f>
        <v>0</v>
      </c>
      <c r="AG33" s="67"/>
      <c r="AH33" s="67"/>
      <c r="AI33" s="560"/>
      <c r="AJ33" s="67"/>
      <c r="AK33" s="67">
        <f>SUM(AK34:AK37)</f>
        <v>0</v>
      </c>
      <c r="AL33" s="67"/>
      <c r="AM33" s="67"/>
      <c r="AN33" s="560"/>
      <c r="AO33" s="67"/>
      <c r="AP33" s="67">
        <f>SUM(AP34:AP37)</f>
        <v>0</v>
      </c>
      <c r="AQ33" s="67"/>
      <c r="AR33" s="67"/>
      <c r="AS33" s="560"/>
      <c r="AT33" s="67"/>
      <c r="AU33" s="67">
        <f>SUM(AU34:AU37)</f>
        <v>0</v>
      </c>
      <c r="AV33" s="67"/>
      <c r="AW33" s="67"/>
      <c r="AX33" s="560"/>
      <c r="AY33" s="67"/>
      <c r="AZ33" s="67">
        <f>SUM(AZ34:AZ37)</f>
        <v>0</v>
      </c>
      <c r="BA33" s="67"/>
      <c r="BB33" s="67"/>
      <c r="BC33" s="560"/>
      <c r="BD33" s="67"/>
      <c r="BE33" s="67">
        <f>SUM(BE34:BE37)</f>
        <v>0</v>
      </c>
      <c r="BF33" s="67"/>
      <c r="BG33" s="67"/>
      <c r="BH33" s="560"/>
      <c r="BI33" s="67"/>
      <c r="BJ33" s="67">
        <f>SUM(BJ34:BJ37)</f>
        <v>0</v>
      </c>
      <c r="BK33" s="67"/>
      <c r="BL33" s="67"/>
      <c r="BM33" s="560"/>
      <c r="BN33" s="67"/>
      <c r="BO33" s="67">
        <f>SUM(BO34:BO37)</f>
        <v>0</v>
      </c>
      <c r="BP33" s="67"/>
      <c r="BQ33" s="67"/>
      <c r="BR33" s="560"/>
      <c r="BS33" s="67"/>
      <c r="BT33" s="67">
        <f>SUM(BT34:BT37)</f>
        <v>2161905.4509999999</v>
      </c>
      <c r="BU33" s="67"/>
      <c r="BV33" s="67"/>
      <c r="BW33" s="560"/>
      <c r="BX33" s="67"/>
      <c r="BY33" s="67">
        <f>SUM(BY34:BY37)</f>
        <v>10392766</v>
      </c>
      <c r="BZ33" s="67"/>
      <c r="CA33" s="67"/>
      <c r="CB33" s="560"/>
      <c r="CC33" s="67"/>
      <c r="CD33" s="67">
        <f>SUM(CD34:CD37)</f>
        <v>542418</v>
      </c>
      <c r="CE33" s="67"/>
      <c r="CF33" s="67"/>
      <c r="CG33" s="560"/>
      <c r="CH33" s="67"/>
      <c r="CI33" s="67">
        <f>SUM(CI34:CI37)</f>
        <v>691639</v>
      </c>
      <c r="CJ33" s="67"/>
      <c r="CK33" s="67"/>
      <c r="CL33" s="560"/>
      <c r="CM33" s="67"/>
      <c r="CN33" s="67">
        <f>SUM(CN34:CN37)</f>
        <v>1153612</v>
      </c>
      <c r="CO33" s="67"/>
      <c r="CP33" s="67"/>
      <c r="CQ33" s="560"/>
      <c r="CR33" s="67"/>
      <c r="CS33" s="67">
        <f>SUM(CS34:CS37)</f>
        <v>983226</v>
      </c>
      <c r="CT33" s="67"/>
      <c r="CU33" s="67"/>
      <c r="CV33" s="560"/>
      <c r="CW33" s="67"/>
      <c r="CX33" s="67">
        <f>SUM(CX34:CX37)</f>
        <v>532805</v>
      </c>
      <c r="CY33" s="67"/>
      <c r="CZ33" s="67"/>
      <c r="DA33" s="560"/>
      <c r="DB33" s="67"/>
      <c r="DC33" s="67">
        <f>SUM(DC34:DC37)</f>
        <v>1445658</v>
      </c>
      <c r="DD33" s="67"/>
      <c r="DE33" s="67"/>
      <c r="DF33" s="560"/>
      <c r="DG33" s="67"/>
      <c r="DH33" s="67">
        <f>SUM(DH34:DH37)</f>
        <v>1848510</v>
      </c>
      <c r="DI33" s="67"/>
      <c r="DJ33" s="67"/>
      <c r="DK33" s="560"/>
      <c r="DL33" s="67"/>
      <c r="DM33" s="67">
        <f>SUM(DM34:DM37)</f>
        <v>1375404</v>
      </c>
      <c r="DN33" s="67"/>
      <c r="DO33" s="67"/>
      <c r="DP33" s="560"/>
      <c r="DQ33" s="67"/>
      <c r="DR33" s="67">
        <f>SUM(DR34:DR37)</f>
        <v>481533</v>
      </c>
      <c r="DS33" s="67"/>
      <c r="DT33" s="67"/>
      <c r="DU33" s="560"/>
      <c r="DV33" s="67"/>
      <c r="DW33" s="67">
        <f>SUM(DW34:DW37)</f>
        <v>0</v>
      </c>
      <c r="DX33" s="67"/>
      <c r="DY33" s="67"/>
      <c r="DZ33" s="560"/>
      <c r="EA33" s="67"/>
      <c r="EB33" s="67">
        <f>SUM(EB34:EB37)</f>
        <v>774542</v>
      </c>
      <c r="EC33" s="67"/>
      <c r="ED33" s="67"/>
      <c r="EE33" s="560"/>
      <c r="EF33" s="67"/>
      <c r="EG33" s="67">
        <f>SUM(EG34:EG37)</f>
        <v>563419</v>
      </c>
      <c r="EH33" s="67"/>
      <c r="EI33" s="67"/>
      <c r="EJ33" s="560"/>
      <c r="EK33" s="67"/>
      <c r="EL33" s="67">
        <f>SUM(EL34:EL37)</f>
        <v>1234057</v>
      </c>
      <c r="EM33" s="67"/>
      <c r="EN33" s="67"/>
      <c r="EO33" s="455"/>
      <c r="ER33" s="472"/>
      <c r="ES33" s="472"/>
    </row>
    <row r="34" spans="1:149" ht="12.75" customHeight="1" x14ac:dyDescent="0.2">
      <c r="A34" s="442"/>
      <c r="B34" s="442"/>
      <c r="D34" s="455" t="s">
        <v>342</v>
      </c>
      <c r="E34" s="560"/>
      <c r="F34" s="473"/>
      <c r="G34" s="558">
        <v>0</v>
      </c>
      <c r="H34" s="559"/>
      <c r="I34" s="67"/>
      <c r="J34" s="560"/>
      <c r="K34" s="561"/>
      <c r="L34" s="558">
        <f>535000-248436</f>
        <v>286564</v>
      </c>
      <c r="M34" s="559"/>
      <c r="N34" s="67"/>
      <c r="O34" s="560"/>
      <c r="P34" s="561"/>
      <c r="Q34" s="558">
        <f>930000-392511</f>
        <v>537489</v>
      </c>
      <c r="R34" s="559"/>
      <c r="S34" s="67"/>
      <c r="T34" s="560"/>
      <c r="U34" s="561"/>
      <c r="V34" s="558">
        <v>0</v>
      </c>
      <c r="W34" s="559"/>
      <c r="X34" s="67"/>
      <c r="Y34" s="560"/>
      <c r="Z34" s="561"/>
      <c r="AA34" s="558">
        <v>0</v>
      </c>
      <c r="AB34" s="559"/>
      <c r="AC34" s="67"/>
      <c r="AD34" s="560"/>
      <c r="AE34" s="561"/>
      <c r="AF34" s="558">
        <v>0</v>
      </c>
      <c r="AG34" s="559"/>
      <c r="AH34" s="67"/>
      <c r="AI34" s="560"/>
      <c r="AJ34" s="561"/>
      <c r="AK34" s="558">
        <v>0</v>
      </c>
      <c r="AL34" s="559"/>
      <c r="AM34" s="67"/>
      <c r="AN34" s="560"/>
      <c r="AO34" s="561"/>
      <c r="AP34" s="558">
        <v>0</v>
      </c>
      <c r="AQ34" s="559"/>
      <c r="AR34" s="67"/>
      <c r="AS34" s="560"/>
      <c r="AT34" s="561"/>
      <c r="AU34" s="558">
        <v>0</v>
      </c>
      <c r="AV34" s="559"/>
      <c r="AW34" s="67"/>
      <c r="AX34" s="560"/>
      <c r="AY34" s="561"/>
      <c r="AZ34" s="558">
        <v>0</v>
      </c>
      <c r="BA34" s="559"/>
      <c r="BB34" s="67"/>
      <c r="BC34" s="560"/>
      <c r="BD34" s="561"/>
      <c r="BE34" s="558">
        <v>0</v>
      </c>
      <c r="BF34" s="559"/>
      <c r="BG34" s="67"/>
      <c r="BH34" s="560"/>
      <c r="BI34" s="561"/>
      <c r="BJ34" s="558">
        <v>0</v>
      </c>
      <c r="BK34" s="559"/>
      <c r="BL34" s="67"/>
      <c r="BM34" s="560"/>
      <c r="BN34" s="561"/>
      <c r="BO34" s="558">
        <v>0</v>
      </c>
      <c r="BP34" s="559"/>
      <c r="BQ34" s="67"/>
      <c r="BR34" s="560"/>
      <c r="BS34" s="561"/>
      <c r="BT34" s="558">
        <f>SUM(L34:BO34)</f>
        <v>824053</v>
      </c>
      <c r="BU34" s="559"/>
      <c r="BV34" s="67"/>
      <c r="BW34" s="560"/>
      <c r="BX34" s="561"/>
      <c r="BY34" s="558">
        <v>5329138</v>
      </c>
      <c r="BZ34" s="559"/>
      <c r="CA34" s="67"/>
      <c r="CB34" s="560"/>
      <c r="CC34" s="561"/>
      <c r="CD34" s="558">
        <f>385000-82755</f>
        <v>302245</v>
      </c>
      <c r="CE34" s="559"/>
      <c r="CF34" s="67"/>
      <c r="CG34" s="560"/>
      <c r="CH34" s="561"/>
      <c r="CI34" s="558">
        <f>490000-96874</f>
        <v>393126</v>
      </c>
      <c r="CJ34" s="559"/>
      <c r="CK34" s="67"/>
      <c r="CL34" s="560"/>
      <c r="CM34" s="561"/>
      <c r="CN34" s="558">
        <f>810000-177882</f>
        <v>632118</v>
      </c>
      <c r="CO34" s="559"/>
      <c r="CP34" s="67"/>
      <c r="CQ34" s="560"/>
      <c r="CR34" s="561"/>
      <c r="CS34" s="558">
        <f>685000-150743</f>
        <v>534257</v>
      </c>
      <c r="CT34" s="559"/>
      <c r="CU34" s="67"/>
      <c r="CV34" s="560"/>
      <c r="CW34" s="561"/>
      <c r="CX34" s="558">
        <f>370000-89582</f>
        <v>280418</v>
      </c>
      <c r="CY34" s="559"/>
      <c r="CZ34" s="67"/>
      <c r="DA34" s="560"/>
      <c r="DB34" s="561"/>
      <c r="DC34" s="558">
        <f>1000000-256392</f>
        <v>743608</v>
      </c>
      <c r="DD34" s="559"/>
      <c r="DE34" s="67"/>
      <c r="DF34" s="560"/>
      <c r="DG34" s="561"/>
      <c r="DH34" s="558">
        <f>1275000-329766</f>
        <v>945234</v>
      </c>
      <c r="DI34" s="559"/>
      <c r="DJ34" s="67"/>
      <c r="DK34" s="560"/>
      <c r="DL34" s="561"/>
      <c r="DM34" s="558">
        <f>945000-279439</f>
        <v>665561</v>
      </c>
      <c r="DN34" s="559"/>
      <c r="DO34" s="67"/>
      <c r="DP34" s="560"/>
      <c r="DQ34" s="561"/>
      <c r="DR34" s="558">
        <f>330000-98786</f>
        <v>231214</v>
      </c>
      <c r="DS34" s="559"/>
      <c r="DT34" s="67"/>
      <c r="DU34" s="560"/>
      <c r="DV34" s="561"/>
      <c r="DW34" s="558">
        <v>0</v>
      </c>
      <c r="DX34" s="559"/>
      <c r="DY34" s="67"/>
      <c r="DZ34" s="560"/>
      <c r="EA34" s="561"/>
      <c r="EB34" s="558">
        <f>530000-164514</f>
        <v>365486</v>
      </c>
      <c r="EC34" s="559"/>
      <c r="ED34" s="67"/>
      <c r="EE34" s="560"/>
      <c r="EF34" s="561"/>
      <c r="EG34" s="558">
        <f>385000-149129</f>
        <v>235871</v>
      </c>
      <c r="EH34" s="559"/>
      <c r="EI34" s="67"/>
      <c r="EJ34" s="560"/>
      <c r="EK34" s="561"/>
      <c r="EL34" s="558">
        <f>SUM(CD34:CI34)</f>
        <v>695371</v>
      </c>
      <c r="EM34" s="559"/>
      <c r="EN34" s="67"/>
      <c r="EO34" s="455"/>
      <c r="ER34" s="472"/>
      <c r="ES34" s="472"/>
    </row>
    <row r="35" spans="1:149" ht="12.75" customHeight="1" x14ac:dyDescent="0.2">
      <c r="A35" s="442"/>
      <c r="B35" s="442"/>
      <c r="D35" s="455" t="s">
        <v>344</v>
      </c>
      <c r="E35" s="560"/>
      <c r="F35" s="465"/>
      <c r="G35" s="67">
        <v>0</v>
      </c>
      <c r="H35" s="66"/>
      <c r="I35" s="67"/>
      <c r="J35" s="560"/>
      <c r="K35" s="560"/>
      <c r="L35" s="67">
        <v>248436</v>
      </c>
      <c r="M35" s="66"/>
      <c r="N35" s="67"/>
      <c r="O35" s="560"/>
      <c r="P35" s="560"/>
      <c r="Q35" s="67">
        <v>392511</v>
      </c>
      <c r="R35" s="66"/>
      <c r="S35" s="67"/>
      <c r="T35" s="560"/>
      <c r="U35" s="560"/>
      <c r="V35" s="67">
        <v>0</v>
      </c>
      <c r="W35" s="66"/>
      <c r="X35" s="67"/>
      <c r="Y35" s="560"/>
      <c r="Z35" s="560"/>
      <c r="AA35" s="67">
        <v>0</v>
      </c>
      <c r="AB35" s="66"/>
      <c r="AC35" s="67"/>
      <c r="AD35" s="560"/>
      <c r="AE35" s="560"/>
      <c r="AF35" s="67">
        <v>0</v>
      </c>
      <c r="AG35" s="66"/>
      <c r="AH35" s="67"/>
      <c r="AI35" s="560"/>
      <c r="AJ35" s="560"/>
      <c r="AK35" s="67">
        <v>0</v>
      </c>
      <c r="AL35" s="66"/>
      <c r="AM35" s="67"/>
      <c r="AN35" s="560"/>
      <c r="AO35" s="560"/>
      <c r="AP35" s="67">
        <v>0</v>
      </c>
      <c r="AQ35" s="66"/>
      <c r="AR35" s="67"/>
      <c r="AS35" s="560"/>
      <c r="AT35" s="560"/>
      <c r="AU35" s="67">
        <v>0</v>
      </c>
      <c r="AV35" s="66"/>
      <c r="AW35" s="67"/>
      <c r="AX35" s="560"/>
      <c r="AY35" s="560"/>
      <c r="AZ35" s="67">
        <v>0</v>
      </c>
      <c r="BA35" s="66"/>
      <c r="BB35" s="67"/>
      <c r="BC35" s="560"/>
      <c r="BD35" s="560"/>
      <c r="BE35" s="67">
        <v>0</v>
      </c>
      <c r="BF35" s="66"/>
      <c r="BG35" s="67"/>
      <c r="BH35" s="560"/>
      <c r="BI35" s="560"/>
      <c r="BJ35" s="67">
        <v>0</v>
      </c>
      <c r="BK35" s="66"/>
      <c r="BL35" s="67"/>
      <c r="BM35" s="560"/>
      <c r="BN35" s="560"/>
      <c r="BO35" s="67">
        <v>0</v>
      </c>
      <c r="BP35" s="66"/>
      <c r="BQ35" s="67"/>
      <c r="BR35" s="560"/>
      <c r="BS35" s="560"/>
      <c r="BT35" s="67">
        <f>SUM(L35:BO35)</f>
        <v>640947</v>
      </c>
      <c r="BU35" s="66"/>
      <c r="BV35" s="67"/>
      <c r="BW35" s="560"/>
      <c r="BX35" s="560"/>
      <c r="BY35" s="67">
        <v>1875862</v>
      </c>
      <c r="BZ35" s="66"/>
      <c r="CA35" s="67"/>
      <c r="CB35" s="560"/>
      <c r="CC35" s="560"/>
      <c r="CD35" s="67">
        <v>82755</v>
      </c>
      <c r="CE35" s="66"/>
      <c r="CF35" s="67"/>
      <c r="CG35" s="560"/>
      <c r="CH35" s="560"/>
      <c r="CI35" s="67">
        <v>96874</v>
      </c>
      <c r="CJ35" s="66"/>
      <c r="CK35" s="67"/>
      <c r="CL35" s="560"/>
      <c r="CM35" s="560"/>
      <c r="CN35" s="67">
        <v>177882</v>
      </c>
      <c r="CO35" s="66"/>
      <c r="CP35" s="67"/>
      <c r="CQ35" s="560"/>
      <c r="CR35" s="560"/>
      <c r="CS35" s="67">
        <v>150743</v>
      </c>
      <c r="CT35" s="66"/>
      <c r="CU35" s="67"/>
      <c r="CV35" s="560"/>
      <c r="CW35" s="560"/>
      <c r="CX35" s="67">
        <v>89582</v>
      </c>
      <c r="CY35" s="66"/>
      <c r="CZ35" s="67"/>
      <c r="DA35" s="560"/>
      <c r="DB35" s="560"/>
      <c r="DC35" s="67">
        <v>256392</v>
      </c>
      <c r="DD35" s="66"/>
      <c r="DE35" s="67"/>
      <c r="DF35" s="560"/>
      <c r="DG35" s="560"/>
      <c r="DH35" s="67">
        <v>329766</v>
      </c>
      <c r="DI35" s="66"/>
      <c r="DJ35" s="67"/>
      <c r="DK35" s="560"/>
      <c r="DL35" s="560"/>
      <c r="DM35" s="67">
        <v>279439</v>
      </c>
      <c r="DN35" s="66"/>
      <c r="DO35" s="67"/>
      <c r="DP35" s="560"/>
      <c r="DQ35" s="560"/>
      <c r="DR35" s="67">
        <v>98786</v>
      </c>
      <c r="DS35" s="66"/>
      <c r="DT35" s="67"/>
      <c r="DU35" s="560"/>
      <c r="DV35" s="560"/>
      <c r="DW35" s="67">
        <v>0</v>
      </c>
      <c r="DX35" s="66"/>
      <c r="DY35" s="67"/>
      <c r="DZ35" s="560"/>
      <c r="EA35" s="560"/>
      <c r="EB35" s="67">
        <v>164514</v>
      </c>
      <c r="EC35" s="66"/>
      <c r="ED35" s="67"/>
      <c r="EE35" s="560"/>
      <c r="EF35" s="560"/>
      <c r="EG35" s="67">
        <v>149129</v>
      </c>
      <c r="EH35" s="66"/>
      <c r="EI35" s="67"/>
      <c r="EJ35" s="560"/>
      <c r="EK35" s="560"/>
      <c r="EL35" s="67">
        <f>SUM(CD35:CI35)</f>
        <v>179629</v>
      </c>
      <c r="EM35" s="66"/>
      <c r="EN35" s="67"/>
      <c r="EO35" s="455"/>
      <c r="ER35" s="472"/>
      <c r="ES35" s="472"/>
    </row>
    <row r="36" spans="1:149" ht="12.75" customHeight="1" x14ac:dyDescent="0.2">
      <c r="A36" s="442"/>
      <c r="B36" s="442"/>
      <c r="D36" s="455" t="s">
        <v>345</v>
      </c>
      <c r="E36" s="560"/>
      <c r="F36" s="465"/>
      <c r="G36" s="67">
        <v>0</v>
      </c>
      <c r="H36" s="66"/>
      <c r="I36" s="67"/>
      <c r="J36" s="560"/>
      <c r="K36" s="560"/>
      <c r="L36" s="67">
        <v>0</v>
      </c>
      <c r="M36" s="66"/>
      <c r="N36" s="67"/>
      <c r="O36" s="560"/>
      <c r="P36" s="560"/>
      <c r="Q36" s="67">
        <v>0</v>
      </c>
      <c r="R36" s="66"/>
      <c r="S36" s="67"/>
      <c r="T36" s="560"/>
      <c r="U36" s="560"/>
      <c r="V36" s="67">
        <v>0</v>
      </c>
      <c r="W36" s="66"/>
      <c r="X36" s="67"/>
      <c r="Y36" s="560"/>
      <c r="Z36" s="560"/>
      <c r="AA36" s="67">
        <v>0</v>
      </c>
      <c r="AB36" s="66"/>
      <c r="AC36" s="67"/>
      <c r="AD36" s="560"/>
      <c r="AE36" s="560"/>
      <c r="AF36" s="67">
        <v>0</v>
      </c>
      <c r="AG36" s="66"/>
      <c r="AH36" s="67"/>
      <c r="AI36" s="560"/>
      <c r="AJ36" s="560"/>
      <c r="AK36" s="67">
        <v>0</v>
      </c>
      <c r="AL36" s="66"/>
      <c r="AM36" s="67"/>
      <c r="AN36" s="560"/>
      <c r="AO36" s="560"/>
      <c r="AP36" s="67">
        <v>0</v>
      </c>
      <c r="AQ36" s="66"/>
      <c r="AR36" s="67"/>
      <c r="AS36" s="560"/>
      <c r="AT36" s="560"/>
      <c r="AU36" s="67">
        <v>0</v>
      </c>
      <c r="AV36" s="66"/>
      <c r="AW36" s="67"/>
      <c r="AX36" s="560"/>
      <c r="AY36" s="560"/>
      <c r="AZ36" s="67">
        <v>0</v>
      </c>
      <c r="BA36" s="66"/>
      <c r="BB36" s="67"/>
      <c r="BC36" s="560"/>
      <c r="BD36" s="560"/>
      <c r="BE36" s="67">
        <v>0</v>
      </c>
      <c r="BF36" s="66"/>
      <c r="BG36" s="67"/>
      <c r="BH36" s="560"/>
      <c r="BI36" s="560"/>
      <c r="BJ36" s="67">
        <v>0</v>
      </c>
      <c r="BK36" s="66"/>
      <c r="BL36" s="67"/>
      <c r="BM36" s="560"/>
      <c r="BN36" s="560"/>
      <c r="BO36" s="67">
        <v>0</v>
      </c>
      <c r="BP36" s="66"/>
      <c r="BQ36" s="67"/>
      <c r="BR36" s="560"/>
      <c r="BS36" s="560"/>
      <c r="BT36" s="67">
        <f>SUM(L36:BO36)</f>
        <v>0</v>
      </c>
      <c r="BU36" s="66"/>
      <c r="BV36" s="67"/>
      <c r="BW36" s="560"/>
      <c r="BX36" s="560"/>
      <c r="BY36" s="67">
        <v>0</v>
      </c>
      <c r="BZ36" s="66"/>
      <c r="CA36" s="67"/>
      <c r="CB36" s="560"/>
      <c r="CC36" s="560"/>
      <c r="CD36" s="67">
        <v>0</v>
      </c>
      <c r="CE36" s="66"/>
      <c r="CF36" s="67"/>
      <c r="CG36" s="560"/>
      <c r="CH36" s="560"/>
      <c r="CI36" s="67">
        <v>0</v>
      </c>
      <c r="CJ36" s="66"/>
      <c r="CK36" s="67"/>
      <c r="CL36" s="560"/>
      <c r="CM36" s="560"/>
      <c r="CN36" s="67">
        <v>0</v>
      </c>
      <c r="CO36" s="66"/>
      <c r="CP36" s="67"/>
      <c r="CQ36" s="560"/>
      <c r="CR36" s="560"/>
      <c r="CS36" s="67">
        <v>0</v>
      </c>
      <c r="CT36" s="66"/>
      <c r="CU36" s="67"/>
      <c r="CV36" s="560"/>
      <c r="CW36" s="560"/>
      <c r="CX36" s="67">
        <v>0</v>
      </c>
      <c r="CY36" s="66"/>
      <c r="CZ36" s="67"/>
      <c r="DA36" s="560"/>
      <c r="DB36" s="560"/>
      <c r="DC36" s="67">
        <v>0</v>
      </c>
      <c r="DD36" s="66"/>
      <c r="DE36" s="67"/>
      <c r="DF36" s="560"/>
      <c r="DG36" s="560"/>
      <c r="DH36" s="67">
        <v>0</v>
      </c>
      <c r="DI36" s="66"/>
      <c r="DJ36" s="67"/>
      <c r="DK36" s="560"/>
      <c r="DL36" s="560"/>
      <c r="DM36" s="67">
        <v>0</v>
      </c>
      <c r="DN36" s="66"/>
      <c r="DO36" s="67"/>
      <c r="DP36" s="560"/>
      <c r="DQ36" s="560"/>
      <c r="DR36" s="67">
        <v>0</v>
      </c>
      <c r="DS36" s="66"/>
      <c r="DT36" s="67"/>
      <c r="DU36" s="560"/>
      <c r="DV36" s="560"/>
      <c r="DW36" s="67">
        <v>0</v>
      </c>
      <c r="DX36" s="66"/>
      <c r="DY36" s="67"/>
      <c r="DZ36" s="560"/>
      <c r="EA36" s="560"/>
      <c r="EB36" s="67">
        <v>0</v>
      </c>
      <c r="EC36" s="66"/>
      <c r="ED36" s="67"/>
      <c r="EE36" s="560"/>
      <c r="EF36" s="560"/>
      <c r="EG36" s="67">
        <v>0</v>
      </c>
      <c r="EH36" s="66"/>
      <c r="EI36" s="67"/>
      <c r="EJ36" s="560"/>
      <c r="EK36" s="560"/>
      <c r="EL36" s="67">
        <f>SUM(CD36:CI36)</f>
        <v>0</v>
      </c>
      <c r="EM36" s="66"/>
      <c r="EN36" s="67"/>
      <c r="EO36" s="455"/>
      <c r="ER36" s="472"/>
      <c r="ES36" s="472"/>
    </row>
    <row r="37" spans="1:149" ht="12.75" customHeight="1" x14ac:dyDescent="0.2">
      <c r="A37" s="442"/>
      <c r="B37" s="442"/>
      <c r="D37" s="455" t="s">
        <v>346</v>
      </c>
      <c r="E37" s="560"/>
      <c r="F37" s="488"/>
      <c r="G37" s="113">
        <v>0</v>
      </c>
      <c r="H37" s="112"/>
      <c r="I37" s="67"/>
      <c r="J37" s="560"/>
      <c r="K37" s="569"/>
      <c r="L37" s="113">
        <v>250463</v>
      </c>
      <c r="M37" s="112"/>
      <c r="N37" s="67"/>
      <c r="O37" s="560"/>
      <c r="P37" s="569"/>
      <c r="Q37" s="113">
        <v>446442.451</v>
      </c>
      <c r="R37" s="112"/>
      <c r="S37" s="67"/>
      <c r="T37" s="560"/>
      <c r="U37" s="569"/>
      <c r="V37" s="113">
        <v>0</v>
      </c>
      <c r="W37" s="112"/>
      <c r="X37" s="67"/>
      <c r="Y37" s="560"/>
      <c r="Z37" s="569"/>
      <c r="AA37" s="113">
        <v>0</v>
      </c>
      <c r="AB37" s="112"/>
      <c r="AC37" s="67"/>
      <c r="AD37" s="560"/>
      <c r="AE37" s="569"/>
      <c r="AF37" s="113">
        <v>0</v>
      </c>
      <c r="AG37" s="112"/>
      <c r="AH37" s="67"/>
      <c r="AI37" s="560"/>
      <c r="AJ37" s="569"/>
      <c r="AK37" s="113">
        <v>0</v>
      </c>
      <c r="AL37" s="112"/>
      <c r="AM37" s="67"/>
      <c r="AN37" s="560"/>
      <c r="AO37" s="569"/>
      <c r="AP37" s="113">
        <v>0</v>
      </c>
      <c r="AQ37" s="112"/>
      <c r="AR37" s="67"/>
      <c r="AS37" s="560"/>
      <c r="AT37" s="569"/>
      <c r="AU37" s="113">
        <v>0</v>
      </c>
      <c r="AV37" s="112"/>
      <c r="AW37" s="67"/>
      <c r="AX37" s="560"/>
      <c r="AY37" s="569"/>
      <c r="AZ37" s="113">
        <v>0</v>
      </c>
      <c r="BA37" s="112"/>
      <c r="BB37" s="67"/>
      <c r="BC37" s="560"/>
      <c r="BD37" s="569"/>
      <c r="BE37" s="113">
        <v>0</v>
      </c>
      <c r="BF37" s="112"/>
      <c r="BG37" s="67"/>
      <c r="BH37" s="560"/>
      <c r="BI37" s="569"/>
      <c r="BJ37" s="113">
        <v>0</v>
      </c>
      <c r="BK37" s="112"/>
      <c r="BL37" s="67"/>
      <c r="BM37" s="560"/>
      <c r="BN37" s="569"/>
      <c r="BO37" s="113">
        <v>0</v>
      </c>
      <c r="BP37" s="112"/>
      <c r="BQ37" s="67"/>
      <c r="BR37" s="560"/>
      <c r="BS37" s="569"/>
      <c r="BT37" s="113">
        <f>SUM(L37:BO37)</f>
        <v>696905.451</v>
      </c>
      <c r="BU37" s="112"/>
      <c r="BV37" s="67"/>
      <c r="BW37" s="560"/>
      <c r="BX37" s="569"/>
      <c r="BY37" s="113">
        <v>3187766</v>
      </c>
      <c r="BZ37" s="112"/>
      <c r="CA37" s="67"/>
      <c r="CB37" s="560"/>
      <c r="CC37" s="569"/>
      <c r="CD37" s="113">
        <v>157418</v>
      </c>
      <c r="CE37" s="112"/>
      <c r="CF37" s="67"/>
      <c r="CG37" s="560"/>
      <c r="CH37" s="569"/>
      <c r="CI37" s="113">
        <v>201639</v>
      </c>
      <c r="CJ37" s="112"/>
      <c r="CK37" s="67"/>
      <c r="CL37" s="560"/>
      <c r="CM37" s="569"/>
      <c r="CN37" s="113">
        <v>343612</v>
      </c>
      <c r="CO37" s="112"/>
      <c r="CP37" s="67"/>
      <c r="CQ37" s="560"/>
      <c r="CR37" s="569"/>
      <c r="CS37" s="113">
        <v>298226</v>
      </c>
      <c r="CT37" s="112"/>
      <c r="CU37" s="67"/>
      <c r="CV37" s="560"/>
      <c r="CW37" s="569"/>
      <c r="CX37" s="113">
        <v>162805</v>
      </c>
      <c r="CY37" s="112"/>
      <c r="CZ37" s="67"/>
      <c r="DA37" s="560"/>
      <c r="DB37" s="569"/>
      <c r="DC37" s="113">
        <v>445658</v>
      </c>
      <c r="DD37" s="112"/>
      <c r="DE37" s="67"/>
      <c r="DF37" s="560"/>
      <c r="DG37" s="569"/>
      <c r="DH37" s="113">
        <v>573510</v>
      </c>
      <c r="DI37" s="112"/>
      <c r="DJ37" s="67"/>
      <c r="DK37" s="560"/>
      <c r="DL37" s="569"/>
      <c r="DM37" s="113">
        <v>430404</v>
      </c>
      <c r="DN37" s="112"/>
      <c r="DO37" s="67"/>
      <c r="DP37" s="560"/>
      <c r="DQ37" s="569"/>
      <c r="DR37" s="113">
        <v>151533</v>
      </c>
      <c r="DS37" s="112"/>
      <c r="DT37" s="67"/>
      <c r="DU37" s="560"/>
      <c r="DV37" s="569"/>
      <c r="DW37" s="113">
        <v>0</v>
      </c>
      <c r="DX37" s="112"/>
      <c r="DY37" s="67"/>
      <c r="DZ37" s="560"/>
      <c r="EA37" s="569"/>
      <c r="EB37" s="113">
        <v>244542</v>
      </c>
      <c r="EC37" s="112"/>
      <c r="ED37" s="67"/>
      <c r="EE37" s="560"/>
      <c r="EF37" s="569"/>
      <c r="EG37" s="113">
        <v>178419</v>
      </c>
      <c r="EH37" s="112"/>
      <c r="EI37" s="67"/>
      <c r="EJ37" s="560"/>
      <c r="EK37" s="569"/>
      <c r="EL37" s="113">
        <f>SUM(CD37:CI37)</f>
        <v>359057</v>
      </c>
      <c r="EM37" s="112"/>
      <c r="EN37" s="67"/>
      <c r="EO37" s="455"/>
      <c r="ER37" s="472"/>
      <c r="ES37" s="472"/>
    </row>
    <row r="38" spans="1:149" ht="12.75" customHeight="1" x14ac:dyDescent="0.2">
      <c r="A38" s="442"/>
      <c r="B38" s="442"/>
      <c r="D38" s="455"/>
      <c r="E38" s="560"/>
      <c r="F38" s="442"/>
      <c r="G38" s="67"/>
      <c r="H38" s="67"/>
      <c r="I38" s="67"/>
      <c r="J38" s="560"/>
      <c r="K38" s="67"/>
      <c r="L38" s="67"/>
      <c r="M38" s="67"/>
      <c r="N38" s="67"/>
      <c r="O38" s="560"/>
      <c r="P38" s="67"/>
      <c r="Q38" s="67"/>
      <c r="R38" s="67"/>
      <c r="S38" s="67"/>
      <c r="T38" s="560"/>
      <c r="U38" s="67"/>
      <c r="V38" s="67"/>
      <c r="W38" s="67"/>
      <c r="X38" s="67"/>
      <c r="Y38" s="560"/>
      <c r="Z38" s="67"/>
      <c r="AA38" s="67"/>
      <c r="AB38" s="67"/>
      <c r="AC38" s="67"/>
      <c r="AD38" s="560"/>
      <c r="AE38" s="67"/>
      <c r="AF38" s="67"/>
      <c r="AG38" s="67"/>
      <c r="AH38" s="67"/>
      <c r="AI38" s="560"/>
      <c r="AJ38" s="67"/>
      <c r="AK38" s="67"/>
      <c r="AL38" s="67"/>
      <c r="AM38" s="67"/>
      <c r="AN38" s="560"/>
      <c r="AO38" s="67"/>
      <c r="AP38" s="67"/>
      <c r="AQ38" s="67"/>
      <c r="AR38" s="67"/>
      <c r="AS38" s="560"/>
      <c r="AT38" s="67"/>
      <c r="AU38" s="67"/>
      <c r="AV38" s="67"/>
      <c r="AW38" s="67"/>
      <c r="AX38" s="560"/>
      <c r="AY38" s="67"/>
      <c r="AZ38" s="67"/>
      <c r="BA38" s="67"/>
      <c r="BB38" s="67"/>
      <c r="BC38" s="560"/>
      <c r="BD38" s="67"/>
      <c r="BE38" s="67"/>
      <c r="BF38" s="67"/>
      <c r="BG38" s="67"/>
      <c r="BH38" s="560"/>
      <c r="BI38" s="67"/>
      <c r="BJ38" s="67"/>
      <c r="BK38" s="67"/>
      <c r="BL38" s="67"/>
      <c r="BM38" s="560"/>
      <c r="BN38" s="67"/>
      <c r="BO38" s="67"/>
      <c r="BP38" s="67"/>
      <c r="BQ38" s="67"/>
      <c r="BR38" s="560"/>
      <c r="BS38" s="67"/>
      <c r="BT38" s="67"/>
      <c r="BU38" s="67"/>
      <c r="BV38" s="67"/>
      <c r="BW38" s="560"/>
      <c r="BX38" s="67"/>
      <c r="BY38" s="67"/>
      <c r="BZ38" s="67"/>
      <c r="CA38" s="67"/>
      <c r="CB38" s="560"/>
      <c r="CC38" s="67"/>
      <c r="CD38" s="67"/>
      <c r="CE38" s="67"/>
      <c r="CF38" s="67"/>
      <c r="CG38" s="560"/>
      <c r="CH38" s="67"/>
      <c r="CI38" s="67"/>
      <c r="CJ38" s="67"/>
      <c r="CK38" s="67"/>
      <c r="CL38" s="560"/>
      <c r="CM38" s="67"/>
      <c r="CN38" s="67"/>
      <c r="CO38" s="67"/>
      <c r="CP38" s="67"/>
      <c r="CQ38" s="560"/>
      <c r="CR38" s="67"/>
      <c r="CS38" s="67"/>
      <c r="CT38" s="67"/>
      <c r="CU38" s="67"/>
      <c r="CV38" s="560"/>
      <c r="CW38" s="67"/>
      <c r="CX38" s="67"/>
      <c r="CY38" s="67"/>
      <c r="CZ38" s="67"/>
      <c r="DA38" s="560"/>
      <c r="DB38" s="67"/>
      <c r="DC38" s="67"/>
      <c r="DD38" s="67"/>
      <c r="DE38" s="67"/>
      <c r="DF38" s="560"/>
      <c r="DG38" s="67"/>
      <c r="DH38" s="67"/>
      <c r="DI38" s="67"/>
      <c r="DJ38" s="67"/>
      <c r="DK38" s="560"/>
      <c r="DL38" s="67"/>
      <c r="DM38" s="67"/>
      <c r="DN38" s="67"/>
      <c r="DO38" s="67"/>
      <c r="DP38" s="560"/>
      <c r="DQ38" s="67"/>
      <c r="DR38" s="67"/>
      <c r="DS38" s="67"/>
      <c r="DT38" s="67"/>
      <c r="DU38" s="560"/>
      <c r="DV38" s="67"/>
      <c r="DW38" s="67"/>
      <c r="DX38" s="67"/>
      <c r="DY38" s="67"/>
      <c r="DZ38" s="560"/>
      <c r="EA38" s="67"/>
      <c r="EB38" s="67"/>
      <c r="EC38" s="67"/>
      <c r="ED38" s="67"/>
      <c r="EE38" s="560"/>
      <c r="EF38" s="67"/>
      <c r="EG38" s="67"/>
      <c r="EH38" s="67"/>
      <c r="EI38" s="67"/>
      <c r="EJ38" s="560"/>
      <c r="EK38" s="67"/>
      <c r="EL38" s="67"/>
      <c r="EM38" s="67"/>
      <c r="EN38" s="67"/>
      <c r="EO38" s="455"/>
      <c r="ER38" s="472"/>
      <c r="ES38" s="472"/>
    </row>
    <row r="39" spans="1:149" ht="12.75" customHeight="1" x14ac:dyDescent="0.2">
      <c r="A39" s="442"/>
      <c r="B39" s="442"/>
      <c r="D39" s="455" t="s">
        <v>348</v>
      </c>
      <c r="E39" s="560"/>
      <c r="F39" s="442"/>
      <c r="G39" s="67">
        <f>SUM(G40:G43)</f>
        <v>0</v>
      </c>
      <c r="H39" s="67"/>
      <c r="I39" s="67"/>
      <c r="J39" s="560"/>
      <c r="K39" s="67"/>
      <c r="L39" s="67">
        <f>SUM(L40:L43)</f>
        <v>318599</v>
      </c>
      <c r="M39" s="67"/>
      <c r="N39" s="67"/>
      <c r="O39" s="560"/>
      <c r="P39" s="67"/>
      <c r="Q39" s="67">
        <f>SUM(Q40:Q43)</f>
        <v>528391</v>
      </c>
      <c r="R39" s="67"/>
      <c r="S39" s="67"/>
      <c r="T39" s="560"/>
      <c r="U39" s="67"/>
      <c r="V39" s="67">
        <f>SUM(V40:V43)</f>
        <v>0</v>
      </c>
      <c r="W39" s="67"/>
      <c r="X39" s="67"/>
      <c r="Y39" s="560"/>
      <c r="Z39" s="67"/>
      <c r="AA39" s="67">
        <f>SUM(AA40:AA43)</f>
        <v>0</v>
      </c>
      <c r="AB39" s="67"/>
      <c r="AC39" s="67"/>
      <c r="AD39" s="560"/>
      <c r="AE39" s="67"/>
      <c r="AF39" s="67">
        <f>SUM(AF40:AF43)</f>
        <v>0</v>
      </c>
      <c r="AG39" s="67"/>
      <c r="AH39" s="67"/>
      <c r="AI39" s="560"/>
      <c r="AJ39" s="67"/>
      <c r="AK39" s="67">
        <f>SUM(AK40:AK43)</f>
        <v>0</v>
      </c>
      <c r="AL39" s="67"/>
      <c r="AM39" s="67"/>
      <c r="AN39" s="560"/>
      <c r="AO39" s="67"/>
      <c r="AP39" s="67">
        <f>SUM(AP40:AP43)</f>
        <v>0</v>
      </c>
      <c r="AQ39" s="67"/>
      <c r="AR39" s="67"/>
      <c r="AS39" s="560"/>
      <c r="AT39" s="67"/>
      <c r="AU39" s="67">
        <f>SUM(AU40:AU43)</f>
        <v>0</v>
      </c>
      <c r="AV39" s="67"/>
      <c r="AW39" s="67"/>
      <c r="AX39" s="560"/>
      <c r="AY39" s="67"/>
      <c r="AZ39" s="67">
        <f>SUM(AZ40:AZ43)</f>
        <v>0</v>
      </c>
      <c r="BA39" s="67"/>
      <c r="BB39" s="67"/>
      <c r="BC39" s="560"/>
      <c r="BD39" s="67"/>
      <c r="BE39" s="67">
        <f>SUM(BE40:BE43)</f>
        <v>0</v>
      </c>
      <c r="BF39" s="67"/>
      <c r="BG39" s="67"/>
      <c r="BH39" s="560"/>
      <c r="BI39" s="67"/>
      <c r="BJ39" s="67">
        <f>SUM(BJ40:BJ43)</f>
        <v>0</v>
      </c>
      <c r="BK39" s="67"/>
      <c r="BL39" s="67"/>
      <c r="BM39" s="560"/>
      <c r="BN39" s="67"/>
      <c r="BO39" s="67">
        <f>SUM(BO40:BO43)</f>
        <v>0</v>
      </c>
      <c r="BP39" s="67"/>
      <c r="BQ39" s="67"/>
      <c r="BR39" s="560"/>
      <c r="BS39" s="67"/>
      <c r="BT39" s="67">
        <f>SUM(BT40:BT43)</f>
        <v>846990</v>
      </c>
      <c r="BU39" s="67"/>
      <c r="BV39" s="67"/>
      <c r="BW39" s="560"/>
      <c r="BX39" s="67"/>
      <c r="BY39" s="67">
        <f>SUM(BY40:BY43)</f>
        <v>11505214</v>
      </c>
      <c r="BZ39" s="67"/>
      <c r="CA39" s="67"/>
      <c r="CB39" s="560"/>
      <c r="CC39" s="67"/>
      <c r="CD39" s="67">
        <f>SUM(CD40:CD43)</f>
        <v>411537</v>
      </c>
      <c r="CE39" s="67"/>
      <c r="CF39" s="67"/>
      <c r="CG39" s="560"/>
      <c r="CH39" s="67"/>
      <c r="CI39" s="67">
        <f>SUM(CI40:CI43)</f>
        <v>691086</v>
      </c>
      <c r="CJ39" s="67"/>
      <c r="CK39" s="67"/>
      <c r="CL39" s="560"/>
      <c r="CM39" s="67"/>
      <c r="CN39" s="67">
        <f>SUM(CN40:CN43)</f>
        <v>1052878</v>
      </c>
      <c r="CO39" s="67"/>
      <c r="CP39" s="67"/>
      <c r="CQ39" s="560"/>
      <c r="CR39" s="67"/>
      <c r="CS39" s="67">
        <f>SUM(CS40:CS43)</f>
        <v>621958</v>
      </c>
      <c r="CT39" s="67"/>
      <c r="CU39" s="67"/>
      <c r="CV39" s="560"/>
      <c r="CW39" s="67"/>
      <c r="CX39" s="67">
        <f>SUM(CX40:CX43)</f>
        <v>305672</v>
      </c>
      <c r="CY39" s="67"/>
      <c r="CZ39" s="67"/>
      <c r="DA39" s="560"/>
      <c r="DB39" s="67"/>
      <c r="DC39" s="67">
        <f>SUM(DC40:DC43)</f>
        <v>1737471</v>
      </c>
      <c r="DD39" s="67"/>
      <c r="DE39" s="67"/>
      <c r="DF39" s="560"/>
      <c r="DG39" s="67"/>
      <c r="DH39" s="67">
        <f>SUM(DH40:DH43)</f>
        <v>868577</v>
      </c>
      <c r="DI39" s="67"/>
      <c r="DJ39" s="67"/>
      <c r="DK39" s="560"/>
      <c r="DL39" s="67"/>
      <c r="DM39" s="67">
        <f>SUM(DM40:DM43)</f>
        <v>1084077</v>
      </c>
      <c r="DN39" s="67"/>
      <c r="DO39" s="67"/>
      <c r="DP39" s="560"/>
      <c r="DQ39" s="67"/>
      <c r="DR39" s="67">
        <f>SUM(DR40:DR43)</f>
        <v>549747</v>
      </c>
      <c r="DS39" s="67"/>
      <c r="DT39" s="67"/>
      <c r="DU39" s="560"/>
      <c r="DV39" s="67"/>
      <c r="DW39" s="67">
        <f>SUM(DW40:DW43)</f>
        <v>1087699</v>
      </c>
      <c r="DX39" s="67"/>
      <c r="DY39" s="67"/>
      <c r="DZ39" s="560"/>
      <c r="EA39" s="67"/>
      <c r="EB39" s="67">
        <f>SUM(EB40:EB43)</f>
        <v>1425586</v>
      </c>
      <c r="EC39" s="67"/>
      <c r="ED39" s="67"/>
      <c r="EE39" s="560"/>
      <c r="EF39" s="67"/>
      <c r="EG39" s="67">
        <f>SUM(EG40:EG43)</f>
        <v>1668926</v>
      </c>
      <c r="EH39" s="67"/>
      <c r="EI39" s="67"/>
      <c r="EJ39" s="560"/>
      <c r="EK39" s="67"/>
      <c r="EL39" s="67">
        <f>SUM(EL40:EL43)</f>
        <v>1102623</v>
      </c>
      <c r="EM39" s="67"/>
      <c r="EN39" s="67"/>
      <c r="EO39" s="455"/>
      <c r="ER39" s="472"/>
      <c r="ES39" s="472"/>
    </row>
    <row r="40" spans="1:149" ht="12.75" customHeight="1" x14ac:dyDescent="0.2">
      <c r="A40" s="442"/>
      <c r="B40" s="442"/>
      <c r="D40" s="455" t="s">
        <v>342</v>
      </c>
      <c r="E40" s="560"/>
      <c r="F40" s="473"/>
      <c r="G40" s="558">
        <v>0</v>
      </c>
      <c r="H40" s="559"/>
      <c r="I40" s="67"/>
      <c r="J40" s="560"/>
      <c r="K40" s="561"/>
      <c r="L40" s="558">
        <f>230000-98825</f>
        <v>131175</v>
      </c>
      <c r="M40" s="559"/>
      <c r="N40" s="67"/>
      <c r="O40" s="560"/>
      <c r="P40" s="561"/>
      <c r="Q40" s="558">
        <f>380000-140954</f>
        <v>239046</v>
      </c>
      <c r="R40" s="559"/>
      <c r="S40" s="67"/>
      <c r="T40" s="560"/>
      <c r="U40" s="561"/>
      <c r="V40" s="558">
        <v>0</v>
      </c>
      <c r="W40" s="559"/>
      <c r="X40" s="67"/>
      <c r="Y40" s="560"/>
      <c r="Z40" s="561"/>
      <c r="AA40" s="558">
        <v>0</v>
      </c>
      <c r="AB40" s="559"/>
      <c r="AC40" s="67"/>
      <c r="AD40" s="560"/>
      <c r="AE40" s="561"/>
      <c r="AF40" s="558">
        <v>0</v>
      </c>
      <c r="AG40" s="559"/>
      <c r="AH40" s="67"/>
      <c r="AI40" s="560"/>
      <c r="AJ40" s="561"/>
      <c r="AK40" s="558">
        <v>0</v>
      </c>
      <c r="AL40" s="559"/>
      <c r="AM40" s="67"/>
      <c r="AN40" s="560"/>
      <c r="AO40" s="561"/>
      <c r="AP40" s="558">
        <v>0</v>
      </c>
      <c r="AQ40" s="559"/>
      <c r="AR40" s="67"/>
      <c r="AS40" s="560"/>
      <c r="AT40" s="561"/>
      <c r="AU40" s="558">
        <v>0</v>
      </c>
      <c r="AV40" s="559"/>
      <c r="AW40" s="67"/>
      <c r="AX40" s="560"/>
      <c r="AY40" s="561"/>
      <c r="AZ40" s="558">
        <v>0</v>
      </c>
      <c r="BA40" s="559"/>
      <c r="BB40" s="67"/>
      <c r="BC40" s="560"/>
      <c r="BD40" s="561"/>
      <c r="BE40" s="558">
        <v>0</v>
      </c>
      <c r="BF40" s="559"/>
      <c r="BG40" s="67"/>
      <c r="BH40" s="560"/>
      <c r="BI40" s="561"/>
      <c r="BJ40" s="558">
        <v>0</v>
      </c>
      <c r="BK40" s="559"/>
      <c r="BL40" s="67"/>
      <c r="BM40" s="560"/>
      <c r="BN40" s="561"/>
      <c r="BO40" s="558">
        <v>0</v>
      </c>
      <c r="BP40" s="559"/>
      <c r="BQ40" s="67"/>
      <c r="BR40" s="560"/>
      <c r="BS40" s="561"/>
      <c r="BT40" s="558">
        <f>SUM(L40:BO40)</f>
        <v>370221</v>
      </c>
      <c r="BU40" s="559"/>
      <c r="BV40" s="67"/>
      <c r="BW40" s="560"/>
      <c r="BX40" s="561"/>
      <c r="BY40" s="558">
        <v>6010062</v>
      </c>
      <c r="BZ40" s="559"/>
      <c r="CA40" s="67"/>
      <c r="CB40" s="560"/>
      <c r="CC40" s="561"/>
      <c r="CD40" s="558">
        <f>310000-65709</f>
        <v>244291</v>
      </c>
      <c r="CE40" s="559"/>
      <c r="CF40" s="67"/>
      <c r="CG40" s="560"/>
      <c r="CH40" s="561"/>
      <c r="CI40" s="558">
        <f>520000-92478</f>
        <v>427522</v>
      </c>
      <c r="CJ40" s="559"/>
      <c r="CK40" s="67"/>
      <c r="CL40" s="560"/>
      <c r="CM40" s="561"/>
      <c r="CN40" s="558">
        <f>785000-168092</f>
        <v>616908</v>
      </c>
      <c r="CO40" s="559"/>
      <c r="CP40" s="67"/>
      <c r="CQ40" s="560"/>
      <c r="CR40" s="561"/>
      <c r="CS40" s="558">
        <f>460000-101629</f>
        <v>358371</v>
      </c>
      <c r="CT40" s="559"/>
      <c r="CU40" s="67"/>
      <c r="CV40" s="560"/>
      <c r="CW40" s="561"/>
      <c r="CX40" s="558">
        <f>225000-54516</f>
        <v>170484</v>
      </c>
      <c r="CY40" s="559"/>
      <c r="CZ40" s="67"/>
      <c r="DA40" s="560"/>
      <c r="DB40" s="561"/>
      <c r="DC40" s="558">
        <f>1275000-330226</f>
        <v>944774</v>
      </c>
      <c r="DD40" s="559"/>
      <c r="DE40" s="67"/>
      <c r="DF40" s="560"/>
      <c r="DG40" s="561"/>
      <c r="DH40" s="558">
        <f>635000-167704</f>
        <v>467296</v>
      </c>
      <c r="DI40" s="559"/>
      <c r="DJ40" s="67"/>
      <c r="DK40" s="560"/>
      <c r="DL40" s="561"/>
      <c r="DM40" s="558">
        <f>790000-250392</f>
        <v>539608</v>
      </c>
      <c r="DN40" s="559"/>
      <c r="DO40" s="67"/>
      <c r="DP40" s="560"/>
      <c r="DQ40" s="561"/>
      <c r="DR40" s="558">
        <f>400000-129701</f>
        <v>270299</v>
      </c>
      <c r="DS40" s="559"/>
      <c r="DT40" s="67"/>
      <c r="DU40" s="560"/>
      <c r="DV40" s="561"/>
      <c r="DW40" s="558">
        <f>790000-248565</f>
        <v>541435</v>
      </c>
      <c r="DX40" s="559"/>
      <c r="DY40" s="67"/>
      <c r="DZ40" s="560"/>
      <c r="EA40" s="561"/>
      <c r="EB40" s="558">
        <f>1035000-326159</f>
        <v>708841</v>
      </c>
      <c r="EC40" s="559"/>
      <c r="ED40" s="67"/>
      <c r="EE40" s="560"/>
      <c r="EF40" s="561"/>
      <c r="EG40" s="558">
        <f>1210000-489767</f>
        <v>720233</v>
      </c>
      <c r="EH40" s="559"/>
      <c r="EI40" s="67"/>
      <c r="EJ40" s="560"/>
      <c r="EK40" s="561"/>
      <c r="EL40" s="558">
        <f>SUM(CD40:CI40)</f>
        <v>671813</v>
      </c>
      <c r="EM40" s="559"/>
      <c r="EN40" s="67"/>
      <c r="EO40" s="455"/>
      <c r="ER40" s="472"/>
      <c r="ES40" s="472"/>
    </row>
    <row r="41" spans="1:149" ht="12.75" customHeight="1" x14ac:dyDescent="0.2">
      <c r="A41" s="442"/>
      <c r="B41" s="442"/>
      <c r="D41" s="455" t="s">
        <v>344</v>
      </c>
      <c r="E41" s="560"/>
      <c r="F41" s="465"/>
      <c r="G41" s="67">
        <v>0</v>
      </c>
      <c r="H41" s="66"/>
      <c r="I41" s="67"/>
      <c r="J41" s="560"/>
      <c r="K41" s="560"/>
      <c r="L41" s="67">
        <v>98825</v>
      </c>
      <c r="M41" s="66"/>
      <c r="N41" s="67"/>
      <c r="O41" s="560"/>
      <c r="P41" s="560"/>
      <c r="Q41" s="67">
        <v>140954</v>
      </c>
      <c r="R41" s="66"/>
      <c r="S41" s="67"/>
      <c r="T41" s="560"/>
      <c r="U41" s="560"/>
      <c r="V41" s="67">
        <v>0</v>
      </c>
      <c r="W41" s="66"/>
      <c r="X41" s="67"/>
      <c r="Y41" s="560"/>
      <c r="Z41" s="560"/>
      <c r="AA41" s="67">
        <v>0</v>
      </c>
      <c r="AB41" s="66"/>
      <c r="AC41" s="67"/>
      <c r="AD41" s="560"/>
      <c r="AE41" s="560"/>
      <c r="AF41" s="67">
        <v>0</v>
      </c>
      <c r="AG41" s="66"/>
      <c r="AH41" s="67"/>
      <c r="AI41" s="560"/>
      <c r="AJ41" s="560"/>
      <c r="AK41" s="67">
        <v>0</v>
      </c>
      <c r="AL41" s="66"/>
      <c r="AM41" s="67"/>
      <c r="AN41" s="560"/>
      <c r="AO41" s="560"/>
      <c r="AP41" s="67">
        <v>0</v>
      </c>
      <c r="AQ41" s="66"/>
      <c r="AR41" s="67"/>
      <c r="AS41" s="560"/>
      <c r="AT41" s="560"/>
      <c r="AU41" s="67">
        <v>0</v>
      </c>
      <c r="AV41" s="66"/>
      <c r="AW41" s="67"/>
      <c r="AX41" s="560"/>
      <c r="AY41" s="560"/>
      <c r="AZ41" s="67">
        <v>0</v>
      </c>
      <c r="BA41" s="66"/>
      <c r="BB41" s="67"/>
      <c r="BC41" s="560"/>
      <c r="BD41" s="560"/>
      <c r="BE41" s="67">
        <v>0</v>
      </c>
      <c r="BF41" s="66"/>
      <c r="BG41" s="67"/>
      <c r="BH41" s="560"/>
      <c r="BI41" s="560"/>
      <c r="BJ41" s="67">
        <v>0</v>
      </c>
      <c r="BK41" s="66"/>
      <c r="BL41" s="67"/>
      <c r="BM41" s="560"/>
      <c r="BN41" s="560"/>
      <c r="BO41" s="67">
        <v>0</v>
      </c>
      <c r="BP41" s="66"/>
      <c r="BQ41" s="67"/>
      <c r="BR41" s="560"/>
      <c r="BS41" s="560"/>
      <c r="BT41" s="67">
        <f>SUM(L41:BO41)</f>
        <v>239779</v>
      </c>
      <c r="BU41" s="66"/>
      <c r="BV41" s="67"/>
      <c r="BW41" s="560"/>
      <c r="BX41" s="560"/>
      <c r="BY41" s="67">
        <v>2424937</v>
      </c>
      <c r="BZ41" s="66"/>
      <c r="CA41" s="67"/>
      <c r="CB41" s="560"/>
      <c r="CC41" s="560"/>
      <c r="CD41" s="67">
        <v>65709</v>
      </c>
      <c r="CE41" s="66"/>
      <c r="CF41" s="67"/>
      <c r="CG41" s="560"/>
      <c r="CH41" s="560"/>
      <c r="CI41" s="67">
        <v>92477</v>
      </c>
      <c r="CJ41" s="66"/>
      <c r="CK41" s="67"/>
      <c r="CL41" s="560"/>
      <c r="CM41" s="560"/>
      <c r="CN41" s="67">
        <v>168092</v>
      </c>
      <c r="CO41" s="66"/>
      <c r="CP41" s="67"/>
      <c r="CQ41" s="560"/>
      <c r="CR41" s="560"/>
      <c r="CS41" s="67">
        <v>101629</v>
      </c>
      <c r="CT41" s="66"/>
      <c r="CU41" s="67"/>
      <c r="CV41" s="560"/>
      <c r="CW41" s="560"/>
      <c r="CX41" s="67">
        <v>54516</v>
      </c>
      <c r="CY41" s="66"/>
      <c r="CZ41" s="67"/>
      <c r="DA41" s="560"/>
      <c r="DB41" s="560"/>
      <c r="DC41" s="67">
        <v>330226</v>
      </c>
      <c r="DD41" s="66"/>
      <c r="DE41" s="67"/>
      <c r="DF41" s="560"/>
      <c r="DG41" s="560"/>
      <c r="DH41" s="67">
        <v>167704</v>
      </c>
      <c r="DI41" s="66"/>
      <c r="DJ41" s="67"/>
      <c r="DK41" s="560"/>
      <c r="DL41" s="560"/>
      <c r="DM41" s="67">
        <v>250392</v>
      </c>
      <c r="DN41" s="66"/>
      <c r="DO41" s="67"/>
      <c r="DP41" s="560"/>
      <c r="DQ41" s="560"/>
      <c r="DR41" s="67">
        <v>129701</v>
      </c>
      <c r="DS41" s="66"/>
      <c r="DT41" s="67"/>
      <c r="DU41" s="560"/>
      <c r="DV41" s="560"/>
      <c r="DW41" s="67">
        <v>248565</v>
      </c>
      <c r="DX41" s="66"/>
      <c r="DY41" s="67"/>
      <c r="DZ41" s="560"/>
      <c r="EA41" s="560"/>
      <c r="EB41" s="67">
        <v>326159</v>
      </c>
      <c r="EC41" s="66"/>
      <c r="ED41" s="67"/>
      <c r="EE41" s="560"/>
      <c r="EF41" s="560"/>
      <c r="EG41" s="67">
        <v>489767</v>
      </c>
      <c r="EH41" s="66"/>
      <c r="EI41" s="67"/>
      <c r="EJ41" s="560"/>
      <c r="EK41" s="560"/>
      <c r="EL41" s="67">
        <f>SUM(CD41:CI41)</f>
        <v>158186</v>
      </c>
      <c r="EM41" s="66"/>
      <c r="EN41" s="67"/>
      <c r="EO41" s="455"/>
      <c r="ER41" s="472"/>
      <c r="ES41" s="472"/>
    </row>
    <row r="42" spans="1:149" ht="12.75" customHeight="1" x14ac:dyDescent="0.2">
      <c r="A42" s="442"/>
      <c r="B42" s="442"/>
      <c r="D42" s="455" t="s">
        <v>345</v>
      </c>
      <c r="E42" s="560"/>
      <c r="F42" s="465"/>
      <c r="G42" s="67">
        <v>0</v>
      </c>
      <c r="H42" s="66"/>
      <c r="I42" s="67"/>
      <c r="J42" s="560"/>
      <c r="K42" s="560"/>
      <c r="L42" s="67">
        <v>0</v>
      </c>
      <c r="M42" s="66"/>
      <c r="N42" s="67"/>
      <c r="O42" s="560"/>
      <c r="P42" s="560"/>
      <c r="Q42" s="67">
        <v>0</v>
      </c>
      <c r="R42" s="66"/>
      <c r="S42" s="67"/>
      <c r="T42" s="560"/>
      <c r="U42" s="560"/>
      <c r="V42" s="67">
        <v>0</v>
      </c>
      <c r="W42" s="66"/>
      <c r="X42" s="67"/>
      <c r="Y42" s="560"/>
      <c r="Z42" s="560"/>
      <c r="AA42" s="67">
        <v>0</v>
      </c>
      <c r="AB42" s="66"/>
      <c r="AC42" s="67"/>
      <c r="AD42" s="560"/>
      <c r="AE42" s="560"/>
      <c r="AF42" s="67">
        <v>0</v>
      </c>
      <c r="AG42" s="66"/>
      <c r="AH42" s="67"/>
      <c r="AI42" s="560"/>
      <c r="AJ42" s="560"/>
      <c r="AK42" s="67">
        <v>0</v>
      </c>
      <c r="AL42" s="66"/>
      <c r="AM42" s="67"/>
      <c r="AN42" s="560"/>
      <c r="AO42" s="560"/>
      <c r="AP42" s="67">
        <v>0</v>
      </c>
      <c r="AQ42" s="66"/>
      <c r="AR42" s="67"/>
      <c r="AS42" s="560"/>
      <c r="AT42" s="560"/>
      <c r="AU42" s="67">
        <v>0</v>
      </c>
      <c r="AV42" s="66"/>
      <c r="AW42" s="67"/>
      <c r="AX42" s="560"/>
      <c r="AY42" s="560"/>
      <c r="AZ42" s="67">
        <v>0</v>
      </c>
      <c r="BA42" s="66"/>
      <c r="BB42" s="67"/>
      <c r="BC42" s="560"/>
      <c r="BD42" s="560"/>
      <c r="BE42" s="67">
        <v>0</v>
      </c>
      <c r="BF42" s="66"/>
      <c r="BG42" s="67"/>
      <c r="BH42" s="560"/>
      <c r="BI42" s="560"/>
      <c r="BJ42" s="67">
        <v>0</v>
      </c>
      <c r="BK42" s="66"/>
      <c r="BL42" s="67"/>
      <c r="BM42" s="560"/>
      <c r="BN42" s="560"/>
      <c r="BO42" s="67">
        <v>0</v>
      </c>
      <c r="BP42" s="66"/>
      <c r="BQ42" s="67"/>
      <c r="BR42" s="560"/>
      <c r="BS42" s="560"/>
      <c r="BT42" s="67">
        <f>SUM(L42:BO42)</f>
        <v>0</v>
      </c>
      <c r="BU42" s="66"/>
      <c r="BV42" s="67"/>
      <c r="BW42" s="560"/>
      <c r="BX42" s="560"/>
      <c r="BY42" s="67">
        <v>0</v>
      </c>
      <c r="BZ42" s="66"/>
      <c r="CA42" s="67"/>
      <c r="CB42" s="560"/>
      <c r="CC42" s="560"/>
      <c r="CD42" s="67">
        <v>0</v>
      </c>
      <c r="CE42" s="66"/>
      <c r="CF42" s="67"/>
      <c r="CG42" s="560"/>
      <c r="CH42" s="560"/>
      <c r="CI42" s="67">
        <v>0</v>
      </c>
      <c r="CJ42" s="66"/>
      <c r="CK42" s="67"/>
      <c r="CL42" s="560"/>
      <c r="CM42" s="560"/>
      <c r="CN42" s="67">
        <v>0</v>
      </c>
      <c r="CO42" s="66"/>
      <c r="CP42" s="67"/>
      <c r="CQ42" s="560"/>
      <c r="CR42" s="560"/>
      <c r="CS42" s="67">
        <v>0</v>
      </c>
      <c r="CT42" s="66"/>
      <c r="CU42" s="67"/>
      <c r="CV42" s="560"/>
      <c r="CW42" s="560"/>
      <c r="CX42" s="67">
        <v>0</v>
      </c>
      <c r="CY42" s="66"/>
      <c r="CZ42" s="67"/>
      <c r="DA42" s="560"/>
      <c r="DB42" s="560"/>
      <c r="DC42" s="67">
        <v>0</v>
      </c>
      <c r="DD42" s="66"/>
      <c r="DE42" s="67"/>
      <c r="DF42" s="560"/>
      <c r="DG42" s="560"/>
      <c r="DH42" s="67">
        <v>0</v>
      </c>
      <c r="DI42" s="66"/>
      <c r="DJ42" s="67"/>
      <c r="DK42" s="560"/>
      <c r="DL42" s="560"/>
      <c r="DM42" s="67">
        <v>0</v>
      </c>
      <c r="DN42" s="66"/>
      <c r="DO42" s="67"/>
      <c r="DP42" s="560"/>
      <c r="DQ42" s="560"/>
      <c r="DR42" s="67">
        <v>0</v>
      </c>
      <c r="DS42" s="66"/>
      <c r="DT42" s="67"/>
      <c r="DU42" s="560"/>
      <c r="DV42" s="560"/>
      <c r="DW42" s="67">
        <v>0</v>
      </c>
      <c r="DX42" s="66"/>
      <c r="DY42" s="67"/>
      <c r="DZ42" s="560"/>
      <c r="EA42" s="560"/>
      <c r="EB42" s="67">
        <v>0</v>
      </c>
      <c r="EC42" s="66"/>
      <c r="ED42" s="67"/>
      <c r="EE42" s="560"/>
      <c r="EF42" s="560"/>
      <c r="EG42" s="67">
        <v>0</v>
      </c>
      <c r="EH42" s="66"/>
      <c r="EI42" s="67"/>
      <c r="EJ42" s="560"/>
      <c r="EK42" s="560"/>
      <c r="EL42" s="67">
        <f>SUM(CD42:CI42)</f>
        <v>0</v>
      </c>
      <c r="EM42" s="66"/>
      <c r="EN42" s="67"/>
      <c r="EO42" s="455"/>
      <c r="ER42" s="472"/>
      <c r="ES42" s="472"/>
    </row>
    <row r="43" spans="1:149" ht="12.75" customHeight="1" x14ac:dyDescent="0.2">
      <c r="A43" s="442"/>
      <c r="B43" s="442"/>
      <c r="D43" s="455" t="s">
        <v>346</v>
      </c>
      <c r="E43" s="560"/>
      <c r="F43" s="488"/>
      <c r="G43" s="113">
        <v>0</v>
      </c>
      <c r="H43" s="112"/>
      <c r="I43" s="67"/>
      <c r="J43" s="560"/>
      <c r="K43" s="569"/>
      <c r="L43" s="113">
        <v>88599</v>
      </c>
      <c r="M43" s="112"/>
      <c r="N43" s="67"/>
      <c r="O43" s="560"/>
      <c r="P43" s="569"/>
      <c r="Q43" s="113">
        <v>148391</v>
      </c>
      <c r="R43" s="112"/>
      <c r="S43" s="67"/>
      <c r="T43" s="560"/>
      <c r="U43" s="569"/>
      <c r="V43" s="113">
        <v>0</v>
      </c>
      <c r="W43" s="112"/>
      <c r="X43" s="67"/>
      <c r="Y43" s="560"/>
      <c r="Z43" s="569"/>
      <c r="AA43" s="113">
        <v>0</v>
      </c>
      <c r="AB43" s="112"/>
      <c r="AC43" s="67"/>
      <c r="AD43" s="560"/>
      <c r="AE43" s="569"/>
      <c r="AF43" s="113">
        <v>0</v>
      </c>
      <c r="AG43" s="112"/>
      <c r="AH43" s="67"/>
      <c r="AI43" s="560"/>
      <c r="AJ43" s="569"/>
      <c r="AK43" s="113">
        <v>0</v>
      </c>
      <c r="AL43" s="112"/>
      <c r="AM43" s="67"/>
      <c r="AN43" s="560"/>
      <c r="AO43" s="569"/>
      <c r="AP43" s="113">
        <v>0</v>
      </c>
      <c r="AQ43" s="112"/>
      <c r="AR43" s="67"/>
      <c r="AS43" s="560"/>
      <c r="AT43" s="569"/>
      <c r="AU43" s="113">
        <v>0</v>
      </c>
      <c r="AV43" s="112"/>
      <c r="AW43" s="67"/>
      <c r="AX43" s="560"/>
      <c r="AY43" s="569"/>
      <c r="AZ43" s="113">
        <v>0</v>
      </c>
      <c r="BA43" s="112"/>
      <c r="BB43" s="67"/>
      <c r="BC43" s="560"/>
      <c r="BD43" s="569"/>
      <c r="BE43" s="113">
        <v>0</v>
      </c>
      <c r="BF43" s="112"/>
      <c r="BG43" s="67"/>
      <c r="BH43" s="560"/>
      <c r="BI43" s="569"/>
      <c r="BJ43" s="113">
        <v>0</v>
      </c>
      <c r="BK43" s="112"/>
      <c r="BL43" s="67"/>
      <c r="BM43" s="560"/>
      <c r="BN43" s="569"/>
      <c r="BO43" s="113">
        <v>0</v>
      </c>
      <c r="BP43" s="112"/>
      <c r="BQ43" s="67"/>
      <c r="BR43" s="560"/>
      <c r="BS43" s="569"/>
      <c r="BT43" s="113">
        <f>SUM(L43:BO43)</f>
        <v>236990</v>
      </c>
      <c r="BU43" s="112"/>
      <c r="BV43" s="67"/>
      <c r="BW43" s="560"/>
      <c r="BX43" s="569"/>
      <c r="BY43" s="113">
        <v>3070215</v>
      </c>
      <c r="BZ43" s="112"/>
      <c r="CA43" s="67"/>
      <c r="CB43" s="560"/>
      <c r="CC43" s="569"/>
      <c r="CD43" s="113">
        <v>101537</v>
      </c>
      <c r="CE43" s="112"/>
      <c r="CF43" s="67"/>
      <c r="CG43" s="560"/>
      <c r="CH43" s="569"/>
      <c r="CI43" s="113">
        <v>171087</v>
      </c>
      <c r="CJ43" s="112"/>
      <c r="CK43" s="67"/>
      <c r="CL43" s="560"/>
      <c r="CM43" s="569"/>
      <c r="CN43" s="113">
        <v>267878</v>
      </c>
      <c r="CO43" s="112"/>
      <c r="CP43" s="67"/>
      <c r="CQ43" s="560"/>
      <c r="CR43" s="569"/>
      <c r="CS43" s="113">
        <v>161958</v>
      </c>
      <c r="CT43" s="112"/>
      <c r="CU43" s="67"/>
      <c r="CV43" s="560"/>
      <c r="CW43" s="569"/>
      <c r="CX43" s="113">
        <v>80672</v>
      </c>
      <c r="CY43" s="112"/>
      <c r="CZ43" s="67"/>
      <c r="DA43" s="560"/>
      <c r="DB43" s="569"/>
      <c r="DC43" s="113">
        <v>462471</v>
      </c>
      <c r="DD43" s="112"/>
      <c r="DE43" s="67"/>
      <c r="DF43" s="560"/>
      <c r="DG43" s="569"/>
      <c r="DH43" s="113">
        <v>233577</v>
      </c>
      <c r="DI43" s="112"/>
      <c r="DJ43" s="67"/>
      <c r="DK43" s="560"/>
      <c r="DL43" s="569"/>
      <c r="DM43" s="113">
        <v>294077</v>
      </c>
      <c r="DN43" s="112"/>
      <c r="DO43" s="67"/>
      <c r="DP43" s="560"/>
      <c r="DQ43" s="569"/>
      <c r="DR43" s="113">
        <v>149747</v>
      </c>
      <c r="DS43" s="112"/>
      <c r="DT43" s="67"/>
      <c r="DU43" s="560"/>
      <c r="DV43" s="569"/>
      <c r="DW43" s="113">
        <v>297699</v>
      </c>
      <c r="DX43" s="112"/>
      <c r="DY43" s="67"/>
      <c r="DZ43" s="560"/>
      <c r="EA43" s="569"/>
      <c r="EB43" s="113">
        <v>390586</v>
      </c>
      <c r="EC43" s="112"/>
      <c r="ED43" s="67"/>
      <c r="EE43" s="560"/>
      <c r="EF43" s="569"/>
      <c r="EG43" s="113">
        <v>458926</v>
      </c>
      <c r="EH43" s="112"/>
      <c r="EI43" s="67"/>
      <c r="EJ43" s="560"/>
      <c r="EK43" s="569"/>
      <c r="EL43" s="113">
        <f>SUM(CD43:CI43)</f>
        <v>272624</v>
      </c>
      <c r="EM43" s="112"/>
      <c r="EN43" s="67"/>
      <c r="EO43" s="455"/>
      <c r="ER43" s="472"/>
      <c r="ES43" s="472"/>
    </row>
    <row r="44" spans="1:149" x14ac:dyDescent="0.2">
      <c r="A44" s="442"/>
      <c r="B44" s="442"/>
      <c r="D44" s="455"/>
      <c r="E44" s="560"/>
      <c r="F44" s="442"/>
      <c r="G44" s="67"/>
      <c r="H44" s="67"/>
      <c r="I44" s="67"/>
      <c r="J44" s="560"/>
      <c r="K44" s="67"/>
      <c r="L44" s="67"/>
      <c r="M44" s="67"/>
      <c r="N44" s="67"/>
      <c r="O44" s="560"/>
      <c r="P44" s="67"/>
      <c r="Q44" s="67"/>
      <c r="R44" s="67"/>
      <c r="S44" s="67"/>
      <c r="T44" s="560"/>
      <c r="U44" s="67"/>
      <c r="V44" s="67"/>
      <c r="W44" s="67"/>
      <c r="X44" s="67"/>
      <c r="Y44" s="560"/>
      <c r="Z44" s="67"/>
      <c r="AA44" s="67"/>
      <c r="AB44" s="67"/>
      <c r="AC44" s="67"/>
      <c r="AD44" s="560"/>
      <c r="AE44" s="67"/>
      <c r="AF44" s="67"/>
      <c r="AG44" s="67"/>
      <c r="AH44" s="67"/>
      <c r="AI44" s="560"/>
      <c r="AJ44" s="67"/>
      <c r="AK44" s="67"/>
      <c r="AL44" s="67"/>
      <c r="AM44" s="67"/>
      <c r="AN44" s="560"/>
      <c r="AO44" s="67"/>
      <c r="AP44" s="67"/>
      <c r="AQ44" s="67"/>
      <c r="AR44" s="67"/>
      <c r="AS44" s="560"/>
      <c r="AT44" s="67"/>
      <c r="AU44" s="67"/>
      <c r="AV44" s="67"/>
      <c r="AW44" s="67"/>
      <c r="AX44" s="560"/>
      <c r="AY44" s="67"/>
      <c r="AZ44" s="67"/>
      <c r="BA44" s="67"/>
      <c r="BB44" s="67"/>
      <c r="BC44" s="560"/>
      <c r="BD44" s="67"/>
      <c r="BE44" s="67"/>
      <c r="BF44" s="67"/>
      <c r="BG44" s="67"/>
      <c r="BH44" s="560"/>
      <c r="BI44" s="67"/>
      <c r="BJ44" s="67"/>
      <c r="BK44" s="67"/>
      <c r="BL44" s="67"/>
      <c r="BM44" s="560"/>
      <c r="BN44" s="67"/>
      <c r="BO44" s="67"/>
      <c r="BP44" s="67"/>
      <c r="BQ44" s="67"/>
      <c r="BR44" s="560"/>
      <c r="BS44" s="67"/>
      <c r="BT44" s="67"/>
      <c r="BU44" s="67"/>
      <c r="BV44" s="67"/>
      <c r="BW44" s="560"/>
      <c r="BX44" s="67"/>
      <c r="BY44" s="67"/>
      <c r="BZ44" s="67"/>
      <c r="CA44" s="67"/>
      <c r="CB44" s="560"/>
      <c r="CC44" s="67"/>
      <c r="CD44" s="67"/>
      <c r="CE44" s="67"/>
      <c r="CF44" s="67"/>
      <c r="CG44" s="560"/>
      <c r="CH44" s="67"/>
      <c r="CI44" s="67"/>
      <c r="CJ44" s="67"/>
      <c r="CK44" s="67"/>
      <c r="CL44" s="560"/>
      <c r="CM44" s="67"/>
      <c r="CN44" s="67"/>
      <c r="CO44" s="67"/>
      <c r="CP44" s="67"/>
      <c r="CQ44" s="560"/>
      <c r="CR44" s="67"/>
      <c r="CS44" s="67"/>
      <c r="CT44" s="67"/>
      <c r="CU44" s="67"/>
      <c r="CV44" s="560"/>
      <c r="CW44" s="67"/>
      <c r="CX44" s="67"/>
      <c r="CY44" s="67"/>
      <c r="CZ44" s="67"/>
      <c r="DA44" s="560"/>
      <c r="DB44" s="67"/>
      <c r="DC44" s="67"/>
      <c r="DD44" s="67"/>
      <c r="DE44" s="67"/>
      <c r="DF44" s="560"/>
      <c r="DG44" s="67"/>
      <c r="DH44" s="67"/>
      <c r="DI44" s="67"/>
      <c r="DJ44" s="67"/>
      <c r="DK44" s="560"/>
      <c r="DL44" s="67"/>
      <c r="DM44" s="67"/>
      <c r="DN44" s="67"/>
      <c r="DO44" s="67"/>
      <c r="DP44" s="560"/>
      <c r="DQ44" s="67"/>
      <c r="DR44" s="67"/>
      <c r="DS44" s="67"/>
      <c r="DT44" s="67"/>
      <c r="DU44" s="560"/>
      <c r="DV44" s="67"/>
      <c r="DW44" s="67"/>
      <c r="DX44" s="67"/>
      <c r="DY44" s="67"/>
      <c r="DZ44" s="560"/>
      <c r="EA44" s="67"/>
      <c r="EB44" s="67"/>
      <c r="EC44" s="67"/>
      <c r="ED44" s="67"/>
      <c r="EE44" s="560"/>
      <c r="EF44" s="67"/>
      <c r="EG44" s="67"/>
      <c r="EH44" s="67"/>
      <c r="EI44" s="67"/>
      <c r="EJ44" s="560"/>
      <c r="EK44" s="67"/>
      <c r="EL44" s="67"/>
      <c r="EM44" s="67"/>
      <c r="EN44" s="67"/>
      <c r="EO44" s="455"/>
      <c r="ER44" s="472"/>
      <c r="ES44" s="472"/>
    </row>
    <row r="45" spans="1:149" ht="12.75" customHeight="1" x14ac:dyDescent="0.2">
      <c r="A45" s="442"/>
      <c r="B45" s="442"/>
      <c r="D45" s="455" t="s">
        <v>349</v>
      </c>
      <c r="E45" s="560"/>
      <c r="F45" s="442"/>
      <c r="G45" s="67">
        <f>SUM(G46:G49)</f>
        <v>0</v>
      </c>
      <c r="H45" s="67"/>
      <c r="I45" s="67"/>
      <c r="J45" s="560"/>
      <c r="K45" s="67"/>
      <c r="L45" s="67">
        <f>SUM(L46:L49)</f>
        <v>758012</v>
      </c>
      <c r="M45" s="67"/>
      <c r="N45" s="67"/>
      <c r="O45" s="560"/>
      <c r="P45" s="67"/>
      <c r="Q45" s="67">
        <f>SUM(Q46:Q49)</f>
        <v>592400</v>
      </c>
      <c r="R45" s="67"/>
      <c r="S45" s="67"/>
      <c r="T45" s="560"/>
      <c r="U45" s="67"/>
      <c r="V45" s="67">
        <f>SUM(V46:V49)</f>
        <v>0</v>
      </c>
      <c r="W45" s="67"/>
      <c r="X45" s="67"/>
      <c r="Y45" s="560"/>
      <c r="Z45" s="67"/>
      <c r="AA45" s="67">
        <f>SUM(AA46:AA49)</f>
        <v>0</v>
      </c>
      <c r="AB45" s="67"/>
      <c r="AC45" s="67"/>
      <c r="AD45" s="560"/>
      <c r="AE45" s="67"/>
      <c r="AF45" s="67">
        <f>SUM(AF46:AF49)</f>
        <v>0</v>
      </c>
      <c r="AG45" s="67"/>
      <c r="AH45" s="67"/>
      <c r="AI45" s="560"/>
      <c r="AJ45" s="67"/>
      <c r="AK45" s="67">
        <f>SUM(AK46:AK49)</f>
        <v>0</v>
      </c>
      <c r="AL45" s="67"/>
      <c r="AM45" s="67"/>
      <c r="AN45" s="560"/>
      <c r="AO45" s="67"/>
      <c r="AP45" s="67">
        <f>SUM(AP46:AP49)</f>
        <v>0</v>
      </c>
      <c r="AQ45" s="67"/>
      <c r="AR45" s="67"/>
      <c r="AS45" s="560"/>
      <c r="AT45" s="67"/>
      <c r="AU45" s="67">
        <f>SUM(AU46:AU49)</f>
        <v>0</v>
      </c>
      <c r="AV45" s="67"/>
      <c r="AW45" s="67"/>
      <c r="AX45" s="560"/>
      <c r="AY45" s="67"/>
      <c r="AZ45" s="67">
        <f>SUM(AZ46:AZ49)</f>
        <v>0</v>
      </c>
      <c r="BA45" s="67"/>
      <c r="BB45" s="67"/>
      <c r="BC45" s="560"/>
      <c r="BD45" s="67"/>
      <c r="BE45" s="67">
        <f>SUM(BE46:BE49)</f>
        <v>0</v>
      </c>
      <c r="BF45" s="67"/>
      <c r="BG45" s="67"/>
      <c r="BH45" s="560"/>
      <c r="BI45" s="67"/>
      <c r="BJ45" s="67">
        <f>SUM(BJ46:BJ49)</f>
        <v>0</v>
      </c>
      <c r="BK45" s="67"/>
      <c r="BL45" s="67"/>
      <c r="BM45" s="560"/>
      <c r="BN45" s="67"/>
      <c r="BO45" s="67">
        <f>SUM(BO46:BO49)</f>
        <v>0</v>
      </c>
      <c r="BP45" s="67"/>
      <c r="BQ45" s="67"/>
      <c r="BR45" s="560"/>
      <c r="BS45" s="67"/>
      <c r="BT45" s="67">
        <f>SUM(BT46:BT49)</f>
        <v>1350412</v>
      </c>
      <c r="BU45" s="67"/>
      <c r="BV45" s="67"/>
      <c r="BW45" s="560"/>
      <c r="BX45" s="67"/>
      <c r="BY45" s="67">
        <f>SUM(BY46:BY49)</f>
        <v>8017003</v>
      </c>
      <c r="BZ45" s="67"/>
      <c r="CA45" s="67"/>
      <c r="CB45" s="560"/>
      <c r="CC45" s="67"/>
      <c r="CD45" s="67">
        <f>SUM(CD46:CD49)</f>
        <v>180035</v>
      </c>
      <c r="CE45" s="67"/>
      <c r="CF45" s="67"/>
      <c r="CG45" s="560"/>
      <c r="CH45" s="67"/>
      <c r="CI45" s="67">
        <f>SUM(CI46:CI49)</f>
        <v>451598</v>
      </c>
      <c r="CJ45" s="67"/>
      <c r="CK45" s="67"/>
      <c r="CL45" s="560"/>
      <c r="CM45" s="67"/>
      <c r="CN45" s="67">
        <f>SUM(CN46:CN49)</f>
        <v>242544</v>
      </c>
      <c r="CO45" s="67"/>
      <c r="CP45" s="67"/>
      <c r="CQ45" s="560"/>
      <c r="CR45" s="67"/>
      <c r="CS45" s="67">
        <f>SUM(CS46:CS49)</f>
        <v>934738</v>
      </c>
      <c r="CT45" s="67"/>
      <c r="CU45" s="67"/>
      <c r="CV45" s="560"/>
      <c r="CW45" s="67"/>
      <c r="CX45" s="67">
        <f>SUM(CX46:CX49)</f>
        <v>1364565</v>
      </c>
      <c r="CY45" s="67"/>
      <c r="CZ45" s="67"/>
      <c r="DA45" s="560"/>
      <c r="DB45" s="67"/>
      <c r="DC45" s="67">
        <f>SUM(DC46:DC49)</f>
        <v>369427</v>
      </c>
      <c r="DD45" s="67"/>
      <c r="DE45" s="67"/>
      <c r="DF45" s="560"/>
      <c r="DG45" s="67"/>
      <c r="DH45" s="67">
        <f>SUM(DH46:DH49)</f>
        <v>1168651</v>
      </c>
      <c r="DI45" s="67"/>
      <c r="DJ45" s="67"/>
      <c r="DK45" s="560"/>
      <c r="DL45" s="67"/>
      <c r="DM45" s="67">
        <f>SUM(DM46:DM49)</f>
        <v>248013</v>
      </c>
      <c r="DN45" s="67"/>
      <c r="DO45" s="67"/>
      <c r="DP45" s="560"/>
      <c r="DQ45" s="67"/>
      <c r="DR45" s="67">
        <f>SUM(DR46:DR49)</f>
        <v>608756</v>
      </c>
      <c r="DS45" s="67"/>
      <c r="DT45" s="67"/>
      <c r="DU45" s="560"/>
      <c r="DV45" s="67"/>
      <c r="DW45" s="67">
        <f>SUM(DW46:DW49)</f>
        <v>927774</v>
      </c>
      <c r="DX45" s="67"/>
      <c r="DY45" s="67"/>
      <c r="DZ45" s="560"/>
      <c r="EA45" s="67"/>
      <c r="EB45" s="67">
        <f>SUM(EB46:EB49)</f>
        <v>1003132</v>
      </c>
      <c r="EC45" s="67"/>
      <c r="ED45" s="67"/>
      <c r="EE45" s="560"/>
      <c r="EF45" s="67"/>
      <c r="EG45" s="67">
        <f>SUM(EG46:EG49)</f>
        <v>517770</v>
      </c>
      <c r="EH45" s="67"/>
      <c r="EI45" s="67"/>
      <c r="EJ45" s="560"/>
      <c r="EK45" s="67"/>
      <c r="EL45" s="67">
        <f>SUM(EL46:EL49)</f>
        <v>631633</v>
      </c>
      <c r="EM45" s="67"/>
      <c r="EN45" s="67"/>
      <c r="EO45" s="455"/>
      <c r="ER45" s="472"/>
      <c r="ES45" s="472"/>
    </row>
    <row r="46" spans="1:149" ht="12.75" customHeight="1" x14ac:dyDescent="0.2">
      <c r="A46" s="442"/>
      <c r="B46" s="442"/>
      <c r="D46" s="455" t="s">
        <v>342</v>
      </c>
      <c r="E46" s="560"/>
      <c r="F46" s="473"/>
      <c r="G46" s="558">
        <v>0</v>
      </c>
      <c r="H46" s="559"/>
      <c r="I46" s="67"/>
      <c r="J46" s="560"/>
      <c r="K46" s="561"/>
      <c r="L46" s="558">
        <f>605000-189324</f>
        <v>415676</v>
      </c>
      <c r="M46" s="559"/>
      <c r="N46" s="67"/>
      <c r="O46" s="560"/>
      <c r="P46" s="561"/>
      <c r="Q46" s="558">
        <f>470000-150889</f>
        <v>319111</v>
      </c>
      <c r="R46" s="559"/>
      <c r="S46" s="67"/>
      <c r="T46" s="560"/>
      <c r="U46" s="561"/>
      <c r="V46" s="558">
        <v>0</v>
      </c>
      <c r="W46" s="559"/>
      <c r="X46" s="67"/>
      <c r="Y46" s="560"/>
      <c r="Z46" s="561"/>
      <c r="AA46" s="558">
        <v>0</v>
      </c>
      <c r="AB46" s="559"/>
      <c r="AC46" s="67"/>
      <c r="AD46" s="560"/>
      <c r="AE46" s="561"/>
      <c r="AF46" s="558">
        <v>0</v>
      </c>
      <c r="AG46" s="559"/>
      <c r="AH46" s="67"/>
      <c r="AI46" s="560"/>
      <c r="AJ46" s="561"/>
      <c r="AK46" s="558">
        <v>0</v>
      </c>
      <c r="AL46" s="559"/>
      <c r="AM46" s="67"/>
      <c r="AN46" s="560"/>
      <c r="AO46" s="561"/>
      <c r="AP46" s="558">
        <v>0</v>
      </c>
      <c r="AQ46" s="559"/>
      <c r="AR46" s="67"/>
      <c r="AS46" s="560"/>
      <c r="AT46" s="561"/>
      <c r="AU46" s="558">
        <v>0</v>
      </c>
      <c r="AV46" s="559"/>
      <c r="AW46" s="67"/>
      <c r="AX46" s="560"/>
      <c r="AY46" s="561"/>
      <c r="AZ46" s="558">
        <v>0</v>
      </c>
      <c r="BA46" s="559"/>
      <c r="BB46" s="67"/>
      <c r="BC46" s="560"/>
      <c r="BD46" s="561"/>
      <c r="BE46" s="558">
        <v>0</v>
      </c>
      <c r="BF46" s="559"/>
      <c r="BG46" s="67"/>
      <c r="BH46" s="560"/>
      <c r="BI46" s="561"/>
      <c r="BJ46" s="558">
        <v>0</v>
      </c>
      <c r="BK46" s="559"/>
      <c r="BL46" s="67"/>
      <c r="BM46" s="560"/>
      <c r="BN46" s="561"/>
      <c r="BO46" s="558">
        <v>0</v>
      </c>
      <c r="BP46" s="559"/>
      <c r="BQ46" s="67"/>
      <c r="BR46" s="560"/>
      <c r="BS46" s="561"/>
      <c r="BT46" s="558">
        <f>SUM(L46:BO46)</f>
        <v>734787</v>
      </c>
      <c r="BU46" s="559"/>
      <c r="BV46" s="67"/>
      <c r="BW46" s="560"/>
      <c r="BX46" s="561"/>
      <c r="BY46" s="558">
        <v>5047111</v>
      </c>
      <c r="BZ46" s="559"/>
      <c r="CA46" s="67"/>
      <c r="CB46" s="560"/>
      <c r="CC46" s="561"/>
      <c r="CD46" s="558">
        <f>150000-28734</f>
        <v>121266</v>
      </c>
      <c r="CE46" s="559"/>
      <c r="CF46" s="67"/>
      <c r="CG46" s="560"/>
      <c r="CH46" s="561"/>
      <c r="CI46" s="558">
        <f>375000-59360</f>
        <v>315640</v>
      </c>
      <c r="CJ46" s="559"/>
      <c r="CK46" s="67"/>
      <c r="CL46" s="560"/>
      <c r="CM46" s="561"/>
      <c r="CN46" s="558">
        <f>200000-37417</f>
        <v>162583</v>
      </c>
      <c r="CO46" s="559"/>
      <c r="CP46" s="67"/>
      <c r="CQ46" s="560"/>
      <c r="CR46" s="561"/>
      <c r="CS46" s="558">
        <f>765000-148926</f>
        <v>616074</v>
      </c>
      <c r="CT46" s="559"/>
      <c r="CU46" s="67"/>
      <c r="CV46" s="560"/>
      <c r="CW46" s="561"/>
      <c r="CX46" s="558">
        <f>1110000-237389</f>
        <v>872611</v>
      </c>
      <c r="CY46" s="559"/>
      <c r="CZ46" s="67"/>
      <c r="DA46" s="560"/>
      <c r="DB46" s="561"/>
      <c r="DC46" s="558">
        <f>300000-65094</f>
        <v>234906</v>
      </c>
      <c r="DD46" s="559"/>
      <c r="DE46" s="67"/>
      <c r="DF46" s="560"/>
      <c r="DG46" s="561"/>
      <c r="DH46" s="558">
        <f>945000-208838</f>
        <v>736162</v>
      </c>
      <c r="DI46" s="559"/>
      <c r="DJ46" s="67"/>
      <c r="DK46" s="560"/>
      <c r="DL46" s="561"/>
      <c r="DM46" s="558">
        <f>200000-46504</f>
        <v>153496</v>
      </c>
      <c r="DN46" s="559"/>
      <c r="DO46" s="67"/>
      <c r="DP46" s="560"/>
      <c r="DQ46" s="561"/>
      <c r="DR46" s="558">
        <f>490000-123771</f>
        <v>366229</v>
      </c>
      <c r="DS46" s="559"/>
      <c r="DT46" s="67"/>
      <c r="DU46" s="560"/>
      <c r="DV46" s="561"/>
      <c r="DW46" s="558">
        <f>745000-186023</f>
        <v>558977</v>
      </c>
      <c r="DX46" s="559"/>
      <c r="DY46" s="67"/>
      <c r="DZ46" s="560"/>
      <c r="EA46" s="561"/>
      <c r="EB46" s="558">
        <f>805000-200319</f>
        <v>604681</v>
      </c>
      <c r="EC46" s="559"/>
      <c r="ED46" s="67"/>
      <c r="EE46" s="560"/>
      <c r="EF46" s="561"/>
      <c r="EG46" s="558">
        <f>415000-110514</f>
        <v>304486</v>
      </c>
      <c r="EH46" s="559"/>
      <c r="EI46" s="67"/>
      <c r="EJ46" s="560"/>
      <c r="EK46" s="561"/>
      <c r="EL46" s="558">
        <f>SUM(CD46:CI46)</f>
        <v>436906</v>
      </c>
      <c r="EM46" s="559"/>
      <c r="EN46" s="67"/>
      <c r="EO46" s="455"/>
      <c r="ER46" s="472"/>
      <c r="ES46" s="472"/>
    </row>
    <row r="47" spans="1:149" ht="12.75" customHeight="1" x14ac:dyDescent="0.2">
      <c r="A47" s="442"/>
      <c r="B47" s="442"/>
      <c r="D47" s="455" t="s">
        <v>344</v>
      </c>
      <c r="E47" s="560"/>
      <c r="F47" s="465"/>
      <c r="G47" s="67">
        <v>0</v>
      </c>
      <c r="H47" s="66"/>
      <c r="I47" s="67"/>
      <c r="J47" s="560"/>
      <c r="K47" s="560"/>
      <c r="L47" s="67">
        <v>189324</v>
      </c>
      <c r="M47" s="66"/>
      <c r="N47" s="67"/>
      <c r="O47" s="560"/>
      <c r="P47" s="560"/>
      <c r="Q47" s="67">
        <v>150889</v>
      </c>
      <c r="R47" s="66"/>
      <c r="S47" s="67"/>
      <c r="T47" s="560"/>
      <c r="U47" s="560"/>
      <c r="V47" s="67">
        <v>0</v>
      </c>
      <c r="W47" s="66"/>
      <c r="X47" s="67"/>
      <c r="Y47" s="560"/>
      <c r="Z47" s="560"/>
      <c r="AA47" s="67">
        <v>0</v>
      </c>
      <c r="AB47" s="66"/>
      <c r="AC47" s="67"/>
      <c r="AD47" s="560"/>
      <c r="AE47" s="560"/>
      <c r="AF47" s="67">
        <v>0</v>
      </c>
      <c r="AG47" s="66"/>
      <c r="AH47" s="67"/>
      <c r="AI47" s="560"/>
      <c r="AJ47" s="560"/>
      <c r="AK47" s="67">
        <v>0</v>
      </c>
      <c r="AL47" s="66"/>
      <c r="AM47" s="67"/>
      <c r="AN47" s="560"/>
      <c r="AO47" s="560"/>
      <c r="AP47" s="67">
        <v>0</v>
      </c>
      <c r="AQ47" s="66"/>
      <c r="AR47" s="67"/>
      <c r="AS47" s="560"/>
      <c r="AT47" s="560"/>
      <c r="AU47" s="67">
        <v>0</v>
      </c>
      <c r="AV47" s="66"/>
      <c r="AW47" s="67"/>
      <c r="AX47" s="560"/>
      <c r="AY47" s="560"/>
      <c r="AZ47" s="67">
        <v>0</v>
      </c>
      <c r="BA47" s="66"/>
      <c r="BB47" s="67"/>
      <c r="BC47" s="560"/>
      <c r="BD47" s="560"/>
      <c r="BE47" s="67">
        <v>0</v>
      </c>
      <c r="BF47" s="66"/>
      <c r="BG47" s="67"/>
      <c r="BH47" s="560"/>
      <c r="BI47" s="560"/>
      <c r="BJ47" s="67">
        <v>0</v>
      </c>
      <c r="BK47" s="66"/>
      <c r="BL47" s="67"/>
      <c r="BM47" s="560"/>
      <c r="BN47" s="560"/>
      <c r="BO47" s="67">
        <v>0</v>
      </c>
      <c r="BP47" s="66"/>
      <c r="BQ47" s="67"/>
      <c r="BR47" s="560"/>
      <c r="BS47" s="560"/>
      <c r="BT47" s="67">
        <f>SUM(L47:BO47)</f>
        <v>340213</v>
      </c>
      <c r="BU47" s="66"/>
      <c r="BV47" s="67"/>
      <c r="BW47" s="560"/>
      <c r="BX47" s="560"/>
      <c r="BY47" s="67">
        <v>1452889</v>
      </c>
      <c r="BZ47" s="66"/>
      <c r="CA47" s="67"/>
      <c r="CB47" s="560"/>
      <c r="CC47" s="560"/>
      <c r="CD47" s="67">
        <v>28734</v>
      </c>
      <c r="CE47" s="66"/>
      <c r="CF47" s="67"/>
      <c r="CG47" s="560"/>
      <c r="CH47" s="560"/>
      <c r="CI47" s="67">
        <v>59360</v>
      </c>
      <c r="CJ47" s="66"/>
      <c r="CK47" s="67"/>
      <c r="CL47" s="560"/>
      <c r="CM47" s="560"/>
      <c r="CN47" s="67">
        <v>37417</v>
      </c>
      <c r="CO47" s="66"/>
      <c r="CP47" s="67"/>
      <c r="CQ47" s="560"/>
      <c r="CR47" s="560"/>
      <c r="CS47" s="67">
        <v>148926</v>
      </c>
      <c r="CT47" s="66"/>
      <c r="CU47" s="67"/>
      <c r="CV47" s="560"/>
      <c r="CW47" s="560"/>
      <c r="CX47" s="67">
        <v>237389</v>
      </c>
      <c r="CY47" s="66"/>
      <c r="CZ47" s="67"/>
      <c r="DA47" s="560"/>
      <c r="DB47" s="560"/>
      <c r="DC47" s="67">
        <v>65094</v>
      </c>
      <c r="DD47" s="66"/>
      <c r="DE47" s="67"/>
      <c r="DF47" s="560"/>
      <c r="DG47" s="560"/>
      <c r="DH47" s="67">
        <v>208838</v>
      </c>
      <c r="DI47" s="66"/>
      <c r="DJ47" s="67"/>
      <c r="DK47" s="560"/>
      <c r="DL47" s="560"/>
      <c r="DM47" s="67">
        <v>46504</v>
      </c>
      <c r="DN47" s="66"/>
      <c r="DO47" s="67"/>
      <c r="DP47" s="560"/>
      <c r="DQ47" s="560"/>
      <c r="DR47" s="67">
        <v>123771</v>
      </c>
      <c r="DS47" s="66"/>
      <c r="DT47" s="67"/>
      <c r="DU47" s="560"/>
      <c r="DV47" s="560"/>
      <c r="DW47" s="67">
        <v>186023</v>
      </c>
      <c r="DX47" s="66"/>
      <c r="DY47" s="67"/>
      <c r="DZ47" s="560"/>
      <c r="EA47" s="560"/>
      <c r="EB47" s="67">
        <v>200319</v>
      </c>
      <c r="EC47" s="66"/>
      <c r="ED47" s="67"/>
      <c r="EE47" s="560"/>
      <c r="EF47" s="560"/>
      <c r="EG47" s="67">
        <v>110514</v>
      </c>
      <c r="EH47" s="66"/>
      <c r="EI47" s="67"/>
      <c r="EJ47" s="560"/>
      <c r="EK47" s="560"/>
      <c r="EL47" s="67">
        <f>SUM(CD47:CI47)</f>
        <v>88094</v>
      </c>
      <c r="EM47" s="66"/>
      <c r="EN47" s="67"/>
      <c r="EO47" s="455"/>
      <c r="ER47" s="472"/>
      <c r="ES47" s="472"/>
    </row>
    <row r="48" spans="1:149" ht="12.75" customHeight="1" x14ac:dyDescent="0.2">
      <c r="A48" s="442"/>
      <c r="B48" s="442"/>
      <c r="D48" s="455" t="s">
        <v>345</v>
      </c>
      <c r="E48" s="560"/>
      <c r="F48" s="465"/>
      <c r="G48" s="67">
        <v>0</v>
      </c>
      <c r="H48" s="66"/>
      <c r="I48" s="67"/>
      <c r="J48" s="560"/>
      <c r="K48" s="560"/>
      <c r="L48" s="67">
        <v>0</v>
      </c>
      <c r="M48" s="66"/>
      <c r="N48" s="67"/>
      <c r="O48" s="560"/>
      <c r="P48" s="560"/>
      <c r="Q48" s="67">
        <v>0</v>
      </c>
      <c r="R48" s="66"/>
      <c r="S48" s="67"/>
      <c r="T48" s="560"/>
      <c r="U48" s="560"/>
      <c r="V48" s="67">
        <v>0</v>
      </c>
      <c r="W48" s="66"/>
      <c r="X48" s="67"/>
      <c r="Y48" s="560"/>
      <c r="Z48" s="560"/>
      <c r="AA48" s="67">
        <v>0</v>
      </c>
      <c r="AB48" s="66"/>
      <c r="AC48" s="67"/>
      <c r="AD48" s="560"/>
      <c r="AE48" s="560"/>
      <c r="AF48" s="67">
        <v>0</v>
      </c>
      <c r="AG48" s="66"/>
      <c r="AH48" s="67"/>
      <c r="AI48" s="560"/>
      <c r="AJ48" s="560"/>
      <c r="AK48" s="67">
        <v>0</v>
      </c>
      <c r="AL48" s="66"/>
      <c r="AM48" s="67"/>
      <c r="AN48" s="560"/>
      <c r="AO48" s="560"/>
      <c r="AP48" s="67">
        <v>0</v>
      </c>
      <c r="AQ48" s="66"/>
      <c r="AR48" s="67"/>
      <c r="AS48" s="560"/>
      <c r="AT48" s="560"/>
      <c r="AU48" s="67">
        <v>0</v>
      </c>
      <c r="AV48" s="66"/>
      <c r="AW48" s="67"/>
      <c r="AX48" s="560"/>
      <c r="AY48" s="560"/>
      <c r="AZ48" s="67">
        <v>0</v>
      </c>
      <c r="BA48" s="66"/>
      <c r="BB48" s="67"/>
      <c r="BC48" s="560"/>
      <c r="BD48" s="560"/>
      <c r="BE48" s="67">
        <v>0</v>
      </c>
      <c r="BF48" s="66"/>
      <c r="BG48" s="67"/>
      <c r="BH48" s="560"/>
      <c r="BI48" s="560"/>
      <c r="BJ48" s="67">
        <v>0</v>
      </c>
      <c r="BK48" s="66"/>
      <c r="BL48" s="67"/>
      <c r="BM48" s="560"/>
      <c r="BN48" s="560"/>
      <c r="BO48" s="67">
        <v>0</v>
      </c>
      <c r="BP48" s="66"/>
      <c r="BQ48" s="67"/>
      <c r="BR48" s="560"/>
      <c r="BS48" s="560"/>
      <c r="BT48" s="67">
        <f>SUM(L48:BO48)</f>
        <v>0</v>
      </c>
      <c r="BU48" s="66"/>
      <c r="BV48" s="67"/>
      <c r="BW48" s="560"/>
      <c r="BX48" s="560"/>
      <c r="BY48" s="67">
        <v>0</v>
      </c>
      <c r="BZ48" s="66"/>
      <c r="CA48" s="67"/>
      <c r="CB48" s="560"/>
      <c r="CC48" s="560"/>
      <c r="CD48" s="67">
        <v>0</v>
      </c>
      <c r="CE48" s="66"/>
      <c r="CF48" s="67"/>
      <c r="CG48" s="560"/>
      <c r="CH48" s="560"/>
      <c r="CI48" s="67">
        <v>0</v>
      </c>
      <c r="CJ48" s="66"/>
      <c r="CK48" s="67"/>
      <c r="CL48" s="560"/>
      <c r="CM48" s="560"/>
      <c r="CN48" s="67">
        <v>0</v>
      </c>
      <c r="CO48" s="66"/>
      <c r="CP48" s="67"/>
      <c r="CQ48" s="560"/>
      <c r="CR48" s="560"/>
      <c r="CS48" s="67">
        <v>0</v>
      </c>
      <c r="CT48" s="66"/>
      <c r="CU48" s="67"/>
      <c r="CV48" s="560"/>
      <c r="CW48" s="560"/>
      <c r="CX48" s="67">
        <v>0</v>
      </c>
      <c r="CY48" s="66"/>
      <c r="CZ48" s="67"/>
      <c r="DA48" s="560"/>
      <c r="DB48" s="560"/>
      <c r="DC48" s="67">
        <v>0</v>
      </c>
      <c r="DD48" s="66"/>
      <c r="DE48" s="67"/>
      <c r="DF48" s="560"/>
      <c r="DG48" s="560"/>
      <c r="DH48" s="67">
        <v>0</v>
      </c>
      <c r="DI48" s="66"/>
      <c r="DJ48" s="67"/>
      <c r="DK48" s="560"/>
      <c r="DL48" s="560"/>
      <c r="DM48" s="67">
        <v>0</v>
      </c>
      <c r="DN48" s="66"/>
      <c r="DO48" s="67"/>
      <c r="DP48" s="560"/>
      <c r="DQ48" s="560"/>
      <c r="DR48" s="67">
        <v>0</v>
      </c>
      <c r="DS48" s="66"/>
      <c r="DT48" s="67"/>
      <c r="DU48" s="560"/>
      <c r="DV48" s="560"/>
      <c r="DW48" s="67">
        <v>0</v>
      </c>
      <c r="DX48" s="66"/>
      <c r="DY48" s="67"/>
      <c r="DZ48" s="560"/>
      <c r="EA48" s="560"/>
      <c r="EB48" s="67">
        <v>0</v>
      </c>
      <c r="EC48" s="66"/>
      <c r="ED48" s="67"/>
      <c r="EE48" s="560"/>
      <c r="EF48" s="560"/>
      <c r="EG48" s="67">
        <v>0</v>
      </c>
      <c r="EH48" s="66"/>
      <c r="EI48" s="67"/>
      <c r="EJ48" s="560"/>
      <c r="EK48" s="560"/>
      <c r="EL48" s="67">
        <f>SUM(CD48:CI48)</f>
        <v>0</v>
      </c>
      <c r="EM48" s="66"/>
      <c r="EN48" s="67"/>
      <c r="EO48" s="455"/>
      <c r="ER48" s="472"/>
      <c r="ES48" s="472"/>
    </row>
    <row r="49" spans="1:149" ht="12.75" customHeight="1" x14ac:dyDescent="0.2">
      <c r="A49" s="442"/>
      <c r="B49" s="442"/>
      <c r="D49" s="455" t="s">
        <v>346</v>
      </c>
      <c r="E49" s="560"/>
      <c r="F49" s="488"/>
      <c r="G49" s="113">
        <v>0</v>
      </c>
      <c r="H49" s="112"/>
      <c r="I49" s="67"/>
      <c r="J49" s="560"/>
      <c r="K49" s="569"/>
      <c r="L49" s="113">
        <v>153012</v>
      </c>
      <c r="M49" s="112"/>
      <c r="N49" s="67"/>
      <c r="O49" s="560"/>
      <c r="P49" s="569"/>
      <c r="Q49" s="113">
        <v>122400</v>
      </c>
      <c r="R49" s="112"/>
      <c r="S49" s="67"/>
      <c r="T49" s="560"/>
      <c r="U49" s="569"/>
      <c r="V49" s="113">
        <v>0</v>
      </c>
      <c r="W49" s="112"/>
      <c r="X49" s="67"/>
      <c r="Y49" s="560"/>
      <c r="Z49" s="569"/>
      <c r="AA49" s="113">
        <v>0</v>
      </c>
      <c r="AB49" s="112"/>
      <c r="AC49" s="67"/>
      <c r="AD49" s="560"/>
      <c r="AE49" s="569"/>
      <c r="AF49" s="113">
        <v>0</v>
      </c>
      <c r="AG49" s="112"/>
      <c r="AH49" s="67"/>
      <c r="AI49" s="560"/>
      <c r="AJ49" s="569"/>
      <c r="AK49" s="113">
        <v>0</v>
      </c>
      <c r="AL49" s="112"/>
      <c r="AM49" s="67"/>
      <c r="AN49" s="560"/>
      <c r="AO49" s="569"/>
      <c r="AP49" s="113">
        <v>0</v>
      </c>
      <c r="AQ49" s="112"/>
      <c r="AR49" s="67"/>
      <c r="AS49" s="560"/>
      <c r="AT49" s="569"/>
      <c r="AU49" s="113">
        <v>0</v>
      </c>
      <c r="AV49" s="112"/>
      <c r="AW49" s="67"/>
      <c r="AX49" s="560"/>
      <c r="AY49" s="569"/>
      <c r="AZ49" s="113">
        <v>0</v>
      </c>
      <c r="BA49" s="112"/>
      <c r="BB49" s="67"/>
      <c r="BC49" s="560"/>
      <c r="BD49" s="569"/>
      <c r="BE49" s="113">
        <v>0</v>
      </c>
      <c r="BF49" s="112"/>
      <c r="BG49" s="67"/>
      <c r="BH49" s="560"/>
      <c r="BI49" s="569"/>
      <c r="BJ49" s="113">
        <v>0</v>
      </c>
      <c r="BK49" s="112"/>
      <c r="BL49" s="67"/>
      <c r="BM49" s="560"/>
      <c r="BN49" s="569"/>
      <c r="BO49" s="113">
        <v>0</v>
      </c>
      <c r="BP49" s="112"/>
      <c r="BQ49" s="67"/>
      <c r="BR49" s="560"/>
      <c r="BS49" s="569"/>
      <c r="BT49" s="113">
        <f>SUM(L49:BO49)</f>
        <v>275412</v>
      </c>
      <c r="BU49" s="112"/>
      <c r="BV49" s="67"/>
      <c r="BW49" s="560"/>
      <c r="BX49" s="569"/>
      <c r="BY49" s="113">
        <v>1517003</v>
      </c>
      <c r="BZ49" s="112"/>
      <c r="CA49" s="67"/>
      <c r="CB49" s="560"/>
      <c r="CC49" s="569"/>
      <c r="CD49" s="113">
        <v>30035</v>
      </c>
      <c r="CE49" s="112"/>
      <c r="CF49" s="67"/>
      <c r="CG49" s="560"/>
      <c r="CH49" s="569"/>
      <c r="CI49" s="113">
        <v>76598</v>
      </c>
      <c r="CJ49" s="112"/>
      <c r="CK49" s="67"/>
      <c r="CL49" s="560"/>
      <c r="CM49" s="569"/>
      <c r="CN49" s="113">
        <v>42544</v>
      </c>
      <c r="CO49" s="112"/>
      <c r="CP49" s="67"/>
      <c r="CQ49" s="560"/>
      <c r="CR49" s="569"/>
      <c r="CS49" s="113">
        <v>169738</v>
      </c>
      <c r="CT49" s="112"/>
      <c r="CU49" s="67"/>
      <c r="CV49" s="560"/>
      <c r="CW49" s="569"/>
      <c r="CX49" s="113">
        <v>254565</v>
      </c>
      <c r="CY49" s="112"/>
      <c r="CZ49" s="67"/>
      <c r="DA49" s="560"/>
      <c r="DB49" s="569"/>
      <c r="DC49" s="113">
        <v>69427</v>
      </c>
      <c r="DD49" s="112"/>
      <c r="DE49" s="67"/>
      <c r="DF49" s="560"/>
      <c r="DG49" s="569"/>
      <c r="DH49" s="113">
        <v>223651</v>
      </c>
      <c r="DI49" s="112"/>
      <c r="DJ49" s="67"/>
      <c r="DK49" s="560"/>
      <c r="DL49" s="569"/>
      <c r="DM49" s="113">
        <v>48013</v>
      </c>
      <c r="DN49" s="112"/>
      <c r="DO49" s="67"/>
      <c r="DP49" s="560"/>
      <c r="DQ49" s="569"/>
      <c r="DR49" s="113">
        <v>118756</v>
      </c>
      <c r="DS49" s="112"/>
      <c r="DT49" s="67"/>
      <c r="DU49" s="560"/>
      <c r="DV49" s="569"/>
      <c r="DW49" s="113">
        <v>182774</v>
      </c>
      <c r="DX49" s="112"/>
      <c r="DY49" s="67"/>
      <c r="DZ49" s="560"/>
      <c r="EA49" s="569"/>
      <c r="EB49" s="113">
        <v>198132</v>
      </c>
      <c r="EC49" s="112"/>
      <c r="ED49" s="67"/>
      <c r="EE49" s="560"/>
      <c r="EF49" s="569"/>
      <c r="EG49" s="113">
        <v>102770</v>
      </c>
      <c r="EH49" s="112"/>
      <c r="EI49" s="67"/>
      <c r="EJ49" s="560"/>
      <c r="EK49" s="569"/>
      <c r="EL49" s="113">
        <f>SUM(CD49:CI49)</f>
        <v>106633</v>
      </c>
      <c r="EM49" s="112"/>
      <c r="EN49" s="67"/>
      <c r="EO49" s="455"/>
      <c r="ER49" s="472"/>
      <c r="ES49" s="472"/>
    </row>
    <row r="50" spans="1:149" ht="12.75" customHeight="1" x14ac:dyDescent="0.2">
      <c r="A50" s="442"/>
      <c r="B50" s="442"/>
      <c r="D50" s="455"/>
      <c r="E50" s="560"/>
      <c r="F50" s="442"/>
      <c r="G50" s="67"/>
      <c r="H50" s="67"/>
      <c r="I50" s="67"/>
      <c r="J50" s="560"/>
      <c r="K50" s="67"/>
      <c r="L50" s="67"/>
      <c r="M50" s="67"/>
      <c r="N50" s="67"/>
      <c r="O50" s="560"/>
      <c r="P50" s="67"/>
      <c r="Q50" s="67"/>
      <c r="R50" s="67"/>
      <c r="S50" s="67"/>
      <c r="T50" s="560"/>
      <c r="U50" s="67"/>
      <c r="V50" s="67"/>
      <c r="W50" s="67"/>
      <c r="X50" s="67"/>
      <c r="Y50" s="560"/>
      <c r="Z50" s="67"/>
      <c r="AA50" s="67"/>
      <c r="AB50" s="67"/>
      <c r="AC50" s="67"/>
      <c r="AD50" s="560"/>
      <c r="AE50" s="67"/>
      <c r="AF50" s="67"/>
      <c r="AG50" s="67"/>
      <c r="AH50" s="67"/>
      <c r="AI50" s="560"/>
      <c r="AJ50" s="67"/>
      <c r="AK50" s="67"/>
      <c r="AL50" s="67"/>
      <c r="AM50" s="67"/>
      <c r="AN50" s="560"/>
      <c r="AO50" s="67"/>
      <c r="AP50" s="67"/>
      <c r="AQ50" s="67"/>
      <c r="AR50" s="67"/>
      <c r="AS50" s="560"/>
      <c r="AT50" s="67"/>
      <c r="AU50" s="67"/>
      <c r="AV50" s="67"/>
      <c r="AW50" s="67"/>
      <c r="AX50" s="560"/>
      <c r="AY50" s="67"/>
      <c r="AZ50" s="67"/>
      <c r="BA50" s="67"/>
      <c r="BB50" s="67"/>
      <c r="BC50" s="560"/>
      <c r="BD50" s="67"/>
      <c r="BE50" s="67"/>
      <c r="BF50" s="67"/>
      <c r="BG50" s="67"/>
      <c r="BH50" s="560"/>
      <c r="BI50" s="67"/>
      <c r="BJ50" s="67"/>
      <c r="BK50" s="67"/>
      <c r="BL50" s="67"/>
      <c r="BM50" s="560"/>
      <c r="BN50" s="67"/>
      <c r="BO50" s="67"/>
      <c r="BP50" s="67"/>
      <c r="BQ50" s="67"/>
      <c r="BR50" s="560"/>
      <c r="BS50" s="67"/>
      <c r="BT50" s="67"/>
      <c r="BU50" s="67"/>
      <c r="BV50" s="67"/>
      <c r="BW50" s="560"/>
      <c r="BX50" s="67"/>
      <c r="BY50" s="67"/>
      <c r="BZ50" s="67"/>
      <c r="CA50" s="67"/>
      <c r="CB50" s="560"/>
      <c r="CC50" s="67"/>
      <c r="CD50" s="67"/>
      <c r="CE50" s="67"/>
      <c r="CF50" s="67"/>
      <c r="CG50" s="560"/>
      <c r="CH50" s="67"/>
      <c r="CI50" s="67"/>
      <c r="CJ50" s="67"/>
      <c r="CK50" s="67"/>
      <c r="CL50" s="560"/>
      <c r="CM50" s="67"/>
      <c r="CN50" s="67"/>
      <c r="CO50" s="67"/>
      <c r="CP50" s="67"/>
      <c r="CQ50" s="560"/>
      <c r="CR50" s="67"/>
      <c r="CS50" s="67"/>
      <c r="CT50" s="67"/>
      <c r="CU50" s="67"/>
      <c r="CV50" s="560"/>
      <c r="CW50" s="67"/>
      <c r="CX50" s="67"/>
      <c r="CY50" s="67"/>
      <c r="CZ50" s="67"/>
      <c r="DA50" s="560"/>
      <c r="DB50" s="67"/>
      <c r="DC50" s="67"/>
      <c r="DD50" s="67"/>
      <c r="DE50" s="67"/>
      <c r="DF50" s="560"/>
      <c r="DG50" s="67"/>
      <c r="DH50" s="67"/>
      <c r="DI50" s="67"/>
      <c r="DJ50" s="67"/>
      <c r="DK50" s="560"/>
      <c r="DL50" s="67"/>
      <c r="DM50" s="67"/>
      <c r="DN50" s="67"/>
      <c r="DO50" s="67"/>
      <c r="DP50" s="560"/>
      <c r="DQ50" s="67"/>
      <c r="DR50" s="67"/>
      <c r="DS50" s="67"/>
      <c r="DT50" s="67"/>
      <c r="DU50" s="560"/>
      <c r="DV50" s="67"/>
      <c r="DW50" s="67"/>
      <c r="DX50" s="67"/>
      <c r="DY50" s="67"/>
      <c r="DZ50" s="560"/>
      <c r="EA50" s="67"/>
      <c r="EB50" s="67"/>
      <c r="EC50" s="67"/>
      <c r="ED50" s="67"/>
      <c r="EE50" s="560"/>
      <c r="EF50" s="67"/>
      <c r="EG50" s="67"/>
      <c r="EH50" s="67"/>
      <c r="EI50" s="67"/>
      <c r="EJ50" s="560"/>
      <c r="EK50" s="67"/>
      <c r="EL50" s="67"/>
      <c r="EM50" s="67"/>
      <c r="EN50" s="67"/>
      <c r="EO50" s="455"/>
      <c r="ER50" s="472"/>
      <c r="ES50" s="472"/>
    </row>
    <row r="51" spans="1:149" ht="12.75" customHeight="1" x14ac:dyDescent="0.2">
      <c r="A51" s="442"/>
      <c r="B51" s="442"/>
      <c r="D51" s="455" t="s">
        <v>350</v>
      </c>
      <c r="E51" s="560"/>
      <c r="F51" s="442"/>
      <c r="G51" s="67">
        <f>SUM(G52:G55)</f>
        <v>0</v>
      </c>
      <c r="H51" s="67"/>
      <c r="I51" s="67"/>
      <c r="J51" s="560"/>
      <c r="K51" s="67"/>
      <c r="L51" s="67">
        <f>SUM(L52:L55)</f>
        <v>982689</v>
      </c>
      <c r="M51" s="67"/>
      <c r="N51" s="67"/>
      <c r="O51" s="560"/>
      <c r="P51" s="67"/>
      <c r="Q51" s="67">
        <f>SUM(Q52:Q55)</f>
        <v>1986453</v>
      </c>
      <c r="R51" s="67"/>
      <c r="S51" s="67"/>
      <c r="T51" s="560"/>
      <c r="U51" s="67"/>
      <c r="V51" s="67">
        <f>SUM(V52:V55)</f>
        <v>0</v>
      </c>
      <c r="W51" s="67"/>
      <c r="X51" s="67"/>
      <c r="Y51" s="560"/>
      <c r="Z51" s="67"/>
      <c r="AA51" s="67">
        <f>SUM(AA52:AA55)</f>
        <v>0</v>
      </c>
      <c r="AB51" s="67"/>
      <c r="AC51" s="67"/>
      <c r="AD51" s="560"/>
      <c r="AE51" s="67"/>
      <c r="AF51" s="67">
        <f>SUM(AF52:AF55)</f>
        <v>0</v>
      </c>
      <c r="AG51" s="67"/>
      <c r="AH51" s="67"/>
      <c r="AI51" s="560"/>
      <c r="AJ51" s="67"/>
      <c r="AK51" s="67">
        <f>SUM(AK52:AK55)</f>
        <v>0</v>
      </c>
      <c r="AL51" s="67"/>
      <c r="AM51" s="67"/>
      <c r="AN51" s="560"/>
      <c r="AO51" s="67"/>
      <c r="AP51" s="67">
        <f>SUM(AP52:AP55)</f>
        <v>0</v>
      </c>
      <c r="AQ51" s="67"/>
      <c r="AR51" s="67"/>
      <c r="AS51" s="560"/>
      <c r="AT51" s="67"/>
      <c r="AU51" s="67">
        <f>SUM(AU52:AU55)</f>
        <v>0</v>
      </c>
      <c r="AV51" s="67"/>
      <c r="AW51" s="67"/>
      <c r="AX51" s="560"/>
      <c r="AY51" s="67"/>
      <c r="AZ51" s="67">
        <f>SUM(AZ52:AZ55)</f>
        <v>0</v>
      </c>
      <c r="BA51" s="67"/>
      <c r="BB51" s="67"/>
      <c r="BC51" s="560"/>
      <c r="BD51" s="67"/>
      <c r="BE51" s="67">
        <f>SUM(BE52:BE55)</f>
        <v>0</v>
      </c>
      <c r="BF51" s="67"/>
      <c r="BG51" s="67"/>
      <c r="BH51" s="560"/>
      <c r="BI51" s="67"/>
      <c r="BJ51" s="67">
        <f>SUM(BJ52:BJ55)</f>
        <v>0</v>
      </c>
      <c r="BK51" s="67"/>
      <c r="BL51" s="67"/>
      <c r="BM51" s="560"/>
      <c r="BN51" s="67"/>
      <c r="BO51" s="67">
        <f>SUM(BO52:BO55)</f>
        <v>0</v>
      </c>
      <c r="BP51" s="67"/>
      <c r="BQ51" s="67"/>
      <c r="BR51" s="560"/>
      <c r="BS51" s="67"/>
      <c r="BT51" s="67">
        <f>SUM(BT52:BT55)</f>
        <v>2969142</v>
      </c>
      <c r="BU51" s="67"/>
      <c r="BV51" s="67"/>
      <c r="BW51" s="560"/>
      <c r="BX51" s="67"/>
      <c r="BY51" s="67">
        <f>SUM(BY52:BY55)</f>
        <v>12727813</v>
      </c>
      <c r="BZ51" s="67"/>
      <c r="CA51" s="67"/>
      <c r="CB51" s="560"/>
      <c r="CC51" s="67"/>
      <c r="CD51" s="67">
        <f>SUM(CD52:CD55)</f>
        <v>590959</v>
      </c>
      <c r="CE51" s="67"/>
      <c r="CF51" s="67"/>
      <c r="CG51" s="560"/>
      <c r="CH51" s="67"/>
      <c r="CI51" s="67">
        <f>SUM(CI52:CI55)</f>
        <v>2259424</v>
      </c>
      <c r="CJ51" s="67"/>
      <c r="CK51" s="67"/>
      <c r="CL51" s="560"/>
      <c r="CM51" s="67"/>
      <c r="CN51" s="67">
        <f>SUM(CN52:CN55)</f>
        <v>903148</v>
      </c>
      <c r="CO51" s="67"/>
      <c r="CP51" s="67"/>
      <c r="CQ51" s="560"/>
      <c r="CR51" s="67"/>
      <c r="CS51" s="67">
        <f>SUM(CS52:CS55)</f>
        <v>1699018</v>
      </c>
      <c r="CT51" s="67"/>
      <c r="CU51" s="67"/>
      <c r="CV51" s="560"/>
      <c r="CW51" s="67"/>
      <c r="CX51" s="67">
        <f>SUM(CX52:CX55)</f>
        <v>316434</v>
      </c>
      <c r="CY51" s="67"/>
      <c r="CZ51" s="67"/>
      <c r="DA51" s="560"/>
      <c r="DB51" s="67"/>
      <c r="DC51" s="67">
        <f>SUM(DC52:DC55)</f>
        <v>454219</v>
      </c>
      <c r="DD51" s="67"/>
      <c r="DE51" s="67"/>
      <c r="DF51" s="560"/>
      <c r="DG51" s="67"/>
      <c r="DH51" s="67">
        <f>SUM(DH52:DH55)</f>
        <v>1592963</v>
      </c>
      <c r="DI51" s="67"/>
      <c r="DJ51" s="67"/>
      <c r="DK51" s="560"/>
      <c r="DL51" s="67"/>
      <c r="DM51" s="67">
        <f>SUM(DM52:DM55)</f>
        <v>1736282</v>
      </c>
      <c r="DN51" s="67"/>
      <c r="DO51" s="67"/>
      <c r="DP51" s="560"/>
      <c r="DQ51" s="67"/>
      <c r="DR51" s="67">
        <f>SUM(DR52:DR55)</f>
        <v>1027139</v>
      </c>
      <c r="DS51" s="67"/>
      <c r="DT51" s="67"/>
      <c r="DU51" s="560"/>
      <c r="DV51" s="67"/>
      <c r="DW51" s="67">
        <f>SUM(DW52:DW55)</f>
        <v>591085</v>
      </c>
      <c r="DX51" s="67"/>
      <c r="DY51" s="67"/>
      <c r="DZ51" s="560"/>
      <c r="EA51" s="67"/>
      <c r="EB51" s="67">
        <f>SUM(EB52:EB55)</f>
        <v>350464</v>
      </c>
      <c r="EC51" s="67"/>
      <c r="ED51" s="67"/>
      <c r="EE51" s="560"/>
      <c r="EF51" s="67"/>
      <c r="EG51" s="67">
        <f>SUM(EG52:EG55)</f>
        <v>1206678</v>
      </c>
      <c r="EH51" s="67"/>
      <c r="EI51" s="67"/>
      <c r="EJ51" s="560"/>
      <c r="EK51" s="67"/>
      <c r="EL51" s="67">
        <f>SUM(EL52:EL55)</f>
        <v>2850383</v>
      </c>
      <c r="EM51" s="67"/>
      <c r="EN51" s="67"/>
      <c r="EO51" s="455"/>
      <c r="ER51" s="472"/>
      <c r="ES51" s="472"/>
    </row>
    <row r="52" spans="1:149" ht="12.75" customHeight="1" x14ac:dyDescent="0.2">
      <c r="A52" s="442"/>
      <c r="B52" s="442"/>
      <c r="D52" s="455" t="s">
        <v>342</v>
      </c>
      <c r="E52" s="560"/>
      <c r="F52" s="473"/>
      <c r="G52" s="558">
        <v>0</v>
      </c>
      <c r="H52" s="559"/>
      <c r="I52" s="67"/>
      <c r="J52" s="560"/>
      <c r="K52" s="561"/>
      <c r="L52" s="558">
        <f>670000-314206</f>
        <v>355794</v>
      </c>
      <c r="M52" s="559"/>
      <c r="N52" s="67"/>
      <c r="O52" s="560"/>
      <c r="P52" s="561"/>
      <c r="Q52" s="558">
        <f>1345000-656147</f>
        <v>688853</v>
      </c>
      <c r="R52" s="559"/>
      <c r="S52" s="67"/>
      <c r="T52" s="560"/>
      <c r="U52" s="561"/>
      <c r="V52" s="558">
        <v>0</v>
      </c>
      <c r="W52" s="559"/>
      <c r="X52" s="67"/>
      <c r="Y52" s="560"/>
      <c r="Z52" s="561"/>
      <c r="AA52" s="558">
        <v>0</v>
      </c>
      <c r="AB52" s="559"/>
      <c r="AC52" s="67"/>
      <c r="AD52" s="560"/>
      <c r="AE52" s="561"/>
      <c r="AF52" s="558">
        <v>0</v>
      </c>
      <c r="AG52" s="559"/>
      <c r="AH52" s="67"/>
      <c r="AI52" s="560"/>
      <c r="AJ52" s="561"/>
      <c r="AK52" s="558">
        <v>0</v>
      </c>
      <c r="AL52" s="559"/>
      <c r="AM52" s="67"/>
      <c r="AN52" s="560"/>
      <c r="AO52" s="561"/>
      <c r="AP52" s="558">
        <v>0</v>
      </c>
      <c r="AQ52" s="559"/>
      <c r="AR52" s="67"/>
      <c r="AS52" s="560"/>
      <c r="AT52" s="561"/>
      <c r="AU52" s="558">
        <v>0</v>
      </c>
      <c r="AV52" s="559"/>
      <c r="AW52" s="67"/>
      <c r="AX52" s="560"/>
      <c r="AY52" s="561"/>
      <c r="AZ52" s="558">
        <v>0</v>
      </c>
      <c r="BA52" s="559"/>
      <c r="BB52" s="67"/>
      <c r="BC52" s="560"/>
      <c r="BD52" s="561"/>
      <c r="BE52" s="558">
        <v>0</v>
      </c>
      <c r="BF52" s="559"/>
      <c r="BG52" s="67"/>
      <c r="BH52" s="560"/>
      <c r="BI52" s="561"/>
      <c r="BJ52" s="558">
        <v>0</v>
      </c>
      <c r="BK52" s="559"/>
      <c r="BL52" s="67"/>
      <c r="BM52" s="560"/>
      <c r="BN52" s="561"/>
      <c r="BO52" s="558">
        <v>0</v>
      </c>
      <c r="BP52" s="559"/>
      <c r="BQ52" s="67"/>
      <c r="BR52" s="560"/>
      <c r="BS52" s="561"/>
      <c r="BT52" s="558">
        <f>SUM(L52:BO52)</f>
        <v>1044647</v>
      </c>
      <c r="BU52" s="559"/>
      <c r="BV52" s="67"/>
      <c r="BW52" s="560"/>
      <c r="BX52" s="561"/>
      <c r="BY52" s="558">
        <v>6147056</v>
      </c>
      <c r="BZ52" s="559"/>
      <c r="CA52" s="67"/>
      <c r="CB52" s="560"/>
      <c r="CC52" s="561"/>
      <c r="CD52" s="558">
        <f>420000-105371</f>
        <v>314629</v>
      </c>
      <c r="CE52" s="559"/>
      <c r="CF52" s="67"/>
      <c r="CG52" s="560"/>
      <c r="CH52" s="561"/>
      <c r="CI52" s="558">
        <f>1600000-346544</f>
        <v>1253456</v>
      </c>
      <c r="CJ52" s="559"/>
      <c r="CK52" s="67"/>
      <c r="CL52" s="560"/>
      <c r="CM52" s="561"/>
      <c r="CN52" s="558">
        <f>635000-161746</f>
        <v>473254</v>
      </c>
      <c r="CO52" s="559"/>
      <c r="CP52" s="67"/>
      <c r="CQ52" s="560"/>
      <c r="CR52" s="561"/>
      <c r="CS52" s="558">
        <f>1185000-302090</f>
        <v>882910</v>
      </c>
      <c r="CT52" s="559"/>
      <c r="CU52" s="67"/>
      <c r="CV52" s="560"/>
      <c r="CW52" s="561"/>
      <c r="CX52" s="558">
        <f>220000-60528</f>
        <v>159472</v>
      </c>
      <c r="CY52" s="559"/>
      <c r="CZ52" s="67"/>
      <c r="DA52" s="560"/>
      <c r="DB52" s="561"/>
      <c r="DC52" s="558">
        <f>315000-92691</f>
        <v>222309</v>
      </c>
      <c r="DD52" s="559"/>
      <c r="DE52" s="67"/>
      <c r="DF52" s="560"/>
      <c r="DG52" s="561"/>
      <c r="DH52" s="558">
        <f>1100000-334504</f>
        <v>765496</v>
      </c>
      <c r="DI52" s="559"/>
      <c r="DJ52" s="67"/>
      <c r="DK52" s="560"/>
      <c r="DL52" s="561"/>
      <c r="DM52" s="558">
        <f>1195000-407902</f>
        <v>787098</v>
      </c>
      <c r="DN52" s="559"/>
      <c r="DO52" s="67"/>
      <c r="DP52" s="560"/>
      <c r="DQ52" s="561"/>
      <c r="DR52" s="558">
        <f>705000-264352</f>
        <v>440648</v>
      </c>
      <c r="DS52" s="559"/>
      <c r="DT52" s="67"/>
      <c r="DU52" s="560"/>
      <c r="DV52" s="561"/>
      <c r="DW52" s="558">
        <f>405000-150522</f>
        <v>254478</v>
      </c>
      <c r="DX52" s="559"/>
      <c r="DY52" s="67"/>
      <c r="DZ52" s="560"/>
      <c r="EA52" s="561"/>
      <c r="EB52" s="558">
        <f>240000-88649</f>
        <v>151351</v>
      </c>
      <c r="EC52" s="559"/>
      <c r="ED52" s="67"/>
      <c r="EE52" s="560"/>
      <c r="EF52" s="561"/>
      <c r="EG52" s="558">
        <f>825000-383045</f>
        <v>441955</v>
      </c>
      <c r="EH52" s="559"/>
      <c r="EI52" s="67"/>
      <c r="EJ52" s="560"/>
      <c r="EK52" s="561"/>
      <c r="EL52" s="558">
        <f>SUM(CD52:CI52)</f>
        <v>1568085</v>
      </c>
      <c r="EM52" s="559"/>
      <c r="EN52" s="67"/>
      <c r="EO52" s="455"/>
      <c r="ER52" s="472"/>
      <c r="ES52" s="472"/>
    </row>
    <row r="53" spans="1:149" ht="12.75" customHeight="1" x14ac:dyDescent="0.2">
      <c r="A53" s="442"/>
      <c r="B53" s="442"/>
      <c r="D53" s="455" t="s">
        <v>344</v>
      </c>
      <c r="E53" s="560"/>
      <c r="F53" s="465"/>
      <c r="G53" s="67">
        <v>0</v>
      </c>
      <c r="H53" s="66"/>
      <c r="I53" s="67"/>
      <c r="J53" s="560"/>
      <c r="K53" s="560"/>
      <c r="L53" s="67">
        <v>314206</v>
      </c>
      <c r="M53" s="66"/>
      <c r="N53" s="67"/>
      <c r="O53" s="560"/>
      <c r="P53" s="560"/>
      <c r="Q53" s="67">
        <v>656147</v>
      </c>
      <c r="R53" s="66"/>
      <c r="S53" s="67"/>
      <c r="T53" s="560"/>
      <c r="U53" s="560"/>
      <c r="V53" s="67">
        <v>0</v>
      </c>
      <c r="W53" s="66"/>
      <c r="X53" s="67"/>
      <c r="Y53" s="560"/>
      <c r="Z53" s="560"/>
      <c r="AA53" s="67">
        <v>0</v>
      </c>
      <c r="AB53" s="66"/>
      <c r="AC53" s="67"/>
      <c r="AD53" s="560"/>
      <c r="AE53" s="560"/>
      <c r="AF53" s="67">
        <v>0</v>
      </c>
      <c r="AG53" s="66"/>
      <c r="AH53" s="67"/>
      <c r="AI53" s="560"/>
      <c r="AJ53" s="560"/>
      <c r="AK53" s="67">
        <v>0</v>
      </c>
      <c r="AL53" s="66"/>
      <c r="AM53" s="67"/>
      <c r="AN53" s="560"/>
      <c r="AO53" s="560"/>
      <c r="AP53" s="67">
        <v>0</v>
      </c>
      <c r="AQ53" s="66"/>
      <c r="AR53" s="67"/>
      <c r="AS53" s="560"/>
      <c r="AT53" s="560"/>
      <c r="AU53" s="67">
        <v>0</v>
      </c>
      <c r="AV53" s="66"/>
      <c r="AW53" s="67"/>
      <c r="AX53" s="560"/>
      <c r="AY53" s="560"/>
      <c r="AZ53" s="67">
        <v>0</v>
      </c>
      <c r="BA53" s="66"/>
      <c r="BB53" s="67"/>
      <c r="BC53" s="560"/>
      <c r="BD53" s="560"/>
      <c r="BE53" s="67">
        <v>0</v>
      </c>
      <c r="BF53" s="66"/>
      <c r="BG53" s="67"/>
      <c r="BH53" s="560"/>
      <c r="BI53" s="560"/>
      <c r="BJ53" s="67">
        <v>0</v>
      </c>
      <c r="BK53" s="66"/>
      <c r="BL53" s="67"/>
      <c r="BM53" s="560"/>
      <c r="BN53" s="560"/>
      <c r="BO53" s="67">
        <v>0</v>
      </c>
      <c r="BP53" s="66"/>
      <c r="BQ53" s="67"/>
      <c r="BR53" s="560"/>
      <c r="BS53" s="560"/>
      <c r="BT53" s="67">
        <f>SUM(L53:BO53)</f>
        <v>970353</v>
      </c>
      <c r="BU53" s="66"/>
      <c r="BV53" s="67"/>
      <c r="BW53" s="560"/>
      <c r="BX53" s="560"/>
      <c r="BY53" s="67">
        <v>2697944</v>
      </c>
      <c r="BZ53" s="66"/>
      <c r="CA53" s="67"/>
      <c r="CB53" s="560"/>
      <c r="CC53" s="560"/>
      <c r="CD53" s="67">
        <v>105371</v>
      </c>
      <c r="CE53" s="66"/>
      <c r="CF53" s="67"/>
      <c r="CG53" s="560"/>
      <c r="CH53" s="560"/>
      <c r="CI53" s="67">
        <v>346544</v>
      </c>
      <c r="CJ53" s="66"/>
      <c r="CK53" s="67"/>
      <c r="CL53" s="560"/>
      <c r="CM53" s="560"/>
      <c r="CN53" s="67">
        <v>161746</v>
      </c>
      <c r="CO53" s="66"/>
      <c r="CP53" s="67"/>
      <c r="CQ53" s="560"/>
      <c r="CR53" s="560"/>
      <c r="CS53" s="67">
        <v>302090</v>
      </c>
      <c r="CT53" s="66"/>
      <c r="CU53" s="67"/>
      <c r="CV53" s="560"/>
      <c r="CW53" s="560"/>
      <c r="CX53" s="67">
        <v>60528</v>
      </c>
      <c r="CY53" s="66"/>
      <c r="CZ53" s="67"/>
      <c r="DA53" s="560"/>
      <c r="DB53" s="560"/>
      <c r="DC53" s="67">
        <v>92691</v>
      </c>
      <c r="DD53" s="66"/>
      <c r="DE53" s="67"/>
      <c r="DF53" s="560"/>
      <c r="DG53" s="560"/>
      <c r="DH53" s="67">
        <v>334504</v>
      </c>
      <c r="DI53" s="66"/>
      <c r="DJ53" s="67"/>
      <c r="DK53" s="560"/>
      <c r="DL53" s="560"/>
      <c r="DM53" s="67">
        <v>407902</v>
      </c>
      <c r="DN53" s="66"/>
      <c r="DO53" s="67"/>
      <c r="DP53" s="560"/>
      <c r="DQ53" s="560"/>
      <c r="DR53" s="67">
        <v>264352</v>
      </c>
      <c r="DS53" s="66"/>
      <c r="DT53" s="67"/>
      <c r="DU53" s="560"/>
      <c r="DV53" s="560"/>
      <c r="DW53" s="67">
        <v>150522</v>
      </c>
      <c r="DX53" s="66"/>
      <c r="DY53" s="67"/>
      <c r="DZ53" s="560"/>
      <c r="EA53" s="560"/>
      <c r="EB53" s="67">
        <v>88649</v>
      </c>
      <c r="EC53" s="66"/>
      <c r="ED53" s="67"/>
      <c r="EE53" s="560"/>
      <c r="EF53" s="560"/>
      <c r="EG53" s="67">
        <v>383045</v>
      </c>
      <c r="EH53" s="66"/>
      <c r="EI53" s="67"/>
      <c r="EJ53" s="560"/>
      <c r="EK53" s="560"/>
      <c r="EL53" s="67">
        <f>SUM(CD53:CI53)</f>
        <v>451915</v>
      </c>
      <c r="EM53" s="66"/>
      <c r="EN53" s="67"/>
      <c r="EO53" s="455"/>
      <c r="ER53" s="472"/>
      <c r="ES53" s="472"/>
    </row>
    <row r="54" spans="1:149" ht="12.75" customHeight="1" x14ac:dyDescent="0.2">
      <c r="A54" s="442"/>
      <c r="B54" s="442"/>
      <c r="D54" s="455" t="s">
        <v>345</v>
      </c>
      <c r="E54" s="560"/>
      <c r="F54" s="465"/>
      <c r="G54" s="67">
        <v>0</v>
      </c>
      <c r="H54" s="66"/>
      <c r="I54" s="67"/>
      <c r="J54" s="560"/>
      <c r="K54" s="560"/>
      <c r="L54" s="67">
        <v>0</v>
      </c>
      <c r="M54" s="66"/>
      <c r="N54" s="67"/>
      <c r="O54" s="560"/>
      <c r="P54" s="560"/>
      <c r="Q54" s="67">
        <v>0</v>
      </c>
      <c r="R54" s="66"/>
      <c r="S54" s="67"/>
      <c r="T54" s="560"/>
      <c r="U54" s="560"/>
      <c r="V54" s="67">
        <v>0</v>
      </c>
      <c r="W54" s="66"/>
      <c r="X54" s="67"/>
      <c r="Y54" s="560"/>
      <c r="Z54" s="560"/>
      <c r="AA54" s="67">
        <v>0</v>
      </c>
      <c r="AB54" s="66"/>
      <c r="AC54" s="67"/>
      <c r="AD54" s="560"/>
      <c r="AE54" s="560"/>
      <c r="AF54" s="67">
        <v>0</v>
      </c>
      <c r="AG54" s="66"/>
      <c r="AH54" s="67"/>
      <c r="AI54" s="560"/>
      <c r="AJ54" s="560"/>
      <c r="AK54" s="67">
        <v>0</v>
      </c>
      <c r="AL54" s="66"/>
      <c r="AM54" s="67"/>
      <c r="AN54" s="560"/>
      <c r="AO54" s="560"/>
      <c r="AP54" s="67">
        <v>0</v>
      </c>
      <c r="AQ54" s="66"/>
      <c r="AR54" s="67"/>
      <c r="AS54" s="560"/>
      <c r="AT54" s="560"/>
      <c r="AU54" s="67">
        <v>0</v>
      </c>
      <c r="AV54" s="66"/>
      <c r="AW54" s="67"/>
      <c r="AX54" s="560"/>
      <c r="AY54" s="560"/>
      <c r="AZ54" s="67">
        <v>0</v>
      </c>
      <c r="BA54" s="66"/>
      <c r="BB54" s="67"/>
      <c r="BC54" s="560"/>
      <c r="BD54" s="560"/>
      <c r="BE54" s="67">
        <v>0</v>
      </c>
      <c r="BF54" s="66"/>
      <c r="BG54" s="67"/>
      <c r="BH54" s="560"/>
      <c r="BI54" s="560"/>
      <c r="BJ54" s="67">
        <v>0</v>
      </c>
      <c r="BK54" s="66"/>
      <c r="BL54" s="67"/>
      <c r="BM54" s="560"/>
      <c r="BN54" s="560"/>
      <c r="BO54" s="67">
        <v>0</v>
      </c>
      <c r="BP54" s="66"/>
      <c r="BQ54" s="67"/>
      <c r="BR54" s="560"/>
      <c r="BS54" s="560"/>
      <c r="BT54" s="67">
        <f>SUM(L54:BO54)</f>
        <v>0</v>
      </c>
      <c r="BU54" s="66"/>
      <c r="BV54" s="67"/>
      <c r="BW54" s="560"/>
      <c r="BX54" s="560"/>
      <c r="BY54" s="67">
        <v>0</v>
      </c>
      <c r="BZ54" s="66"/>
      <c r="CA54" s="67"/>
      <c r="CB54" s="560"/>
      <c r="CC54" s="560"/>
      <c r="CD54" s="67">
        <v>0</v>
      </c>
      <c r="CE54" s="66"/>
      <c r="CF54" s="67"/>
      <c r="CG54" s="560"/>
      <c r="CH54" s="560"/>
      <c r="CI54" s="67">
        <v>0</v>
      </c>
      <c r="CJ54" s="66"/>
      <c r="CK54" s="67"/>
      <c r="CL54" s="560"/>
      <c r="CM54" s="560"/>
      <c r="CN54" s="67">
        <v>0</v>
      </c>
      <c r="CO54" s="66"/>
      <c r="CP54" s="67"/>
      <c r="CQ54" s="560"/>
      <c r="CR54" s="560"/>
      <c r="CS54" s="67">
        <v>0</v>
      </c>
      <c r="CT54" s="66"/>
      <c r="CU54" s="67"/>
      <c r="CV54" s="560"/>
      <c r="CW54" s="560"/>
      <c r="CX54" s="67">
        <v>0</v>
      </c>
      <c r="CY54" s="66"/>
      <c r="CZ54" s="67"/>
      <c r="DA54" s="560"/>
      <c r="DB54" s="560"/>
      <c r="DC54" s="67">
        <v>0</v>
      </c>
      <c r="DD54" s="66"/>
      <c r="DE54" s="67"/>
      <c r="DF54" s="560"/>
      <c r="DG54" s="560"/>
      <c r="DH54" s="67">
        <v>0</v>
      </c>
      <c r="DI54" s="66"/>
      <c r="DJ54" s="67"/>
      <c r="DK54" s="560"/>
      <c r="DL54" s="560"/>
      <c r="DM54" s="67">
        <v>0</v>
      </c>
      <c r="DN54" s="66"/>
      <c r="DO54" s="67"/>
      <c r="DP54" s="560"/>
      <c r="DQ54" s="560"/>
      <c r="DR54" s="67">
        <v>0</v>
      </c>
      <c r="DS54" s="66"/>
      <c r="DT54" s="67"/>
      <c r="DU54" s="560"/>
      <c r="DV54" s="560"/>
      <c r="DW54" s="67">
        <v>0</v>
      </c>
      <c r="DX54" s="66"/>
      <c r="DY54" s="67"/>
      <c r="DZ54" s="560"/>
      <c r="EA54" s="560"/>
      <c r="EB54" s="67">
        <v>0</v>
      </c>
      <c r="EC54" s="66"/>
      <c r="ED54" s="67"/>
      <c r="EE54" s="560"/>
      <c r="EF54" s="560"/>
      <c r="EG54" s="67">
        <v>0</v>
      </c>
      <c r="EH54" s="66"/>
      <c r="EI54" s="67"/>
      <c r="EJ54" s="560"/>
      <c r="EK54" s="560"/>
      <c r="EL54" s="67">
        <f>SUM(CD54:CI54)</f>
        <v>0</v>
      </c>
      <c r="EM54" s="66"/>
      <c r="EN54" s="67"/>
      <c r="EO54" s="455"/>
      <c r="ER54" s="472"/>
      <c r="ES54" s="472"/>
    </row>
    <row r="55" spans="1:149" ht="12.75" customHeight="1" x14ac:dyDescent="0.2">
      <c r="A55" s="442"/>
      <c r="B55" s="442"/>
      <c r="D55" s="455" t="s">
        <v>346</v>
      </c>
      <c r="E55" s="560"/>
      <c r="F55" s="488"/>
      <c r="G55" s="113">
        <v>0</v>
      </c>
      <c r="H55" s="112"/>
      <c r="I55" s="67"/>
      <c r="J55" s="560"/>
      <c r="K55" s="569"/>
      <c r="L55" s="113">
        <v>312689</v>
      </c>
      <c r="M55" s="112"/>
      <c r="N55" s="67"/>
      <c r="O55" s="560"/>
      <c r="P55" s="569"/>
      <c r="Q55" s="113">
        <v>641453</v>
      </c>
      <c r="R55" s="112"/>
      <c r="S55" s="67"/>
      <c r="T55" s="560"/>
      <c r="U55" s="569"/>
      <c r="V55" s="113">
        <v>0</v>
      </c>
      <c r="W55" s="112"/>
      <c r="X55" s="67"/>
      <c r="Y55" s="560"/>
      <c r="Z55" s="569"/>
      <c r="AA55" s="113">
        <v>0</v>
      </c>
      <c r="AB55" s="112"/>
      <c r="AC55" s="67"/>
      <c r="AD55" s="560"/>
      <c r="AE55" s="569"/>
      <c r="AF55" s="113">
        <v>0</v>
      </c>
      <c r="AG55" s="112"/>
      <c r="AH55" s="67"/>
      <c r="AI55" s="560"/>
      <c r="AJ55" s="569"/>
      <c r="AK55" s="113">
        <v>0</v>
      </c>
      <c r="AL55" s="112"/>
      <c r="AM55" s="67"/>
      <c r="AN55" s="560"/>
      <c r="AO55" s="569"/>
      <c r="AP55" s="113">
        <v>0</v>
      </c>
      <c r="AQ55" s="112"/>
      <c r="AR55" s="67"/>
      <c r="AS55" s="560"/>
      <c r="AT55" s="569"/>
      <c r="AU55" s="113">
        <v>0</v>
      </c>
      <c r="AV55" s="112"/>
      <c r="AW55" s="67"/>
      <c r="AX55" s="560"/>
      <c r="AY55" s="569"/>
      <c r="AZ55" s="113">
        <v>0</v>
      </c>
      <c r="BA55" s="112"/>
      <c r="BB55" s="67"/>
      <c r="BC55" s="560"/>
      <c r="BD55" s="569"/>
      <c r="BE55" s="113">
        <v>0</v>
      </c>
      <c r="BF55" s="112"/>
      <c r="BG55" s="67"/>
      <c r="BH55" s="560"/>
      <c r="BI55" s="569"/>
      <c r="BJ55" s="113">
        <v>0</v>
      </c>
      <c r="BK55" s="112"/>
      <c r="BL55" s="67"/>
      <c r="BM55" s="560"/>
      <c r="BN55" s="569"/>
      <c r="BO55" s="113">
        <v>0</v>
      </c>
      <c r="BP55" s="112"/>
      <c r="BQ55" s="67"/>
      <c r="BR55" s="560"/>
      <c r="BS55" s="569"/>
      <c r="BT55" s="113">
        <f>SUM(L55:BO55)</f>
        <v>954142</v>
      </c>
      <c r="BU55" s="112"/>
      <c r="BV55" s="67"/>
      <c r="BW55" s="560"/>
      <c r="BX55" s="569"/>
      <c r="BY55" s="113">
        <v>3882813</v>
      </c>
      <c r="BZ55" s="112"/>
      <c r="CA55" s="67"/>
      <c r="CB55" s="560"/>
      <c r="CC55" s="569"/>
      <c r="CD55" s="113">
        <v>170959</v>
      </c>
      <c r="CE55" s="112"/>
      <c r="CF55" s="67"/>
      <c r="CG55" s="560"/>
      <c r="CH55" s="569"/>
      <c r="CI55" s="113">
        <v>659424</v>
      </c>
      <c r="CJ55" s="112"/>
      <c r="CK55" s="67"/>
      <c r="CL55" s="560"/>
      <c r="CM55" s="569"/>
      <c r="CN55" s="113">
        <v>268148</v>
      </c>
      <c r="CO55" s="112"/>
      <c r="CP55" s="67"/>
      <c r="CQ55" s="560"/>
      <c r="CR55" s="569"/>
      <c r="CS55" s="113">
        <v>514018</v>
      </c>
      <c r="CT55" s="112"/>
      <c r="CU55" s="67"/>
      <c r="CV55" s="560"/>
      <c r="CW55" s="569"/>
      <c r="CX55" s="113">
        <v>96434</v>
      </c>
      <c r="CY55" s="112"/>
      <c r="CZ55" s="67"/>
      <c r="DA55" s="560"/>
      <c r="DB55" s="569"/>
      <c r="DC55" s="113">
        <v>139219</v>
      </c>
      <c r="DD55" s="112"/>
      <c r="DE55" s="67"/>
      <c r="DF55" s="560"/>
      <c r="DG55" s="569"/>
      <c r="DH55" s="113">
        <v>492963</v>
      </c>
      <c r="DI55" s="112"/>
      <c r="DJ55" s="67"/>
      <c r="DK55" s="560"/>
      <c r="DL55" s="569"/>
      <c r="DM55" s="113">
        <v>541282</v>
      </c>
      <c r="DN55" s="112"/>
      <c r="DO55" s="67"/>
      <c r="DP55" s="560"/>
      <c r="DQ55" s="569"/>
      <c r="DR55" s="113">
        <v>322139</v>
      </c>
      <c r="DS55" s="112"/>
      <c r="DT55" s="67"/>
      <c r="DU55" s="560"/>
      <c r="DV55" s="569"/>
      <c r="DW55" s="113">
        <v>186085</v>
      </c>
      <c r="DX55" s="112"/>
      <c r="DY55" s="67"/>
      <c r="DZ55" s="560"/>
      <c r="EA55" s="569"/>
      <c r="EB55" s="113">
        <v>110464</v>
      </c>
      <c r="EC55" s="112"/>
      <c r="ED55" s="67"/>
      <c r="EE55" s="560"/>
      <c r="EF55" s="569"/>
      <c r="EG55" s="113">
        <v>381678</v>
      </c>
      <c r="EH55" s="112"/>
      <c r="EI55" s="67"/>
      <c r="EJ55" s="560"/>
      <c r="EK55" s="569"/>
      <c r="EL55" s="113">
        <f>SUM(CD55:CI55)</f>
        <v>830383</v>
      </c>
      <c r="EM55" s="112"/>
      <c r="EN55" s="67"/>
      <c r="EO55" s="455"/>
      <c r="ER55" s="472"/>
      <c r="ES55" s="472"/>
    </row>
    <row r="56" spans="1:149" x14ac:dyDescent="0.2">
      <c r="A56" s="442"/>
      <c r="B56" s="442"/>
      <c r="D56" s="455"/>
      <c r="E56" s="560"/>
      <c r="F56" s="442"/>
      <c r="G56" s="67"/>
      <c r="H56" s="67"/>
      <c r="I56" s="67"/>
      <c r="J56" s="560"/>
      <c r="K56" s="67"/>
      <c r="L56" s="67"/>
      <c r="M56" s="67"/>
      <c r="N56" s="67"/>
      <c r="O56" s="560"/>
      <c r="P56" s="67"/>
      <c r="Q56" s="67"/>
      <c r="R56" s="67"/>
      <c r="S56" s="67"/>
      <c r="T56" s="560"/>
      <c r="U56" s="67"/>
      <c r="V56" s="67"/>
      <c r="W56" s="67"/>
      <c r="X56" s="67"/>
      <c r="Y56" s="560"/>
      <c r="Z56" s="67"/>
      <c r="AA56" s="67"/>
      <c r="AB56" s="67"/>
      <c r="AC56" s="67"/>
      <c r="AD56" s="560"/>
      <c r="AE56" s="67"/>
      <c r="AF56" s="67"/>
      <c r="AG56" s="67"/>
      <c r="AH56" s="67"/>
      <c r="AI56" s="560"/>
      <c r="AJ56" s="67"/>
      <c r="AK56" s="67"/>
      <c r="AL56" s="67"/>
      <c r="AM56" s="67"/>
      <c r="AN56" s="560"/>
      <c r="AO56" s="67"/>
      <c r="AP56" s="67"/>
      <c r="AQ56" s="67"/>
      <c r="AR56" s="67"/>
      <c r="AS56" s="560"/>
      <c r="AT56" s="67"/>
      <c r="AU56" s="67"/>
      <c r="AV56" s="67"/>
      <c r="AW56" s="67"/>
      <c r="AX56" s="560"/>
      <c r="AY56" s="67"/>
      <c r="AZ56" s="67"/>
      <c r="BA56" s="67"/>
      <c r="BB56" s="67"/>
      <c r="BC56" s="560"/>
      <c r="BD56" s="67"/>
      <c r="BE56" s="67"/>
      <c r="BF56" s="67"/>
      <c r="BG56" s="67"/>
      <c r="BH56" s="560"/>
      <c r="BI56" s="67"/>
      <c r="BJ56" s="67"/>
      <c r="BK56" s="67"/>
      <c r="BL56" s="67"/>
      <c r="BM56" s="560"/>
      <c r="BN56" s="67"/>
      <c r="BO56" s="67"/>
      <c r="BP56" s="67"/>
      <c r="BQ56" s="67"/>
      <c r="BR56" s="560"/>
      <c r="BS56" s="67"/>
      <c r="BT56" s="67"/>
      <c r="BU56" s="67"/>
      <c r="BV56" s="67"/>
      <c r="BW56" s="560"/>
      <c r="BX56" s="67"/>
      <c r="BY56" s="67"/>
      <c r="BZ56" s="67"/>
      <c r="CA56" s="67"/>
      <c r="CB56" s="560"/>
      <c r="CC56" s="67"/>
      <c r="CD56" s="67"/>
      <c r="CE56" s="67"/>
      <c r="CF56" s="67"/>
      <c r="CG56" s="560"/>
      <c r="CH56" s="67"/>
      <c r="CI56" s="67"/>
      <c r="CJ56" s="67"/>
      <c r="CK56" s="67"/>
      <c r="CL56" s="560"/>
      <c r="CM56" s="67"/>
      <c r="CN56" s="67"/>
      <c r="CO56" s="67"/>
      <c r="CP56" s="67"/>
      <c r="CQ56" s="560"/>
      <c r="CR56" s="67"/>
      <c r="CS56" s="67"/>
      <c r="CT56" s="67"/>
      <c r="CU56" s="67"/>
      <c r="CV56" s="560"/>
      <c r="CW56" s="67"/>
      <c r="CX56" s="67"/>
      <c r="CY56" s="67"/>
      <c r="CZ56" s="67"/>
      <c r="DA56" s="560"/>
      <c r="DB56" s="67"/>
      <c r="DC56" s="67"/>
      <c r="DD56" s="67"/>
      <c r="DE56" s="67"/>
      <c r="DF56" s="560"/>
      <c r="DG56" s="67"/>
      <c r="DH56" s="67"/>
      <c r="DI56" s="67"/>
      <c r="DJ56" s="67"/>
      <c r="DK56" s="560"/>
      <c r="DL56" s="67"/>
      <c r="DM56" s="67"/>
      <c r="DN56" s="67"/>
      <c r="DO56" s="67"/>
      <c r="DP56" s="560"/>
      <c r="DQ56" s="67"/>
      <c r="DR56" s="67"/>
      <c r="DS56" s="67"/>
      <c r="DT56" s="67"/>
      <c r="DU56" s="560"/>
      <c r="DV56" s="67"/>
      <c r="DW56" s="67"/>
      <c r="DX56" s="67"/>
      <c r="DY56" s="67"/>
      <c r="DZ56" s="560"/>
      <c r="EA56" s="67"/>
      <c r="EB56" s="67"/>
      <c r="EC56" s="67"/>
      <c r="ED56" s="67"/>
      <c r="EE56" s="560"/>
      <c r="EF56" s="67"/>
      <c r="EG56" s="67"/>
      <c r="EH56" s="67"/>
      <c r="EI56" s="67"/>
      <c r="EJ56" s="560"/>
      <c r="EK56" s="67"/>
      <c r="EL56" s="67"/>
      <c r="EM56" s="67"/>
      <c r="EN56" s="67"/>
      <c r="EO56" s="455"/>
      <c r="ER56" s="472"/>
      <c r="ES56" s="472"/>
    </row>
    <row r="57" spans="1:149" ht="12.75" customHeight="1" x14ac:dyDescent="0.2">
      <c r="A57" s="442"/>
      <c r="B57" s="442"/>
      <c r="D57" s="455" t="s">
        <v>351</v>
      </c>
      <c r="E57" s="560"/>
      <c r="F57" s="442"/>
      <c r="G57" s="67">
        <f>SUM(G58:G60)</f>
        <v>0</v>
      </c>
      <c r="H57" s="67"/>
      <c r="I57" s="67"/>
      <c r="J57" s="560"/>
      <c r="K57" s="67"/>
      <c r="L57" s="67">
        <f>SUM(L58:L60)</f>
        <v>1510000</v>
      </c>
      <c r="M57" s="67"/>
      <c r="N57" s="67"/>
      <c r="O57" s="560"/>
      <c r="P57" s="67"/>
      <c r="Q57" s="67">
        <f>SUM(Q58:Q60)</f>
        <v>7508000</v>
      </c>
      <c r="R57" s="67"/>
      <c r="S57" s="67"/>
      <c r="T57" s="560"/>
      <c r="U57" s="67"/>
      <c r="V57" s="67">
        <f>SUM(V58:V60)</f>
        <v>0</v>
      </c>
      <c r="W57" s="67"/>
      <c r="X57" s="67"/>
      <c r="Y57" s="560"/>
      <c r="Z57" s="67"/>
      <c r="AA57" s="67">
        <f>SUM(AA58:AA60)</f>
        <v>0</v>
      </c>
      <c r="AB57" s="67"/>
      <c r="AC57" s="67"/>
      <c r="AD57" s="560"/>
      <c r="AE57" s="67"/>
      <c r="AF57" s="67">
        <f>SUM(AF58:AF60)</f>
        <v>0</v>
      </c>
      <c r="AG57" s="67"/>
      <c r="AH57" s="67"/>
      <c r="AI57" s="560"/>
      <c r="AJ57" s="67"/>
      <c r="AK57" s="67">
        <f>SUM(AK58:AK60)</f>
        <v>0</v>
      </c>
      <c r="AL57" s="67"/>
      <c r="AM57" s="67"/>
      <c r="AN57" s="560"/>
      <c r="AO57" s="67"/>
      <c r="AP57" s="67">
        <f>SUM(AP58:AP60)</f>
        <v>0</v>
      </c>
      <c r="AQ57" s="67"/>
      <c r="AR57" s="67"/>
      <c r="AS57" s="560"/>
      <c r="AT57" s="67"/>
      <c r="AU57" s="67">
        <f>SUM(AU58:AU60)</f>
        <v>0</v>
      </c>
      <c r="AV57" s="67"/>
      <c r="AW57" s="67"/>
      <c r="AX57" s="560"/>
      <c r="AY57" s="67"/>
      <c r="AZ57" s="67">
        <f>SUM(AZ58:AZ60)</f>
        <v>0</v>
      </c>
      <c r="BA57" s="67"/>
      <c r="BB57" s="67"/>
      <c r="BC57" s="560"/>
      <c r="BD57" s="67"/>
      <c r="BE57" s="67">
        <f>SUM(BE58:BE60)</f>
        <v>0</v>
      </c>
      <c r="BF57" s="67"/>
      <c r="BG57" s="67"/>
      <c r="BH57" s="560"/>
      <c r="BI57" s="67"/>
      <c r="BJ57" s="67">
        <f>SUM(BJ58:BJ60)</f>
        <v>0</v>
      </c>
      <c r="BK57" s="67"/>
      <c r="BL57" s="67"/>
      <c r="BM57" s="560"/>
      <c r="BN57" s="67"/>
      <c r="BO57" s="67">
        <f>SUM(BO58:BO60)</f>
        <v>0</v>
      </c>
      <c r="BP57" s="67"/>
      <c r="BQ57" s="67"/>
      <c r="BR57" s="560"/>
      <c r="BS57" s="67"/>
      <c r="BT57" s="67">
        <f>SUM(BT58:BT60)</f>
        <v>9018000</v>
      </c>
      <c r="BU57" s="67"/>
      <c r="BV57" s="67"/>
      <c r="BW57" s="560"/>
      <c r="BX57" s="67"/>
      <c r="BY57" s="67">
        <f>SUM(BY58:BY60)</f>
        <v>43345055</v>
      </c>
      <c r="BZ57" s="67"/>
      <c r="CA57" s="67"/>
      <c r="CB57" s="560"/>
      <c r="CC57" s="67"/>
      <c r="CD57" s="67">
        <f>SUM(CD58:CD60)</f>
        <v>3301000</v>
      </c>
      <c r="CE57" s="67"/>
      <c r="CF57" s="67"/>
      <c r="CG57" s="560"/>
      <c r="CH57" s="67"/>
      <c r="CI57" s="67">
        <f>SUM(CI58:CI60)</f>
        <v>2750055</v>
      </c>
      <c r="CJ57" s="67"/>
      <c r="CK57" s="67"/>
      <c r="CL57" s="560"/>
      <c r="CM57" s="67"/>
      <c r="CN57" s="67">
        <f>SUM(CN58:CN60)</f>
        <v>4397000</v>
      </c>
      <c r="CO57" s="67"/>
      <c r="CP57" s="67"/>
      <c r="CQ57" s="560"/>
      <c r="CR57" s="67"/>
      <c r="CS57" s="67">
        <f>SUM(CS58:CS60)</f>
        <v>3302000</v>
      </c>
      <c r="CT57" s="67"/>
      <c r="CU57" s="67"/>
      <c r="CV57" s="560"/>
      <c r="CW57" s="67"/>
      <c r="CX57" s="67">
        <f>SUM(CX58:CX60)</f>
        <v>4787000</v>
      </c>
      <c r="CY57" s="67"/>
      <c r="CZ57" s="67"/>
      <c r="DA57" s="560"/>
      <c r="DB57" s="67"/>
      <c r="DC57" s="67">
        <f>SUM(DC58:DC60)</f>
        <v>5287000</v>
      </c>
      <c r="DD57" s="67"/>
      <c r="DE57" s="67"/>
      <c r="DF57" s="560"/>
      <c r="DG57" s="67"/>
      <c r="DH57" s="67">
        <f>SUM(DH58:DH60)</f>
        <v>6794000</v>
      </c>
      <c r="DI57" s="67"/>
      <c r="DJ57" s="67"/>
      <c r="DK57" s="560"/>
      <c r="DL57" s="67"/>
      <c r="DM57" s="67">
        <f>SUM(DM58:DM60)</f>
        <v>2265000</v>
      </c>
      <c r="DN57" s="67"/>
      <c r="DO57" s="67"/>
      <c r="DP57" s="560"/>
      <c r="DQ57" s="67"/>
      <c r="DR57" s="67">
        <f>SUM(DR58:DR60)</f>
        <v>4529000</v>
      </c>
      <c r="DS57" s="67"/>
      <c r="DT57" s="67"/>
      <c r="DU57" s="560"/>
      <c r="DV57" s="67"/>
      <c r="DW57" s="67">
        <f>SUM(DW58:DW60)</f>
        <v>1534000</v>
      </c>
      <c r="DX57" s="67"/>
      <c r="DY57" s="67"/>
      <c r="DZ57" s="560"/>
      <c r="EA57" s="67"/>
      <c r="EB57" s="67">
        <f>SUM(EB58:EB60)</f>
        <v>4399000</v>
      </c>
      <c r="EC57" s="67"/>
      <c r="ED57" s="67"/>
      <c r="EE57" s="560"/>
      <c r="EF57" s="67"/>
      <c r="EG57" s="67">
        <f>SUM(EG58:EG60)</f>
        <v>0</v>
      </c>
      <c r="EH57" s="67"/>
      <c r="EI57" s="67"/>
      <c r="EJ57" s="560"/>
      <c r="EK57" s="67"/>
      <c r="EL57" s="67">
        <f>SUM(EL58:EL60)</f>
        <v>6051055</v>
      </c>
      <c r="EM57" s="67"/>
      <c r="EN57" s="67"/>
      <c r="EO57" s="455"/>
      <c r="ER57" s="472"/>
      <c r="ES57" s="472"/>
    </row>
    <row r="58" spans="1:149" ht="12.75" customHeight="1" x14ac:dyDescent="0.2">
      <c r="A58" s="442"/>
      <c r="B58" s="442"/>
      <c r="D58" s="455" t="s">
        <v>342</v>
      </c>
      <c r="E58" s="560"/>
      <c r="F58" s="473"/>
      <c r="G58" s="558">
        <v>0</v>
      </c>
      <c r="H58" s="559"/>
      <c r="I58" s="67"/>
      <c r="J58" s="560"/>
      <c r="K58" s="561"/>
      <c r="L58" s="558">
        <f>1510000-253860</f>
        <v>1256140</v>
      </c>
      <c r="M58" s="559"/>
      <c r="N58" s="67"/>
      <c r="O58" s="560"/>
      <c r="P58" s="561"/>
      <c r="Q58" s="558">
        <f>7508000-917243</f>
        <v>6590757</v>
      </c>
      <c r="R58" s="559"/>
      <c r="S58" s="67"/>
      <c r="T58" s="560"/>
      <c r="U58" s="561"/>
      <c r="V58" s="558">
        <v>0</v>
      </c>
      <c r="W58" s="559"/>
      <c r="X58" s="67"/>
      <c r="Y58" s="560"/>
      <c r="Z58" s="561"/>
      <c r="AA58" s="558">
        <v>0</v>
      </c>
      <c r="AB58" s="559"/>
      <c r="AC58" s="67"/>
      <c r="AD58" s="560"/>
      <c r="AE58" s="561"/>
      <c r="AF58" s="558">
        <v>0</v>
      </c>
      <c r="AG58" s="559"/>
      <c r="AH58" s="67"/>
      <c r="AI58" s="560"/>
      <c r="AJ58" s="561"/>
      <c r="AK58" s="558">
        <v>0</v>
      </c>
      <c r="AL58" s="559"/>
      <c r="AM58" s="67"/>
      <c r="AN58" s="560"/>
      <c r="AO58" s="561"/>
      <c r="AP58" s="558">
        <v>0</v>
      </c>
      <c r="AQ58" s="559"/>
      <c r="AR58" s="67"/>
      <c r="AS58" s="560"/>
      <c r="AT58" s="561"/>
      <c r="AU58" s="558">
        <v>0</v>
      </c>
      <c r="AV58" s="559"/>
      <c r="AW58" s="67"/>
      <c r="AX58" s="560"/>
      <c r="AY58" s="561"/>
      <c r="AZ58" s="558">
        <v>0</v>
      </c>
      <c r="BA58" s="559"/>
      <c r="BB58" s="67"/>
      <c r="BC58" s="560"/>
      <c r="BD58" s="561"/>
      <c r="BE58" s="558">
        <v>0</v>
      </c>
      <c r="BF58" s="559"/>
      <c r="BG58" s="67"/>
      <c r="BH58" s="560"/>
      <c r="BI58" s="561"/>
      <c r="BJ58" s="558">
        <v>0</v>
      </c>
      <c r="BK58" s="559"/>
      <c r="BL58" s="67"/>
      <c r="BM58" s="560"/>
      <c r="BN58" s="561"/>
      <c r="BO58" s="558">
        <v>0</v>
      </c>
      <c r="BP58" s="559"/>
      <c r="BQ58" s="67"/>
      <c r="BR58" s="560"/>
      <c r="BS58" s="561"/>
      <c r="BT58" s="558">
        <f>SUM(L58:BO58)</f>
        <v>7846897</v>
      </c>
      <c r="BU58" s="559"/>
      <c r="BV58" s="67"/>
      <c r="BW58" s="560"/>
      <c r="BX58" s="561"/>
      <c r="BY58" s="558">
        <v>40775369</v>
      </c>
      <c r="BZ58" s="559"/>
      <c r="CA58" s="67"/>
      <c r="CB58" s="560"/>
      <c r="CC58" s="561"/>
      <c r="CD58" s="558">
        <f>3301000-163830</f>
        <v>3137170</v>
      </c>
      <c r="CE58" s="559"/>
      <c r="CF58" s="67"/>
      <c r="CG58" s="560"/>
      <c r="CH58" s="561"/>
      <c r="CI58" s="558">
        <f>2750055-165548</f>
        <v>2584507</v>
      </c>
      <c r="CJ58" s="559"/>
      <c r="CK58" s="67"/>
      <c r="CL58" s="560"/>
      <c r="CM58" s="561"/>
      <c r="CN58" s="558">
        <f>4397000-272440</f>
        <v>4124560</v>
      </c>
      <c r="CO58" s="559"/>
      <c r="CP58" s="67"/>
      <c r="CQ58" s="560"/>
      <c r="CR58" s="561"/>
      <c r="CS58" s="558">
        <f>3302000-133787</f>
        <v>3168213</v>
      </c>
      <c r="CT58" s="559"/>
      <c r="CU58" s="67"/>
      <c r="CV58" s="560"/>
      <c r="CW58" s="561"/>
      <c r="CX58" s="558">
        <f>4787000-293432</f>
        <v>4493568</v>
      </c>
      <c r="CY58" s="559"/>
      <c r="CZ58" s="67"/>
      <c r="DA58" s="560"/>
      <c r="DB58" s="561"/>
      <c r="DC58" s="558">
        <f>5287000-271864</f>
        <v>5015136</v>
      </c>
      <c r="DD58" s="559"/>
      <c r="DE58" s="67"/>
      <c r="DF58" s="560"/>
      <c r="DG58" s="561"/>
      <c r="DH58" s="558">
        <f>6794000-375118</f>
        <v>6418882</v>
      </c>
      <c r="DI58" s="559"/>
      <c r="DJ58" s="67"/>
      <c r="DK58" s="560"/>
      <c r="DL58" s="561"/>
      <c r="DM58" s="558">
        <f>2265000-159336</f>
        <v>2105664</v>
      </c>
      <c r="DN58" s="559"/>
      <c r="DO58" s="67"/>
      <c r="DP58" s="560"/>
      <c r="DQ58" s="561"/>
      <c r="DR58" s="558">
        <f>4529000-353943</f>
        <v>4175057</v>
      </c>
      <c r="DS58" s="559"/>
      <c r="DT58" s="67"/>
      <c r="DU58" s="560"/>
      <c r="DV58" s="561"/>
      <c r="DW58" s="558">
        <f>1534000-99046</f>
        <v>1434954</v>
      </c>
      <c r="DX58" s="559"/>
      <c r="DY58" s="67"/>
      <c r="DZ58" s="560"/>
      <c r="EA58" s="561"/>
      <c r="EB58" s="558">
        <f>4399000-281342</f>
        <v>4117658</v>
      </c>
      <c r="EC58" s="559"/>
      <c r="ED58" s="67"/>
      <c r="EE58" s="560"/>
      <c r="EF58" s="561"/>
      <c r="EG58" s="558">
        <v>0</v>
      </c>
      <c r="EH58" s="559"/>
      <c r="EI58" s="67"/>
      <c r="EJ58" s="560"/>
      <c r="EK58" s="561"/>
      <c r="EL58" s="558">
        <f>SUM(CD58:CI58)</f>
        <v>5721677</v>
      </c>
      <c r="EM58" s="559"/>
      <c r="EN58" s="67"/>
      <c r="EO58" s="455"/>
      <c r="ER58" s="472"/>
      <c r="ES58" s="472"/>
    </row>
    <row r="59" spans="1:149" ht="12.75" customHeight="1" x14ac:dyDescent="0.2">
      <c r="A59" s="442"/>
      <c r="B59" s="442"/>
      <c r="D59" s="455" t="s">
        <v>344</v>
      </c>
      <c r="E59" s="560"/>
      <c r="F59" s="465"/>
      <c r="G59" s="67">
        <v>0</v>
      </c>
      <c r="H59" s="66"/>
      <c r="I59" s="67"/>
      <c r="J59" s="560"/>
      <c r="K59" s="560"/>
      <c r="L59" s="67">
        <v>253860</v>
      </c>
      <c r="M59" s="66"/>
      <c r="N59" s="67"/>
      <c r="O59" s="560"/>
      <c r="P59" s="560"/>
      <c r="Q59" s="67">
        <v>917243</v>
      </c>
      <c r="R59" s="66"/>
      <c r="S59" s="67"/>
      <c r="T59" s="560"/>
      <c r="U59" s="560"/>
      <c r="V59" s="67">
        <v>0</v>
      </c>
      <c r="W59" s="66"/>
      <c r="X59" s="67"/>
      <c r="Y59" s="560"/>
      <c r="Z59" s="560"/>
      <c r="AA59" s="67">
        <v>0</v>
      </c>
      <c r="AB59" s="66"/>
      <c r="AC59" s="67"/>
      <c r="AD59" s="560"/>
      <c r="AE59" s="560"/>
      <c r="AF59" s="67">
        <v>0</v>
      </c>
      <c r="AG59" s="66"/>
      <c r="AH59" s="67"/>
      <c r="AI59" s="560"/>
      <c r="AJ59" s="560"/>
      <c r="AK59" s="67">
        <v>0</v>
      </c>
      <c r="AL59" s="66"/>
      <c r="AM59" s="67"/>
      <c r="AN59" s="560"/>
      <c r="AO59" s="560"/>
      <c r="AP59" s="67">
        <v>0</v>
      </c>
      <c r="AQ59" s="66"/>
      <c r="AR59" s="67"/>
      <c r="AS59" s="560"/>
      <c r="AT59" s="560"/>
      <c r="AU59" s="67">
        <v>0</v>
      </c>
      <c r="AV59" s="66"/>
      <c r="AW59" s="67"/>
      <c r="AX59" s="560"/>
      <c r="AY59" s="560"/>
      <c r="AZ59" s="67">
        <v>0</v>
      </c>
      <c r="BA59" s="66"/>
      <c r="BB59" s="67"/>
      <c r="BC59" s="560"/>
      <c r="BD59" s="560"/>
      <c r="BE59" s="67">
        <v>0</v>
      </c>
      <c r="BF59" s="66"/>
      <c r="BG59" s="67"/>
      <c r="BH59" s="560"/>
      <c r="BI59" s="560"/>
      <c r="BJ59" s="67">
        <v>0</v>
      </c>
      <c r="BK59" s="66"/>
      <c r="BL59" s="67"/>
      <c r="BM59" s="560"/>
      <c r="BN59" s="560"/>
      <c r="BO59" s="67">
        <v>0</v>
      </c>
      <c r="BP59" s="66"/>
      <c r="BQ59" s="67"/>
      <c r="BR59" s="560"/>
      <c r="BS59" s="560"/>
      <c r="BT59" s="67">
        <f>SUM(L59:BO59)</f>
        <v>1171103</v>
      </c>
      <c r="BU59" s="66"/>
      <c r="BV59" s="67"/>
      <c r="BW59" s="560"/>
      <c r="BX59" s="560"/>
      <c r="BY59" s="67">
        <v>2569686</v>
      </c>
      <c r="BZ59" s="66"/>
      <c r="CA59" s="67"/>
      <c r="CB59" s="560"/>
      <c r="CC59" s="560"/>
      <c r="CD59" s="67">
        <v>163830</v>
      </c>
      <c r="CE59" s="66"/>
      <c r="CF59" s="67"/>
      <c r="CG59" s="560"/>
      <c r="CH59" s="560"/>
      <c r="CI59" s="67">
        <v>165548</v>
      </c>
      <c r="CJ59" s="66"/>
      <c r="CK59" s="67"/>
      <c r="CL59" s="560"/>
      <c r="CM59" s="560"/>
      <c r="CN59" s="67">
        <v>272440</v>
      </c>
      <c r="CO59" s="66"/>
      <c r="CP59" s="67"/>
      <c r="CQ59" s="560"/>
      <c r="CR59" s="560"/>
      <c r="CS59" s="67">
        <v>133787</v>
      </c>
      <c r="CT59" s="66"/>
      <c r="CU59" s="67"/>
      <c r="CV59" s="560"/>
      <c r="CW59" s="560"/>
      <c r="CX59" s="67">
        <v>293432</v>
      </c>
      <c r="CY59" s="66"/>
      <c r="CZ59" s="67"/>
      <c r="DA59" s="560"/>
      <c r="DB59" s="560"/>
      <c r="DC59" s="67">
        <v>271864</v>
      </c>
      <c r="DD59" s="66"/>
      <c r="DE59" s="67"/>
      <c r="DF59" s="560"/>
      <c r="DG59" s="560"/>
      <c r="DH59" s="67">
        <v>375118</v>
      </c>
      <c r="DI59" s="66"/>
      <c r="DJ59" s="67"/>
      <c r="DK59" s="560"/>
      <c r="DL59" s="560"/>
      <c r="DM59" s="67">
        <v>159336</v>
      </c>
      <c r="DN59" s="66"/>
      <c r="DO59" s="67"/>
      <c r="DP59" s="560"/>
      <c r="DQ59" s="560"/>
      <c r="DR59" s="67">
        <v>353943</v>
      </c>
      <c r="DS59" s="66"/>
      <c r="DT59" s="67"/>
      <c r="DU59" s="560"/>
      <c r="DV59" s="560"/>
      <c r="DW59" s="67">
        <v>99046</v>
      </c>
      <c r="DX59" s="66"/>
      <c r="DY59" s="67"/>
      <c r="DZ59" s="560"/>
      <c r="EA59" s="560"/>
      <c r="EB59" s="67">
        <v>281342</v>
      </c>
      <c r="EC59" s="66"/>
      <c r="ED59" s="67"/>
      <c r="EE59" s="560"/>
      <c r="EF59" s="560"/>
      <c r="EG59" s="67">
        <v>0</v>
      </c>
      <c r="EH59" s="66"/>
      <c r="EI59" s="67"/>
      <c r="EJ59" s="560"/>
      <c r="EK59" s="560"/>
      <c r="EL59" s="67">
        <f>SUM(CD59:CI59)</f>
        <v>329378</v>
      </c>
      <c r="EM59" s="66"/>
      <c r="EN59" s="67"/>
      <c r="EO59" s="455"/>
      <c r="ER59" s="472"/>
      <c r="ES59" s="472"/>
    </row>
    <row r="60" spans="1:149" ht="12.75" customHeight="1" x14ac:dyDescent="0.2">
      <c r="A60" s="442"/>
      <c r="B60" s="442"/>
      <c r="D60" s="455" t="s">
        <v>352</v>
      </c>
      <c r="E60" s="560"/>
      <c r="F60" s="488"/>
      <c r="G60" s="113">
        <v>0</v>
      </c>
      <c r="H60" s="112"/>
      <c r="I60" s="67"/>
      <c r="J60" s="560"/>
      <c r="K60" s="569"/>
      <c r="L60" s="113">
        <v>0</v>
      </c>
      <c r="M60" s="112"/>
      <c r="N60" s="67"/>
      <c r="O60" s="560"/>
      <c r="P60" s="569"/>
      <c r="Q60" s="113">
        <v>0</v>
      </c>
      <c r="R60" s="112"/>
      <c r="S60" s="67"/>
      <c r="T60" s="560"/>
      <c r="U60" s="569"/>
      <c r="V60" s="113">
        <v>0</v>
      </c>
      <c r="W60" s="112"/>
      <c r="X60" s="67"/>
      <c r="Y60" s="560"/>
      <c r="Z60" s="569"/>
      <c r="AA60" s="113">
        <v>0</v>
      </c>
      <c r="AB60" s="112"/>
      <c r="AC60" s="67"/>
      <c r="AD60" s="560"/>
      <c r="AE60" s="569"/>
      <c r="AF60" s="113">
        <v>0</v>
      </c>
      <c r="AG60" s="112"/>
      <c r="AH60" s="67"/>
      <c r="AI60" s="560"/>
      <c r="AJ60" s="569"/>
      <c r="AK60" s="113">
        <v>0</v>
      </c>
      <c r="AL60" s="112"/>
      <c r="AM60" s="67"/>
      <c r="AN60" s="560"/>
      <c r="AO60" s="569"/>
      <c r="AP60" s="113">
        <v>0</v>
      </c>
      <c r="AQ60" s="112"/>
      <c r="AR60" s="67"/>
      <c r="AS60" s="560"/>
      <c r="AT60" s="569"/>
      <c r="AU60" s="113">
        <v>0</v>
      </c>
      <c r="AV60" s="112"/>
      <c r="AW60" s="67"/>
      <c r="AX60" s="560"/>
      <c r="AY60" s="569"/>
      <c r="AZ60" s="113">
        <v>0</v>
      </c>
      <c r="BA60" s="112"/>
      <c r="BB60" s="67"/>
      <c r="BC60" s="560"/>
      <c r="BD60" s="569"/>
      <c r="BE60" s="113">
        <v>0</v>
      </c>
      <c r="BF60" s="112"/>
      <c r="BG60" s="67"/>
      <c r="BH60" s="560"/>
      <c r="BI60" s="569"/>
      <c r="BJ60" s="113">
        <v>0</v>
      </c>
      <c r="BK60" s="112"/>
      <c r="BL60" s="67"/>
      <c r="BM60" s="560"/>
      <c r="BN60" s="569"/>
      <c r="BO60" s="113">
        <v>0</v>
      </c>
      <c r="BP60" s="112"/>
      <c r="BQ60" s="67"/>
      <c r="BR60" s="560"/>
      <c r="BS60" s="569"/>
      <c r="BT60" s="113">
        <f>SUM(L60:BO60)</f>
        <v>0</v>
      </c>
      <c r="BU60" s="112"/>
      <c r="BV60" s="67"/>
      <c r="BW60" s="560"/>
      <c r="BX60" s="569"/>
      <c r="BY60" s="113">
        <v>0</v>
      </c>
      <c r="BZ60" s="112"/>
      <c r="CA60" s="67"/>
      <c r="CB60" s="560"/>
      <c r="CC60" s="569"/>
      <c r="CD60" s="113">
        <v>0</v>
      </c>
      <c r="CE60" s="112"/>
      <c r="CF60" s="67"/>
      <c r="CG60" s="560"/>
      <c r="CH60" s="569"/>
      <c r="CI60" s="113">
        <v>0</v>
      </c>
      <c r="CJ60" s="112"/>
      <c r="CK60" s="67"/>
      <c r="CL60" s="560"/>
      <c r="CM60" s="569"/>
      <c r="CN60" s="113">
        <v>0</v>
      </c>
      <c r="CO60" s="112"/>
      <c r="CP60" s="67"/>
      <c r="CQ60" s="560"/>
      <c r="CR60" s="569"/>
      <c r="CS60" s="113">
        <v>0</v>
      </c>
      <c r="CT60" s="112"/>
      <c r="CU60" s="67"/>
      <c r="CV60" s="560"/>
      <c r="CW60" s="569"/>
      <c r="CX60" s="113">
        <v>0</v>
      </c>
      <c r="CY60" s="112"/>
      <c r="CZ60" s="67"/>
      <c r="DA60" s="560"/>
      <c r="DB60" s="569"/>
      <c r="DC60" s="113">
        <v>0</v>
      </c>
      <c r="DD60" s="112"/>
      <c r="DE60" s="67"/>
      <c r="DF60" s="560"/>
      <c r="DG60" s="569"/>
      <c r="DH60" s="113">
        <v>0</v>
      </c>
      <c r="DI60" s="112"/>
      <c r="DJ60" s="67"/>
      <c r="DK60" s="560"/>
      <c r="DL60" s="569"/>
      <c r="DM60" s="113">
        <v>0</v>
      </c>
      <c r="DN60" s="112"/>
      <c r="DO60" s="67"/>
      <c r="DP60" s="560"/>
      <c r="DQ60" s="569"/>
      <c r="DR60" s="113">
        <v>0</v>
      </c>
      <c r="DS60" s="112"/>
      <c r="DT60" s="67"/>
      <c r="DU60" s="560"/>
      <c r="DV60" s="569"/>
      <c r="DW60" s="113">
        <v>0</v>
      </c>
      <c r="DX60" s="112"/>
      <c r="DY60" s="67"/>
      <c r="DZ60" s="560"/>
      <c r="EA60" s="569"/>
      <c r="EB60" s="113">
        <v>0</v>
      </c>
      <c r="EC60" s="112"/>
      <c r="ED60" s="67"/>
      <c r="EE60" s="560"/>
      <c r="EF60" s="569"/>
      <c r="EG60" s="113">
        <v>0</v>
      </c>
      <c r="EH60" s="112"/>
      <c r="EI60" s="67"/>
      <c r="EJ60" s="560"/>
      <c r="EK60" s="569"/>
      <c r="EL60" s="113">
        <f>SUM(CD60:CI60)</f>
        <v>0</v>
      </c>
      <c r="EM60" s="112"/>
      <c r="EN60" s="67"/>
      <c r="EO60" s="455"/>
      <c r="ER60" s="472"/>
      <c r="ES60" s="472"/>
    </row>
    <row r="61" spans="1:149" ht="12.75" customHeight="1" x14ac:dyDescent="0.2">
      <c r="A61" s="442"/>
      <c r="B61" s="442"/>
      <c r="D61" s="455"/>
      <c r="E61" s="560"/>
      <c r="F61" s="442"/>
      <c r="G61" s="67"/>
      <c r="H61" s="67"/>
      <c r="I61" s="67"/>
      <c r="J61" s="560"/>
      <c r="K61" s="67"/>
      <c r="L61" s="67"/>
      <c r="M61" s="67"/>
      <c r="N61" s="67"/>
      <c r="O61" s="560"/>
      <c r="P61" s="67"/>
      <c r="Q61" s="67"/>
      <c r="R61" s="67"/>
      <c r="S61" s="67"/>
      <c r="T61" s="560"/>
      <c r="U61" s="67"/>
      <c r="V61" s="67"/>
      <c r="W61" s="67"/>
      <c r="X61" s="67"/>
      <c r="Y61" s="560"/>
      <c r="Z61" s="67"/>
      <c r="AA61" s="67"/>
      <c r="AB61" s="67"/>
      <c r="AC61" s="67"/>
      <c r="AD61" s="560"/>
      <c r="AE61" s="67"/>
      <c r="AF61" s="67"/>
      <c r="AG61" s="67"/>
      <c r="AH61" s="67"/>
      <c r="AI61" s="560"/>
      <c r="AJ61" s="67"/>
      <c r="AK61" s="67"/>
      <c r="AL61" s="67"/>
      <c r="AM61" s="67"/>
      <c r="AN61" s="560"/>
      <c r="AO61" s="67"/>
      <c r="AP61" s="67"/>
      <c r="AQ61" s="67"/>
      <c r="AR61" s="67"/>
      <c r="AS61" s="560"/>
      <c r="AT61" s="67"/>
      <c r="AU61" s="67"/>
      <c r="AV61" s="67"/>
      <c r="AW61" s="67"/>
      <c r="AX61" s="560"/>
      <c r="AY61" s="67"/>
      <c r="AZ61" s="67"/>
      <c r="BA61" s="67"/>
      <c r="BB61" s="67"/>
      <c r="BC61" s="560"/>
      <c r="BD61" s="67"/>
      <c r="BE61" s="67"/>
      <c r="BF61" s="67"/>
      <c r="BG61" s="67"/>
      <c r="BH61" s="560"/>
      <c r="BI61" s="67"/>
      <c r="BJ61" s="67"/>
      <c r="BK61" s="67"/>
      <c r="BL61" s="67"/>
      <c r="BM61" s="560"/>
      <c r="BN61" s="67"/>
      <c r="BO61" s="67"/>
      <c r="BP61" s="67"/>
      <c r="BQ61" s="67"/>
      <c r="BR61" s="560"/>
      <c r="BS61" s="67"/>
      <c r="BT61" s="67"/>
      <c r="BU61" s="67"/>
      <c r="BV61" s="67"/>
      <c r="BW61" s="560"/>
      <c r="BX61" s="67"/>
      <c r="BY61" s="67"/>
      <c r="BZ61" s="67"/>
      <c r="CA61" s="67"/>
      <c r="CB61" s="560"/>
      <c r="CC61" s="67"/>
      <c r="CD61" s="67"/>
      <c r="CE61" s="67"/>
      <c r="CF61" s="67"/>
      <c r="CG61" s="560"/>
      <c r="CH61" s="67"/>
      <c r="CI61" s="67"/>
      <c r="CJ61" s="67"/>
      <c r="CK61" s="67"/>
      <c r="CL61" s="560"/>
      <c r="CM61" s="67"/>
      <c r="CN61" s="67"/>
      <c r="CO61" s="67"/>
      <c r="CP61" s="67"/>
      <c r="CQ61" s="560"/>
      <c r="CR61" s="67"/>
      <c r="CS61" s="67"/>
      <c r="CT61" s="67"/>
      <c r="CU61" s="67"/>
      <c r="CV61" s="560"/>
      <c r="CW61" s="67"/>
      <c r="CX61" s="67"/>
      <c r="CY61" s="67"/>
      <c r="CZ61" s="67"/>
      <c r="DA61" s="560"/>
      <c r="DB61" s="67"/>
      <c r="DC61" s="67"/>
      <c r="DD61" s="67"/>
      <c r="DE61" s="67"/>
      <c r="DF61" s="560"/>
      <c r="DG61" s="67"/>
      <c r="DH61" s="67"/>
      <c r="DI61" s="67"/>
      <c r="DJ61" s="67"/>
      <c r="DK61" s="560"/>
      <c r="DL61" s="67"/>
      <c r="DM61" s="67"/>
      <c r="DN61" s="67"/>
      <c r="DO61" s="67"/>
      <c r="DP61" s="560"/>
      <c r="DQ61" s="67"/>
      <c r="DR61" s="67"/>
      <c r="DS61" s="67"/>
      <c r="DT61" s="67"/>
      <c r="DU61" s="560"/>
      <c r="DV61" s="67"/>
      <c r="DW61" s="67"/>
      <c r="DX61" s="67"/>
      <c r="DY61" s="67"/>
      <c r="DZ61" s="560"/>
      <c r="EA61" s="67"/>
      <c r="EB61" s="67"/>
      <c r="EC61" s="67"/>
      <c r="ED61" s="67"/>
      <c r="EE61" s="560"/>
      <c r="EF61" s="67"/>
      <c r="EG61" s="67"/>
      <c r="EH61" s="67"/>
      <c r="EI61" s="67"/>
      <c r="EJ61" s="560"/>
      <c r="EK61" s="67"/>
      <c r="EL61" s="67"/>
      <c r="EM61" s="67"/>
      <c r="EN61" s="67"/>
      <c r="EO61" s="455"/>
      <c r="ER61" s="472"/>
      <c r="ES61" s="472"/>
    </row>
    <row r="62" spans="1:149" x14ac:dyDescent="0.2">
      <c r="A62" s="442"/>
      <c r="B62" s="442"/>
      <c r="D62" s="455" t="s">
        <v>353</v>
      </c>
      <c r="E62" s="560"/>
      <c r="F62" s="442"/>
      <c r="G62" s="67">
        <f>SUM(G63:G65)</f>
        <v>0</v>
      </c>
      <c r="H62" s="67"/>
      <c r="I62" s="67"/>
      <c r="J62" s="560"/>
      <c r="K62" s="67"/>
      <c r="L62" s="67">
        <f>SUM(L63:L65)</f>
        <v>6933000</v>
      </c>
      <c r="M62" s="67"/>
      <c r="N62" s="67"/>
      <c r="O62" s="560"/>
      <c r="P62" s="67"/>
      <c r="Q62" s="67">
        <f>SUM(Q63:Q65)</f>
        <v>9652000</v>
      </c>
      <c r="R62" s="67"/>
      <c r="S62" s="67"/>
      <c r="T62" s="560"/>
      <c r="U62" s="67"/>
      <c r="V62" s="67">
        <f>SUM(V63:V65)</f>
        <v>0</v>
      </c>
      <c r="W62" s="67"/>
      <c r="X62" s="67"/>
      <c r="Y62" s="560"/>
      <c r="Z62" s="67"/>
      <c r="AA62" s="67">
        <f>SUM(AA63:AA65)</f>
        <v>0</v>
      </c>
      <c r="AB62" s="67"/>
      <c r="AC62" s="67"/>
      <c r="AD62" s="560"/>
      <c r="AE62" s="67"/>
      <c r="AF62" s="67">
        <f>SUM(AF63:AF65)</f>
        <v>0</v>
      </c>
      <c r="AG62" s="67"/>
      <c r="AH62" s="67"/>
      <c r="AI62" s="560"/>
      <c r="AJ62" s="67"/>
      <c r="AK62" s="67">
        <f>SUM(AK63:AK65)</f>
        <v>0</v>
      </c>
      <c r="AL62" s="67"/>
      <c r="AM62" s="67"/>
      <c r="AN62" s="560"/>
      <c r="AO62" s="67"/>
      <c r="AP62" s="67">
        <f>SUM(AP63:AP65)</f>
        <v>0</v>
      </c>
      <c r="AQ62" s="67"/>
      <c r="AR62" s="67"/>
      <c r="AS62" s="560"/>
      <c r="AT62" s="67"/>
      <c r="AU62" s="67">
        <f>SUM(AU63:AU65)</f>
        <v>0</v>
      </c>
      <c r="AV62" s="67"/>
      <c r="AW62" s="67"/>
      <c r="AX62" s="560"/>
      <c r="AY62" s="67"/>
      <c r="AZ62" s="67">
        <f>SUM(AZ63:AZ65)</f>
        <v>0</v>
      </c>
      <c r="BA62" s="67"/>
      <c r="BB62" s="67"/>
      <c r="BC62" s="560"/>
      <c r="BD62" s="67"/>
      <c r="BE62" s="67">
        <f>SUM(BE63:BE65)</f>
        <v>0</v>
      </c>
      <c r="BF62" s="67"/>
      <c r="BG62" s="67"/>
      <c r="BH62" s="560"/>
      <c r="BI62" s="67"/>
      <c r="BJ62" s="67">
        <f>SUM(BJ63:BJ65)</f>
        <v>0</v>
      </c>
      <c r="BK62" s="67"/>
      <c r="BL62" s="67"/>
      <c r="BM62" s="560"/>
      <c r="BN62" s="67"/>
      <c r="BO62" s="67">
        <f>SUM(BO63:BO65)</f>
        <v>0</v>
      </c>
      <c r="BP62" s="67"/>
      <c r="BQ62" s="67"/>
      <c r="BR62" s="560"/>
      <c r="BS62" s="67"/>
      <c r="BT62" s="67">
        <f>SUM(BT63:BT65)</f>
        <v>16585000</v>
      </c>
      <c r="BU62" s="67"/>
      <c r="BV62" s="67"/>
      <c r="BW62" s="560"/>
      <c r="BX62" s="67"/>
      <c r="BY62" s="67">
        <f>SUM(BY63:BY65)</f>
        <v>29989172</v>
      </c>
      <c r="BZ62" s="67"/>
      <c r="CA62" s="67"/>
      <c r="CB62" s="560"/>
      <c r="CC62" s="67"/>
      <c r="CD62" s="67">
        <f>SUM(CD63:CD65)</f>
        <v>2109000</v>
      </c>
      <c r="CE62" s="67"/>
      <c r="CF62" s="67"/>
      <c r="CG62" s="560"/>
      <c r="CH62" s="67"/>
      <c r="CI62" s="67">
        <f>SUM(CI63:CI65)</f>
        <v>2666172</v>
      </c>
      <c r="CJ62" s="67"/>
      <c r="CK62" s="67"/>
      <c r="CL62" s="560"/>
      <c r="CM62" s="67"/>
      <c r="CN62" s="67">
        <f>SUM(CN63:CN65)</f>
        <v>1555000</v>
      </c>
      <c r="CO62" s="67"/>
      <c r="CP62" s="67"/>
      <c r="CQ62" s="560"/>
      <c r="CR62" s="67"/>
      <c r="CS62" s="67">
        <f>SUM(CS63:CS65)</f>
        <v>1649000</v>
      </c>
      <c r="CT62" s="67"/>
      <c r="CU62" s="67"/>
      <c r="CV62" s="560"/>
      <c r="CW62" s="67"/>
      <c r="CX62" s="67">
        <f>SUM(CX63:CX65)</f>
        <v>4535000</v>
      </c>
      <c r="CY62" s="67"/>
      <c r="CZ62" s="67"/>
      <c r="DA62" s="560"/>
      <c r="DB62" s="67"/>
      <c r="DC62" s="67">
        <f>SUM(DC63:DC65)</f>
        <v>1532000</v>
      </c>
      <c r="DD62" s="67"/>
      <c r="DE62" s="67"/>
      <c r="DF62" s="560"/>
      <c r="DG62" s="67"/>
      <c r="DH62" s="67">
        <f>SUM(DH63:DH65)</f>
        <v>0</v>
      </c>
      <c r="DI62" s="67"/>
      <c r="DJ62" s="67"/>
      <c r="DK62" s="560"/>
      <c r="DL62" s="67"/>
      <c r="DM62" s="67">
        <f>SUM(DM63:DM65)</f>
        <v>3020000</v>
      </c>
      <c r="DN62" s="67"/>
      <c r="DO62" s="67"/>
      <c r="DP62" s="560"/>
      <c r="DQ62" s="67"/>
      <c r="DR62" s="67">
        <f>SUM(DR63:DR65)</f>
        <v>758000</v>
      </c>
      <c r="DS62" s="67"/>
      <c r="DT62" s="67"/>
      <c r="DU62" s="560"/>
      <c r="DV62" s="67"/>
      <c r="DW62" s="67">
        <f>SUM(DW63:DW65)</f>
        <v>2268000</v>
      </c>
      <c r="DX62" s="67"/>
      <c r="DY62" s="67"/>
      <c r="DZ62" s="560"/>
      <c r="EA62" s="67"/>
      <c r="EB62" s="67">
        <f>SUM(EB63:EB65)</f>
        <v>3777000</v>
      </c>
      <c r="EC62" s="67"/>
      <c r="ED62" s="67"/>
      <c r="EE62" s="560"/>
      <c r="EF62" s="67"/>
      <c r="EG62" s="67">
        <f>SUM(EG63:EG65)</f>
        <v>6120000</v>
      </c>
      <c r="EH62" s="67"/>
      <c r="EI62" s="67"/>
      <c r="EJ62" s="560"/>
      <c r="EK62" s="67"/>
      <c r="EL62" s="67">
        <f>SUM(EL63:EL65)</f>
        <v>4775172</v>
      </c>
      <c r="EM62" s="67"/>
      <c r="EN62" s="67"/>
      <c r="EO62" s="455"/>
      <c r="ER62" s="472"/>
      <c r="ES62" s="472"/>
    </row>
    <row r="63" spans="1:149" x14ac:dyDescent="0.2">
      <c r="A63" s="442"/>
      <c r="B63" s="442"/>
      <c r="D63" s="455" t="s">
        <v>342</v>
      </c>
      <c r="E63" s="560"/>
      <c r="F63" s="473"/>
      <c r="G63" s="558">
        <v>0</v>
      </c>
      <c r="H63" s="559"/>
      <c r="I63" s="67"/>
      <c r="J63" s="560"/>
      <c r="K63" s="561"/>
      <c r="L63" s="558">
        <f>6933000+289208</f>
        <v>7222208</v>
      </c>
      <c r="M63" s="559"/>
      <c r="N63" s="67"/>
      <c r="O63" s="560"/>
      <c r="P63" s="561"/>
      <c r="Q63" s="558">
        <f>9652000+1102248</f>
        <v>10754248</v>
      </c>
      <c r="R63" s="559"/>
      <c r="S63" s="67"/>
      <c r="T63" s="560"/>
      <c r="U63" s="561"/>
      <c r="V63" s="558">
        <v>0</v>
      </c>
      <c r="W63" s="559"/>
      <c r="X63" s="67"/>
      <c r="Y63" s="560"/>
      <c r="Z63" s="561"/>
      <c r="AA63" s="558">
        <v>0</v>
      </c>
      <c r="AB63" s="559"/>
      <c r="AC63" s="67"/>
      <c r="AD63" s="560"/>
      <c r="AE63" s="561"/>
      <c r="AF63" s="558">
        <v>0</v>
      </c>
      <c r="AG63" s="559"/>
      <c r="AH63" s="67"/>
      <c r="AI63" s="560"/>
      <c r="AJ63" s="561"/>
      <c r="AK63" s="558">
        <v>0</v>
      </c>
      <c r="AL63" s="559"/>
      <c r="AM63" s="67"/>
      <c r="AN63" s="560"/>
      <c r="AO63" s="561"/>
      <c r="AP63" s="558">
        <v>0</v>
      </c>
      <c r="AQ63" s="559"/>
      <c r="AR63" s="67"/>
      <c r="AS63" s="560"/>
      <c r="AT63" s="561"/>
      <c r="AU63" s="558">
        <v>0</v>
      </c>
      <c r="AV63" s="559"/>
      <c r="AW63" s="67"/>
      <c r="AX63" s="560"/>
      <c r="AY63" s="561"/>
      <c r="AZ63" s="558">
        <v>0</v>
      </c>
      <c r="BA63" s="559"/>
      <c r="BB63" s="67"/>
      <c r="BC63" s="560"/>
      <c r="BD63" s="561"/>
      <c r="BE63" s="558">
        <v>0</v>
      </c>
      <c r="BF63" s="559"/>
      <c r="BG63" s="67"/>
      <c r="BH63" s="560"/>
      <c r="BI63" s="561"/>
      <c r="BJ63" s="558">
        <v>0</v>
      </c>
      <c r="BK63" s="559"/>
      <c r="BL63" s="67"/>
      <c r="BM63" s="560"/>
      <c r="BN63" s="561"/>
      <c r="BO63" s="558">
        <v>0</v>
      </c>
      <c r="BP63" s="559"/>
      <c r="BQ63" s="67"/>
      <c r="BR63" s="560"/>
      <c r="BS63" s="561"/>
      <c r="BT63" s="558">
        <f>SUM(L63:BO63)</f>
        <v>17976456</v>
      </c>
      <c r="BU63" s="559"/>
      <c r="BV63" s="67"/>
      <c r="BW63" s="560"/>
      <c r="BX63" s="561"/>
      <c r="BY63" s="558">
        <v>33062023</v>
      </c>
      <c r="BZ63" s="559"/>
      <c r="CA63" s="67"/>
      <c r="CB63" s="560"/>
      <c r="CC63" s="561"/>
      <c r="CD63" s="558">
        <f>2109000+225458</f>
        <v>2334458</v>
      </c>
      <c r="CE63" s="559"/>
      <c r="CF63" s="67"/>
      <c r="CG63" s="560"/>
      <c r="CH63" s="561"/>
      <c r="CI63" s="558">
        <f>2666172+300186</f>
        <v>2966358</v>
      </c>
      <c r="CJ63" s="559"/>
      <c r="CK63" s="67"/>
      <c r="CL63" s="560"/>
      <c r="CM63" s="561"/>
      <c r="CN63" s="558">
        <f>1555000+180568</f>
        <v>1735568</v>
      </c>
      <c r="CO63" s="559"/>
      <c r="CP63" s="67"/>
      <c r="CQ63" s="560"/>
      <c r="CR63" s="561"/>
      <c r="CS63" s="558">
        <f>1649000+213274</f>
        <v>1862274</v>
      </c>
      <c r="CT63" s="559"/>
      <c r="CU63" s="67"/>
      <c r="CV63" s="560"/>
      <c r="CW63" s="561"/>
      <c r="CX63" s="558">
        <f>4535000+513408</f>
        <v>5048408</v>
      </c>
      <c r="CY63" s="559"/>
      <c r="CZ63" s="67"/>
      <c r="DA63" s="560"/>
      <c r="DB63" s="561"/>
      <c r="DC63" s="558">
        <f>1532000+197239</f>
        <v>1729239</v>
      </c>
      <c r="DD63" s="559"/>
      <c r="DE63" s="67"/>
      <c r="DF63" s="560"/>
      <c r="DG63" s="561"/>
      <c r="DH63" s="558">
        <v>0</v>
      </c>
      <c r="DI63" s="559"/>
      <c r="DJ63" s="67"/>
      <c r="DK63" s="560"/>
      <c r="DL63" s="561"/>
      <c r="DM63" s="558">
        <f>3020000+347931</f>
        <v>3367931</v>
      </c>
      <c r="DN63" s="559"/>
      <c r="DO63" s="67"/>
      <c r="DP63" s="560"/>
      <c r="DQ63" s="561"/>
      <c r="DR63" s="558">
        <f>758000+79844</f>
        <v>837844</v>
      </c>
      <c r="DS63" s="559"/>
      <c r="DT63" s="67"/>
      <c r="DU63" s="560"/>
      <c r="DV63" s="561"/>
      <c r="DW63" s="558">
        <f>2268000+279324</f>
        <v>2547324</v>
      </c>
      <c r="DX63" s="559"/>
      <c r="DY63" s="67"/>
      <c r="DZ63" s="560"/>
      <c r="EA63" s="561"/>
      <c r="EB63" s="558">
        <f>3777000+508862</f>
        <v>4285862</v>
      </c>
      <c r="EC63" s="559"/>
      <c r="ED63" s="67"/>
      <c r="EE63" s="560"/>
      <c r="EF63" s="561"/>
      <c r="EG63" s="558">
        <f>6120000-155160+381917</f>
        <v>6346757</v>
      </c>
      <c r="EH63" s="559"/>
      <c r="EI63" s="67"/>
      <c r="EJ63" s="560"/>
      <c r="EK63" s="561"/>
      <c r="EL63" s="558">
        <f>SUM(CD63:CI63)</f>
        <v>5300816</v>
      </c>
      <c r="EM63" s="559"/>
      <c r="EN63" s="67"/>
      <c r="EO63" s="455"/>
      <c r="ER63" s="472"/>
      <c r="ES63" s="472"/>
    </row>
    <row r="64" spans="1:149" x14ac:dyDescent="0.2">
      <c r="A64" s="442"/>
      <c r="B64" s="442"/>
      <c r="D64" s="455" t="s">
        <v>344</v>
      </c>
      <c r="E64" s="560"/>
      <c r="F64" s="465"/>
      <c r="G64" s="67">
        <v>0</v>
      </c>
      <c r="H64" s="66"/>
      <c r="I64" s="67"/>
      <c r="J64" s="560"/>
      <c r="K64" s="560"/>
      <c r="L64" s="67">
        <v>0</v>
      </c>
      <c r="M64" s="66"/>
      <c r="N64" s="67"/>
      <c r="O64" s="560"/>
      <c r="P64" s="560"/>
      <c r="Q64" s="67">
        <v>0</v>
      </c>
      <c r="R64" s="66"/>
      <c r="S64" s="67"/>
      <c r="T64" s="560"/>
      <c r="U64" s="560"/>
      <c r="V64" s="67">
        <v>0</v>
      </c>
      <c r="W64" s="66"/>
      <c r="X64" s="67"/>
      <c r="Y64" s="560"/>
      <c r="Z64" s="560"/>
      <c r="AA64" s="67">
        <v>0</v>
      </c>
      <c r="AB64" s="66"/>
      <c r="AC64" s="67"/>
      <c r="AD64" s="560"/>
      <c r="AE64" s="560"/>
      <c r="AF64" s="67">
        <v>0</v>
      </c>
      <c r="AG64" s="66"/>
      <c r="AH64" s="67"/>
      <c r="AI64" s="560"/>
      <c r="AJ64" s="560"/>
      <c r="AK64" s="67">
        <v>0</v>
      </c>
      <c r="AL64" s="66"/>
      <c r="AM64" s="67"/>
      <c r="AN64" s="560"/>
      <c r="AO64" s="560"/>
      <c r="AP64" s="67">
        <v>0</v>
      </c>
      <c r="AQ64" s="66"/>
      <c r="AR64" s="67"/>
      <c r="AS64" s="560"/>
      <c r="AT64" s="560"/>
      <c r="AU64" s="67">
        <v>0</v>
      </c>
      <c r="AV64" s="66"/>
      <c r="AW64" s="67"/>
      <c r="AX64" s="560"/>
      <c r="AY64" s="560"/>
      <c r="AZ64" s="67">
        <v>0</v>
      </c>
      <c r="BA64" s="66"/>
      <c r="BB64" s="67"/>
      <c r="BC64" s="560"/>
      <c r="BD64" s="560"/>
      <c r="BE64" s="67">
        <v>0</v>
      </c>
      <c r="BF64" s="66"/>
      <c r="BG64" s="67"/>
      <c r="BH64" s="560"/>
      <c r="BI64" s="560"/>
      <c r="BJ64" s="67">
        <v>0</v>
      </c>
      <c r="BK64" s="66"/>
      <c r="BL64" s="67"/>
      <c r="BM64" s="560"/>
      <c r="BN64" s="560"/>
      <c r="BO64" s="67">
        <v>0</v>
      </c>
      <c r="BP64" s="66"/>
      <c r="BQ64" s="67"/>
      <c r="BR64" s="560"/>
      <c r="BS64" s="560"/>
      <c r="BT64" s="67">
        <f>SUM(L64:BO64)</f>
        <v>0</v>
      </c>
      <c r="BU64" s="66"/>
      <c r="BV64" s="67"/>
      <c r="BW64" s="560"/>
      <c r="BX64" s="560"/>
      <c r="BY64" s="67">
        <v>155160</v>
      </c>
      <c r="BZ64" s="66"/>
      <c r="CA64" s="67"/>
      <c r="CB64" s="560"/>
      <c r="CC64" s="560"/>
      <c r="CD64" s="67">
        <v>0</v>
      </c>
      <c r="CE64" s="66"/>
      <c r="CF64" s="67"/>
      <c r="CG64" s="560"/>
      <c r="CH64" s="560"/>
      <c r="CI64" s="67">
        <v>0</v>
      </c>
      <c r="CJ64" s="66"/>
      <c r="CK64" s="67"/>
      <c r="CL64" s="560"/>
      <c r="CM64" s="560"/>
      <c r="CN64" s="67">
        <v>0</v>
      </c>
      <c r="CO64" s="66"/>
      <c r="CP64" s="67"/>
      <c r="CQ64" s="560"/>
      <c r="CR64" s="560"/>
      <c r="CS64" s="67">
        <v>0</v>
      </c>
      <c r="CT64" s="66"/>
      <c r="CU64" s="67"/>
      <c r="CV64" s="560"/>
      <c r="CW64" s="560"/>
      <c r="CX64" s="67">
        <v>0</v>
      </c>
      <c r="CY64" s="66"/>
      <c r="CZ64" s="67"/>
      <c r="DA64" s="560"/>
      <c r="DB64" s="560"/>
      <c r="DC64" s="67">
        <v>0</v>
      </c>
      <c r="DD64" s="66"/>
      <c r="DE64" s="67"/>
      <c r="DF64" s="560"/>
      <c r="DG64" s="560"/>
      <c r="DH64" s="67">
        <v>0</v>
      </c>
      <c r="DI64" s="66"/>
      <c r="DJ64" s="67"/>
      <c r="DK64" s="560"/>
      <c r="DL64" s="560"/>
      <c r="DM64" s="67">
        <v>0</v>
      </c>
      <c r="DN64" s="66"/>
      <c r="DO64" s="67"/>
      <c r="DP64" s="560"/>
      <c r="DQ64" s="560"/>
      <c r="DR64" s="67">
        <v>0</v>
      </c>
      <c r="DS64" s="66"/>
      <c r="DT64" s="67"/>
      <c r="DU64" s="560"/>
      <c r="DV64" s="560"/>
      <c r="DW64" s="67">
        <v>0</v>
      </c>
      <c r="DX64" s="66"/>
      <c r="DY64" s="67"/>
      <c r="DZ64" s="560"/>
      <c r="EA64" s="560"/>
      <c r="EB64" s="67">
        <v>0</v>
      </c>
      <c r="EC64" s="66"/>
      <c r="ED64" s="67"/>
      <c r="EE64" s="560"/>
      <c r="EF64" s="560"/>
      <c r="EG64" s="67">
        <v>155160</v>
      </c>
      <c r="EH64" s="66"/>
      <c r="EI64" s="67"/>
      <c r="EJ64" s="560"/>
      <c r="EK64" s="560"/>
      <c r="EL64" s="67">
        <f>SUM(CD64:CI64)</f>
        <v>0</v>
      </c>
      <c r="EM64" s="66"/>
      <c r="EN64" s="67"/>
      <c r="EO64" s="455"/>
      <c r="ER64" s="472"/>
      <c r="ES64" s="472"/>
    </row>
    <row r="65" spans="1:149" x14ac:dyDescent="0.2">
      <c r="A65" s="442"/>
      <c r="B65" s="442"/>
      <c r="D65" s="455" t="s">
        <v>352</v>
      </c>
      <c r="E65" s="560"/>
      <c r="F65" s="488"/>
      <c r="G65" s="113">
        <v>0</v>
      </c>
      <c r="H65" s="112"/>
      <c r="I65" s="67"/>
      <c r="J65" s="560"/>
      <c r="K65" s="569"/>
      <c r="L65" s="113">
        <v>-289208</v>
      </c>
      <c r="M65" s="112"/>
      <c r="N65" s="67"/>
      <c r="O65" s="560"/>
      <c r="P65" s="569"/>
      <c r="Q65" s="113">
        <v>-1102248</v>
      </c>
      <c r="R65" s="112"/>
      <c r="S65" s="67"/>
      <c r="T65" s="560"/>
      <c r="U65" s="569"/>
      <c r="V65" s="113">
        <v>0</v>
      </c>
      <c r="W65" s="112"/>
      <c r="X65" s="67"/>
      <c r="Y65" s="560"/>
      <c r="Z65" s="569"/>
      <c r="AA65" s="113">
        <v>0</v>
      </c>
      <c r="AB65" s="112"/>
      <c r="AC65" s="67"/>
      <c r="AD65" s="560"/>
      <c r="AE65" s="569"/>
      <c r="AF65" s="113">
        <v>0</v>
      </c>
      <c r="AG65" s="112"/>
      <c r="AH65" s="67"/>
      <c r="AI65" s="560"/>
      <c r="AJ65" s="569"/>
      <c r="AK65" s="113">
        <v>0</v>
      </c>
      <c r="AL65" s="112"/>
      <c r="AM65" s="67"/>
      <c r="AN65" s="560"/>
      <c r="AO65" s="569"/>
      <c r="AP65" s="113">
        <v>0</v>
      </c>
      <c r="AQ65" s="112"/>
      <c r="AR65" s="67"/>
      <c r="AS65" s="560"/>
      <c r="AT65" s="569"/>
      <c r="AU65" s="113">
        <v>0</v>
      </c>
      <c r="AV65" s="112"/>
      <c r="AW65" s="67"/>
      <c r="AX65" s="560"/>
      <c r="AY65" s="569"/>
      <c r="AZ65" s="113">
        <v>0</v>
      </c>
      <c r="BA65" s="112"/>
      <c r="BB65" s="67"/>
      <c r="BC65" s="560"/>
      <c r="BD65" s="569"/>
      <c r="BE65" s="113">
        <v>0</v>
      </c>
      <c r="BF65" s="112"/>
      <c r="BG65" s="67"/>
      <c r="BH65" s="560"/>
      <c r="BI65" s="569"/>
      <c r="BJ65" s="113">
        <v>0</v>
      </c>
      <c r="BK65" s="112"/>
      <c r="BL65" s="67"/>
      <c r="BM65" s="560"/>
      <c r="BN65" s="569"/>
      <c r="BO65" s="113">
        <v>0</v>
      </c>
      <c r="BP65" s="112"/>
      <c r="BQ65" s="67"/>
      <c r="BR65" s="560"/>
      <c r="BS65" s="569"/>
      <c r="BT65" s="113">
        <f>SUM(L65:BO65)</f>
        <v>-1391456</v>
      </c>
      <c r="BU65" s="112"/>
      <c r="BV65" s="67"/>
      <c r="BW65" s="560"/>
      <c r="BX65" s="569"/>
      <c r="BY65" s="113">
        <v>-3228011</v>
      </c>
      <c r="BZ65" s="112"/>
      <c r="CA65" s="67"/>
      <c r="CB65" s="560"/>
      <c r="CC65" s="569"/>
      <c r="CD65" s="113">
        <v>-225458</v>
      </c>
      <c r="CE65" s="112"/>
      <c r="CF65" s="67"/>
      <c r="CG65" s="560"/>
      <c r="CH65" s="569"/>
      <c r="CI65" s="113">
        <v>-300186</v>
      </c>
      <c r="CJ65" s="112"/>
      <c r="CK65" s="67"/>
      <c r="CL65" s="560"/>
      <c r="CM65" s="569"/>
      <c r="CN65" s="113">
        <v>-180568</v>
      </c>
      <c r="CO65" s="112"/>
      <c r="CP65" s="67"/>
      <c r="CQ65" s="560"/>
      <c r="CR65" s="569"/>
      <c r="CS65" s="113">
        <v>-213274</v>
      </c>
      <c r="CT65" s="112"/>
      <c r="CU65" s="67"/>
      <c r="CV65" s="560"/>
      <c r="CW65" s="569"/>
      <c r="CX65" s="113">
        <v>-513408</v>
      </c>
      <c r="CY65" s="112"/>
      <c r="CZ65" s="67"/>
      <c r="DA65" s="560"/>
      <c r="DB65" s="569"/>
      <c r="DC65" s="113">
        <v>-197239</v>
      </c>
      <c r="DD65" s="112"/>
      <c r="DE65" s="67"/>
      <c r="DF65" s="560"/>
      <c r="DG65" s="569"/>
      <c r="DH65" s="113">
        <v>0</v>
      </c>
      <c r="DI65" s="112"/>
      <c r="DJ65" s="67"/>
      <c r="DK65" s="560"/>
      <c r="DL65" s="569"/>
      <c r="DM65" s="113">
        <v>-347931</v>
      </c>
      <c r="DN65" s="112"/>
      <c r="DO65" s="67"/>
      <c r="DP65" s="560"/>
      <c r="DQ65" s="569"/>
      <c r="DR65" s="113">
        <v>-79844</v>
      </c>
      <c r="DS65" s="112"/>
      <c r="DT65" s="67"/>
      <c r="DU65" s="560"/>
      <c r="DV65" s="569"/>
      <c r="DW65" s="113">
        <v>-279324</v>
      </c>
      <c r="DX65" s="112"/>
      <c r="DY65" s="67"/>
      <c r="DZ65" s="560"/>
      <c r="EA65" s="569"/>
      <c r="EB65" s="113">
        <v>-508862</v>
      </c>
      <c r="EC65" s="112"/>
      <c r="ED65" s="67"/>
      <c r="EE65" s="560"/>
      <c r="EF65" s="569"/>
      <c r="EG65" s="113">
        <v>-381917</v>
      </c>
      <c r="EH65" s="112"/>
      <c r="EI65" s="67"/>
      <c r="EJ65" s="560"/>
      <c r="EK65" s="569"/>
      <c r="EL65" s="113">
        <f>SUM(CD65:CI65)</f>
        <v>-525644</v>
      </c>
      <c r="EM65" s="112"/>
      <c r="EN65" s="67"/>
      <c r="EO65" s="455"/>
      <c r="ER65" s="472"/>
      <c r="ES65" s="472"/>
    </row>
    <row r="66" spans="1:149" x14ac:dyDescent="0.2">
      <c r="A66" s="442"/>
      <c r="B66" s="442"/>
      <c r="D66" s="455"/>
      <c r="E66" s="560"/>
      <c r="F66" s="442"/>
      <c r="G66" s="67"/>
      <c r="H66" s="67"/>
      <c r="I66" s="67"/>
      <c r="J66" s="560"/>
      <c r="K66" s="67"/>
      <c r="L66" s="67"/>
      <c r="M66" s="67"/>
      <c r="N66" s="67"/>
      <c r="O66" s="560"/>
      <c r="P66" s="67"/>
      <c r="Q66" s="67"/>
      <c r="R66" s="67"/>
      <c r="S66" s="67"/>
      <c r="T66" s="560"/>
      <c r="U66" s="67"/>
      <c r="V66" s="67"/>
      <c r="W66" s="67"/>
      <c r="X66" s="67"/>
      <c r="Y66" s="560"/>
      <c r="Z66" s="67"/>
      <c r="AA66" s="67"/>
      <c r="AB66" s="67"/>
      <c r="AC66" s="67"/>
      <c r="AD66" s="560"/>
      <c r="AE66" s="67"/>
      <c r="AF66" s="67"/>
      <c r="AG66" s="67"/>
      <c r="AH66" s="67"/>
      <c r="AI66" s="560"/>
      <c r="AJ66" s="67"/>
      <c r="AK66" s="67"/>
      <c r="AL66" s="67"/>
      <c r="AM66" s="67"/>
      <c r="AN66" s="560"/>
      <c r="AO66" s="67"/>
      <c r="AP66" s="67"/>
      <c r="AQ66" s="67"/>
      <c r="AR66" s="67"/>
      <c r="AS66" s="560"/>
      <c r="AT66" s="67"/>
      <c r="AU66" s="67"/>
      <c r="AV66" s="67"/>
      <c r="AW66" s="67"/>
      <c r="AX66" s="560"/>
      <c r="AY66" s="67"/>
      <c r="AZ66" s="67"/>
      <c r="BA66" s="67"/>
      <c r="BB66" s="67"/>
      <c r="BC66" s="560"/>
      <c r="BD66" s="67"/>
      <c r="BE66" s="67"/>
      <c r="BF66" s="67"/>
      <c r="BG66" s="67"/>
      <c r="BH66" s="560"/>
      <c r="BI66" s="67"/>
      <c r="BJ66" s="67"/>
      <c r="BK66" s="67"/>
      <c r="BL66" s="67"/>
      <c r="BM66" s="560"/>
      <c r="BN66" s="67"/>
      <c r="BO66" s="67"/>
      <c r="BP66" s="67"/>
      <c r="BQ66" s="67"/>
      <c r="BR66" s="560"/>
      <c r="BS66" s="67"/>
      <c r="BT66" s="67"/>
      <c r="BU66" s="67"/>
      <c r="BV66" s="67"/>
      <c r="BW66" s="560"/>
      <c r="BX66" s="67"/>
      <c r="BY66" s="67"/>
      <c r="BZ66" s="67"/>
      <c r="CA66" s="67"/>
      <c r="CB66" s="560"/>
      <c r="CC66" s="67"/>
      <c r="CD66" s="67"/>
      <c r="CE66" s="67"/>
      <c r="CF66" s="67"/>
      <c r="CG66" s="560"/>
      <c r="CH66" s="67"/>
      <c r="CI66" s="67"/>
      <c r="CJ66" s="67"/>
      <c r="CK66" s="67"/>
      <c r="CL66" s="560"/>
      <c r="CM66" s="67"/>
      <c r="CN66" s="67"/>
      <c r="CO66" s="67"/>
      <c r="CP66" s="67"/>
      <c r="CQ66" s="560"/>
      <c r="CR66" s="67"/>
      <c r="CS66" s="67"/>
      <c r="CT66" s="67"/>
      <c r="CU66" s="67"/>
      <c r="CV66" s="560"/>
      <c r="CW66" s="67"/>
      <c r="CX66" s="67"/>
      <c r="CY66" s="67"/>
      <c r="CZ66" s="67"/>
      <c r="DA66" s="560"/>
      <c r="DB66" s="67"/>
      <c r="DC66" s="67"/>
      <c r="DD66" s="67"/>
      <c r="DE66" s="67"/>
      <c r="DF66" s="560"/>
      <c r="DG66" s="67"/>
      <c r="DH66" s="67"/>
      <c r="DI66" s="67"/>
      <c r="DJ66" s="67"/>
      <c r="DK66" s="560"/>
      <c r="DL66" s="67"/>
      <c r="DM66" s="67"/>
      <c r="DN66" s="67"/>
      <c r="DO66" s="67"/>
      <c r="DP66" s="560"/>
      <c r="DQ66" s="67"/>
      <c r="DR66" s="67"/>
      <c r="DS66" s="67"/>
      <c r="DT66" s="67"/>
      <c r="DU66" s="560"/>
      <c r="DV66" s="67"/>
      <c r="DW66" s="67"/>
      <c r="DX66" s="67"/>
      <c r="DY66" s="67"/>
      <c r="DZ66" s="560"/>
      <c r="EA66" s="67"/>
      <c r="EB66" s="67"/>
      <c r="EC66" s="67"/>
      <c r="ED66" s="67"/>
      <c r="EE66" s="560"/>
      <c r="EF66" s="67"/>
      <c r="EG66" s="67"/>
      <c r="EH66" s="67"/>
      <c r="EI66" s="67"/>
      <c r="EJ66" s="560"/>
      <c r="EK66" s="67"/>
      <c r="EL66" s="67"/>
      <c r="EM66" s="67"/>
      <c r="EN66" s="67"/>
      <c r="EO66" s="455"/>
      <c r="ER66" s="472"/>
      <c r="ES66" s="472"/>
    </row>
    <row r="67" spans="1:149" ht="12.75" hidden="1" customHeight="1" x14ac:dyDescent="0.2">
      <c r="A67" s="442"/>
      <c r="B67" s="442"/>
      <c r="D67" s="455" t="s">
        <v>354</v>
      </c>
      <c r="E67" s="560"/>
      <c r="F67" s="442"/>
      <c r="G67" s="67">
        <f>SUM(G68:G71)</f>
        <v>0</v>
      </c>
      <c r="H67" s="67"/>
      <c r="I67" s="67"/>
      <c r="J67" s="560"/>
      <c r="K67" s="67"/>
      <c r="L67" s="67">
        <f>SUM(L68:L71)</f>
        <v>0</v>
      </c>
      <c r="M67" s="67"/>
      <c r="N67" s="67"/>
      <c r="O67" s="560"/>
      <c r="P67" s="67"/>
      <c r="Q67" s="67">
        <f>SUM(Q68:Q71)</f>
        <v>0</v>
      </c>
      <c r="R67" s="67"/>
      <c r="S67" s="67"/>
      <c r="T67" s="560"/>
      <c r="U67" s="67"/>
      <c r="V67" s="67">
        <f>SUM(V68:V71)</f>
        <v>0</v>
      </c>
      <c r="W67" s="67"/>
      <c r="X67" s="67"/>
      <c r="Y67" s="560"/>
      <c r="Z67" s="67"/>
      <c r="AA67" s="67">
        <f>SUM(AA68:AA71)</f>
        <v>0</v>
      </c>
      <c r="AB67" s="67"/>
      <c r="AC67" s="67"/>
      <c r="AD67" s="560"/>
      <c r="AE67" s="67"/>
      <c r="AF67" s="67">
        <f>SUM(AF68:AF71)</f>
        <v>0</v>
      </c>
      <c r="AG67" s="67"/>
      <c r="AH67" s="67"/>
      <c r="AI67" s="560"/>
      <c r="AJ67" s="67"/>
      <c r="AK67" s="67">
        <f>SUM(AK68:AK71)</f>
        <v>0</v>
      </c>
      <c r="AL67" s="67"/>
      <c r="AM67" s="67"/>
      <c r="AN67" s="560"/>
      <c r="AO67" s="67"/>
      <c r="AP67" s="67">
        <f>SUM(AP68:AP71)</f>
        <v>0</v>
      </c>
      <c r="AQ67" s="67"/>
      <c r="AR67" s="67"/>
      <c r="AS67" s="560"/>
      <c r="AT67" s="67"/>
      <c r="AU67" s="67">
        <f>SUM(AU68:AU71)</f>
        <v>0</v>
      </c>
      <c r="AV67" s="67"/>
      <c r="AW67" s="67"/>
      <c r="AX67" s="560"/>
      <c r="AY67" s="67"/>
      <c r="AZ67" s="67">
        <f>SUM(AZ68:AZ71)</f>
        <v>0</v>
      </c>
      <c r="BA67" s="67"/>
      <c r="BB67" s="67"/>
      <c r="BC67" s="560"/>
      <c r="BD67" s="67"/>
      <c r="BE67" s="67">
        <f>SUM(BE68:BE71)</f>
        <v>0</v>
      </c>
      <c r="BF67" s="67"/>
      <c r="BG67" s="67"/>
      <c r="BH67" s="560"/>
      <c r="BI67" s="67"/>
      <c r="BJ67" s="67">
        <f>SUM(BJ68:BJ71)</f>
        <v>0</v>
      </c>
      <c r="BK67" s="67"/>
      <c r="BL67" s="67"/>
      <c r="BM67" s="560"/>
      <c r="BN67" s="67"/>
      <c r="BO67" s="67">
        <f>SUM(BO68:BO71)</f>
        <v>0</v>
      </c>
      <c r="BP67" s="67"/>
      <c r="BQ67" s="67"/>
      <c r="BR67" s="560"/>
      <c r="BS67" s="67"/>
      <c r="BT67" s="67">
        <f>SUM(BT68:BT71)</f>
        <v>0</v>
      </c>
      <c r="BU67" s="67"/>
      <c r="BV67" s="67"/>
      <c r="BW67" s="560"/>
      <c r="BX67" s="67"/>
      <c r="BY67" s="67">
        <f>SUM(BY68:BY71)</f>
        <v>0</v>
      </c>
      <c r="BZ67" s="67"/>
      <c r="CA67" s="67"/>
      <c r="CB67" s="560"/>
      <c r="CC67" s="67"/>
      <c r="CD67" s="67">
        <f>SUM(CD68:CD71)</f>
        <v>0</v>
      </c>
      <c r="CE67" s="67"/>
      <c r="CF67" s="67"/>
      <c r="CG67" s="560"/>
      <c r="CH67" s="67"/>
      <c r="CI67" s="67">
        <f>SUM(CI68:CI71)</f>
        <v>0</v>
      </c>
      <c r="CJ67" s="67"/>
      <c r="CK67" s="67"/>
      <c r="CL67" s="560"/>
      <c r="CM67" s="67"/>
      <c r="CN67" s="67">
        <f>SUM(CN68:CN71)</f>
        <v>0</v>
      </c>
      <c r="CO67" s="67"/>
      <c r="CP67" s="67"/>
      <c r="CQ67" s="560"/>
      <c r="CR67" s="67"/>
      <c r="CS67" s="67">
        <f>SUM(CS68:CS71)</f>
        <v>0</v>
      </c>
      <c r="CT67" s="67"/>
      <c r="CU67" s="67"/>
      <c r="CV67" s="560"/>
      <c r="CW67" s="67"/>
      <c r="CX67" s="67">
        <f>SUM(CX68:CX71)</f>
        <v>0</v>
      </c>
      <c r="CY67" s="67"/>
      <c r="CZ67" s="67"/>
      <c r="DA67" s="560"/>
      <c r="DB67" s="67"/>
      <c r="DC67" s="67">
        <f>SUM(DC68:DC71)</f>
        <v>0</v>
      </c>
      <c r="DD67" s="67"/>
      <c r="DE67" s="67"/>
      <c r="DF67" s="560"/>
      <c r="DG67" s="67"/>
      <c r="DH67" s="67">
        <f>SUM(DH68:DH71)</f>
        <v>0</v>
      </c>
      <c r="DI67" s="67"/>
      <c r="DJ67" s="67"/>
      <c r="DK67" s="560"/>
      <c r="DL67" s="67"/>
      <c r="DM67" s="67">
        <f>SUM(DM68:DM71)</f>
        <v>0</v>
      </c>
      <c r="DN67" s="67"/>
      <c r="DO67" s="67"/>
      <c r="DP67" s="560"/>
      <c r="DQ67" s="67"/>
      <c r="DR67" s="67">
        <f>SUM(DR68:DR71)</f>
        <v>0</v>
      </c>
      <c r="DS67" s="67"/>
      <c r="DT67" s="67"/>
      <c r="DU67" s="560"/>
      <c r="DV67" s="67"/>
      <c r="DW67" s="67">
        <f>SUM(DW68:DW71)</f>
        <v>0</v>
      </c>
      <c r="DX67" s="67"/>
      <c r="DY67" s="67"/>
      <c r="DZ67" s="560"/>
      <c r="EA67" s="67"/>
      <c r="EB67" s="67">
        <f>SUM(EB68:EB71)</f>
        <v>0</v>
      </c>
      <c r="EC67" s="67"/>
      <c r="ED67" s="67"/>
      <c r="EE67" s="560"/>
      <c r="EF67" s="67"/>
      <c r="EG67" s="67">
        <f>SUM(EG68:EG71)</f>
        <v>0</v>
      </c>
      <c r="EH67" s="67"/>
      <c r="EI67" s="67"/>
      <c r="EJ67" s="560"/>
      <c r="EK67" s="67"/>
      <c r="EL67" s="67">
        <f>SUM(EL68:EL71)</f>
        <v>0</v>
      </c>
      <c r="EM67" s="67"/>
      <c r="EN67" s="67"/>
      <c r="EO67" s="455"/>
      <c r="ER67" s="472"/>
      <c r="ES67" s="472"/>
    </row>
    <row r="68" spans="1:149" ht="12.75" hidden="1" customHeight="1" x14ac:dyDescent="0.2">
      <c r="A68" s="442"/>
      <c r="B68" s="442"/>
      <c r="D68" s="455" t="s">
        <v>342</v>
      </c>
      <c r="E68" s="560"/>
      <c r="F68" s="473"/>
      <c r="G68" s="558">
        <v>0</v>
      </c>
      <c r="H68" s="559"/>
      <c r="I68" s="67"/>
      <c r="J68" s="560"/>
      <c r="K68" s="561"/>
      <c r="L68" s="558">
        <v>0</v>
      </c>
      <c r="M68" s="559"/>
      <c r="N68" s="67"/>
      <c r="O68" s="560"/>
      <c r="P68" s="561"/>
      <c r="Q68" s="558">
        <v>0</v>
      </c>
      <c r="R68" s="559"/>
      <c r="S68" s="67"/>
      <c r="T68" s="560"/>
      <c r="U68" s="561"/>
      <c r="V68" s="558">
        <v>0</v>
      </c>
      <c r="W68" s="559"/>
      <c r="X68" s="67"/>
      <c r="Y68" s="560"/>
      <c r="Z68" s="561"/>
      <c r="AA68" s="558">
        <v>0</v>
      </c>
      <c r="AB68" s="559"/>
      <c r="AC68" s="67"/>
      <c r="AD68" s="560"/>
      <c r="AE68" s="561"/>
      <c r="AF68" s="558">
        <v>0</v>
      </c>
      <c r="AG68" s="559"/>
      <c r="AH68" s="67"/>
      <c r="AI68" s="560"/>
      <c r="AJ68" s="561"/>
      <c r="AK68" s="558">
        <v>0</v>
      </c>
      <c r="AL68" s="559"/>
      <c r="AM68" s="67"/>
      <c r="AN68" s="560"/>
      <c r="AO68" s="561"/>
      <c r="AP68" s="558">
        <v>0</v>
      </c>
      <c r="AQ68" s="559"/>
      <c r="AR68" s="67"/>
      <c r="AS68" s="560"/>
      <c r="AT68" s="561"/>
      <c r="AU68" s="558">
        <v>0</v>
      </c>
      <c r="AV68" s="559"/>
      <c r="AW68" s="67"/>
      <c r="AX68" s="560"/>
      <c r="AY68" s="561"/>
      <c r="AZ68" s="558">
        <v>0</v>
      </c>
      <c r="BA68" s="559"/>
      <c r="BB68" s="67"/>
      <c r="BC68" s="560"/>
      <c r="BD68" s="561"/>
      <c r="BE68" s="558">
        <v>0</v>
      </c>
      <c r="BF68" s="559"/>
      <c r="BG68" s="67"/>
      <c r="BH68" s="560"/>
      <c r="BI68" s="561"/>
      <c r="BJ68" s="558">
        <v>0</v>
      </c>
      <c r="BK68" s="559"/>
      <c r="BL68" s="67"/>
      <c r="BM68" s="560"/>
      <c r="BN68" s="561"/>
      <c r="BO68" s="558">
        <v>0</v>
      </c>
      <c r="BP68" s="559"/>
      <c r="BQ68" s="67"/>
      <c r="BR68" s="560"/>
      <c r="BS68" s="561"/>
      <c r="BT68" s="558">
        <f>SUM(L68:BO68)</f>
        <v>0</v>
      </c>
      <c r="BU68" s="559"/>
      <c r="BV68" s="67"/>
      <c r="BW68" s="560"/>
      <c r="BX68" s="561"/>
      <c r="BY68" s="558">
        <f>SUM(Q68:BT68)</f>
        <v>0</v>
      </c>
      <c r="BZ68" s="559"/>
      <c r="CA68" s="67"/>
      <c r="CB68" s="560"/>
      <c r="CC68" s="561"/>
      <c r="CD68" s="558">
        <v>0</v>
      </c>
      <c r="CE68" s="559"/>
      <c r="CF68" s="67"/>
      <c r="CG68" s="560"/>
      <c r="CH68" s="561"/>
      <c r="CI68" s="558">
        <v>0</v>
      </c>
      <c r="CJ68" s="559"/>
      <c r="CK68" s="67"/>
      <c r="CL68" s="560"/>
      <c r="CM68" s="561"/>
      <c r="CN68" s="558">
        <v>0</v>
      </c>
      <c r="CO68" s="559"/>
      <c r="CP68" s="67"/>
      <c r="CQ68" s="560"/>
      <c r="CR68" s="561"/>
      <c r="CS68" s="558">
        <v>0</v>
      </c>
      <c r="CT68" s="559"/>
      <c r="CU68" s="67"/>
      <c r="CV68" s="560"/>
      <c r="CW68" s="561"/>
      <c r="CX68" s="558">
        <v>0</v>
      </c>
      <c r="CY68" s="559"/>
      <c r="CZ68" s="67"/>
      <c r="DA68" s="560"/>
      <c r="DB68" s="561"/>
      <c r="DC68" s="558">
        <v>0</v>
      </c>
      <c r="DD68" s="559"/>
      <c r="DE68" s="67"/>
      <c r="DF68" s="560"/>
      <c r="DG68" s="561"/>
      <c r="DH68" s="558">
        <v>0</v>
      </c>
      <c r="DI68" s="559"/>
      <c r="DJ68" s="67"/>
      <c r="DK68" s="560"/>
      <c r="DL68" s="561"/>
      <c r="DM68" s="558">
        <v>0</v>
      </c>
      <c r="DN68" s="559"/>
      <c r="DO68" s="67"/>
      <c r="DP68" s="560"/>
      <c r="DQ68" s="561"/>
      <c r="DR68" s="558">
        <v>0</v>
      </c>
      <c r="DS68" s="559"/>
      <c r="DT68" s="67"/>
      <c r="DU68" s="560"/>
      <c r="DV68" s="561"/>
      <c r="DW68" s="558">
        <v>0</v>
      </c>
      <c r="DX68" s="559"/>
      <c r="DY68" s="67"/>
      <c r="DZ68" s="560"/>
      <c r="EA68" s="561"/>
      <c r="EB68" s="558">
        <v>0</v>
      </c>
      <c r="EC68" s="559"/>
      <c r="ED68" s="67"/>
      <c r="EE68" s="560"/>
      <c r="EF68" s="561"/>
      <c r="EG68" s="558">
        <v>0</v>
      </c>
      <c r="EH68" s="559"/>
      <c r="EI68" s="67"/>
      <c r="EJ68" s="560"/>
      <c r="EK68" s="561"/>
      <c r="EL68" s="558">
        <f>SUM(CD68:EG68)</f>
        <v>0</v>
      </c>
      <c r="EM68" s="559"/>
      <c r="EN68" s="67"/>
      <c r="EO68" s="455"/>
      <c r="ER68" s="472"/>
      <c r="ES68" s="472"/>
    </row>
    <row r="69" spans="1:149" ht="12.75" hidden="1" customHeight="1" x14ac:dyDescent="0.2">
      <c r="A69" s="442"/>
      <c r="B69" s="442"/>
      <c r="D69" s="455" t="s">
        <v>344</v>
      </c>
      <c r="E69" s="560"/>
      <c r="F69" s="465"/>
      <c r="G69" s="67">
        <v>0</v>
      </c>
      <c r="H69" s="66"/>
      <c r="I69" s="67"/>
      <c r="J69" s="560"/>
      <c r="K69" s="560"/>
      <c r="L69" s="67">
        <v>0</v>
      </c>
      <c r="M69" s="66"/>
      <c r="N69" s="67"/>
      <c r="O69" s="560"/>
      <c r="P69" s="560"/>
      <c r="Q69" s="67">
        <v>0</v>
      </c>
      <c r="R69" s="66"/>
      <c r="S69" s="67"/>
      <c r="T69" s="560"/>
      <c r="U69" s="560"/>
      <c r="V69" s="67">
        <v>0</v>
      </c>
      <c r="W69" s="66"/>
      <c r="X69" s="67"/>
      <c r="Y69" s="560"/>
      <c r="Z69" s="560"/>
      <c r="AA69" s="67">
        <v>0</v>
      </c>
      <c r="AB69" s="66"/>
      <c r="AC69" s="67"/>
      <c r="AD69" s="560"/>
      <c r="AE69" s="560"/>
      <c r="AF69" s="67">
        <v>0</v>
      </c>
      <c r="AG69" s="66"/>
      <c r="AH69" s="67"/>
      <c r="AI69" s="560"/>
      <c r="AJ69" s="560"/>
      <c r="AK69" s="67">
        <v>0</v>
      </c>
      <c r="AL69" s="66"/>
      <c r="AM69" s="67"/>
      <c r="AN69" s="560"/>
      <c r="AO69" s="560"/>
      <c r="AP69" s="67">
        <v>0</v>
      </c>
      <c r="AQ69" s="66"/>
      <c r="AR69" s="67"/>
      <c r="AS69" s="560"/>
      <c r="AT69" s="560"/>
      <c r="AU69" s="67">
        <v>0</v>
      </c>
      <c r="AV69" s="66"/>
      <c r="AW69" s="67"/>
      <c r="AX69" s="560"/>
      <c r="AY69" s="560"/>
      <c r="AZ69" s="67">
        <v>0</v>
      </c>
      <c r="BA69" s="66"/>
      <c r="BB69" s="67"/>
      <c r="BC69" s="560"/>
      <c r="BD69" s="560"/>
      <c r="BE69" s="67">
        <v>0</v>
      </c>
      <c r="BF69" s="66"/>
      <c r="BG69" s="67"/>
      <c r="BH69" s="560"/>
      <c r="BI69" s="560"/>
      <c r="BJ69" s="67">
        <v>0</v>
      </c>
      <c r="BK69" s="66"/>
      <c r="BL69" s="67"/>
      <c r="BM69" s="560"/>
      <c r="BN69" s="560"/>
      <c r="BO69" s="67">
        <v>0</v>
      </c>
      <c r="BP69" s="66"/>
      <c r="BQ69" s="67"/>
      <c r="BR69" s="560"/>
      <c r="BS69" s="560"/>
      <c r="BT69" s="67">
        <f>SUM(L69:BO69)</f>
        <v>0</v>
      </c>
      <c r="BU69" s="66"/>
      <c r="BV69" s="67"/>
      <c r="BW69" s="560"/>
      <c r="BX69" s="560"/>
      <c r="BY69" s="67">
        <f>SUM(Q69:BT69)</f>
        <v>0</v>
      </c>
      <c r="BZ69" s="66"/>
      <c r="CA69" s="67"/>
      <c r="CB69" s="560"/>
      <c r="CC69" s="560"/>
      <c r="CD69" s="67">
        <v>0</v>
      </c>
      <c r="CE69" s="66"/>
      <c r="CF69" s="67"/>
      <c r="CG69" s="560"/>
      <c r="CH69" s="560"/>
      <c r="CI69" s="67">
        <v>0</v>
      </c>
      <c r="CJ69" s="66"/>
      <c r="CK69" s="67"/>
      <c r="CL69" s="560"/>
      <c r="CM69" s="560"/>
      <c r="CN69" s="67">
        <v>0</v>
      </c>
      <c r="CO69" s="66"/>
      <c r="CP69" s="67"/>
      <c r="CQ69" s="560"/>
      <c r="CR69" s="560"/>
      <c r="CS69" s="67">
        <v>0</v>
      </c>
      <c r="CT69" s="66"/>
      <c r="CU69" s="67"/>
      <c r="CV69" s="560"/>
      <c r="CW69" s="560"/>
      <c r="CX69" s="67">
        <v>0</v>
      </c>
      <c r="CY69" s="66"/>
      <c r="CZ69" s="67"/>
      <c r="DA69" s="560"/>
      <c r="DB69" s="560"/>
      <c r="DC69" s="67">
        <v>0</v>
      </c>
      <c r="DD69" s="66"/>
      <c r="DE69" s="67"/>
      <c r="DF69" s="560"/>
      <c r="DG69" s="560"/>
      <c r="DH69" s="67">
        <v>0</v>
      </c>
      <c r="DI69" s="66"/>
      <c r="DJ69" s="67"/>
      <c r="DK69" s="560"/>
      <c r="DL69" s="560"/>
      <c r="DM69" s="67">
        <v>0</v>
      </c>
      <c r="DN69" s="66"/>
      <c r="DO69" s="67"/>
      <c r="DP69" s="560"/>
      <c r="DQ69" s="560"/>
      <c r="DR69" s="67">
        <v>0</v>
      </c>
      <c r="DS69" s="66"/>
      <c r="DT69" s="67"/>
      <c r="DU69" s="560"/>
      <c r="DV69" s="560"/>
      <c r="DW69" s="67">
        <v>0</v>
      </c>
      <c r="DX69" s="66"/>
      <c r="DY69" s="67"/>
      <c r="DZ69" s="560"/>
      <c r="EA69" s="560"/>
      <c r="EB69" s="67">
        <v>0</v>
      </c>
      <c r="EC69" s="66"/>
      <c r="ED69" s="67"/>
      <c r="EE69" s="560"/>
      <c r="EF69" s="560"/>
      <c r="EG69" s="67">
        <v>0</v>
      </c>
      <c r="EH69" s="66"/>
      <c r="EI69" s="67"/>
      <c r="EJ69" s="560"/>
      <c r="EK69" s="560"/>
      <c r="EL69" s="67">
        <f>SUM(CD69:EG69)</f>
        <v>0</v>
      </c>
      <c r="EM69" s="66"/>
      <c r="EN69" s="67"/>
      <c r="EO69" s="455"/>
      <c r="ER69" s="472"/>
      <c r="ES69" s="472"/>
    </row>
    <row r="70" spans="1:149" ht="12.75" hidden="1" customHeight="1" x14ac:dyDescent="0.2">
      <c r="A70" s="442"/>
      <c r="B70" s="442"/>
      <c r="D70" s="455" t="s">
        <v>345</v>
      </c>
      <c r="E70" s="560"/>
      <c r="F70" s="465"/>
      <c r="G70" s="67">
        <v>0</v>
      </c>
      <c r="H70" s="66"/>
      <c r="I70" s="67"/>
      <c r="J70" s="560"/>
      <c r="K70" s="560"/>
      <c r="L70" s="67">
        <v>0</v>
      </c>
      <c r="M70" s="66"/>
      <c r="N70" s="67"/>
      <c r="O70" s="560"/>
      <c r="P70" s="560"/>
      <c r="Q70" s="67">
        <v>0</v>
      </c>
      <c r="R70" s="66"/>
      <c r="S70" s="67"/>
      <c r="T70" s="560"/>
      <c r="U70" s="560"/>
      <c r="V70" s="67">
        <v>0</v>
      </c>
      <c r="W70" s="66"/>
      <c r="X70" s="67"/>
      <c r="Y70" s="560"/>
      <c r="Z70" s="560"/>
      <c r="AA70" s="67">
        <v>0</v>
      </c>
      <c r="AB70" s="66"/>
      <c r="AC70" s="67"/>
      <c r="AD70" s="560"/>
      <c r="AE70" s="560"/>
      <c r="AF70" s="67">
        <v>0</v>
      </c>
      <c r="AG70" s="66"/>
      <c r="AH70" s="67"/>
      <c r="AI70" s="560"/>
      <c r="AJ70" s="560"/>
      <c r="AK70" s="67">
        <v>0</v>
      </c>
      <c r="AL70" s="66"/>
      <c r="AM70" s="67"/>
      <c r="AN70" s="560"/>
      <c r="AO70" s="560"/>
      <c r="AP70" s="67">
        <v>0</v>
      </c>
      <c r="AQ70" s="66"/>
      <c r="AR70" s="67"/>
      <c r="AS70" s="560"/>
      <c r="AT70" s="560"/>
      <c r="AU70" s="67">
        <v>0</v>
      </c>
      <c r="AV70" s="66"/>
      <c r="AW70" s="67"/>
      <c r="AX70" s="560"/>
      <c r="AY70" s="560"/>
      <c r="AZ70" s="67">
        <v>0</v>
      </c>
      <c r="BA70" s="66"/>
      <c r="BB70" s="67"/>
      <c r="BC70" s="560"/>
      <c r="BD70" s="560"/>
      <c r="BE70" s="67">
        <v>0</v>
      </c>
      <c r="BF70" s="66"/>
      <c r="BG70" s="67"/>
      <c r="BH70" s="560"/>
      <c r="BI70" s="560"/>
      <c r="BJ70" s="67">
        <v>0</v>
      </c>
      <c r="BK70" s="66"/>
      <c r="BL70" s="67"/>
      <c r="BM70" s="560"/>
      <c r="BN70" s="560"/>
      <c r="BO70" s="67">
        <v>0</v>
      </c>
      <c r="BP70" s="66"/>
      <c r="BQ70" s="67"/>
      <c r="BR70" s="560"/>
      <c r="BS70" s="560"/>
      <c r="BT70" s="67">
        <f>SUM(L70:BO70)</f>
        <v>0</v>
      </c>
      <c r="BU70" s="66"/>
      <c r="BV70" s="67"/>
      <c r="BW70" s="560"/>
      <c r="BX70" s="560"/>
      <c r="BY70" s="67">
        <f>SUM(Q70:BT70)</f>
        <v>0</v>
      </c>
      <c r="BZ70" s="66"/>
      <c r="CA70" s="67"/>
      <c r="CB70" s="560"/>
      <c r="CC70" s="560"/>
      <c r="CD70" s="67">
        <v>0</v>
      </c>
      <c r="CE70" s="66"/>
      <c r="CF70" s="67"/>
      <c r="CG70" s="560"/>
      <c r="CH70" s="560"/>
      <c r="CI70" s="67">
        <v>0</v>
      </c>
      <c r="CJ70" s="66"/>
      <c r="CK70" s="67"/>
      <c r="CL70" s="560"/>
      <c r="CM70" s="560"/>
      <c r="CN70" s="67">
        <v>0</v>
      </c>
      <c r="CO70" s="66"/>
      <c r="CP70" s="67"/>
      <c r="CQ70" s="560"/>
      <c r="CR70" s="560"/>
      <c r="CS70" s="67">
        <v>0</v>
      </c>
      <c r="CT70" s="66"/>
      <c r="CU70" s="67"/>
      <c r="CV70" s="560"/>
      <c r="CW70" s="560"/>
      <c r="CX70" s="67">
        <v>0</v>
      </c>
      <c r="CY70" s="66"/>
      <c r="CZ70" s="67"/>
      <c r="DA70" s="560"/>
      <c r="DB70" s="560"/>
      <c r="DC70" s="67">
        <v>0</v>
      </c>
      <c r="DD70" s="66"/>
      <c r="DE70" s="67"/>
      <c r="DF70" s="560"/>
      <c r="DG70" s="560"/>
      <c r="DH70" s="67">
        <v>0</v>
      </c>
      <c r="DI70" s="66"/>
      <c r="DJ70" s="67"/>
      <c r="DK70" s="560"/>
      <c r="DL70" s="560"/>
      <c r="DM70" s="67">
        <v>0</v>
      </c>
      <c r="DN70" s="66"/>
      <c r="DO70" s="67"/>
      <c r="DP70" s="560"/>
      <c r="DQ70" s="560"/>
      <c r="DR70" s="67">
        <v>0</v>
      </c>
      <c r="DS70" s="66"/>
      <c r="DT70" s="67"/>
      <c r="DU70" s="560"/>
      <c r="DV70" s="560"/>
      <c r="DW70" s="67">
        <v>0</v>
      </c>
      <c r="DX70" s="66"/>
      <c r="DY70" s="67"/>
      <c r="DZ70" s="560"/>
      <c r="EA70" s="560"/>
      <c r="EB70" s="67">
        <v>0</v>
      </c>
      <c r="EC70" s="66"/>
      <c r="ED70" s="67"/>
      <c r="EE70" s="560"/>
      <c r="EF70" s="560"/>
      <c r="EG70" s="67">
        <v>0</v>
      </c>
      <c r="EH70" s="66"/>
      <c r="EI70" s="67"/>
      <c r="EJ70" s="560"/>
      <c r="EK70" s="560"/>
      <c r="EL70" s="67">
        <f>SUM(CD70:EG70)</f>
        <v>0</v>
      </c>
      <c r="EM70" s="66"/>
      <c r="EN70" s="67"/>
      <c r="EO70" s="455"/>
      <c r="ER70" s="472"/>
      <c r="ES70" s="472"/>
    </row>
    <row r="71" spans="1:149" ht="12.75" hidden="1" customHeight="1" x14ac:dyDescent="0.2">
      <c r="A71" s="442"/>
      <c r="B71" s="442"/>
      <c r="D71" s="455" t="s">
        <v>346</v>
      </c>
      <c r="E71" s="560"/>
      <c r="F71" s="488"/>
      <c r="G71" s="113">
        <v>0</v>
      </c>
      <c r="H71" s="112"/>
      <c r="I71" s="67"/>
      <c r="J71" s="560"/>
      <c r="K71" s="569"/>
      <c r="L71" s="113">
        <v>0</v>
      </c>
      <c r="M71" s="112"/>
      <c r="N71" s="67"/>
      <c r="O71" s="560"/>
      <c r="P71" s="569"/>
      <c r="Q71" s="113">
        <v>0</v>
      </c>
      <c r="R71" s="112"/>
      <c r="S71" s="67"/>
      <c r="T71" s="560"/>
      <c r="U71" s="569"/>
      <c r="V71" s="113">
        <v>0</v>
      </c>
      <c r="W71" s="112"/>
      <c r="X71" s="67"/>
      <c r="Y71" s="560"/>
      <c r="Z71" s="569"/>
      <c r="AA71" s="113">
        <v>0</v>
      </c>
      <c r="AB71" s="112"/>
      <c r="AC71" s="67"/>
      <c r="AD71" s="560"/>
      <c r="AE71" s="569"/>
      <c r="AF71" s="113">
        <v>0</v>
      </c>
      <c r="AG71" s="112"/>
      <c r="AH71" s="67"/>
      <c r="AI71" s="560"/>
      <c r="AJ71" s="569"/>
      <c r="AK71" s="113">
        <v>0</v>
      </c>
      <c r="AL71" s="112"/>
      <c r="AM71" s="67"/>
      <c r="AN71" s="560"/>
      <c r="AO71" s="569"/>
      <c r="AP71" s="113">
        <v>0</v>
      </c>
      <c r="AQ71" s="112"/>
      <c r="AR71" s="67"/>
      <c r="AS71" s="560"/>
      <c r="AT71" s="569"/>
      <c r="AU71" s="113">
        <v>0</v>
      </c>
      <c r="AV71" s="112"/>
      <c r="AW71" s="67"/>
      <c r="AX71" s="560"/>
      <c r="AY71" s="569"/>
      <c r="AZ71" s="113">
        <v>0</v>
      </c>
      <c r="BA71" s="112"/>
      <c r="BB71" s="67"/>
      <c r="BC71" s="560"/>
      <c r="BD71" s="569"/>
      <c r="BE71" s="113">
        <v>0</v>
      </c>
      <c r="BF71" s="112"/>
      <c r="BG71" s="67"/>
      <c r="BH71" s="560"/>
      <c r="BI71" s="569"/>
      <c r="BJ71" s="113">
        <v>0</v>
      </c>
      <c r="BK71" s="112"/>
      <c r="BL71" s="67"/>
      <c r="BM71" s="560"/>
      <c r="BN71" s="569"/>
      <c r="BO71" s="113">
        <v>0</v>
      </c>
      <c r="BP71" s="112"/>
      <c r="BQ71" s="67"/>
      <c r="BR71" s="560"/>
      <c r="BS71" s="569"/>
      <c r="BT71" s="113">
        <f>SUM(L71:BO71)</f>
        <v>0</v>
      </c>
      <c r="BU71" s="112"/>
      <c r="BV71" s="67"/>
      <c r="BW71" s="560"/>
      <c r="BX71" s="569"/>
      <c r="BY71" s="113">
        <f>SUM(Q71:BT71)</f>
        <v>0</v>
      </c>
      <c r="BZ71" s="112"/>
      <c r="CA71" s="67"/>
      <c r="CB71" s="560"/>
      <c r="CC71" s="569"/>
      <c r="CD71" s="113">
        <v>0</v>
      </c>
      <c r="CE71" s="112"/>
      <c r="CF71" s="67"/>
      <c r="CG71" s="560"/>
      <c r="CH71" s="569"/>
      <c r="CI71" s="113">
        <v>0</v>
      </c>
      <c r="CJ71" s="112"/>
      <c r="CK71" s="67"/>
      <c r="CL71" s="560"/>
      <c r="CM71" s="569"/>
      <c r="CN71" s="113">
        <v>0</v>
      </c>
      <c r="CO71" s="112"/>
      <c r="CP71" s="67"/>
      <c r="CQ71" s="560"/>
      <c r="CR71" s="569"/>
      <c r="CS71" s="113">
        <v>0</v>
      </c>
      <c r="CT71" s="112"/>
      <c r="CU71" s="67"/>
      <c r="CV71" s="560"/>
      <c r="CW71" s="569"/>
      <c r="CX71" s="113">
        <v>0</v>
      </c>
      <c r="CY71" s="112"/>
      <c r="CZ71" s="67"/>
      <c r="DA71" s="560"/>
      <c r="DB71" s="569"/>
      <c r="DC71" s="113">
        <v>0</v>
      </c>
      <c r="DD71" s="112"/>
      <c r="DE71" s="67"/>
      <c r="DF71" s="560"/>
      <c r="DG71" s="569"/>
      <c r="DH71" s="113">
        <v>0</v>
      </c>
      <c r="DI71" s="112"/>
      <c r="DJ71" s="67"/>
      <c r="DK71" s="560"/>
      <c r="DL71" s="569"/>
      <c r="DM71" s="113">
        <v>0</v>
      </c>
      <c r="DN71" s="112"/>
      <c r="DO71" s="67"/>
      <c r="DP71" s="560"/>
      <c r="DQ71" s="569"/>
      <c r="DR71" s="113">
        <v>0</v>
      </c>
      <c r="DS71" s="112"/>
      <c r="DT71" s="67"/>
      <c r="DU71" s="560"/>
      <c r="DV71" s="569"/>
      <c r="DW71" s="113">
        <v>0</v>
      </c>
      <c r="DX71" s="112"/>
      <c r="DY71" s="67"/>
      <c r="DZ71" s="560"/>
      <c r="EA71" s="569"/>
      <c r="EB71" s="113">
        <v>0</v>
      </c>
      <c r="EC71" s="112"/>
      <c r="ED71" s="67"/>
      <c r="EE71" s="560"/>
      <c r="EF71" s="569"/>
      <c r="EG71" s="113">
        <v>0</v>
      </c>
      <c r="EH71" s="112"/>
      <c r="EI71" s="67"/>
      <c r="EJ71" s="560"/>
      <c r="EK71" s="569"/>
      <c r="EL71" s="113">
        <f>SUM(CD71:EG71)</f>
        <v>0</v>
      </c>
      <c r="EM71" s="112"/>
      <c r="EN71" s="67"/>
      <c r="EO71" s="455"/>
      <c r="ER71" s="472"/>
      <c r="ES71" s="472"/>
    </row>
    <row r="72" spans="1:149" ht="12.75" hidden="1" customHeight="1" x14ac:dyDescent="0.2">
      <c r="A72" s="442"/>
      <c r="B72" s="442"/>
      <c r="D72" s="455"/>
      <c r="E72" s="560"/>
      <c r="F72" s="442"/>
      <c r="G72" s="67"/>
      <c r="H72" s="67"/>
      <c r="I72" s="67"/>
      <c r="J72" s="560"/>
      <c r="K72" s="67"/>
      <c r="L72" s="67"/>
      <c r="M72" s="67"/>
      <c r="N72" s="67"/>
      <c r="O72" s="560"/>
      <c r="P72" s="67"/>
      <c r="Q72" s="67"/>
      <c r="R72" s="67"/>
      <c r="S72" s="67"/>
      <c r="T72" s="560"/>
      <c r="U72" s="67"/>
      <c r="V72" s="67"/>
      <c r="W72" s="67"/>
      <c r="X72" s="67"/>
      <c r="Y72" s="560"/>
      <c r="Z72" s="67"/>
      <c r="AA72" s="67"/>
      <c r="AB72" s="67"/>
      <c r="AC72" s="67"/>
      <c r="AD72" s="560"/>
      <c r="AE72" s="67"/>
      <c r="AF72" s="67"/>
      <c r="AG72" s="67"/>
      <c r="AH72" s="67"/>
      <c r="AI72" s="560"/>
      <c r="AJ72" s="67"/>
      <c r="AK72" s="67"/>
      <c r="AL72" s="67"/>
      <c r="AM72" s="67"/>
      <c r="AN72" s="560"/>
      <c r="AO72" s="67"/>
      <c r="AP72" s="67"/>
      <c r="AQ72" s="67"/>
      <c r="AR72" s="67"/>
      <c r="AS72" s="560"/>
      <c r="AT72" s="67"/>
      <c r="AU72" s="67"/>
      <c r="AV72" s="67"/>
      <c r="AW72" s="67"/>
      <c r="AX72" s="560"/>
      <c r="AY72" s="67"/>
      <c r="AZ72" s="67"/>
      <c r="BA72" s="67"/>
      <c r="BB72" s="67"/>
      <c r="BC72" s="560"/>
      <c r="BD72" s="67"/>
      <c r="BE72" s="67"/>
      <c r="BF72" s="67"/>
      <c r="BG72" s="67"/>
      <c r="BH72" s="560"/>
      <c r="BI72" s="67"/>
      <c r="BJ72" s="67"/>
      <c r="BK72" s="67"/>
      <c r="BL72" s="67"/>
      <c r="BM72" s="560"/>
      <c r="BN72" s="67"/>
      <c r="BO72" s="67"/>
      <c r="BP72" s="67"/>
      <c r="BQ72" s="67"/>
      <c r="BR72" s="560"/>
      <c r="BS72" s="67"/>
      <c r="BT72" s="67"/>
      <c r="BU72" s="67"/>
      <c r="BV72" s="67"/>
      <c r="BW72" s="560"/>
      <c r="BX72" s="67"/>
      <c r="BY72" s="67"/>
      <c r="BZ72" s="67"/>
      <c r="CA72" s="67"/>
      <c r="CB72" s="560"/>
      <c r="CC72" s="67"/>
      <c r="CD72" s="67"/>
      <c r="CE72" s="67"/>
      <c r="CF72" s="67"/>
      <c r="CG72" s="560"/>
      <c r="CH72" s="67"/>
      <c r="CI72" s="67"/>
      <c r="CJ72" s="67"/>
      <c r="CK72" s="67"/>
      <c r="CL72" s="560"/>
      <c r="CM72" s="67"/>
      <c r="CN72" s="67"/>
      <c r="CO72" s="67"/>
      <c r="CP72" s="67"/>
      <c r="CQ72" s="560"/>
      <c r="CR72" s="67"/>
      <c r="CS72" s="67"/>
      <c r="CT72" s="67"/>
      <c r="CU72" s="67"/>
      <c r="CV72" s="560"/>
      <c r="CW72" s="67"/>
      <c r="CX72" s="67"/>
      <c r="CY72" s="67"/>
      <c r="CZ72" s="67"/>
      <c r="DA72" s="560"/>
      <c r="DB72" s="67"/>
      <c r="DC72" s="67"/>
      <c r="DD72" s="67"/>
      <c r="DE72" s="67"/>
      <c r="DF72" s="560"/>
      <c r="DG72" s="67"/>
      <c r="DH72" s="67"/>
      <c r="DI72" s="67"/>
      <c r="DJ72" s="67"/>
      <c r="DK72" s="560"/>
      <c r="DL72" s="67"/>
      <c r="DM72" s="67"/>
      <c r="DN72" s="67"/>
      <c r="DO72" s="67"/>
      <c r="DP72" s="560"/>
      <c r="DQ72" s="67"/>
      <c r="DR72" s="67"/>
      <c r="DS72" s="67"/>
      <c r="DT72" s="67"/>
      <c r="DU72" s="560"/>
      <c r="DV72" s="67"/>
      <c r="DW72" s="67"/>
      <c r="DX72" s="67"/>
      <c r="DY72" s="67"/>
      <c r="DZ72" s="560"/>
      <c r="EA72" s="67"/>
      <c r="EB72" s="67"/>
      <c r="EC72" s="67"/>
      <c r="ED72" s="67"/>
      <c r="EE72" s="560"/>
      <c r="EF72" s="67"/>
      <c r="EG72" s="67"/>
      <c r="EH72" s="67"/>
      <c r="EI72" s="67"/>
      <c r="EJ72" s="560"/>
      <c r="EK72" s="67"/>
      <c r="EL72" s="67"/>
      <c r="EM72" s="67"/>
      <c r="EN72" s="67"/>
      <c r="EO72" s="455"/>
      <c r="ER72" s="472"/>
      <c r="ES72" s="472"/>
    </row>
    <row r="73" spans="1:149" ht="12.75" customHeight="1" x14ac:dyDescent="0.2">
      <c r="A73" s="442"/>
      <c r="B73" s="442"/>
      <c r="D73" s="455" t="s">
        <v>355</v>
      </c>
      <c r="E73" s="560"/>
      <c r="F73" s="442"/>
      <c r="G73" s="67">
        <f>SUM(G74:G77)</f>
        <v>0</v>
      </c>
      <c r="H73" s="67"/>
      <c r="I73" s="67"/>
      <c r="J73" s="560"/>
      <c r="K73" s="67"/>
      <c r="L73" s="67">
        <f>SUM(L74:L77)</f>
        <v>0</v>
      </c>
      <c r="M73" s="67"/>
      <c r="N73" s="67"/>
      <c r="O73" s="560"/>
      <c r="P73" s="67"/>
      <c r="Q73" s="67">
        <f>SUM(Q74:Q77)</f>
        <v>0</v>
      </c>
      <c r="R73" s="67"/>
      <c r="S73" s="67"/>
      <c r="T73" s="560"/>
      <c r="U73" s="67"/>
      <c r="V73" s="67">
        <f>SUM(V74:V77)</f>
        <v>0</v>
      </c>
      <c r="W73" s="67"/>
      <c r="X73" s="67"/>
      <c r="Y73" s="560"/>
      <c r="Z73" s="67"/>
      <c r="AA73" s="67">
        <f>SUM(AA74:AA77)</f>
        <v>0</v>
      </c>
      <c r="AB73" s="67"/>
      <c r="AC73" s="67"/>
      <c r="AD73" s="560"/>
      <c r="AE73" s="67"/>
      <c r="AF73" s="67">
        <f>SUM(AF74:AF77)</f>
        <v>0</v>
      </c>
      <c r="AG73" s="67"/>
      <c r="AH73" s="67"/>
      <c r="AI73" s="560"/>
      <c r="AJ73" s="67"/>
      <c r="AK73" s="67">
        <f>SUM(AK74:AK77)</f>
        <v>0</v>
      </c>
      <c r="AL73" s="67"/>
      <c r="AM73" s="67"/>
      <c r="AN73" s="560"/>
      <c r="AO73" s="67"/>
      <c r="AP73" s="67">
        <f>SUM(AP74:AP77)</f>
        <v>0</v>
      </c>
      <c r="AQ73" s="67"/>
      <c r="AR73" s="67"/>
      <c r="AS73" s="560"/>
      <c r="AT73" s="67"/>
      <c r="AU73" s="67">
        <f>SUM(AU74:AU77)</f>
        <v>0</v>
      </c>
      <c r="AV73" s="67"/>
      <c r="AW73" s="67"/>
      <c r="AX73" s="560"/>
      <c r="AY73" s="67"/>
      <c r="AZ73" s="67">
        <f>SUM(AZ74:AZ77)</f>
        <v>0</v>
      </c>
      <c r="BA73" s="67"/>
      <c r="BB73" s="67"/>
      <c r="BC73" s="560"/>
      <c r="BD73" s="67"/>
      <c r="BE73" s="67">
        <f>SUM(BE74:BE77)</f>
        <v>0</v>
      </c>
      <c r="BF73" s="67"/>
      <c r="BG73" s="67"/>
      <c r="BH73" s="560"/>
      <c r="BI73" s="67"/>
      <c r="BJ73" s="67">
        <f>SUM(BJ74:BJ77)</f>
        <v>0</v>
      </c>
      <c r="BK73" s="67"/>
      <c r="BL73" s="67"/>
      <c r="BM73" s="560"/>
      <c r="BN73" s="67"/>
      <c r="BO73" s="67">
        <f>SUM(BO74:BO77)</f>
        <v>0</v>
      </c>
      <c r="BP73" s="67"/>
      <c r="BQ73" s="67"/>
      <c r="BR73" s="560"/>
      <c r="BS73" s="67"/>
      <c r="BT73" s="67">
        <f>SUM(BT74:BT77)</f>
        <v>0</v>
      </c>
      <c r="BU73" s="67"/>
      <c r="BV73" s="67"/>
      <c r="BW73" s="560"/>
      <c r="BX73" s="67"/>
      <c r="BY73" s="67">
        <f>SUM(BY74:BY77)</f>
        <v>4471814</v>
      </c>
      <c r="BZ73" s="67"/>
      <c r="CA73" s="67"/>
      <c r="CB73" s="560"/>
      <c r="CC73" s="67"/>
      <c r="CD73" s="67">
        <f>SUM(CD74:CD77)</f>
        <v>337942</v>
      </c>
      <c r="CE73" s="67"/>
      <c r="CF73" s="67"/>
      <c r="CG73" s="560"/>
      <c r="CH73" s="67"/>
      <c r="CI73" s="67">
        <f>SUM(CI74:CI77)</f>
        <v>248482</v>
      </c>
      <c r="CJ73" s="67"/>
      <c r="CK73" s="67"/>
      <c r="CL73" s="560"/>
      <c r="CM73" s="67"/>
      <c r="CN73" s="67">
        <f>SUM(CN74:CN77)</f>
        <v>22803</v>
      </c>
      <c r="CO73" s="67"/>
      <c r="CP73" s="67"/>
      <c r="CQ73" s="560"/>
      <c r="CR73" s="67"/>
      <c r="CS73" s="67">
        <f>SUM(CS74:CS77)</f>
        <v>234919</v>
      </c>
      <c r="CT73" s="67"/>
      <c r="CU73" s="67"/>
      <c r="CV73" s="560"/>
      <c r="CW73" s="67"/>
      <c r="CX73" s="67">
        <f>SUM(CX74:CX77)</f>
        <v>201859</v>
      </c>
      <c r="CY73" s="67"/>
      <c r="CZ73" s="67"/>
      <c r="DA73" s="560"/>
      <c r="DB73" s="67"/>
      <c r="DC73" s="67">
        <f>SUM(DC74:DC77)</f>
        <v>601319</v>
      </c>
      <c r="DD73" s="67"/>
      <c r="DE73" s="67"/>
      <c r="DF73" s="560"/>
      <c r="DG73" s="67"/>
      <c r="DH73" s="67">
        <f>SUM(DH74:DH77)</f>
        <v>0</v>
      </c>
      <c r="DI73" s="67"/>
      <c r="DJ73" s="67"/>
      <c r="DK73" s="560"/>
      <c r="DL73" s="67"/>
      <c r="DM73" s="67">
        <f>SUM(DM74:DM77)</f>
        <v>820361</v>
      </c>
      <c r="DN73" s="67"/>
      <c r="DO73" s="67"/>
      <c r="DP73" s="560"/>
      <c r="DQ73" s="67"/>
      <c r="DR73" s="67">
        <f>SUM(DR74:DR77)</f>
        <v>373187</v>
      </c>
      <c r="DS73" s="67"/>
      <c r="DT73" s="67"/>
      <c r="DU73" s="560"/>
      <c r="DV73" s="67"/>
      <c r="DW73" s="67">
        <f>SUM(DW74:DW77)</f>
        <v>1016423</v>
      </c>
      <c r="DX73" s="67"/>
      <c r="DY73" s="67"/>
      <c r="DZ73" s="560"/>
      <c r="EA73" s="67"/>
      <c r="EB73" s="67">
        <f>SUM(EB74:EB77)</f>
        <v>151995</v>
      </c>
      <c r="EC73" s="67"/>
      <c r="ED73" s="67"/>
      <c r="EE73" s="560"/>
      <c r="EF73" s="67"/>
      <c r="EG73" s="67">
        <f>SUM(EG74:EG77)</f>
        <v>462524</v>
      </c>
      <c r="EH73" s="67"/>
      <c r="EI73" s="67"/>
      <c r="EJ73" s="560"/>
      <c r="EK73" s="67"/>
      <c r="EL73" s="67">
        <f>SUM(EL74:EL77)</f>
        <v>586424</v>
      </c>
      <c r="EM73" s="67"/>
      <c r="EN73" s="67"/>
      <c r="EO73" s="455"/>
      <c r="ER73" s="472"/>
      <c r="ES73" s="472"/>
    </row>
    <row r="74" spans="1:149" ht="12.75" customHeight="1" x14ac:dyDescent="0.2">
      <c r="A74" s="442"/>
      <c r="B74" s="442"/>
      <c r="D74" s="455" t="s">
        <v>342</v>
      </c>
      <c r="E74" s="560"/>
      <c r="F74" s="473"/>
      <c r="G74" s="558">
        <v>0</v>
      </c>
      <c r="H74" s="559"/>
      <c r="I74" s="67"/>
      <c r="J74" s="560"/>
      <c r="K74" s="561"/>
      <c r="L74" s="558">
        <v>0</v>
      </c>
      <c r="M74" s="559"/>
      <c r="N74" s="67"/>
      <c r="O74" s="560"/>
      <c r="P74" s="561"/>
      <c r="Q74" s="558">
        <v>0</v>
      </c>
      <c r="R74" s="559"/>
      <c r="S74" s="67"/>
      <c r="T74" s="560"/>
      <c r="U74" s="561"/>
      <c r="V74" s="558">
        <v>0</v>
      </c>
      <c r="W74" s="559"/>
      <c r="X74" s="67"/>
      <c r="Y74" s="560"/>
      <c r="Z74" s="561"/>
      <c r="AA74" s="558">
        <v>0</v>
      </c>
      <c r="AB74" s="559"/>
      <c r="AC74" s="67"/>
      <c r="AD74" s="560"/>
      <c r="AE74" s="561"/>
      <c r="AF74" s="558">
        <v>0</v>
      </c>
      <c r="AG74" s="559"/>
      <c r="AH74" s="67"/>
      <c r="AI74" s="560"/>
      <c r="AJ74" s="561"/>
      <c r="AK74" s="558">
        <v>0</v>
      </c>
      <c r="AL74" s="559"/>
      <c r="AM74" s="67"/>
      <c r="AN74" s="560"/>
      <c r="AO74" s="561"/>
      <c r="AP74" s="558">
        <v>0</v>
      </c>
      <c r="AQ74" s="559"/>
      <c r="AR74" s="67"/>
      <c r="AS74" s="560"/>
      <c r="AT74" s="561"/>
      <c r="AU74" s="558">
        <v>0</v>
      </c>
      <c r="AV74" s="559"/>
      <c r="AW74" s="67"/>
      <c r="AX74" s="560"/>
      <c r="AY74" s="561"/>
      <c r="AZ74" s="558">
        <v>0</v>
      </c>
      <c r="BA74" s="559"/>
      <c r="BB74" s="67"/>
      <c r="BC74" s="560"/>
      <c r="BD74" s="561"/>
      <c r="BE74" s="558">
        <v>0</v>
      </c>
      <c r="BF74" s="559"/>
      <c r="BG74" s="67"/>
      <c r="BH74" s="560"/>
      <c r="BI74" s="561"/>
      <c r="BJ74" s="558">
        <v>0</v>
      </c>
      <c r="BK74" s="559"/>
      <c r="BL74" s="67"/>
      <c r="BM74" s="560"/>
      <c r="BN74" s="561"/>
      <c r="BO74" s="558">
        <v>0</v>
      </c>
      <c r="BP74" s="559"/>
      <c r="BQ74" s="67"/>
      <c r="BR74" s="560"/>
      <c r="BS74" s="561"/>
      <c r="BT74" s="558">
        <f>SUM(L74:BO74)</f>
        <v>0</v>
      </c>
      <c r="BU74" s="559"/>
      <c r="BV74" s="67"/>
      <c r="BW74" s="560"/>
      <c r="BX74" s="561"/>
      <c r="BY74" s="558">
        <v>3246668</v>
      </c>
      <c r="BZ74" s="559"/>
      <c r="CA74" s="67"/>
      <c r="CB74" s="560"/>
      <c r="CC74" s="561"/>
      <c r="CD74" s="558">
        <f>300000-40111</f>
        <v>259889</v>
      </c>
      <c r="CE74" s="559"/>
      <c r="CF74" s="67"/>
      <c r="CG74" s="560"/>
      <c r="CH74" s="561"/>
      <c r="CI74" s="558">
        <f>220000-22496</f>
        <v>197504</v>
      </c>
      <c r="CJ74" s="559"/>
      <c r="CK74" s="67"/>
      <c r="CL74" s="560"/>
      <c r="CM74" s="561"/>
      <c r="CN74" s="558">
        <f>20000-2609</f>
        <v>17391</v>
      </c>
      <c r="CO74" s="559"/>
      <c r="CP74" s="67"/>
      <c r="CQ74" s="560"/>
      <c r="CR74" s="561"/>
      <c r="CS74" s="558">
        <f>205000-25715</f>
        <v>179285</v>
      </c>
      <c r="CT74" s="559"/>
      <c r="CU74" s="67"/>
      <c r="CV74" s="560"/>
      <c r="CW74" s="561"/>
      <c r="CX74" s="558">
        <f>175000-25019</f>
        <v>149981</v>
      </c>
      <c r="CY74" s="559"/>
      <c r="CZ74" s="67"/>
      <c r="DA74" s="560"/>
      <c r="DB74" s="561"/>
      <c r="DC74" s="558">
        <f>520000-76548</f>
        <v>443452</v>
      </c>
      <c r="DD74" s="559"/>
      <c r="DE74" s="67"/>
      <c r="DF74" s="560"/>
      <c r="DG74" s="561"/>
      <c r="DH74" s="558">
        <v>0</v>
      </c>
      <c r="DI74" s="559"/>
      <c r="DJ74" s="67"/>
      <c r="DK74" s="560"/>
      <c r="DL74" s="561"/>
      <c r="DM74" s="558">
        <f>705000-113837</f>
        <v>591163</v>
      </c>
      <c r="DN74" s="559"/>
      <c r="DO74" s="67"/>
      <c r="DP74" s="560"/>
      <c r="DQ74" s="561"/>
      <c r="DR74" s="558">
        <f>320000-52806</f>
        <v>267194</v>
      </c>
      <c r="DS74" s="559"/>
      <c r="DT74" s="67"/>
      <c r="DU74" s="560"/>
      <c r="DV74" s="561"/>
      <c r="DW74" s="558">
        <f>870000-146244</f>
        <v>723756</v>
      </c>
      <c r="DX74" s="559"/>
      <c r="DY74" s="67"/>
      <c r="DZ74" s="560"/>
      <c r="EA74" s="561"/>
      <c r="EB74" s="558">
        <f>130000-20883</f>
        <v>109117</v>
      </c>
      <c r="EC74" s="559"/>
      <c r="ED74" s="67"/>
      <c r="EE74" s="560"/>
      <c r="EF74" s="561"/>
      <c r="EG74" s="558">
        <f>395000-87064</f>
        <v>307936</v>
      </c>
      <c r="EH74" s="559"/>
      <c r="EI74" s="67"/>
      <c r="EJ74" s="560"/>
      <c r="EK74" s="561"/>
      <c r="EL74" s="558">
        <f>SUM(CD74:CI74)</f>
        <v>457393</v>
      </c>
      <c r="EM74" s="559"/>
      <c r="EN74" s="67"/>
      <c r="EO74" s="455"/>
      <c r="ER74" s="472"/>
      <c r="ES74" s="472"/>
    </row>
    <row r="75" spans="1:149" ht="12.75" customHeight="1" x14ac:dyDescent="0.2">
      <c r="A75" s="442"/>
      <c r="B75" s="442"/>
      <c r="D75" s="455" t="s">
        <v>344</v>
      </c>
      <c r="E75" s="560"/>
      <c r="F75" s="465"/>
      <c r="G75" s="67">
        <v>0</v>
      </c>
      <c r="H75" s="66"/>
      <c r="I75" s="67"/>
      <c r="J75" s="560"/>
      <c r="K75" s="560"/>
      <c r="L75" s="67">
        <v>0</v>
      </c>
      <c r="M75" s="66"/>
      <c r="N75" s="67"/>
      <c r="O75" s="560"/>
      <c r="P75" s="560"/>
      <c r="Q75" s="67">
        <v>0</v>
      </c>
      <c r="R75" s="66"/>
      <c r="S75" s="67"/>
      <c r="T75" s="560"/>
      <c r="U75" s="560"/>
      <c r="V75" s="67">
        <v>0</v>
      </c>
      <c r="W75" s="66"/>
      <c r="X75" s="67"/>
      <c r="Y75" s="560"/>
      <c r="Z75" s="560"/>
      <c r="AA75" s="67">
        <v>0</v>
      </c>
      <c r="AB75" s="66"/>
      <c r="AC75" s="67"/>
      <c r="AD75" s="560"/>
      <c r="AE75" s="560"/>
      <c r="AF75" s="67">
        <v>0</v>
      </c>
      <c r="AG75" s="66"/>
      <c r="AH75" s="67"/>
      <c r="AI75" s="560"/>
      <c r="AJ75" s="560"/>
      <c r="AK75" s="67">
        <v>0</v>
      </c>
      <c r="AL75" s="66"/>
      <c r="AM75" s="67"/>
      <c r="AN75" s="560"/>
      <c r="AO75" s="560"/>
      <c r="AP75" s="67">
        <v>0</v>
      </c>
      <c r="AQ75" s="66"/>
      <c r="AR75" s="67"/>
      <c r="AS75" s="560"/>
      <c r="AT75" s="560"/>
      <c r="AU75" s="67">
        <v>0</v>
      </c>
      <c r="AV75" s="66"/>
      <c r="AW75" s="67"/>
      <c r="AX75" s="560"/>
      <c r="AY75" s="560"/>
      <c r="AZ75" s="67">
        <v>0</v>
      </c>
      <c r="BA75" s="66"/>
      <c r="BB75" s="67"/>
      <c r="BC75" s="560"/>
      <c r="BD75" s="560"/>
      <c r="BE75" s="67">
        <v>0</v>
      </c>
      <c r="BF75" s="66"/>
      <c r="BG75" s="67"/>
      <c r="BH75" s="560"/>
      <c r="BI75" s="560"/>
      <c r="BJ75" s="67">
        <v>0</v>
      </c>
      <c r="BK75" s="66"/>
      <c r="BL75" s="67"/>
      <c r="BM75" s="560"/>
      <c r="BN75" s="560"/>
      <c r="BO75" s="67">
        <v>0</v>
      </c>
      <c r="BP75" s="66"/>
      <c r="BQ75" s="67"/>
      <c r="BR75" s="560"/>
      <c r="BS75" s="560"/>
      <c r="BT75" s="67">
        <f>SUM(L75:BO75)</f>
        <v>0</v>
      </c>
      <c r="BU75" s="66"/>
      <c r="BV75" s="67"/>
      <c r="BW75" s="560"/>
      <c r="BX75" s="560"/>
      <c r="BY75" s="67">
        <v>613332</v>
      </c>
      <c r="BZ75" s="66"/>
      <c r="CA75" s="67"/>
      <c r="CB75" s="560"/>
      <c r="CC75" s="560"/>
      <c r="CD75" s="67">
        <v>40111</v>
      </c>
      <c r="CE75" s="66"/>
      <c r="CF75" s="67"/>
      <c r="CG75" s="560"/>
      <c r="CH75" s="560"/>
      <c r="CI75" s="67">
        <v>22496</v>
      </c>
      <c r="CJ75" s="66"/>
      <c r="CK75" s="67"/>
      <c r="CL75" s="560"/>
      <c r="CM75" s="560"/>
      <c r="CN75" s="67">
        <v>2609</v>
      </c>
      <c r="CO75" s="66"/>
      <c r="CP75" s="67"/>
      <c r="CQ75" s="560"/>
      <c r="CR75" s="560"/>
      <c r="CS75" s="67">
        <v>25715</v>
      </c>
      <c r="CT75" s="66"/>
      <c r="CU75" s="67"/>
      <c r="CV75" s="560"/>
      <c r="CW75" s="560"/>
      <c r="CX75" s="67">
        <v>25019</v>
      </c>
      <c r="CY75" s="66"/>
      <c r="CZ75" s="67"/>
      <c r="DA75" s="560"/>
      <c r="DB75" s="560"/>
      <c r="DC75" s="67">
        <v>76548</v>
      </c>
      <c r="DD75" s="66"/>
      <c r="DE75" s="67"/>
      <c r="DF75" s="560"/>
      <c r="DG75" s="560"/>
      <c r="DH75" s="67">
        <v>0</v>
      </c>
      <c r="DI75" s="66"/>
      <c r="DJ75" s="67"/>
      <c r="DK75" s="560"/>
      <c r="DL75" s="560"/>
      <c r="DM75" s="67">
        <v>113837</v>
      </c>
      <c r="DN75" s="66"/>
      <c r="DO75" s="67"/>
      <c r="DP75" s="560"/>
      <c r="DQ75" s="560"/>
      <c r="DR75" s="67">
        <v>52806</v>
      </c>
      <c r="DS75" s="66"/>
      <c r="DT75" s="67"/>
      <c r="DU75" s="560"/>
      <c r="DV75" s="560"/>
      <c r="DW75" s="67">
        <f>146244</f>
        <v>146244</v>
      </c>
      <c r="DX75" s="66"/>
      <c r="DY75" s="67"/>
      <c r="DZ75" s="560"/>
      <c r="EA75" s="560"/>
      <c r="EB75" s="67">
        <v>20883</v>
      </c>
      <c r="EC75" s="66"/>
      <c r="ED75" s="67"/>
      <c r="EE75" s="560"/>
      <c r="EF75" s="560"/>
      <c r="EG75" s="67">
        <v>87064</v>
      </c>
      <c r="EH75" s="66"/>
      <c r="EI75" s="67"/>
      <c r="EJ75" s="560"/>
      <c r="EK75" s="560"/>
      <c r="EL75" s="67">
        <f>SUM(CD75:CI75)</f>
        <v>62607</v>
      </c>
      <c r="EM75" s="66"/>
      <c r="EN75" s="67"/>
      <c r="EO75" s="455"/>
      <c r="ER75" s="472"/>
      <c r="ES75" s="472"/>
    </row>
    <row r="76" spans="1:149" ht="12.75" customHeight="1" x14ac:dyDescent="0.2">
      <c r="A76" s="442"/>
      <c r="B76" s="442"/>
      <c r="D76" s="455" t="s">
        <v>345</v>
      </c>
      <c r="E76" s="560"/>
      <c r="F76" s="465"/>
      <c r="G76" s="67">
        <v>0</v>
      </c>
      <c r="H76" s="66"/>
      <c r="I76" s="67"/>
      <c r="J76" s="560"/>
      <c r="K76" s="560"/>
      <c r="L76" s="67">
        <v>0</v>
      </c>
      <c r="M76" s="66"/>
      <c r="N76" s="67"/>
      <c r="O76" s="560"/>
      <c r="P76" s="560"/>
      <c r="Q76" s="67">
        <v>0</v>
      </c>
      <c r="R76" s="66"/>
      <c r="S76" s="67"/>
      <c r="T76" s="560"/>
      <c r="U76" s="560"/>
      <c r="V76" s="67">
        <v>0</v>
      </c>
      <c r="W76" s="66"/>
      <c r="X76" s="67"/>
      <c r="Y76" s="560"/>
      <c r="Z76" s="560"/>
      <c r="AA76" s="67">
        <v>0</v>
      </c>
      <c r="AB76" s="66"/>
      <c r="AC76" s="67"/>
      <c r="AD76" s="560"/>
      <c r="AE76" s="560"/>
      <c r="AF76" s="67">
        <v>0</v>
      </c>
      <c r="AG76" s="66"/>
      <c r="AH76" s="67"/>
      <c r="AI76" s="560"/>
      <c r="AJ76" s="560"/>
      <c r="AK76" s="67">
        <v>0</v>
      </c>
      <c r="AL76" s="66"/>
      <c r="AM76" s="67"/>
      <c r="AN76" s="560"/>
      <c r="AO76" s="560"/>
      <c r="AP76" s="67">
        <v>0</v>
      </c>
      <c r="AQ76" s="66"/>
      <c r="AR76" s="67"/>
      <c r="AS76" s="560"/>
      <c r="AT76" s="560"/>
      <c r="AU76" s="67">
        <v>0</v>
      </c>
      <c r="AV76" s="66"/>
      <c r="AW76" s="67"/>
      <c r="AX76" s="560"/>
      <c r="AY76" s="560"/>
      <c r="AZ76" s="67">
        <v>0</v>
      </c>
      <c r="BA76" s="66"/>
      <c r="BB76" s="67"/>
      <c r="BC76" s="560"/>
      <c r="BD76" s="560"/>
      <c r="BE76" s="67">
        <v>0</v>
      </c>
      <c r="BF76" s="66"/>
      <c r="BG76" s="67"/>
      <c r="BH76" s="560"/>
      <c r="BI76" s="560"/>
      <c r="BJ76" s="67">
        <v>0</v>
      </c>
      <c r="BK76" s="66"/>
      <c r="BL76" s="67"/>
      <c r="BM76" s="560"/>
      <c r="BN76" s="560"/>
      <c r="BO76" s="67">
        <v>0</v>
      </c>
      <c r="BP76" s="66"/>
      <c r="BQ76" s="67"/>
      <c r="BR76" s="560"/>
      <c r="BS76" s="560"/>
      <c r="BT76" s="67">
        <f>SUM(L76:BO76)</f>
        <v>0</v>
      </c>
      <c r="BU76" s="66"/>
      <c r="BV76" s="67"/>
      <c r="BW76" s="560"/>
      <c r="BX76" s="560"/>
      <c r="BY76" s="67">
        <v>0</v>
      </c>
      <c r="BZ76" s="66"/>
      <c r="CA76" s="67"/>
      <c r="CB76" s="560"/>
      <c r="CC76" s="560"/>
      <c r="CD76" s="67">
        <v>0</v>
      </c>
      <c r="CE76" s="66"/>
      <c r="CF76" s="67"/>
      <c r="CG76" s="560"/>
      <c r="CH76" s="560"/>
      <c r="CI76" s="67">
        <v>0</v>
      </c>
      <c r="CJ76" s="66"/>
      <c r="CK76" s="67"/>
      <c r="CL76" s="560"/>
      <c r="CM76" s="560"/>
      <c r="CN76" s="67">
        <v>0</v>
      </c>
      <c r="CO76" s="66"/>
      <c r="CP76" s="67"/>
      <c r="CQ76" s="560"/>
      <c r="CR76" s="560"/>
      <c r="CS76" s="67">
        <v>0</v>
      </c>
      <c r="CT76" s="66"/>
      <c r="CU76" s="67"/>
      <c r="CV76" s="560"/>
      <c r="CW76" s="560"/>
      <c r="CX76" s="67">
        <v>0</v>
      </c>
      <c r="CY76" s="66"/>
      <c r="CZ76" s="67"/>
      <c r="DA76" s="560"/>
      <c r="DB76" s="560"/>
      <c r="DC76" s="67">
        <v>0</v>
      </c>
      <c r="DD76" s="66"/>
      <c r="DE76" s="67"/>
      <c r="DF76" s="560"/>
      <c r="DG76" s="560"/>
      <c r="DH76" s="67">
        <v>0</v>
      </c>
      <c r="DI76" s="66"/>
      <c r="DJ76" s="67"/>
      <c r="DK76" s="560"/>
      <c r="DL76" s="560"/>
      <c r="DM76" s="67">
        <v>0</v>
      </c>
      <c r="DN76" s="66"/>
      <c r="DO76" s="67"/>
      <c r="DP76" s="560"/>
      <c r="DQ76" s="560"/>
      <c r="DR76" s="67">
        <v>0</v>
      </c>
      <c r="DS76" s="66"/>
      <c r="DT76" s="67"/>
      <c r="DU76" s="560"/>
      <c r="DV76" s="560"/>
      <c r="DW76" s="67">
        <v>0</v>
      </c>
      <c r="DX76" s="66"/>
      <c r="DY76" s="67"/>
      <c r="DZ76" s="560"/>
      <c r="EA76" s="560"/>
      <c r="EB76" s="67">
        <v>0</v>
      </c>
      <c r="EC76" s="66"/>
      <c r="ED76" s="67"/>
      <c r="EE76" s="560"/>
      <c r="EF76" s="560"/>
      <c r="EG76" s="67">
        <v>0</v>
      </c>
      <c r="EH76" s="66"/>
      <c r="EI76" s="67"/>
      <c r="EJ76" s="560"/>
      <c r="EK76" s="560"/>
      <c r="EL76" s="67">
        <f>SUM(CD76:CI76)</f>
        <v>0</v>
      </c>
      <c r="EM76" s="66"/>
      <c r="EN76" s="67"/>
      <c r="EO76" s="455"/>
      <c r="ER76" s="472"/>
      <c r="ES76" s="472"/>
    </row>
    <row r="77" spans="1:149" ht="12.75" customHeight="1" x14ac:dyDescent="0.2">
      <c r="A77" s="442"/>
      <c r="B77" s="442"/>
      <c r="D77" s="455" t="s">
        <v>346</v>
      </c>
      <c r="E77" s="560"/>
      <c r="F77" s="488"/>
      <c r="G77" s="113">
        <v>0</v>
      </c>
      <c r="H77" s="112"/>
      <c r="I77" s="67"/>
      <c r="J77" s="560"/>
      <c r="K77" s="569"/>
      <c r="L77" s="113">
        <v>0</v>
      </c>
      <c r="M77" s="112"/>
      <c r="N77" s="67"/>
      <c r="O77" s="560"/>
      <c r="P77" s="569"/>
      <c r="Q77" s="113">
        <v>0</v>
      </c>
      <c r="R77" s="112"/>
      <c r="S77" s="67"/>
      <c r="T77" s="560"/>
      <c r="U77" s="569"/>
      <c r="V77" s="113">
        <v>0</v>
      </c>
      <c r="W77" s="112"/>
      <c r="X77" s="67"/>
      <c r="Y77" s="560"/>
      <c r="Z77" s="569"/>
      <c r="AA77" s="113">
        <v>0</v>
      </c>
      <c r="AB77" s="112"/>
      <c r="AC77" s="67"/>
      <c r="AD77" s="560"/>
      <c r="AE77" s="569"/>
      <c r="AF77" s="113">
        <v>0</v>
      </c>
      <c r="AG77" s="112"/>
      <c r="AH77" s="67"/>
      <c r="AI77" s="560"/>
      <c r="AJ77" s="569"/>
      <c r="AK77" s="113">
        <v>0</v>
      </c>
      <c r="AL77" s="112"/>
      <c r="AM77" s="67"/>
      <c r="AN77" s="560"/>
      <c r="AO77" s="569"/>
      <c r="AP77" s="113">
        <v>0</v>
      </c>
      <c r="AQ77" s="112"/>
      <c r="AR77" s="67"/>
      <c r="AS77" s="560"/>
      <c r="AT77" s="569"/>
      <c r="AU77" s="113">
        <v>0</v>
      </c>
      <c r="AV77" s="112"/>
      <c r="AW77" s="67"/>
      <c r="AX77" s="560"/>
      <c r="AY77" s="569"/>
      <c r="AZ77" s="113">
        <v>0</v>
      </c>
      <c r="BA77" s="112"/>
      <c r="BB77" s="67"/>
      <c r="BC77" s="560"/>
      <c r="BD77" s="569"/>
      <c r="BE77" s="113">
        <v>0</v>
      </c>
      <c r="BF77" s="112"/>
      <c r="BG77" s="67"/>
      <c r="BH77" s="560"/>
      <c r="BI77" s="569"/>
      <c r="BJ77" s="113">
        <v>0</v>
      </c>
      <c r="BK77" s="112"/>
      <c r="BL77" s="67"/>
      <c r="BM77" s="560"/>
      <c r="BN77" s="569"/>
      <c r="BO77" s="113">
        <v>0</v>
      </c>
      <c r="BP77" s="112"/>
      <c r="BQ77" s="67"/>
      <c r="BR77" s="560"/>
      <c r="BS77" s="569"/>
      <c r="BT77" s="113">
        <f>SUM(L77:BO77)</f>
        <v>0</v>
      </c>
      <c r="BU77" s="112"/>
      <c r="BV77" s="67"/>
      <c r="BW77" s="560"/>
      <c r="BX77" s="569"/>
      <c r="BY77" s="113">
        <v>611814</v>
      </c>
      <c r="BZ77" s="112"/>
      <c r="CA77" s="67"/>
      <c r="CB77" s="560"/>
      <c r="CC77" s="569"/>
      <c r="CD77" s="113">
        <v>37942</v>
      </c>
      <c r="CE77" s="112"/>
      <c r="CF77" s="67"/>
      <c r="CG77" s="560"/>
      <c r="CH77" s="569"/>
      <c r="CI77" s="113">
        <v>28482</v>
      </c>
      <c r="CJ77" s="112"/>
      <c r="CK77" s="67"/>
      <c r="CL77" s="560"/>
      <c r="CM77" s="569"/>
      <c r="CN77" s="113">
        <v>2803</v>
      </c>
      <c r="CO77" s="112"/>
      <c r="CP77" s="67"/>
      <c r="CQ77" s="560"/>
      <c r="CR77" s="569"/>
      <c r="CS77" s="113">
        <v>29919</v>
      </c>
      <c r="CT77" s="112"/>
      <c r="CU77" s="67"/>
      <c r="CV77" s="560"/>
      <c r="CW77" s="569"/>
      <c r="CX77" s="113">
        <v>26859</v>
      </c>
      <c r="CY77" s="112"/>
      <c r="CZ77" s="67"/>
      <c r="DA77" s="560"/>
      <c r="DB77" s="569"/>
      <c r="DC77" s="113">
        <v>81319</v>
      </c>
      <c r="DD77" s="112"/>
      <c r="DE77" s="67"/>
      <c r="DF77" s="560"/>
      <c r="DG77" s="569"/>
      <c r="DH77" s="113">
        <v>0</v>
      </c>
      <c r="DI77" s="112"/>
      <c r="DJ77" s="67"/>
      <c r="DK77" s="560"/>
      <c r="DL77" s="569"/>
      <c r="DM77" s="113">
        <v>115361</v>
      </c>
      <c r="DN77" s="112"/>
      <c r="DO77" s="67"/>
      <c r="DP77" s="560"/>
      <c r="DQ77" s="569"/>
      <c r="DR77" s="113">
        <v>53187</v>
      </c>
      <c r="DS77" s="112"/>
      <c r="DT77" s="67"/>
      <c r="DU77" s="560"/>
      <c r="DV77" s="569"/>
      <c r="DW77" s="113">
        <v>146423</v>
      </c>
      <c r="DX77" s="112"/>
      <c r="DY77" s="67"/>
      <c r="DZ77" s="560"/>
      <c r="EA77" s="569"/>
      <c r="EB77" s="113">
        <v>21995</v>
      </c>
      <c r="EC77" s="112"/>
      <c r="ED77" s="67"/>
      <c r="EE77" s="560"/>
      <c r="EF77" s="569"/>
      <c r="EG77" s="113">
        <v>67524</v>
      </c>
      <c r="EH77" s="112"/>
      <c r="EI77" s="67"/>
      <c r="EJ77" s="560"/>
      <c r="EK77" s="569"/>
      <c r="EL77" s="113">
        <f>SUM(CD77:CI77)</f>
        <v>66424</v>
      </c>
      <c r="EM77" s="112"/>
      <c r="EN77" s="67"/>
      <c r="EO77" s="455"/>
      <c r="ER77" s="472"/>
      <c r="ES77" s="472"/>
    </row>
    <row r="78" spans="1:149" ht="12.75" customHeight="1" x14ac:dyDescent="0.2">
      <c r="A78" s="442"/>
      <c r="B78" s="442"/>
      <c r="D78" s="455"/>
      <c r="E78" s="560"/>
      <c r="F78" s="442"/>
      <c r="G78" s="67"/>
      <c r="H78" s="67"/>
      <c r="I78" s="67"/>
      <c r="J78" s="560"/>
      <c r="K78" s="67"/>
      <c r="L78" s="67"/>
      <c r="M78" s="67"/>
      <c r="N78" s="67"/>
      <c r="O78" s="560"/>
      <c r="P78" s="67"/>
      <c r="Q78" s="67"/>
      <c r="R78" s="67"/>
      <c r="S78" s="67"/>
      <c r="T78" s="560"/>
      <c r="U78" s="67"/>
      <c r="V78" s="67"/>
      <c r="W78" s="67"/>
      <c r="X78" s="67"/>
      <c r="Y78" s="560"/>
      <c r="Z78" s="67"/>
      <c r="AA78" s="67"/>
      <c r="AB78" s="67"/>
      <c r="AC78" s="67"/>
      <c r="AD78" s="560"/>
      <c r="AE78" s="67"/>
      <c r="AF78" s="67"/>
      <c r="AG78" s="67"/>
      <c r="AH78" s="67"/>
      <c r="AI78" s="560"/>
      <c r="AJ78" s="67"/>
      <c r="AK78" s="67"/>
      <c r="AL78" s="67"/>
      <c r="AM78" s="67"/>
      <c r="AN78" s="560"/>
      <c r="AO78" s="67"/>
      <c r="AP78" s="67"/>
      <c r="AQ78" s="67"/>
      <c r="AR78" s="67"/>
      <c r="AS78" s="560"/>
      <c r="AT78" s="67"/>
      <c r="AU78" s="67"/>
      <c r="AV78" s="67"/>
      <c r="AW78" s="67"/>
      <c r="AX78" s="560"/>
      <c r="AY78" s="67"/>
      <c r="AZ78" s="67"/>
      <c r="BA78" s="67"/>
      <c r="BB78" s="67"/>
      <c r="BC78" s="560"/>
      <c r="BD78" s="67"/>
      <c r="BE78" s="67"/>
      <c r="BF78" s="67"/>
      <c r="BG78" s="67"/>
      <c r="BH78" s="560"/>
      <c r="BI78" s="67"/>
      <c r="BJ78" s="67"/>
      <c r="BK78" s="67"/>
      <c r="BL78" s="67"/>
      <c r="BM78" s="560"/>
      <c r="BN78" s="67"/>
      <c r="BO78" s="67"/>
      <c r="BP78" s="67"/>
      <c r="BQ78" s="67"/>
      <c r="BR78" s="560"/>
      <c r="BS78" s="67"/>
      <c r="BT78" s="67"/>
      <c r="BU78" s="67"/>
      <c r="BV78" s="67"/>
      <c r="BW78" s="560"/>
      <c r="BX78" s="67"/>
      <c r="BY78" s="67"/>
      <c r="BZ78" s="67"/>
      <c r="CA78" s="67"/>
      <c r="CB78" s="560"/>
      <c r="CC78" s="67"/>
      <c r="CD78" s="67"/>
      <c r="CE78" s="67"/>
      <c r="CF78" s="67"/>
      <c r="CG78" s="560"/>
      <c r="CH78" s="67"/>
      <c r="CI78" s="67"/>
      <c r="CJ78" s="67"/>
      <c r="CK78" s="67"/>
      <c r="CL78" s="560"/>
      <c r="CM78" s="67"/>
      <c r="CN78" s="67"/>
      <c r="CO78" s="67"/>
      <c r="CP78" s="67"/>
      <c r="CQ78" s="560"/>
      <c r="CR78" s="67"/>
      <c r="CS78" s="67"/>
      <c r="CT78" s="67"/>
      <c r="CU78" s="67"/>
      <c r="CV78" s="560"/>
      <c r="CW78" s="67"/>
      <c r="CX78" s="67"/>
      <c r="CY78" s="67"/>
      <c r="CZ78" s="67"/>
      <c r="DA78" s="560"/>
      <c r="DB78" s="67"/>
      <c r="DC78" s="67"/>
      <c r="DD78" s="67"/>
      <c r="DE78" s="67"/>
      <c r="DF78" s="560"/>
      <c r="DG78" s="67"/>
      <c r="DH78" s="67"/>
      <c r="DI78" s="67"/>
      <c r="DJ78" s="67"/>
      <c r="DK78" s="560"/>
      <c r="DL78" s="67"/>
      <c r="DM78" s="67"/>
      <c r="DN78" s="67"/>
      <c r="DO78" s="67"/>
      <c r="DP78" s="560"/>
      <c r="DQ78" s="67"/>
      <c r="DR78" s="67"/>
      <c r="DS78" s="67"/>
      <c r="DT78" s="67"/>
      <c r="DU78" s="560"/>
      <c r="DV78" s="67"/>
      <c r="DW78" s="67"/>
      <c r="DX78" s="67"/>
      <c r="DY78" s="67"/>
      <c r="DZ78" s="560"/>
      <c r="EA78" s="67"/>
      <c r="EB78" s="67"/>
      <c r="EC78" s="67"/>
      <c r="ED78" s="67"/>
      <c r="EE78" s="560"/>
      <c r="EF78" s="67"/>
      <c r="EG78" s="67"/>
      <c r="EH78" s="67"/>
      <c r="EI78" s="67"/>
      <c r="EJ78" s="560"/>
      <c r="EK78" s="67"/>
      <c r="EL78" s="67"/>
      <c r="EM78" s="67"/>
      <c r="EN78" s="67"/>
      <c r="EO78" s="455"/>
      <c r="ER78" s="472"/>
      <c r="ES78" s="472"/>
    </row>
    <row r="79" spans="1:149" ht="12.75" customHeight="1" x14ac:dyDescent="0.2">
      <c r="A79" s="442"/>
      <c r="B79" s="442"/>
      <c r="D79" s="455" t="s">
        <v>356</v>
      </c>
      <c r="E79" s="560"/>
      <c r="F79" s="442"/>
      <c r="G79" s="67">
        <f>SUM(G80:G82)</f>
        <v>0</v>
      </c>
      <c r="H79" s="67"/>
      <c r="I79" s="67"/>
      <c r="J79" s="560"/>
      <c r="K79" s="67"/>
      <c r="L79" s="67">
        <f>SUM(L80:L82)</f>
        <v>0</v>
      </c>
      <c r="M79" s="67"/>
      <c r="N79" s="67"/>
      <c r="O79" s="560"/>
      <c r="P79" s="67"/>
      <c r="Q79" s="67">
        <f>SUM(Q80:Q82)</f>
        <v>0</v>
      </c>
      <c r="R79" s="67"/>
      <c r="S79" s="67"/>
      <c r="T79" s="560"/>
      <c r="U79" s="67"/>
      <c r="V79" s="67">
        <f>SUM(V80:V82)</f>
        <v>0</v>
      </c>
      <c r="W79" s="67"/>
      <c r="X79" s="67"/>
      <c r="Y79" s="560"/>
      <c r="Z79" s="67"/>
      <c r="AA79" s="67">
        <f>SUM(AA80:AA82)</f>
        <v>0</v>
      </c>
      <c r="AB79" s="67"/>
      <c r="AC79" s="67"/>
      <c r="AD79" s="560"/>
      <c r="AE79" s="67"/>
      <c r="AF79" s="67">
        <f>SUM(AF80:AF82)</f>
        <v>0</v>
      </c>
      <c r="AG79" s="67"/>
      <c r="AH79" s="67"/>
      <c r="AI79" s="560"/>
      <c r="AJ79" s="67"/>
      <c r="AK79" s="67">
        <f>SUM(AK80:AK82)</f>
        <v>0</v>
      </c>
      <c r="AL79" s="67"/>
      <c r="AM79" s="67"/>
      <c r="AN79" s="560"/>
      <c r="AO79" s="67"/>
      <c r="AP79" s="67">
        <f>SUM(AP80:AP82)</f>
        <v>0</v>
      </c>
      <c r="AQ79" s="67"/>
      <c r="AR79" s="67"/>
      <c r="AS79" s="560"/>
      <c r="AT79" s="67"/>
      <c r="AU79" s="67">
        <f>SUM(AU80:AU82)</f>
        <v>0</v>
      </c>
      <c r="AV79" s="67"/>
      <c r="AW79" s="67"/>
      <c r="AX79" s="560"/>
      <c r="AY79" s="67"/>
      <c r="AZ79" s="67">
        <f>SUM(AZ80:AZ82)</f>
        <v>0</v>
      </c>
      <c r="BA79" s="67"/>
      <c r="BB79" s="67"/>
      <c r="BC79" s="560"/>
      <c r="BD79" s="67"/>
      <c r="BE79" s="67">
        <f>SUM(BE80:BE82)</f>
        <v>0</v>
      </c>
      <c r="BF79" s="67"/>
      <c r="BG79" s="67"/>
      <c r="BH79" s="560"/>
      <c r="BI79" s="67"/>
      <c r="BJ79" s="67">
        <f>SUM(BJ80:BJ82)</f>
        <v>0</v>
      </c>
      <c r="BK79" s="67"/>
      <c r="BL79" s="67"/>
      <c r="BM79" s="560"/>
      <c r="BN79" s="67"/>
      <c r="BO79" s="67">
        <f>SUM(BO80:BO82)</f>
        <v>0</v>
      </c>
      <c r="BP79" s="67"/>
      <c r="BQ79" s="67"/>
      <c r="BR79" s="560"/>
      <c r="BS79" s="67"/>
      <c r="BT79" s="67">
        <f>SUM(BT80:BT82)</f>
        <v>0</v>
      </c>
      <c r="BU79" s="67"/>
      <c r="BV79" s="67"/>
      <c r="BW79" s="560"/>
      <c r="BX79" s="67"/>
      <c r="BY79" s="67">
        <f>SUM(BY80:BY82)</f>
        <v>1781</v>
      </c>
      <c r="BZ79" s="67"/>
      <c r="CA79" s="67"/>
      <c r="CB79" s="560"/>
      <c r="CC79" s="67"/>
      <c r="CD79" s="67">
        <f>SUM(CD80:CD82)</f>
        <v>0</v>
      </c>
      <c r="CE79" s="67"/>
      <c r="CF79" s="67"/>
      <c r="CG79" s="560"/>
      <c r="CH79" s="67"/>
      <c r="CI79" s="67">
        <f>SUM(CI80:CI82)</f>
        <v>1781</v>
      </c>
      <c r="CJ79" s="67"/>
      <c r="CK79" s="67"/>
      <c r="CL79" s="560"/>
      <c r="CM79" s="67"/>
      <c r="CN79" s="67">
        <f>SUM(CN80:CN82)</f>
        <v>0</v>
      </c>
      <c r="CO79" s="67"/>
      <c r="CP79" s="67"/>
      <c r="CQ79" s="560"/>
      <c r="CR79" s="67"/>
      <c r="CS79" s="67">
        <f>SUM(CS80:CS82)</f>
        <v>0</v>
      </c>
      <c r="CT79" s="67"/>
      <c r="CU79" s="67"/>
      <c r="CV79" s="560"/>
      <c r="CW79" s="67"/>
      <c r="CX79" s="67">
        <f>SUM(CX80:CX82)</f>
        <v>0</v>
      </c>
      <c r="CY79" s="67"/>
      <c r="CZ79" s="67"/>
      <c r="DA79" s="560"/>
      <c r="DB79" s="67"/>
      <c r="DC79" s="67">
        <f>SUM(DC80:DC82)</f>
        <v>0</v>
      </c>
      <c r="DD79" s="67"/>
      <c r="DE79" s="67"/>
      <c r="DF79" s="560"/>
      <c r="DG79" s="67"/>
      <c r="DH79" s="67">
        <f>SUM(DH80:DH82)</f>
        <v>0</v>
      </c>
      <c r="DI79" s="67"/>
      <c r="DJ79" s="67"/>
      <c r="DK79" s="560"/>
      <c r="DL79" s="67"/>
      <c r="DM79" s="67">
        <f>SUM(DM80:DM82)</f>
        <v>0</v>
      </c>
      <c r="DN79" s="67"/>
      <c r="DO79" s="67"/>
      <c r="DP79" s="560"/>
      <c r="DQ79" s="67"/>
      <c r="DR79" s="67">
        <f>SUM(DR80:DR82)</f>
        <v>0</v>
      </c>
      <c r="DS79" s="67"/>
      <c r="DT79" s="67"/>
      <c r="DU79" s="560"/>
      <c r="DV79" s="67"/>
      <c r="DW79" s="67">
        <f>SUM(DW80:DW82)</f>
        <v>0</v>
      </c>
      <c r="DX79" s="67"/>
      <c r="DY79" s="67"/>
      <c r="DZ79" s="560"/>
      <c r="EA79" s="67"/>
      <c r="EB79" s="67">
        <f>SUM(EB80:EB82)</f>
        <v>0</v>
      </c>
      <c r="EC79" s="67"/>
      <c r="ED79" s="67"/>
      <c r="EE79" s="560"/>
      <c r="EF79" s="67"/>
      <c r="EG79" s="67">
        <f>SUM(EG80:EG82)</f>
        <v>0</v>
      </c>
      <c r="EH79" s="67"/>
      <c r="EI79" s="67"/>
      <c r="EJ79" s="560"/>
      <c r="EK79" s="67"/>
      <c r="EL79" s="67">
        <f>SUM(EL80:EL82)</f>
        <v>1781</v>
      </c>
      <c r="EM79" s="67"/>
      <c r="EN79" s="67"/>
      <c r="EO79" s="455"/>
      <c r="ER79" s="472"/>
      <c r="ES79" s="472"/>
    </row>
    <row r="80" spans="1:149" ht="12.75" customHeight="1" x14ac:dyDescent="0.2">
      <c r="A80" s="442"/>
      <c r="B80" s="442"/>
      <c r="D80" s="455" t="s">
        <v>342</v>
      </c>
      <c r="E80" s="560"/>
      <c r="F80" s="473"/>
      <c r="G80" s="558">
        <v>0</v>
      </c>
      <c r="H80" s="559"/>
      <c r="I80" s="67"/>
      <c r="J80" s="560"/>
      <c r="K80" s="561"/>
      <c r="L80" s="558">
        <v>0</v>
      </c>
      <c r="M80" s="559"/>
      <c r="N80" s="67"/>
      <c r="O80" s="560"/>
      <c r="P80" s="561"/>
      <c r="Q80" s="558">
        <v>0</v>
      </c>
      <c r="R80" s="559"/>
      <c r="S80" s="67"/>
      <c r="T80" s="560"/>
      <c r="U80" s="561"/>
      <c r="V80" s="558">
        <v>0</v>
      </c>
      <c r="W80" s="559"/>
      <c r="X80" s="67"/>
      <c r="Y80" s="560"/>
      <c r="Z80" s="561"/>
      <c r="AA80" s="558">
        <v>0</v>
      </c>
      <c r="AB80" s="559"/>
      <c r="AC80" s="67"/>
      <c r="AD80" s="560"/>
      <c r="AE80" s="561"/>
      <c r="AF80" s="558">
        <v>0</v>
      </c>
      <c r="AG80" s="559"/>
      <c r="AH80" s="67"/>
      <c r="AI80" s="560"/>
      <c r="AJ80" s="561"/>
      <c r="AK80" s="558">
        <v>0</v>
      </c>
      <c r="AL80" s="559"/>
      <c r="AM80" s="67"/>
      <c r="AN80" s="560"/>
      <c r="AO80" s="561"/>
      <c r="AP80" s="558">
        <v>0</v>
      </c>
      <c r="AQ80" s="559"/>
      <c r="AR80" s="67"/>
      <c r="AS80" s="560"/>
      <c r="AT80" s="561"/>
      <c r="AU80" s="558">
        <v>0</v>
      </c>
      <c r="AV80" s="559"/>
      <c r="AW80" s="67"/>
      <c r="AX80" s="560"/>
      <c r="AY80" s="561"/>
      <c r="AZ80" s="558">
        <v>0</v>
      </c>
      <c r="BA80" s="559"/>
      <c r="BB80" s="67"/>
      <c r="BC80" s="560"/>
      <c r="BD80" s="561"/>
      <c r="BE80" s="558">
        <v>0</v>
      </c>
      <c r="BF80" s="559"/>
      <c r="BG80" s="67"/>
      <c r="BH80" s="560"/>
      <c r="BI80" s="561"/>
      <c r="BJ80" s="558">
        <v>0</v>
      </c>
      <c r="BK80" s="559"/>
      <c r="BL80" s="67"/>
      <c r="BM80" s="560"/>
      <c r="BN80" s="561"/>
      <c r="BO80" s="558">
        <v>0</v>
      </c>
      <c r="BP80" s="559"/>
      <c r="BQ80" s="67"/>
      <c r="BR80" s="560"/>
      <c r="BS80" s="561"/>
      <c r="BT80" s="558">
        <f>SUM(L80:BO80)</f>
        <v>0</v>
      </c>
      <c r="BU80" s="559"/>
      <c r="BV80" s="67"/>
      <c r="BW80" s="560"/>
      <c r="BX80" s="561"/>
      <c r="BY80" s="558">
        <v>1289</v>
      </c>
      <c r="BZ80" s="559"/>
      <c r="CA80" s="67"/>
      <c r="CB80" s="560"/>
      <c r="CC80" s="561"/>
      <c r="CD80" s="558">
        <v>0</v>
      </c>
      <c r="CE80" s="559"/>
      <c r="CF80" s="67"/>
      <c r="CG80" s="560"/>
      <c r="CH80" s="561"/>
      <c r="CI80" s="558">
        <f>1781-492</f>
        <v>1289</v>
      </c>
      <c r="CJ80" s="559"/>
      <c r="CK80" s="67"/>
      <c r="CL80" s="560"/>
      <c r="CM80" s="561"/>
      <c r="CN80" s="558">
        <v>0</v>
      </c>
      <c r="CO80" s="559"/>
      <c r="CP80" s="67"/>
      <c r="CQ80" s="560"/>
      <c r="CR80" s="561"/>
      <c r="CS80" s="558">
        <v>0</v>
      </c>
      <c r="CT80" s="559"/>
      <c r="CU80" s="67"/>
      <c r="CV80" s="560"/>
      <c r="CW80" s="561"/>
      <c r="CX80" s="558">
        <v>0</v>
      </c>
      <c r="CY80" s="559"/>
      <c r="CZ80" s="67"/>
      <c r="DA80" s="560"/>
      <c r="DB80" s="561"/>
      <c r="DC80" s="558">
        <v>0</v>
      </c>
      <c r="DD80" s="559"/>
      <c r="DE80" s="67"/>
      <c r="DF80" s="560"/>
      <c r="DG80" s="561"/>
      <c r="DH80" s="558">
        <v>0</v>
      </c>
      <c r="DI80" s="559"/>
      <c r="DJ80" s="67"/>
      <c r="DK80" s="560"/>
      <c r="DL80" s="561"/>
      <c r="DM80" s="558">
        <v>0</v>
      </c>
      <c r="DN80" s="559"/>
      <c r="DO80" s="67"/>
      <c r="DP80" s="560"/>
      <c r="DQ80" s="561"/>
      <c r="DR80" s="558">
        <v>0</v>
      </c>
      <c r="DS80" s="559"/>
      <c r="DT80" s="67"/>
      <c r="DU80" s="560"/>
      <c r="DV80" s="561"/>
      <c r="DW80" s="558">
        <v>0</v>
      </c>
      <c r="DX80" s="559"/>
      <c r="DY80" s="67"/>
      <c r="DZ80" s="560"/>
      <c r="EA80" s="561"/>
      <c r="EB80" s="558">
        <v>0</v>
      </c>
      <c r="EC80" s="559"/>
      <c r="ED80" s="67"/>
      <c r="EE80" s="560"/>
      <c r="EF80" s="561"/>
      <c r="EG80" s="558">
        <v>0</v>
      </c>
      <c r="EH80" s="559"/>
      <c r="EI80" s="67"/>
      <c r="EJ80" s="560"/>
      <c r="EK80" s="561"/>
      <c r="EL80" s="558">
        <f>SUM(CD80:CI80)</f>
        <v>1289</v>
      </c>
      <c r="EM80" s="559"/>
      <c r="EN80" s="67"/>
      <c r="EO80" s="455"/>
      <c r="ER80" s="472"/>
      <c r="ES80" s="472"/>
    </row>
    <row r="81" spans="1:149" ht="12.75" customHeight="1" x14ac:dyDescent="0.2">
      <c r="A81" s="442"/>
      <c r="B81" s="442"/>
      <c r="D81" s="455" t="s">
        <v>344</v>
      </c>
      <c r="E81" s="560"/>
      <c r="F81" s="465"/>
      <c r="G81" s="67">
        <v>0</v>
      </c>
      <c r="H81" s="66"/>
      <c r="I81" s="67"/>
      <c r="J81" s="560"/>
      <c r="K81" s="560"/>
      <c r="L81" s="67">
        <v>0</v>
      </c>
      <c r="M81" s="66"/>
      <c r="N81" s="67"/>
      <c r="O81" s="560"/>
      <c r="P81" s="560"/>
      <c r="Q81" s="67">
        <v>0</v>
      </c>
      <c r="R81" s="66"/>
      <c r="S81" s="67"/>
      <c r="T81" s="560"/>
      <c r="U81" s="560"/>
      <c r="V81" s="67">
        <v>0</v>
      </c>
      <c r="W81" s="66"/>
      <c r="X81" s="67"/>
      <c r="Y81" s="560"/>
      <c r="Z81" s="560"/>
      <c r="AA81" s="67">
        <v>0</v>
      </c>
      <c r="AB81" s="66"/>
      <c r="AC81" s="67"/>
      <c r="AD81" s="560"/>
      <c r="AE81" s="560"/>
      <c r="AF81" s="67">
        <v>0</v>
      </c>
      <c r="AG81" s="66"/>
      <c r="AH81" s="67"/>
      <c r="AI81" s="560"/>
      <c r="AJ81" s="560"/>
      <c r="AK81" s="67">
        <v>0</v>
      </c>
      <c r="AL81" s="66"/>
      <c r="AM81" s="67"/>
      <c r="AN81" s="560"/>
      <c r="AO81" s="560"/>
      <c r="AP81" s="67">
        <v>0</v>
      </c>
      <c r="AQ81" s="66"/>
      <c r="AR81" s="67"/>
      <c r="AS81" s="560"/>
      <c r="AT81" s="560"/>
      <c r="AU81" s="67">
        <v>0</v>
      </c>
      <c r="AV81" s="66"/>
      <c r="AW81" s="67"/>
      <c r="AX81" s="560"/>
      <c r="AY81" s="560"/>
      <c r="AZ81" s="67">
        <v>0</v>
      </c>
      <c r="BA81" s="66"/>
      <c r="BB81" s="67"/>
      <c r="BC81" s="560"/>
      <c r="BD81" s="560"/>
      <c r="BE81" s="67">
        <v>0</v>
      </c>
      <c r="BF81" s="66"/>
      <c r="BG81" s="67"/>
      <c r="BH81" s="560"/>
      <c r="BI81" s="560"/>
      <c r="BJ81" s="67">
        <v>0</v>
      </c>
      <c r="BK81" s="66"/>
      <c r="BL81" s="67"/>
      <c r="BM81" s="560"/>
      <c r="BN81" s="560"/>
      <c r="BO81" s="67">
        <v>0</v>
      </c>
      <c r="BP81" s="66"/>
      <c r="BQ81" s="67"/>
      <c r="BR81" s="560"/>
      <c r="BS81" s="560"/>
      <c r="BT81" s="67">
        <f>SUM(L81:BO81)</f>
        <v>0</v>
      </c>
      <c r="BU81" s="66"/>
      <c r="BV81" s="67"/>
      <c r="BW81" s="560"/>
      <c r="BX81" s="560"/>
      <c r="BY81" s="67">
        <v>492</v>
      </c>
      <c r="BZ81" s="66"/>
      <c r="CA81" s="67"/>
      <c r="CB81" s="560"/>
      <c r="CC81" s="560"/>
      <c r="CD81" s="67">
        <v>0</v>
      </c>
      <c r="CE81" s="66"/>
      <c r="CF81" s="67"/>
      <c r="CG81" s="560"/>
      <c r="CH81" s="560"/>
      <c r="CI81" s="67">
        <v>492</v>
      </c>
      <c r="CJ81" s="66"/>
      <c r="CK81" s="67"/>
      <c r="CL81" s="560"/>
      <c r="CM81" s="560"/>
      <c r="CN81" s="67">
        <v>0</v>
      </c>
      <c r="CO81" s="66"/>
      <c r="CP81" s="67"/>
      <c r="CQ81" s="560"/>
      <c r="CR81" s="560"/>
      <c r="CS81" s="67">
        <v>0</v>
      </c>
      <c r="CT81" s="66"/>
      <c r="CU81" s="67"/>
      <c r="CV81" s="560"/>
      <c r="CW81" s="560"/>
      <c r="CX81" s="67">
        <v>0</v>
      </c>
      <c r="CY81" s="66"/>
      <c r="CZ81" s="67"/>
      <c r="DA81" s="560"/>
      <c r="DB81" s="560"/>
      <c r="DC81" s="67">
        <v>0</v>
      </c>
      <c r="DD81" s="66"/>
      <c r="DE81" s="67"/>
      <c r="DF81" s="560"/>
      <c r="DG81" s="560"/>
      <c r="DH81" s="67">
        <v>0</v>
      </c>
      <c r="DI81" s="66"/>
      <c r="DJ81" s="67"/>
      <c r="DK81" s="560"/>
      <c r="DL81" s="560"/>
      <c r="DM81" s="67">
        <v>0</v>
      </c>
      <c r="DN81" s="66"/>
      <c r="DO81" s="67"/>
      <c r="DP81" s="560"/>
      <c r="DQ81" s="560"/>
      <c r="DR81" s="67">
        <v>0</v>
      </c>
      <c r="DS81" s="66"/>
      <c r="DT81" s="67"/>
      <c r="DU81" s="560"/>
      <c r="DV81" s="560"/>
      <c r="DW81" s="67">
        <v>0</v>
      </c>
      <c r="DX81" s="66"/>
      <c r="DY81" s="67"/>
      <c r="DZ81" s="560"/>
      <c r="EA81" s="560"/>
      <c r="EB81" s="67">
        <v>0</v>
      </c>
      <c r="EC81" s="66"/>
      <c r="ED81" s="67"/>
      <c r="EE81" s="560"/>
      <c r="EF81" s="560"/>
      <c r="EG81" s="67">
        <v>0</v>
      </c>
      <c r="EH81" s="66"/>
      <c r="EI81" s="67"/>
      <c r="EJ81" s="560"/>
      <c r="EK81" s="560"/>
      <c r="EL81" s="67">
        <f>SUM(CD81:CI81)</f>
        <v>492</v>
      </c>
      <c r="EM81" s="66"/>
      <c r="EN81" s="67"/>
      <c r="EO81" s="455"/>
      <c r="ER81" s="472"/>
      <c r="ES81" s="472"/>
    </row>
    <row r="82" spans="1:149" ht="12.75" customHeight="1" x14ac:dyDescent="0.2">
      <c r="A82" s="442"/>
      <c r="B82" s="442"/>
      <c r="D82" s="455" t="s">
        <v>352</v>
      </c>
      <c r="E82" s="560"/>
      <c r="F82" s="488"/>
      <c r="G82" s="113">
        <v>0</v>
      </c>
      <c r="H82" s="112"/>
      <c r="I82" s="67"/>
      <c r="J82" s="560"/>
      <c r="K82" s="569"/>
      <c r="L82" s="113">
        <v>0</v>
      </c>
      <c r="M82" s="112"/>
      <c r="N82" s="67"/>
      <c r="O82" s="560"/>
      <c r="P82" s="569"/>
      <c r="Q82" s="113">
        <v>0</v>
      </c>
      <c r="R82" s="112"/>
      <c r="S82" s="67"/>
      <c r="T82" s="560"/>
      <c r="U82" s="569"/>
      <c r="V82" s="113">
        <v>0</v>
      </c>
      <c r="W82" s="112"/>
      <c r="X82" s="67"/>
      <c r="Y82" s="560"/>
      <c r="Z82" s="569"/>
      <c r="AA82" s="113">
        <v>0</v>
      </c>
      <c r="AB82" s="112"/>
      <c r="AC82" s="67"/>
      <c r="AD82" s="560"/>
      <c r="AE82" s="569"/>
      <c r="AF82" s="113">
        <v>0</v>
      </c>
      <c r="AG82" s="112"/>
      <c r="AH82" s="67"/>
      <c r="AI82" s="560"/>
      <c r="AJ82" s="569"/>
      <c r="AK82" s="113">
        <v>0</v>
      </c>
      <c r="AL82" s="112"/>
      <c r="AM82" s="67"/>
      <c r="AN82" s="560"/>
      <c r="AO82" s="569"/>
      <c r="AP82" s="113">
        <v>0</v>
      </c>
      <c r="AQ82" s="112"/>
      <c r="AR82" s="67"/>
      <c r="AS82" s="560"/>
      <c r="AT82" s="569"/>
      <c r="AU82" s="113">
        <v>0</v>
      </c>
      <c r="AV82" s="112"/>
      <c r="AW82" s="67"/>
      <c r="AX82" s="560"/>
      <c r="AY82" s="569"/>
      <c r="AZ82" s="113">
        <v>0</v>
      </c>
      <c r="BA82" s="112"/>
      <c r="BB82" s="67"/>
      <c r="BC82" s="560"/>
      <c r="BD82" s="569"/>
      <c r="BE82" s="113">
        <v>0</v>
      </c>
      <c r="BF82" s="112"/>
      <c r="BG82" s="67"/>
      <c r="BH82" s="560"/>
      <c r="BI82" s="569"/>
      <c r="BJ82" s="113">
        <v>0</v>
      </c>
      <c r="BK82" s="112"/>
      <c r="BL82" s="67"/>
      <c r="BM82" s="560"/>
      <c r="BN82" s="569"/>
      <c r="BO82" s="113">
        <v>0</v>
      </c>
      <c r="BP82" s="112"/>
      <c r="BQ82" s="67"/>
      <c r="BR82" s="560"/>
      <c r="BS82" s="569"/>
      <c r="BT82" s="113">
        <f>SUM(L82:BO82)</f>
        <v>0</v>
      </c>
      <c r="BU82" s="112"/>
      <c r="BV82" s="67"/>
      <c r="BW82" s="560"/>
      <c r="BX82" s="569"/>
      <c r="BY82" s="113">
        <v>0</v>
      </c>
      <c r="BZ82" s="112"/>
      <c r="CA82" s="67"/>
      <c r="CB82" s="560"/>
      <c r="CC82" s="569"/>
      <c r="CD82" s="113">
        <v>0</v>
      </c>
      <c r="CE82" s="112"/>
      <c r="CF82" s="67"/>
      <c r="CG82" s="560"/>
      <c r="CH82" s="569"/>
      <c r="CI82" s="113">
        <v>0</v>
      </c>
      <c r="CJ82" s="112"/>
      <c r="CK82" s="67"/>
      <c r="CL82" s="560"/>
      <c r="CM82" s="569"/>
      <c r="CN82" s="113">
        <v>0</v>
      </c>
      <c r="CO82" s="112"/>
      <c r="CP82" s="67"/>
      <c r="CQ82" s="560"/>
      <c r="CR82" s="569"/>
      <c r="CS82" s="113">
        <v>0</v>
      </c>
      <c r="CT82" s="112"/>
      <c r="CU82" s="67"/>
      <c r="CV82" s="560"/>
      <c r="CW82" s="569"/>
      <c r="CX82" s="113">
        <v>0</v>
      </c>
      <c r="CY82" s="112"/>
      <c r="CZ82" s="67"/>
      <c r="DA82" s="560"/>
      <c r="DB82" s="569"/>
      <c r="DC82" s="113">
        <v>0</v>
      </c>
      <c r="DD82" s="112"/>
      <c r="DE82" s="67"/>
      <c r="DF82" s="560"/>
      <c r="DG82" s="569"/>
      <c r="DH82" s="113">
        <v>0</v>
      </c>
      <c r="DI82" s="112"/>
      <c r="DJ82" s="67"/>
      <c r="DK82" s="560"/>
      <c r="DL82" s="569"/>
      <c r="DM82" s="113">
        <v>0</v>
      </c>
      <c r="DN82" s="112"/>
      <c r="DO82" s="67"/>
      <c r="DP82" s="560"/>
      <c r="DQ82" s="569"/>
      <c r="DR82" s="113">
        <v>0</v>
      </c>
      <c r="DS82" s="112"/>
      <c r="DT82" s="67"/>
      <c r="DU82" s="560"/>
      <c r="DV82" s="569"/>
      <c r="DW82" s="113">
        <v>0</v>
      </c>
      <c r="DX82" s="112"/>
      <c r="DY82" s="67"/>
      <c r="DZ82" s="560"/>
      <c r="EA82" s="569"/>
      <c r="EB82" s="113">
        <v>0</v>
      </c>
      <c r="EC82" s="112"/>
      <c r="ED82" s="67"/>
      <c r="EE82" s="560"/>
      <c r="EF82" s="569"/>
      <c r="EG82" s="113">
        <v>0</v>
      </c>
      <c r="EH82" s="112"/>
      <c r="EI82" s="67"/>
      <c r="EJ82" s="560"/>
      <c r="EK82" s="569"/>
      <c r="EL82" s="113">
        <f>SUM(CD82:CI82)</f>
        <v>0</v>
      </c>
      <c r="EM82" s="112"/>
      <c r="EN82" s="67"/>
      <c r="EO82" s="455"/>
      <c r="ER82" s="472"/>
      <c r="ES82" s="472"/>
    </row>
    <row r="83" spans="1:149" s="442" customFormat="1" ht="12.75" hidden="1" customHeight="1" x14ac:dyDescent="0.2">
      <c r="D83" s="572"/>
      <c r="E83" s="494"/>
      <c r="F83" s="495"/>
      <c r="G83" s="493"/>
      <c r="H83" s="493"/>
      <c r="I83" s="493"/>
      <c r="J83" s="492"/>
      <c r="K83" s="493"/>
      <c r="L83" s="493"/>
      <c r="M83" s="493"/>
      <c r="N83" s="493"/>
      <c r="O83" s="492"/>
      <c r="P83" s="493"/>
      <c r="Q83" s="493"/>
      <c r="R83" s="493"/>
      <c r="S83" s="493"/>
      <c r="T83" s="492"/>
      <c r="U83" s="493"/>
      <c r="V83" s="493"/>
      <c r="W83" s="493"/>
      <c r="X83" s="493"/>
      <c r="Y83" s="492"/>
      <c r="Z83" s="493"/>
      <c r="AA83" s="493"/>
      <c r="AB83" s="493"/>
      <c r="AC83" s="493"/>
      <c r="AD83" s="492"/>
      <c r="AE83" s="493"/>
      <c r="AF83" s="493"/>
      <c r="AG83" s="493"/>
      <c r="AH83" s="493"/>
      <c r="AI83" s="492"/>
      <c r="AJ83" s="493"/>
      <c r="AK83" s="493"/>
      <c r="AL83" s="493"/>
      <c r="AM83" s="493"/>
      <c r="AN83" s="492"/>
      <c r="AO83" s="493"/>
      <c r="AP83" s="493"/>
      <c r="AQ83" s="493"/>
      <c r="AR83" s="493"/>
      <c r="AS83" s="492"/>
      <c r="AT83" s="493"/>
      <c r="AU83" s="493"/>
      <c r="AV83" s="493"/>
      <c r="AW83" s="493"/>
      <c r="AX83" s="492"/>
      <c r="AY83" s="493"/>
      <c r="AZ83" s="493"/>
      <c r="BA83" s="493"/>
      <c r="BB83" s="493"/>
      <c r="BC83" s="492"/>
      <c r="BD83" s="493"/>
      <c r="BE83" s="493"/>
      <c r="BF83" s="493"/>
      <c r="BG83" s="493"/>
      <c r="BH83" s="492"/>
      <c r="BI83" s="493"/>
      <c r="BJ83" s="493"/>
      <c r="BK83" s="493"/>
      <c r="BL83" s="493"/>
      <c r="BM83" s="492"/>
      <c r="BN83" s="493"/>
      <c r="BO83" s="493"/>
      <c r="BP83" s="493"/>
      <c r="BQ83" s="493"/>
      <c r="BR83" s="492"/>
      <c r="BS83" s="493"/>
      <c r="BT83" s="493"/>
      <c r="BU83" s="493"/>
      <c r="BV83" s="493"/>
      <c r="BW83" s="492"/>
      <c r="BX83" s="493"/>
      <c r="BY83" s="493"/>
      <c r="BZ83" s="493"/>
      <c r="CA83" s="493"/>
      <c r="CB83" s="492"/>
      <c r="CC83" s="493"/>
      <c r="CD83" s="493"/>
      <c r="CE83" s="493"/>
      <c r="CF83" s="493"/>
      <c r="CG83" s="492"/>
      <c r="CH83" s="493"/>
      <c r="CI83" s="493"/>
      <c r="CJ83" s="493"/>
      <c r="CK83" s="493"/>
      <c r="CL83" s="492"/>
      <c r="CM83" s="493"/>
      <c r="CN83" s="493"/>
      <c r="CO83" s="493"/>
      <c r="CP83" s="493"/>
      <c r="CQ83" s="492"/>
      <c r="CR83" s="493"/>
      <c r="CS83" s="493"/>
      <c r="CT83" s="493"/>
      <c r="CU83" s="493"/>
      <c r="CV83" s="492"/>
      <c r="CW83" s="493"/>
      <c r="CX83" s="493"/>
      <c r="CY83" s="493"/>
      <c r="CZ83" s="493"/>
      <c r="DA83" s="492"/>
      <c r="DB83" s="493"/>
      <c r="DC83" s="493"/>
      <c r="DD83" s="493"/>
      <c r="DE83" s="493"/>
      <c r="DF83" s="492"/>
      <c r="DG83" s="493"/>
      <c r="DH83" s="493"/>
      <c r="DI83" s="493"/>
      <c r="DJ83" s="493"/>
      <c r="DK83" s="492"/>
      <c r="DL83" s="493"/>
      <c r="DM83" s="493"/>
      <c r="DN83" s="493"/>
      <c r="DO83" s="493"/>
      <c r="DP83" s="492"/>
      <c r="DQ83" s="493"/>
      <c r="DR83" s="493"/>
      <c r="DS83" s="493"/>
      <c r="DT83" s="493"/>
      <c r="DU83" s="492"/>
      <c r="DV83" s="493"/>
      <c r="DW83" s="493"/>
      <c r="DX83" s="493"/>
      <c r="DY83" s="493"/>
      <c r="DZ83" s="492"/>
      <c r="EA83" s="493"/>
      <c r="EB83" s="493"/>
      <c r="EC83" s="493"/>
      <c r="ED83" s="493"/>
      <c r="EE83" s="492"/>
      <c r="EF83" s="493"/>
      <c r="EG83" s="493"/>
      <c r="EH83" s="493"/>
      <c r="EI83" s="493"/>
      <c r="EJ83" s="492"/>
      <c r="EK83" s="493"/>
      <c r="EL83" s="493"/>
      <c r="EM83" s="495"/>
      <c r="EN83" s="495"/>
      <c r="EO83" s="455"/>
      <c r="EQ83" s="53"/>
      <c r="ER83" s="472"/>
      <c r="ES83" s="472"/>
    </row>
    <row r="84" spans="1:149" ht="12.75" hidden="1" customHeight="1" x14ac:dyDescent="0.2">
      <c r="A84" s="442"/>
      <c r="B84" s="442"/>
      <c r="D84" s="455" t="s">
        <v>357</v>
      </c>
      <c r="E84" s="560"/>
      <c r="F84" s="442"/>
      <c r="G84" s="67">
        <f>SUM(G85:G88)</f>
        <v>0</v>
      </c>
      <c r="H84" s="67"/>
      <c r="I84" s="67"/>
      <c r="J84" s="560"/>
      <c r="K84" s="67"/>
      <c r="L84" s="67">
        <f>SUM(L85:L88)</f>
        <v>0</v>
      </c>
      <c r="M84" s="67"/>
      <c r="N84" s="67"/>
      <c r="O84" s="560"/>
      <c r="P84" s="67"/>
      <c r="Q84" s="67">
        <f>SUM(Q85:Q88)</f>
        <v>0</v>
      </c>
      <c r="R84" s="67"/>
      <c r="S84" s="67"/>
      <c r="T84" s="560"/>
      <c r="U84" s="67"/>
      <c r="V84" s="67">
        <f>SUM(V85:V88)</f>
        <v>0</v>
      </c>
      <c r="W84" s="67"/>
      <c r="X84" s="67"/>
      <c r="Y84" s="560"/>
      <c r="Z84" s="67"/>
      <c r="AA84" s="67">
        <f>SUM(AA85:AA88)</f>
        <v>0</v>
      </c>
      <c r="AB84" s="67"/>
      <c r="AC84" s="67"/>
      <c r="AD84" s="560"/>
      <c r="AE84" s="67"/>
      <c r="AF84" s="67">
        <f>SUM(AF85:AF88)</f>
        <v>0</v>
      </c>
      <c r="AG84" s="67"/>
      <c r="AH84" s="67"/>
      <c r="AI84" s="560"/>
      <c r="AJ84" s="67"/>
      <c r="AK84" s="67">
        <f>SUM(AK85:AK88)</f>
        <v>0</v>
      </c>
      <c r="AL84" s="67"/>
      <c r="AM84" s="67"/>
      <c r="AN84" s="560"/>
      <c r="AO84" s="67"/>
      <c r="AP84" s="67">
        <f>SUM(AP85:AP88)</f>
        <v>0</v>
      </c>
      <c r="AQ84" s="67"/>
      <c r="AR84" s="67"/>
      <c r="AS84" s="560"/>
      <c r="AT84" s="67"/>
      <c r="AU84" s="67">
        <f>SUM(AU85:AU88)</f>
        <v>0</v>
      </c>
      <c r="AV84" s="67"/>
      <c r="AW84" s="67"/>
      <c r="AX84" s="560"/>
      <c r="AY84" s="67"/>
      <c r="AZ84" s="67">
        <f>SUM(AZ85:AZ88)</f>
        <v>0</v>
      </c>
      <c r="BA84" s="67"/>
      <c r="BB84" s="67"/>
      <c r="BC84" s="560"/>
      <c r="BD84" s="67"/>
      <c r="BE84" s="67">
        <f>SUM(BE85:BE88)</f>
        <v>0</v>
      </c>
      <c r="BF84" s="67"/>
      <c r="BG84" s="67"/>
      <c r="BH84" s="560"/>
      <c r="BI84" s="67"/>
      <c r="BJ84" s="67">
        <f>SUM(BJ85:BJ88)</f>
        <v>0</v>
      </c>
      <c r="BK84" s="67"/>
      <c r="BL84" s="67"/>
      <c r="BM84" s="560"/>
      <c r="BN84" s="67"/>
      <c r="BO84" s="67">
        <f>SUM(BO85:BO88)</f>
        <v>0</v>
      </c>
      <c r="BP84" s="67"/>
      <c r="BQ84" s="67"/>
      <c r="BR84" s="560"/>
      <c r="BS84" s="67"/>
      <c r="BT84" s="67">
        <f>SUM(BT85:BT88)</f>
        <v>0</v>
      </c>
      <c r="BU84" s="67"/>
      <c r="BV84" s="67"/>
      <c r="BW84" s="560"/>
      <c r="BX84" s="67"/>
      <c r="BY84" s="67">
        <f>SUM(BY85:BY88)</f>
        <v>0</v>
      </c>
      <c r="BZ84" s="67"/>
      <c r="CA84" s="67"/>
      <c r="CB84" s="560"/>
      <c r="CC84" s="67"/>
      <c r="CD84" s="67">
        <f>SUM(CD85:CD88)</f>
        <v>0</v>
      </c>
      <c r="CE84" s="67"/>
      <c r="CF84" s="67"/>
      <c r="CG84" s="560"/>
      <c r="CH84" s="67"/>
      <c r="CI84" s="67">
        <f>SUM(CI85:CI88)</f>
        <v>0</v>
      </c>
      <c r="CJ84" s="67"/>
      <c r="CK84" s="67"/>
      <c r="CL84" s="560"/>
      <c r="CM84" s="67"/>
      <c r="CN84" s="67">
        <f>SUM(CN85:CN88)</f>
        <v>0</v>
      </c>
      <c r="CO84" s="67"/>
      <c r="CP84" s="67"/>
      <c r="CQ84" s="560"/>
      <c r="CR84" s="67"/>
      <c r="CS84" s="67">
        <f>SUM(CS85:CS88)</f>
        <v>0</v>
      </c>
      <c r="CT84" s="67"/>
      <c r="CU84" s="67"/>
      <c r="CV84" s="560"/>
      <c r="CW84" s="67"/>
      <c r="CX84" s="67">
        <f>SUM(CX85:CX88)</f>
        <v>0</v>
      </c>
      <c r="CY84" s="67"/>
      <c r="CZ84" s="67"/>
      <c r="DA84" s="560"/>
      <c r="DB84" s="67"/>
      <c r="DC84" s="67">
        <f>SUM(DC85:DC88)</f>
        <v>0</v>
      </c>
      <c r="DD84" s="67"/>
      <c r="DE84" s="67"/>
      <c r="DF84" s="560"/>
      <c r="DG84" s="67"/>
      <c r="DH84" s="67">
        <f>SUM(DH85:DH88)</f>
        <v>0</v>
      </c>
      <c r="DI84" s="67"/>
      <c r="DJ84" s="67"/>
      <c r="DK84" s="560"/>
      <c r="DL84" s="67"/>
      <c r="DM84" s="67">
        <f>SUM(DM85:DM88)</f>
        <v>0</v>
      </c>
      <c r="DN84" s="67"/>
      <c r="DO84" s="67"/>
      <c r="DP84" s="560"/>
      <c r="DQ84" s="67"/>
      <c r="DR84" s="67">
        <f>SUM(DR85:DR88)</f>
        <v>0</v>
      </c>
      <c r="DS84" s="67"/>
      <c r="DT84" s="67"/>
      <c r="DU84" s="560"/>
      <c r="DV84" s="67"/>
      <c r="DW84" s="67">
        <f>SUM(DW85:DW88)</f>
        <v>0</v>
      </c>
      <c r="DX84" s="67"/>
      <c r="DY84" s="67"/>
      <c r="DZ84" s="560"/>
      <c r="EA84" s="67"/>
      <c r="EB84" s="67">
        <f>SUM(EB85:EB88)</f>
        <v>0</v>
      </c>
      <c r="EC84" s="67"/>
      <c r="ED84" s="67"/>
      <c r="EE84" s="560"/>
      <c r="EF84" s="67"/>
      <c r="EG84" s="67">
        <f>SUM(EG85:EG88)</f>
        <v>0</v>
      </c>
      <c r="EH84" s="67"/>
      <c r="EI84" s="67"/>
      <c r="EJ84" s="560"/>
      <c r="EK84" s="67"/>
      <c r="EL84" s="67">
        <f>SUM(EL85:EL88)</f>
        <v>0</v>
      </c>
      <c r="EM84" s="67"/>
      <c r="EN84" s="67"/>
      <c r="EO84" s="455"/>
      <c r="ER84" s="472"/>
      <c r="ES84" s="472"/>
    </row>
    <row r="85" spans="1:149" ht="12.75" hidden="1" customHeight="1" x14ac:dyDescent="0.2">
      <c r="A85" s="442"/>
      <c r="B85" s="442"/>
      <c r="D85" s="568" t="s">
        <v>342</v>
      </c>
      <c r="E85" s="560"/>
      <c r="F85" s="473"/>
      <c r="G85" s="558">
        <v>0</v>
      </c>
      <c r="H85" s="559"/>
      <c r="I85" s="67"/>
      <c r="J85" s="560"/>
      <c r="K85" s="561"/>
      <c r="L85" s="558">
        <v>0</v>
      </c>
      <c r="M85" s="559"/>
      <c r="N85" s="67"/>
      <c r="O85" s="560"/>
      <c r="P85" s="561"/>
      <c r="Q85" s="558">
        <v>0</v>
      </c>
      <c r="R85" s="559"/>
      <c r="S85" s="67"/>
      <c r="T85" s="560"/>
      <c r="U85" s="561"/>
      <c r="V85" s="558">
        <v>0</v>
      </c>
      <c r="W85" s="559"/>
      <c r="X85" s="67"/>
      <c r="Y85" s="560"/>
      <c r="Z85" s="561"/>
      <c r="AA85" s="558">
        <v>0</v>
      </c>
      <c r="AB85" s="559"/>
      <c r="AC85" s="67"/>
      <c r="AD85" s="560"/>
      <c r="AE85" s="561"/>
      <c r="AF85" s="558">
        <v>0</v>
      </c>
      <c r="AG85" s="559"/>
      <c r="AH85" s="67"/>
      <c r="AI85" s="560"/>
      <c r="AJ85" s="561"/>
      <c r="AK85" s="558">
        <v>0</v>
      </c>
      <c r="AL85" s="559"/>
      <c r="AM85" s="67"/>
      <c r="AN85" s="560"/>
      <c r="AO85" s="561"/>
      <c r="AP85" s="558">
        <v>0</v>
      </c>
      <c r="AQ85" s="559"/>
      <c r="AR85" s="67"/>
      <c r="AS85" s="560"/>
      <c r="AT85" s="561"/>
      <c r="AU85" s="558">
        <v>0</v>
      </c>
      <c r="AV85" s="559"/>
      <c r="AW85" s="67"/>
      <c r="AX85" s="560"/>
      <c r="AY85" s="561"/>
      <c r="AZ85" s="558">
        <v>0</v>
      </c>
      <c r="BA85" s="559"/>
      <c r="BB85" s="67"/>
      <c r="BC85" s="560"/>
      <c r="BD85" s="561"/>
      <c r="BE85" s="558">
        <v>0</v>
      </c>
      <c r="BF85" s="559"/>
      <c r="BG85" s="67"/>
      <c r="BH85" s="560"/>
      <c r="BI85" s="561"/>
      <c r="BJ85" s="558">
        <v>0</v>
      </c>
      <c r="BK85" s="559"/>
      <c r="BL85" s="67"/>
      <c r="BM85" s="560"/>
      <c r="BN85" s="561"/>
      <c r="BO85" s="558">
        <v>0</v>
      </c>
      <c r="BP85" s="559"/>
      <c r="BQ85" s="67"/>
      <c r="BR85" s="560"/>
      <c r="BS85" s="561"/>
      <c r="BT85" s="558">
        <f>SUM(L85:BO85)</f>
        <v>0</v>
      </c>
      <c r="BU85" s="559"/>
      <c r="BV85" s="67"/>
      <c r="BW85" s="560"/>
      <c r="BX85" s="561"/>
      <c r="BY85" s="558">
        <v>0</v>
      </c>
      <c r="BZ85" s="559"/>
      <c r="CA85" s="67"/>
      <c r="CB85" s="560"/>
      <c r="CC85" s="561"/>
      <c r="CD85" s="558">
        <v>0</v>
      </c>
      <c r="CE85" s="559"/>
      <c r="CF85" s="67"/>
      <c r="CG85" s="560"/>
      <c r="CH85" s="561"/>
      <c r="CI85" s="558">
        <v>0</v>
      </c>
      <c r="CJ85" s="559"/>
      <c r="CK85" s="67"/>
      <c r="CL85" s="560"/>
      <c r="CM85" s="561"/>
      <c r="CN85" s="558">
        <v>0</v>
      </c>
      <c r="CO85" s="559"/>
      <c r="CP85" s="67"/>
      <c r="CQ85" s="560"/>
      <c r="CR85" s="561"/>
      <c r="CS85" s="558">
        <v>0</v>
      </c>
      <c r="CT85" s="559"/>
      <c r="CU85" s="67"/>
      <c r="CV85" s="560"/>
      <c r="CW85" s="561"/>
      <c r="CX85" s="558">
        <v>0</v>
      </c>
      <c r="CY85" s="559"/>
      <c r="CZ85" s="67"/>
      <c r="DA85" s="560"/>
      <c r="DB85" s="561"/>
      <c r="DC85" s="558">
        <v>0</v>
      </c>
      <c r="DD85" s="559"/>
      <c r="DE85" s="67"/>
      <c r="DF85" s="560"/>
      <c r="DG85" s="561"/>
      <c r="DH85" s="558">
        <v>0</v>
      </c>
      <c r="DI85" s="559"/>
      <c r="DJ85" s="67"/>
      <c r="DK85" s="560"/>
      <c r="DL85" s="561"/>
      <c r="DM85" s="558">
        <v>0</v>
      </c>
      <c r="DN85" s="559"/>
      <c r="DO85" s="67"/>
      <c r="DP85" s="560"/>
      <c r="DQ85" s="561"/>
      <c r="DR85" s="558">
        <v>0</v>
      </c>
      <c r="DS85" s="559"/>
      <c r="DT85" s="67"/>
      <c r="DU85" s="560"/>
      <c r="DV85" s="561"/>
      <c r="DW85" s="558">
        <v>0</v>
      </c>
      <c r="DX85" s="559"/>
      <c r="DY85" s="67"/>
      <c r="DZ85" s="560"/>
      <c r="EA85" s="561"/>
      <c r="EB85" s="558">
        <v>0</v>
      </c>
      <c r="EC85" s="559"/>
      <c r="ED85" s="67"/>
      <c r="EE85" s="560"/>
      <c r="EF85" s="561"/>
      <c r="EG85" s="558">
        <v>0</v>
      </c>
      <c r="EH85" s="559"/>
      <c r="EI85" s="67"/>
      <c r="EJ85" s="560"/>
      <c r="EK85" s="561"/>
      <c r="EL85" s="558">
        <f>SUM(CD85:CI85)</f>
        <v>0</v>
      </c>
      <c r="EM85" s="559"/>
      <c r="EN85" s="67"/>
      <c r="EO85" s="455"/>
      <c r="ER85" s="472"/>
      <c r="ES85" s="472"/>
    </row>
    <row r="86" spans="1:149" ht="12.75" hidden="1" customHeight="1" x14ac:dyDescent="0.2">
      <c r="A86" s="442"/>
      <c r="B86" s="442"/>
      <c r="D86" s="568" t="s">
        <v>344</v>
      </c>
      <c r="E86" s="560"/>
      <c r="F86" s="465"/>
      <c r="G86" s="67">
        <v>0</v>
      </c>
      <c r="H86" s="66"/>
      <c r="I86" s="67"/>
      <c r="J86" s="560"/>
      <c r="K86" s="560"/>
      <c r="L86" s="67">
        <v>0</v>
      </c>
      <c r="M86" s="66"/>
      <c r="N86" s="67"/>
      <c r="O86" s="560"/>
      <c r="P86" s="560"/>
      <c r="Q86" s="67">
        <v>0</v>
      </c>
      <c r="R86" s="66"/>
      <c r="S86" s="67"/>
      <c r="T86" s="560"/>
      <c r="U86" s="560"/>
      <c r="V86" s="67">
        <v>0</v>
      </c>
      <c r="W86" s="66"/>
      <c r="X86" s="67"/>
      <c r="Y86" s="560"/>
      <c r="Z86" s="560"/>
      <c r="AA86" s="67">
        <v>0</v>
      </c>
      <c r="AB86" s="66"/>
      <c r="AC86" s="67"/>
      <c r="AD86" s="560"/>
      <c r="AE86" s="560"/>
      <c r="AF86" s="67">
        <v>0</v>
      </c>
      <c r="AG86" s="66"/>
      <c r="AH86" s="67"/>
      <c r="AI86" s="560"/>
      <c r="AJ86" s="560"/>
      <c r="AK86" s="67">
        <v>0</v>
      </c>
      <c r="AL86" s="66"/>
      <c r="AM86" s="67"/>
      <c r="AN86" s="560"/>
      <c r="AO86" s="560"/>
      <c r="AP86" s="67">
        <v>0</v>
      </c>
      <c r="AQ86" s="66"/>
      <c r="AR86" s="67"/>
      <c r="AS86" s="560"/>
      <c r="AT86" s="560"/>
      <c r="AU86" s="67">
        <v>0</v>
      </c>
      <c r="AV86" s="66"/>
      <c r="AW86" s="67"/>
      <c r="AX86" s="560"/>
      <c r="AY86" s="560"/>
      <c r="AZ86" s="67">
        <v>0</v>
      </c>
      <c r="BA86" s="66"/>
      <c r="BB86" s="67"/>
      <c r="BC86" s="560"/>
      <c r="BD86" s="560"/>
      <c r="BE86" s="67">
        <v>0</v>
      </c>
      <c r="BF86" s="66"/>
      <c r="BG86" s="67"/>
      <c r="BH86" s="560"/>
      <c r="BI86" s="560"/>
      <c r="BJ86" s="67">
        <v>0</v>
      </c>
      <c r="BK86" s="66"/>
      <c r="BL86" s="67"/>
      <c r="BM86" s="560"/>
      <c r="BN86" s="560"/>
      <c r="BO86" s="67">
        <v>0</v>
      </c>
      <c r="BP86" s="66"/>
      <c r="BQ86" s="67"/>
      <c r="BR86" s="560"/>
      <c r="BS86" s="560"/>
      <c r="BT86" s="67">
        <f>SUM(L86:BO86)</f>
        <v>0</v>
      </c>
      <c r="BU86" s="66"/>
      <c r="BV86" s="67"/>
      <c r="BW86" s="560"/>
      <c r="BX86" s="560"/>
      <c r="BY86" s="67">
        <v>0</v>
      </c>
      <c r="BZ86" s="66"/>
      <c r="CA86" s="67"/>
      <c r="CB86" s="560"/>
      <c r="CC86" s="560"/>
      <c r="CD86" s="67">
        <v>0</v>
      </c>
      <c r="CE86" s="66"/>
      <c r="CF86" s="67"/>
      <c r="CG86" s="560"/>
      <c r="CH86" s="560"/>
      <c r="CI86" s="67">
        <v>0</v>
      </c>
      <c r="CJ86" s="66"/>
      <c r="CK86" s="67"/>
      <c r="CL86" s="560"/>
      <c r="CM86" s="560"/>
      <c r="CN86" s="67">
        <v>0</v>
      </c>
      <c r="CO86" s="66"/>
      <c r="CP86" s="67"/>
      <c r="CQ86" s="560"/>
      <c r="CR86" s="560"/>
      <c r="CS86" s="67">
        <v>0</v>
      </c>
      <c r="CT86" s="66"/>
      <c r="CU86" s="67"/>
      <c r="CV86" s="560"/>
      <c r="CW86" s="560"/>
      <c r="CX86" s="67">
        <v>0</v>
      </c>
      <c r="CY86" s="66"/>
      <c r="CZ86" s="67"/>
      <c r="DA86" s="560"/>
      <c r="DB86" s="560"/>
      <c r="DC86" s="67">
        <v>0</v>
      </c>
      <c r="DD86" s="66"/>
      <c r="DE86" s="67"/>
      <c r="DF86" s="560"/>
      <c r="DG86" s="560"/>
      <c r="DH86" s="67">
        <v>0</v>
      </c>
      <c r="DI86" s="66"/>
      <c r="DJ86" s="67"/>
      <c r="DK86" s="560"/>
      <c r="DL86" s="560"/>
      <c r="DM86" s="67">
        <v>0</v>
      </c>
      <c r="DN86" s="66"/>
      <c r="DO86" s="67"/>
      <c r="DP86" s="560"/>
      <c r="DQ86" s="560"/>
      <c r="DR86" s="67">
        <v>0</v>
      </c>
      <c r="DS86" s="66"/>
      <c r="DT86" s="67"/>
      <c r="DU86" s="560"/>
      <c r="DV86" s="560"/>
      <c r="DW86" s="67">
        <v>0</v>
      </c>
      <c r="DX86" s="66"/>
      <c r="DY86" s="67"/>
      <c r="DZ86" s="560"/>
      <c r="EA86" s="560"/>
      <c r="EB86" s="67">
        <v>0</v>
      </c>
      <c r="EC86" s="66"/>
      <c r="ED86" s="67"/>
      <c r="EE86" s="560"/>
      <c r="EF86" s="560"/>
      <c r="EG86" s="67">
        <v>0</v>
      </c>
      <c r="EH86" s="66"/>
      <c r="EI86" s="67"/>
      <c r="EJ86" s="560"/>
      <c r="EK86" s="560"/>
      <c r="EL86" s="67">
        <f>SUM(CD86:CI86)</f>
        <v>0</v>
      </c>
      <c r="EM86" s="66"/>
      <c r="EN86" s="67"/>
      <c r="EO86" s="455"/>
      <c r="ER86" s="472"/>
      <c r="ES86" s="472"/>
    </row>
    <row r="87" spans="1:149" ht="12.75" hidden="1" customHeight="1" x14ac:dyDescent="0.2">
      <c r="A87" s="442"/>
      <c r="B87" s="442"/>
      <c r="D87" s="455" t="s">
        <v>345</v>
      </c>
      <c r="E87" s="560"/>
      <c r="F87" s="465"/>
      <c r="G87" s="67">
        <v>0</v>
      </c>
      <c r="H87" s="66"/>
      <c r="I87" s="67"/>
      <c r="J87" s="560"/>
      <c r="K87" s="560"/>
      <c r="L87" s="67">
        <v>0</v>
      </c>
      <c r="M87" s="66"/>
      <c r="N87" s="67"/>
      <c r="O87" s="560"/>
      <c r="P87" s="560"/>
      <c r="Q87" s="67">
        <v>0</v>
      </c>
      <c r="R87" s="66"/>
      <c r="S87" s="67"/>
      <c r="T87" s="560"/>
      <c r="U87" s="560"/>
      <c r="V87" s="67">
        <v>0</v>
      </c>
      <c r="W87" s="66"/>
      <c r="X87" s="67"/>
      <c r="Y87" s="560"/>
      <c r="Z87" s="560"/>
      <c r="AA87" s="67">
        <v>0</v>
      </c>
      <c r="AB87" s="66"/>
      <c r="AC87" s="67"/>
      <c r="AD87" s="560"/>
      <c r="AE87" s="560"/>
      <c r="AF87" s="67">
        <v>0</v>
      </c>
      <c r="AG87" s="66"/>
      <c r="AH87" s="67"/>
      <c r="AI87" s="560"/>
      <c r="AJ87" s="560"/>
      <c r="AK87" s="67">
        <v>0</v>
      </c>
      <c r="AL87" s="66"/>
      <c r="AM87" s="67"/>
      <c r="AN87" s="560"/>
      <c r="AO87" s="560"/>
      <c r="AP87" s="67">
        <v>0</v>
      </c>
      <c r="AQ87" s="66"/>
      <c r="AR87" s="67"/>
      <c r="AS87" s="560"/>
      <c r="AT87" s="560"/>
      <c r="AU87" s="67">
        <v>0</v>
      </c>
      <c r="AV87" s="66"/>
      <c r="AW87" s="67"/>
      <c r="AX87" s="560"/>
      <c r="AY87" s="560"/>
      <c r="AZ87" s="67">
        <v>0</v>
      </c>
      <c r="BA87" s="66"/>
      <c r="BB87" s="67"/>
      <c r="BC87" s="560"/>
      <c r="BD87" s="560"/>
      <c r="BE87" s="67">
        <v>0</v>
      </c>
      <c r="BF87" s="66"/>
      <c r="BG87" s="67"/>
      <c r="BH87" s="560"/>
      <c r="BI87" s="560"/>
      <c r="BJ87" s="67">
        <v>0</v>
      </c>
      <c r="BK87" s="66"/>
      <c r="BL87" s="67"/>
      <c r="BM87" s="560"/>
      <c r="BN87" s="560"/>
      <c r="BO87" s="67">
        <v>0</v>
      </c>
      <c r="BP87" s="66"/>
      <c r="BQ87" s="67"/>
      <c r="BR87" s="560"/>
      <c r="BS87" s="560"/>
      <c r="BT87" s="67">
        <f>SUM(L87:BO87)</f>
        <v>0</v>
      </c>
      <c r="BU87" s="66"/>
      <c r="BV87" s="67"/>
      <c r="BW87" s="560"/>
      <c r="BX87" s="560"/>
      <c r="BY87" s="67">
        <v>0</v>
      </c>
      <c r="BZ87" s="66"/>
      <c r="CA87" s="67"/>
      <c r="CB87" s="560"/>
      <c r="CC87" s="560"/>
      <c r="CD87" s="67">
        <v>0</v>
      </c>
      <c r="CE87" s="66"/>
      <c r="CF87" s="67"/>
      <c r="CG87" s="560"/>
      <c r="CH87" s="560"/>
      <c r="CI87" s="67">
        <v>0</v>
      </c>
      <c r="CJ87" s="66"/>
      <c r="CK87" s="67"/>
      <c r="CL87" s="560"/>
      <c r="CM87" s="560"/>
      <c r="CN87" s="67">
        <v>0</v>
      </c>
      <c r="CO87" s="66"/>
      <c r="CP87" s="67"/>
      <c r="CQ87" s="560"/>
      <c r="CR87" s="560"/>
      <c r="CS87" s="67">
        <v>0</v>
      </c>
      <c r="CT87" s="66"/>
      <c r="CU87" s="67"/>
      <c r="CV87" s="560"/>
      <c r="CW87" s="560"/>
      <c r="CX87" s="67">
        <v>0</v>
      </c>
      <c r="CY87" s="66"/>
      <c r="CZ87" s="67"/>
      <c r="DA87" s="560"/>
      <c r="DB87" s="560"/>
      <c r="DC87" s="67">
        <v>0</v>
      </c>
      <c r="DD87" s="66"/>
      <c r="DE87" s="67"/>
      <c r="DF87" s="560"/>
      <c r="DG87" s="560"/>
      <c r="DH87" s="67">
        <v>0</v>
      </c>
      <c r="DI87" s="66"/>
      <c r="DJ87" s="67"/>
      <c r="DK87" s="560"/>
      <c r="DL87" s="560"/>
      <c r="DM87" s="67">
        <v>0</v>
      </c>
      <c r="DN87" s="66"/>
      <c r="DO87" s="67"/>
      <c r="DP87" s="560"/>
      <c r="DQ87" s="560"/>
      <c r="DR87" s="67">
        <v>0</v>
      </c>
      <c r="DS87" s="66"/>
      <c r="DT87" s="67"/>
      <c r="DU87" s="560"/>
      <c r="DV87" s="560"/>
      <c r="DW87" s="67">
        <v>0</v>
      </c>
      <c r="DX87" s="66"/>
      <c r="DY87" s="67"/>
      <c r="DZ87" s="560"/>
      <c r="EA87" s="560"/>
      <c r="EB87" s="67">
        <v>0</v>
      </c>
      <c r="EC87" s="66"/>
      <c r="ED87" s="67"/>
      <c r="EE87" s="560"/>
      <c r="EF87" s="560"/>
      <c r="EG87" s="67">
        <v>0</v>
      </c>
      <c r="EH87" s="66"/>
      <c r="EI87" s="67"/>
      <c r="EJ87" s="560"/>
      <c r="EK87" s="560"/>
      <c r="EL87" s="67">
        <f>SUM(CD87:CI87)</f>
        <v>0</v>
      </c>
      <c r="EM87" s="66"/>
      <c r="EN87" s="67"/>
      <c r="EO87" s="455"/>
      <c r="ER87" s="472"/>
      <c r="ES87" s="472"/>
    </row>
    <row r="88" spans="1:149" ht="12.75" hidden="1" customHeight="1" x14ac:dyDescent="0.2">
      <c r="A88" s="442"/>
      <c r="B88" s="442"/>
      <c r="D88" s="455" t="s">
        <v>346</v>
      </c>
      <c r="E88" s="560"/>
      <c r="F88" s="488"/>
      <c r="G88" s="113">
        <v>0</v>
      </c>
      <c r="H88" s="112"/>
      <c r="I88" s="67"/>
      <c r="J88" s="560"/>
      <c r="K88" s="569"/>
      <c r="L88" s="113">
        <v>0</v>
      </c>
      <c r="M88" s="112"/>
      <c r="N88" s="67"/>
      <c r="O88" s="560"/>
      <c r="P88" s="569"/>
      <c r="Q88" s="113">
        <v>0</v>
      </c>
      <c r="R88" s="112"/>
      <c r="S88" s="67"/>
      <c r="T88" s="560"/>
      <c r="U88" s="569"/>
      <c r="V88" s="113">
        <v>0</v>
      </c>
      <c r="W88" s="112"/>
      <c r="X88" s="67"/>
      <c r="Y88" s="560"/>
      <c r="Z88" s="569"/>
      <c r="AA88" s="113">
        <v>0</v>
      </c>
      <c r="AB88" s="112"/>
      <c r="AC88" s="67"/>
      <c r="AD88" s="560"/>
      <c r="AE88" s="569"/>
      <c r="AF88" s="113">
        <v>0</v>
      </c>
      <c r="AG88" s="112"/>
      <c r="AH88" s="67"/>
      <c r="AI88" s="560"/>
      <c r="AJ88" s="569"/>
      <c r="AK88" s="113">
        <v>0</v>
      </c>
      <c r="AL88" s="112"/>
      <c r="AM88" s="67"/>
      <c r="AN88" s="560"/>
      <c r="AO88" s="569"/>
      <c r="AP88" s="113">
        <v>0</v>
      </c>
      <c r="AQ88" s="112"/>
      <c r="AR88" s="67"/>
      <c r="AS88" s="560"/>
      <c r="AT88" s="569"/>
      <c r="AU88" s="113">
        <v>0</v>
      </c>
      <c r="AV88" s="112"/>
      <c r="AW88" s="67"/>
      <c r="AX88" s="560"/>
      <c r="AY88" s="569"/>
      <c r="AZ88" s="113">
        <v>0</v>
      </c>
      <c r="BA88" s="112"/>
      <c r="BB88" s="67"/>
      <c r="BC88" s="560"/>
      <c r="BD88" s="569"/>
      <c r="BE88" s="113">
        <v>0</v>
      </c>
      <c r="BF88" s="112"/>
      <c r="BG88" s="67"/>
      <c r="BH88" s="560"/>
      <c r="BI88" s="569"/>
      <c r="BJ88" s="113">
        <v>0</v>
      </c>
      <c r="BK88" s="112"/>
      <c r="BL88" s="67"/>
      <c r="BM88" s="560"/>
      <c r="BN88" s="569"/>
      <c r="BO88" s="113">
        <v>0</v>
      </c>
      <c r="BP88" s="112"/>
      <c r="BQ88" s="67"/>
      <c r="BR88" s="560"/>
      <c r="BS88" s="569"/>
      <c r="BT88" s="113">
        <f>SUM(L88:BO88)</f>
        <v>0</v>
      </c>
      <c r="BU88" s="112"/>
      <c r="BV88" s="67"/>
      <c r="BW88" s="560"/>
      <c r="BX88" s="569"/>
      <c r="BY88" s="113">
        <v>0</v>
      </c>
      <c r="BZ88" s="112"/>
      <c r="CA88" s="67"/>
      <c r="CB88" s="560"/>
      <c r="CC88" s="569"/>
      <c r="CD88" s="113">
        <v>0</v>
      </c>
      <c r="CE88" s="112"/>
      <c r="CF88" s="67"/>
      <c r="CG88" s="560"/>
      <c r="CH88" s="569"/>
      <c r="CI88" s="113">
        <v>0</v>
      </c>
      <c r="CJ88" s="112"/>
      <c r="CK88" s="67"/>
      <c r="CL88" s="560"/>
      <c r="CM88" s="569"/>
      <c r="CN88" s="113">
        <v>0</v>
      </c>
      <c r="CO88" s="112"/>
      <c r="CP88" s="67"/>
      <c r="CQ88" s="560"/>
      <c r="CR88" s="569"/>
      <c r="CS88" s="113">
        <v>0</v>
      </c>
      <c r="CT88" s="112"/>
      <c r="CU88" s="67"/>
      <c r="CV88" s="560"/>
      <c r="CW88" s="569"/>
      <c r="CX88" s="113">
        <v>0</v>
      </c>
      <c r="CY88" s="112"/>
      <c r="CZ88" s="67"/>
      <c r="DA88" s="560"/>
      <c r="DB88" s="569"/>
      <c r="DC88" s="113">
        <v>0</v>
      </c>
      <c r="DD88" s="112"/>
      <c r="DE88" s="67"/>
      <c r="DF88" s="560"/>
      <c r="DG88" s="569"/>
      <c r="DH88" s="113">
        <v>0</v>
      </c>
      <c r="DI88" s="112"/>
      <c r="DJ88" s="67"/>
      <c r="DK88" s="560"/>
      <c r="DL88" s="569"/>
      <c r="DM88" s="113">
        <v>0</v>
      </c>
      <c r="DN88" s="112"/>
      <c r="DO88" s="67"/>
      <c r="DP88" s="560"/>
      <c r="DQ88" s="569"/>
      <c r="DR88" s="113">
        <v>0</v>
      </c>
      <c r="DS88" s="112"/>
      <c r="DT88" s="67"/>
      <c r="DU88" s="560"/>
      <c r="DV88" s="569"/>
      <c r="DW88" s="113">
        <v>0</v>
      </c>
      <c r="DX88" s="112"/>
      <c r="DY88" s="67"/>
      <c r="DZ88" s="560"/>
      <c r="EA88" s="569"/>
      <c r="EB88" s="113">
        <v>0</v>
      </c>
      <c r="EC88" s="112"/>
      <c r="ED88" s="67"/>
      <c r="EE88" s="560"/>
      <c r="EF88" s="569"/>
      <c r="EG88" s="113">
        <v>0</v>
      </c>
      <c r="EH88" s="112"/>
      <c r="EI88" s="67"/>
      <c r="EJ88" s="560"/>
      <c r="EK88" s="569"/>
      <c r="EL88" s="113">
        <f>SUM(CD88:CI88)</f>
        <v>0</v>
      </c>
      <c r="EM88" s="112"/>
      <c r="EN88" s="67"/>
      <c r="EO88" s="455"/>
      <c r="ER88" s="472"/>
      <c r="ES88" s="472"/>
    </row>
    <row r="89" spans="1:149" ht="12.75" customHeight="1" x14ac:dyDescent="0.2">
      <c r="A89" s="442"/>
      <c r="B89" s="442"/>
      <c r="D89" s="455"/>
      <c r="E89" s="560"/>
      <c r="F89" s="442"/>
      <c r="G89" s="67"/>
      <c r="H89" s="67"/>
      <c r="I89" s="67"/>
      <c r="J89" s="560"/>
      <c r="K89" s="67"/>
      <c r="L89" s="67"/>
      <c r="M89" s="67"/>
      <c r="N89" s="67"/>
      <c r="O89" s="560"/>
      <c r="P89" s="67"/>
      <c r="Q89" s="67"/>
      <c r="R89" s="67"/>
      <c r="S89" s="67"/>
      <c r="T89" s="560"/>
      <c r="U89" s="67"/>
      <c r="V89" s="67"/>
      <c r="W89" s="67"/>
      <c r="X89" s="67"/>
      <c r="Y89" s="560"/>
      <c r="Z89" s="67"/>
      <c r="AA89" s="67"/>
      <c r="AB89" s="67"/>
      <c r="AC89" s="67"/>
      <c r="AD89" s="560"/>
      <c r="AE89" s="67"/>
      <c r="AF89" s="67"/>
      <c r="AG89" s="67"/>
      <c r="AH89" s="67"/>
      <c r="AI89" s="560"/>
      <c r="AJ89" s="67"/>
      <c r="AK89" s="67"/>
      <c r="AL89" s="67"/>
      <c r="AM89" s="67"/>
      <c r="AN89" s="560"/>
      <c r="AO89" s="67"/>
      <c r="AP89" s="67"/>
      <c r="AQ89" s="67"/>
      <c r="AR89" s="67"/>
      <c r="AS89" s="560"/>
      <c r="AT89" s="67"/>
      <c r="AU89" s="67"/>
      <c r="AV89" s="67"/>
      <c r="AW89" s="67"/>
      <c r="AX89" s="560"/>
      <c r="AY89" s="67"/>
      <c r="AZ89" s="67"/>
      <c r="BA89" s="67"/>
      <c r="BB89" s="67"/>
      <c r="BC89" s="560"/>
      <c r="BD89" s="67"/>
      <c r="BE89" s="67"/>
      <c r="BF89" s="67"/>
      <c r="BG89" s="67"/>
      <c r="BH89" s="560"/>
      <c r="BI89" s="67"/>
      <c r="BJ89" s="67"/>
      <c r="BK89" s="67"/>
      <c r="BL89" s="67"/>
      <c r="BM89" s="560"/>
      <c r="BN89" s="67"/>
      <c r="BO89" s="67"/>
      <c r="BP89" s="67"/>
      <c r="BQ89" s="67"/>
      <c r="BR89" s="560"/>
      <c r="BS89" s="67"/>
      <c r="BT89" s="67"/>
      <c r="BU89" s="67"/>
      <c r="BV89" s="67"/>
      <c r="BW89" s="560"/>
      <c r="BX89" s="67"/>
      <c r="BY89" s="67"/>
      <c r="BZ89" s="67"/>
      <c r="CA89" s="67"/>
      <c r="CB89" s="560"/>
      <c r="CC89" s="67"/>
      <c r="CD89" s="67"/>
      <c r="CE89" s="67"/>
      <c r="CF89" s="67"/>
      <c r="CG89" s="560"/>
      <c r="CH89" s="67"/>
      <c r="CI89" s="67"/>
      <c r="CJ89" s="67"/>
      <c r="CK89" s="67"/>
      <c r="CL89" s="560"/>
      <c r="CM89" s="67"/>
      <c r="CN89" s="67"/>
      <c r="CO89" s="67"/>
      <c r="CP89" s="67"/>
      <c r="CQ89" s="560"/>
      <c r="CR89" s="67"/>
      <c r="CS89" s="67"/>
      <c r="CT89" s="67"/>
      <c r="CU89" s="67"/>
      <c r="CV89" s="560"/>
      <c r="CW89" s="67"/>
      <c r="CX89" s="67"/>
      <c r="CY89" s="67"/>
      <c r="CZ89" s="67"/>
      <c r="DA89" s="560"/>
      <c r="DB89" s="67"/>
      <c r="DC89" s="67"/>
      <c r="DD89" s="67"/>
      <c r="DE89" s="67"/>
      <c r="DF89" s="560"/>
      <c r="DG89" s="67"/>
      <c r="DH89" s="67"/>
      <c r="DI89" s="67"/>
      <c r="DJ89" s="67"/>
      <c r="DK89" s="560"/>
      <c r="DL89" s="67"/>
      <c r="DM89" s="67"/>
      <c r="DN89" s="67"/>
      <c r="DO89" s="67"/>
      <c r="DP89" s="560"/>
      <c r="DQ89" s="67"/>
      <c r="DR89" s="67"/>
      <c r="DS89" s="67"/>
      <c r="DT89" s="67"/>
      <c r="DU89" s="560"/>
      <c r="DV89" s="67"/>
      <c r="DW89" s="67"/>
      <c r="DX89" s="67"/>
      <c r="DY89" s="67"/>
      <c r="DZ89" s="560"/>
      <c r="EA89" s="67"/>
      <c r="EB89" s="67"/>
      <c r="EC89" s="67"/>
      <c r="ED89" s="67"/>
      <c r="EE89" s="560"/>
      <c r="EF89" s="67"/>
      <c r="EG89" s="67"/>
      <c r="EH89" s="67"/>
      <c r="EI89" s="67"/>
      <c r="EJ89" s="560"/>
      <c r="EK89" s="67"/>
      <c r="EL89" s="67"/>
      <c r="EM89" s="67"/>
      <c r="EN89" s="67"/>
      <c r="EO89" s="455"/>
      <c r="ER89" s="472"/>
      <c r="ES89" s="472"/>
    </row>
    <row r="90" spans="1:149" ht="12.75" hidden="1" customHeight="1" x14ac:dyDescent="0.2">
      <c r="A90" s="442"/>
      <c r="B90" s="442"/>
      <c r="D90" s="455" t="s">
        <v>358</v>
      </c>
      <c r="E90" s="560"/>
      <c r="F90" s="442"/>
      <c r="G90" s="67">
        <f>SUM(G91:G93)</f>
        <v>0</v>
      </c>
      <c r="H90" s="67"/>
      <c r="I90" s="67"/>
      <c r="J90" s="560"/>
      <c r="K90" s="67"/>
      <c r="L90" s="67">
        <f>SUM(L91:L93)</f>
        <v>0</v>
      </c>
      <c r="M90" s="67"/>
      <c r="N90" s="67"/>
      <c r="O90" s="560"/>
      <c r="P90" s="67"/>
      <c r="Q90" s="67">
        <f>SUM(Q91:Q93)</f>
        <v>0</v>
      </c>
      <c r="R90" s="67"/>
      <c r="S90" s="67"/>
      <c r="T90" s="560"/>
      <c r="U90" s="67"/>
      <c r="V90" s="67">
        <f>SUM(V91:V93)</f>
        <v>0</v>
      </c>
      <c r="W90" s="67"/>
      <c r="X90" s="67"/>
      <c r="Y90" s="560"/>
      <c r="Z90" s="67"/>
      <c r="AA90" s="67">
        <f>SUM(AA91:AA93)</f>
        <v>0</v>
      </c>
      <c r="AB90" s="67"/>
      <c r="AC90" s="67"/>
      <c r="AD90" s="560"/>
      <c r="AE90" s="67"/>
      <c r="AF90" s="67">
        <f>SUM(AF91:AF93)</f>
        <v>0</v>
      </c>
      <c r="AG90" s="67"/>
      <c r="AH90" s="67"/>
      <c r="AI90" s="560"/>
      <c r="AJ90" s="67"/>
      <c r="AK90" s="67">
        <f>SUM(AK91:AK93)</f>
        <v>0</v>
      </c>
      <c r="AL90" s="67"/>
      <c r="AM90" s="67"/>
      <c r="AN90" s="560"/>
      <c r="AO90" s="67"/>
      <c r="AP90" s="67">
        <f>SUM(AP91:AP93)</f>
        <v>0</v>
      </c>
      <c r="AQ90" s="67"/>
      <c r="AR90" s="67"/>
      <c r="AS90" s="560"/>
      <c r="AT90" s="67"/>
      <c r="AU90" s="67">
        <f>SUM(AU91:AU93)</f>
        <v>0</v>
      </c>
      <c r="AV90" s="67"/>
      <c r="AW90" s="67"/>
      <c r="AX90" s="560"/>
      <c r="AY90" s="67"/>
      <c r="AZ90" s="67">
        <f>SUM(AZ91:AZ93)</f>
        <v>0</v>
      </c>
      <c r="BA90" s="67"/>
      <c r="BB90" s="67"/>
      <c r="BC90" s="560"/>
      <c r="BD90" s="67"/>
      <c r="BE90" s="67">
        <f>SUM(BE91:BE93)</f>
        <v>0</v>
      </c>
      <c r="BF90" s="67"/>
      <c r="BG90" s="67"/>
      <c r="BH90" s="560"/>
      <c r="BI90" s="67"/>
      <c r="BJ90" s="67">
        <f>SUM(BJ91:BJ93)</f>
        <v>0</v>
      </c>
      <c r="BK90" s="67"/>
      <c r="BL90" s="67"/>
      <c r="BM90" s="560"/>
      <c r="BN90" s="67"/>
      <c r="BO90" s="67">
        <f>SUM(BO91:BO93)</f>
        <v>0</v>
      </c>
      <c r="BP90" s="67"/>
      <c r="BQ90" s="67"/>
      <c r="BR90" s="560"/>
      <c r="BS90" s="67"/>
      <c r="BT90" s="67">
        <f>SUM(BT91:BT93)</f>
        <v>0</v>
      </c>
      <c r="BU90" s="67"/>
      <c r="BV90" s="67"/>
      <c r="BW90" s="560"/>
      <c r="BX90" s="67"/>
      <c r="BY90" s="67">
        <f>SUM(BY91:BY93)</f>
        <v>0</v>
      </c>
      <c r="BZ90" s="67"/>
      <c r="CA90" s="67"/>
      <c r="CB90" s="560"/>
      <c r="CC90" s="67"/>
      <c r="CD90" s="67">
        <f>SUM(CD91:CD93)</f>
        <v>0</v>
      </c>
      <c r="CE90" s="67"/>
      <c r="CF90" s="67"/>
      <c r="CG90" s="560"/>
      <c r="CH90" s="67"/>
      <c r="CI90" s="67">
        <f>SUM(CI91:CI93)</f>
        <v>0</v>
      </c>
      <c r="CJ90" s="67"/>
      <c r="CK90" s="67"/>
      <c r="CL90" s="560"/>
      <c r="CM90" s="67"/>
      <c r="CN90" s="67">
        <f>SUM(CN91:CN93)</f>
        <v>0</v>
      </c>
      <c r="CO90" s="67"/>
      <c r="CP90" s="67"/>
      <c r="CQ90" s="560"/>
      <c r="CR90" s="67"/>
      <c r="CS90" s="67">
        <f>SUM(CS91:CS93)</f>
        <v>0</v>
      </c>
      <c r="CT90" s="67"/>
      <c r="CU90" s="67"/>
      <c r="CV90" s="560"/>
      <c r="CW90" s="67"/>
      <c r="CX90" s="67">
        <f>SUM(CX91:CX93)</f>
        <v>0</v>
      </c>
      <c r="CY90" s="67"/>
      <c r="CZ90" s="67"/>
      <c r="DA90" s="560"/>
      <c r="DB90" s="67"/>
      <c r="DC90" s="67">
        <f>SUM(DC91:DC93)</f>
        <v>0</v>
      </c>
      <c r="DD90" s="67"/>
      <c r="DE90" s="67"/>
      <c r="DF90" s="560"/>
      <c r="DG90" s="67"/>
      <c r="DH90" s="67">
        <f>SUM(DH91:DH93)</f>
        <v>0</v>
      </c>
      <c r="DI90" s="67"/>
      <c r="DJ90" s="67"/>
      <c r="DK90" s="560"/>
      <c r="DL90" s="67"/>
      <c r="DM90" s="67">
        <f>SUM(DM91:DM93)</f>
        <v>0</v>
      </c>
      <c r="DN90" s="67"/>
      <c r="DO90" s="67"/>
      <c r="DP90" s="560"/>
      <c r="DQ90" s="67"/>
      <c r="DR90" s="67">
        <f>SUM(DR91:DR93)</f>
        <v>0</v>
      </c>
      <c r="DS90" s="67"/>
      <c r="DT90" s="67"/>
      <c r="DU90" s="560"/>
      <c r="DV90" s="67"/>
      <c r="DW90" s="67">
        <f>SUM(DW91:DW93)</f>
        <v>0</v>
      </c>
      <c r="DX90" s="67"/>
      <c r="DY90" s="67"/>
      <c r="DZ90" s="560"/>
      <c r="EA90" s="67"/>
      <c r="EB90" s="67">
        <f>SUM(EB91:EB93)</f>
        <v>0</v>
      </c>
      <c r="EC90" s="67"/>
      <c r="ED90" s="67"/>
      <c r="EE90" s="560"/>
      <c r="EF90" s="67"/>
      <c r="EG90" s="67">
        <f>SUM(EG91:EG93)</f>
        <v>0</v>
      </c>
      <c r="EH90" s="67"/>
      <c r="EI90" s="67"/>
      <c r="EJ90" s="560"/>
      <c r="EK90" s="67"/>
      <c r="EL90" s="67">
        <f>SUM(EL91:EL93)</f>
        <v>0</v>
      </c>
      <c r="EM90" s="67"/>
      <c r="EN90" s="67"/>
      <c r="EO90" s="455"/>
      <c r="ER90" s="472"/>
      <c r="ES90" s="472"/>
    </row>
    <row r="91" spans="1:149" ht="12.75" hidden="1" customHeight="1" x14ac:dyDescent="0.2">
      <c r="A91" s="442"/>
      <c r="B91" s="442"/>
      <c r="D91" s="455" t="s">
        <v>342</v>
      </c>
      <c r="E91" s="560"/>
      <c r="F91" s="473"/>
      <c r="G91" s="558">
        <v>0</v>
      </c>
      <c r="H91" s="559"/>
      <c r="I91" s="67"/>
      <c r="J91" s="560"/>
      <c r="K91" s="561"/>
      <c r="L91" s="558">
        <v>0</v>
      </c>
      <c r="M91" s="559"/>
      <c r="N91" s="67"/>
      <c r="O91" s="560"/>
      <c r="P91" s="561"/>
      <c r="Q91" s="558">
        <v>0</v>
      </c>
      <c r="R91" s="559"/>
      <c r="S91" s="67"/>
      <c r="T91" s="560"/>
      <c r="U91" s="473"/>
      <c r="V91" s="558">
        <v>0</v>
      </c>
      <c r="W91" s="559"/>
      <c r="X91" s="67"/>
      <c r="Y91" s="560"/>
      <c r="Z91" s="561"/>
      <c r="AA91" s="558">
        <v>0</v>
      </c>
      <c r="AB91" s="559"/>
      <c r="AC91" s="67"/>
      <c r="AD91" s="560"/>
      <c r="AE91" s="561"/>
      <c r="AF91" s="558">
        <v>0</v>
      </c>
      <c r="AG91" s="559"/>
      <c r="AH91" s="67"/>
      <c r="AI91" s="560"/>
      <c r="AJ91" s="561"/>
      <c r="AK91" s="558">
        <v>0</v>
      </c>
      <c r="AL91" s="559"/>
      <c r="AM91" s="67"/>
      <c r="AN91" s="560"/>
      <c r="AO91" s="561"/>
      <c r="AP91" s="558">
        <v>0</v>
      </c>
      <c r="AQ91" s="559"/>
      <c r="AR91" s="67"/>
      <c r="AS91" s="560"/>
      <c r="AT91" s="561"/>
      <c r="AU91" s="558">
        <v>0</v>
      </c>
      <c r="AV91" s="559"/>
      <c r="AW91" s="67"/>
      <c r="AX91" s="560"/>
      <c r="AY91" s="561"/>
      <c r="AZ91" s="558">
        <v>0</v>
      </c>
      <c r="BA91" s="559"/>
      <c r="BB91" s="67"/>
      <c r="BC91" s="560"/>
      <c r="BD91" s="561"/>
      <c r="BE91" s="558">
        <v>0</v>
      </c>
      <c r="BF91" s="559"/>
      <c r="BG91" s="67"/>
      <c r="BH91" s="560"/>
      <c r="BI91" s="561"/>
      <c r="BJ91" s="558">
        <v>0</v>
      </c>
      <c r="BK91" s="559"/>
      <c r="BL91" s="67"/>
      <c r="BM91" s="560"/>
      <c r="BN91" s="561"/>
      <c r="BO91" s="558">
        <v>0</v>
      </c>
      <c r="BP91" s="559"/>
      <c r="BQ91" s="67"/>
      <c r="BR91" s="560"/>
      <c r="BS91" s="561"/>
      <c r="BT91" s="558">
        <f>SUM(L91:BO91)</f>
        <v>0</v>
      </c>
      <c r="BU91" s="559"/>
      <c r="BV91" s="67"/>
      <c r="BW91" s="560"/>
      <c r="BX91" s="561"/>
      <c r="BY91" s="558">
        <f>SUM(Q91:BT91)</f>
        <v>0</v>
      </c>
      <c r="BZ91" s="559"/>
      <c r="CA91" s="67"/>
      <c r="CB91" s="560"/>
      <c r="CC91" s="561"/>
      <c r="CD91" s="558">
        <v>0</v>
      </c>
      <c r="CE91" s="559"/>
      <c r="CF91" s="67"/>
      <c r="CG91" s="560"/>
      <c r="CH91" s="561"/>
      <c r="CI91" s="558">
        <v>0</v>
      </c>
      <c r="CJ91" s="559"/>
      <c r="CK91" s="67"/>
      <c r="CL91" s="560"/>
      <c r="CM91" s="473"/>
      <c r="CN91" s="558">
        <v>0</v>
      </c>
      <c r="CO91" s="559"/>
      <c r="CP91" s="67"/>
      <c r="CQ91" s="560"/>
      <c r="CR91" s="561"/>
      <c r="CS91" s="558">
        <v>0</v>
      </c>
      <c r="CT91" s="559"/>
      <c r="CU91" s="67"/>
      <c r="CV91" s="560"/>
      <c r="CW91" s="561"/>
      <c r="CX91" s="558">
        <v>0</v>
      </c>
      <c r="CY91" s="559"/>
      <c r="CZ91" s="67"/>
      <c r="DA91" s="560"/>
      <c r="DB91" s="561"/>
      <c r="DC91" s="558">
        <v>0</v>
      </c>
      <c r="DD91" s="559"/>
      <c r="DE91" s="67"/>
      <c r="DF91" s="560"/>
      <c r="DG91" s="561"/>
      <c r="DH91" s="558">
        <v>0</v>
      </c>
      <c r="DI91" s="559"/>
      <c r="DJ91" s="67"/>
      <c r="DK91" s="560"/>
      <c r="DL91" s="561"/>
      <c r="DM91" s="558">
        <v>0</v>
      </c>
      <c r="DN91" s="559"/>
      <c r="DO91" s="67"/>
      <c r="DP91" s="560"/>
      <c r="DQ91" s="561"/>
      <c r="DR91" s="558">
        <v>0</v>
      </c>
      <c r="DS91" s="559"/>
      <c r="DT91" s="67"/>
      <c r="DU91" s="560"/>
      <c r="DV91" s="561"/>
      <c r="DW91" s="558">
        <v>0</v>
      </c>
      <c r="DX91" s="559"/>
      <c r="DY91" s="67"/>
      <c r="DZ91" s="560"/>
      <c r="EA91" s="561"/>
      <c r="EB91" s="558">
        <v>0</v>
      </c>
      <c r="EC91" s="559"/>
      <c r="ED91" s="67"/>
      <c r="EE91" s="560"/>
      <c r="EF91" s="561"/>
      <c r="EG91" s="558">
        <v>0</v>
      </c>
      <c r="EH91" s="559"/>
      <c r="EI91" s="67"/>
      <c r="EJ91" s="560"/>
      <c r="EK91" s="561"/>
      <c r="EL91" s="558">
        <f>SUM(CD91:EG91)</f>
        <v>0</v>
      </c>
      <c r="EM91" s="559"/>
      <c r="EN91" s="67"/>
      <c r="EO91" s="455"/>
      <c r="ER91" s="472"/>
      <c r="ES91" s="472"/>
    </row>
    <row r="92" spans="1:149" ht="12.75" hidden="1" customHeight="1" x14ac:dyDescent="0.2">
      <c r="A92" s="442"/>
      <c r="B92" s="442"/>
      <c r="D92" s="455" t="s">
        <v>344</v>
      </c>
      <c r="E92" s="560"/>
      <c r="F92" s="465"/>
      <c r="G92" s="67">
        <v>0</v>
      </c>
      <c r="H92" s="66"/>
      <c r="I92" s="67"/>
      <c r="J92" s="560"/>
      <c r="K92" s="560"/>
      <c r="L92" s="67">
        <v>0</v>
      </c>
      <c r="M92" s="66"/>
      <c r="N92" s="67"/>
      <c r="O92" s="560"/>
      <c r="P92" s="560"/>
      <c r="Q92" s="67">
        <v>0</v>
      </c>
      <c r="R92" s="66"/>
      <c r="S92" s="67"/>
      <c r="T92" s="560"/>
      <c r="U92" s="465"/>
      <c r="V92" s="67">
        <v>0</v>
      </c>
      <c r="W92" s="66"/>
      <c r="X92" s="67"/>
      <c r="Y92" s="560"/>
      <c r="Z92" s="560"/>
      <c r="AA92" s="67">
        <v>0</v>
      </c>
      <c r="AB92" s="66"/>
      <c r="AC92" s="67"/>
      <c r="AD92" s="560"/>
      <c r="AE92" s="560"/>
      <c r="AF92" s="67">
        <v>0</v>
      </c>
      <c r="AG92" s="66"/>
      <c r="AH92" s="67"/>
      <c r="AI92" s="560"/>
      <c r="AJ92" s="560"/>
      <c r="AK92" s="67">
        <v>0</v>
      </c>
      <c r="AL92" s="66"/>
      <c r="AM92" s="67"/>
      <c r="AN92" s="560"/>
      <c r="AO92" s="560"/>
      <c r="AP92" s="67">
        <v>0</v>
      </c>
      <c r="AQ92" s="66"/>
      <c r="AR92" s="67"/>
      <c r="AS92" s="560"/>
      <c r="AT92" s="560"/>
      <c r="AU92" s="67">
        <v>0</v>
      </c>
      <c r="AV92" s="66"/>
      <c r="AW92" s="67"/>
      <c r="AX92" s="560"/>
      <c r="AY92" s="560"/>
      <c r="AZ92" s="67">
        <v>0</v>
      </c>
      <c r="BA92" s="66"/>
      <c r="BB92" s="67"/>
      <c r="BC92" s="560"/>
      <c r="BD92" s="560"/>
      <c r="BE92" s="67">
        <v>0</v>
      </c>
      <c r="BF92" s="66"/>
      <c r="BG92" s="67"/>
      <c r="BH92" s="560"/>
      <c r="BI92" s="560"/>
      <c r="BJ92" s="67">
        <v>0</v>
      </c>
      <c r="BK92" s="66"/>
      <c r="BL92" s="67"/>
      <c r="BM92" s="560"/>
      <c r="BN92" s="560"/>
      <c r="BO92" s="67">
        <v>0</v>
      </c>
      <c r="BP92" s="66"/>
      <c r="BQ92" s="67"/>
      <c r="BR92" s="560"/>
      <c r="BS92" s="560"/>
      <c r="BT92" s="67">
        <f>SUM(L92:BO92)</f>
        <v>0</v>
      </c>
      <c r="BU92" s="66"/>
      <c r="BV92" s="67"/>
      <c r="BW92" s="560"/>
      <c r="BX92" s="560"/>
      <c r="BY92" s="67">
        <f>SUM(Q92:BT92)</f>
        <v>0</v>
      </c>
      <c r="BZ92" s="66"/>
      <c r="CA92" s="67"/>
      <c r="CB92" s="560"/>
      <c r="CC92" s="560"/>
      <c r="CD92" s="67">
        <v>0</v>
      </c>
      <c r="CE92" s="66"/>
      <c r="CF92" s="67"/>
      <c r="CG92" s="560"/>
      <c r="CH92" s="560"/>
      <c r="CI92" s="67">
        <v>0</v>
      </c>
      <c r="CJ92" s="66"/>
      <c r="CK92" s="67"/>
      <c r="CL92" s="560"/>
      <c r="CM92" s="465"/>
      <c r="CN92" s="67">
        <v>0</v>
      </c>
      <c r="CO92" s="66"/>
      <c r="CP92" s="67"/>
      <c r="CQ92" s="560"/>
      <c r="CR92" s="560"/>
      <c r="CS92" s="67">
        <v>0</v>
      </c>
      <c r="CT92" s="66"/>
      <c r="CU92" s="67"/>
      <c r="CV92" s="560"/>
      <c r="CW92" s="560"/>
      <c r="CX92" s="67">
        <v>0</v>
      </c>
      <c r="CY92" s="66"/>
      <c r="CZ92" s="67"/>
      <c r="DA92" s="560"/>
      <c r="DB92" s="560"/>
      <c r="DC92" s="67">
        <v>0</v>
      </c>
      <c r="DD92" s="66"/>
      <c r="DE92" s="67"/>
      <c r="DF92" s="560"/>
      <c r="DG92" s="560"/>
      <c r="DH92" s="67">
        <v>0</v>
      </c>
      <c r="DI92" s="66"/>
      <c r="DJ92" s="67"/>
      <c r="DK92" s="560"/>
      <c r="DL92" s="560"/>
      <c r="DM92" s="67">
        <v>0</v>
      </c>
      <c r="DN92" s="66"/>
      <c r="DO92" s="67"/>
      <c r="DP92" s="560"/>
      <c r="DQ92" s="560"/>
      <c r="DR92" s="67">
        <v>0</v>
      </c>
      <c r="DS92" s="66"/>
      <c r="DT92" s="67"/>
      <c r="DU92" s="560"/>
      <c r="DV92" s="560"/>
      <c r="DW92" s="67">
        <v>0</v>
      </c>
      <c r="DX92" s="66"/>
      <c r="DY92" s="67"/>
      <c r="DZ92" s="560"/>
      <c r="EA92" s="560"/>
      <c r="EB92" s="67">
        <v>0</v>
      </c>
      <c r="EC92" s="66"/>
      <c r="ED92" s="67"/>
      <c r="EE92" s="560"/>
      <c r="EF92" s="560"/>
      <c r="EG92" s="67">
        <v>0</v>
      </c>
      <c r="EH92" s="66"/>
      <c r="EI92" s="67"/>
      <c r="EJ92" s="560"/>
      <c r="EK92" s="560"/>
      <c r="EL92" s="67">
        <f>SUM(CD92:EG92)</f>
        <v>0</v>
      </c>
      <c r="EM92" s="66"/>
      <c r="EN92" s="67"/>
      <c r="EO92" s="455"/>
      <c r="ER92" s="472"/>
      <c r="ES92" s="472"/>
    </row>
    <row r="93" spans="1:149" ht="12.75" hidden="1" customHeight="1" x14ac:dyDescent="0.2">
      <c r="A93" s="442"/>
      <c r="B93" s="442"/>
      <c r="D93" s="455" t="s">
        <v>352</v>
      </c>
      <c r="E93" s="560"/>
      <c r="F93" s="488"/>
      <c r="G93" s="113">
        <v>0</v>
      </c>
      <c r="H93" s="112"/>
      <c r="I93" s="67"/>
      <c r="J93" s="560"/>
      <c r="K93" s="569"/>
      <c r="L93" s="113">
        <v>0</v>
      </c>
      <c r="M93" s="112"/>
      <c r="N93" s="67"/>
      <c r="O93" s="560"/>
      <c r="P93" s="569"/>
      <c r="Q93" s="113">
        <v>0</v>
      </c>
      <c r="R93" s="112"/>
      <c r="S93" s="67"/>
      <c r="T93" s="560"/>
      <c r="U93" s="488"/>
      <c r="V93" s="113">
        <v>0</v>
      </c>
      <c r="W93" s="112"/>
      <c r="X93" s="67"/>
      <c r="Y93" s="560"/>
      <c r="Z93" s="569"/>
      <c r="AA93" s="113">
        <v>0</v>
      </c>
      <c r="AB93" s="112"/>
      <c r="AC93" s="67"/>
      <c r="AD93" s="560"/>
      <c r="AE93" s="569"/>
      <c r="AF93" s="113">
        <v>0</v>
      </c>
      <c r="AG93" s="112"/>
      <c r="AH93" s="67"/>
      <c r="AI93" s="560"/>
      <c r="AJ93" s="569"/>
      <c r="AK93" s="113">
        <v>0</v>
      </c>
      <c r="AL93" s="112"/>
      <c r="AM93" s="67"/>
      <c r="AN93" s="560"/>
      <c r="AO93" s="569"/>
      <c r="AP93" s="113">
        <v>0</v>
      </c>
      <c r="AQ93" s="112"/>
      <c r="AR93" s="67"/>
      <c r="AS93" s="560"/>
      <c r="AT93" s="569"/>
      <c r="AU93" s="113">
        <v>0</v>
      </c>
      <c r="AV93" s="112"/>
      <c r="AW93" s="67"/>
      <c r="AX93" s="560"/>
      <c r="AY93" s="569"/>
      <c r="AZ93" s="113">
        <v>0</v>
      </c>
      <c r="BA93" s="112"/>
      <c r="BB93" s="67"/>
      <c r="BC93" s="560"/>
      <c r="BD93" s="569"/>
      <c r="BE93" s="113">
        <v>0</v>
      </c>
      <c r="BF93" s="112"/>
      <c r="BG93" s="67"/>
      <c r="BH93" s="560"/>
      <c r="BI93" s="569"/>
      <c r="BJ93" s="113">
        <v>0</v>
      </c>
      <c r="BK93" s="112"/>
      <c r="BL93" s="67"/>
      <c r="BM93" s="560"/>
      <c r="BN93" s="569"/>
      <c r="BO93" s="113">
        <v>0</v>
      </c>
      <c r="BP93" s="112"/>
      <c r="BQ93" s="67"/>
      <c r="BR93" s="560"/>
      <c r="BS93" s="569"/>
      <c r="BT93" s="113">
        <f>SUM(L93:BO93)</f>
        <v>0</v>
      </c>
      <c r="BU93" s="112"/>
      <c r="BV93" s="67"/>
      <c r="BW93" s="560"/>
      <c r="BX93" s="569"/>
      <c r="BY93" s="113">
        <f>SUM(Q93:BT93)</f>
        <v>0</v>
      </c>
      <c r="BZ93" s="112"/>
      <c r="CA93" s="67"/>
      <c r="CB93" s="560"/>
      <c r="CC93" s="569"/>
      <c r="CD93" s="113">
        <v>0</v>
      </c>
      <c r="CE93" s="112"/>
      <c r="CF93" s="67"/>
      <c r="CG93" s="560"/>
      <c r="CH93" s="569"/>
      <c r="CI93" s="113">
        <v>0</v>
      </c>
      <c r="CJ93" s="112"/>
      <c r="CK93" s="67"/>
      <c r="CL93" s="560"/>
      <c r="CM93" s="488"/>
      <c r="CN93" s="113">
        <v>0</v>
      </c>
      <c r="CO93" s="112"/>
      <c r="CP93" s="67"/>
      <c r="CQ93" s="560"/>
      <c r="CR93" s="569"/>
      <c r="CS93" s="113">
        <v>0</v>
      </c>
      <c r="CT93" s="112"/>
      <c r="CU93" s="67"/>
      <c r="CV93" s="560"/>
      <c r="CW93" s="569"/>
      <c r="CX93" s="113">
        <v>0</v>
      </c>
      <c r="CY93" s="112"/>
      <c r="CZ93" s="67"/>
      <c r="DA93" s="560"/>
      <c r="DB93" s="569"/>
      <c r="DC93" s="113">
        <v>0</v>
      </c>
      <c r="DD93" s="112"/>
      <c r="DE93" s="67"/>
      <c r="DF93" s="560"/>
      <c r="DG93" s="569"/>
      <c r="DH93" s="113">
        <v>0</v>
      </c>
      <c r="DI93" s="112"/>
      <c r="DJ93" s="67"/>
      <c r="DK93" s="560"/>
      <c r="DL93" s="569"/>
      <c r="DM93" s="113">
        <v>0</v>
      </c>
      <c r="DN93" s="112"/>
      <c r="DO93" s="67"/>
      <c r="DP93" s="560"/>
      <c r="DQ93" s="569"/>
      <c r="DR93" s="113">
        <v>0</v>
      </c>
      <c r="DS93" s="112"/>
      <c r="DT93" s="67"/>
      <c r="DU93" s="560"/>
      <c r="DV93" s="569"/>
      <c r="DW93" s="113">
        <v>0</v>
      </c>
      <c r="DX93" s="112"/>
      <c r="DY93" s="67"/>
      <c r="DZ93" s="560"/>
      <c r="EA93" s="569"/>
      <c r="EB93" s="113">
        <v>0</v>
      </c>
      <c r="EC93" s="112"/>
      <c r="ED93" s="67"/>
      <c r="EE93" s="560"/>
      <c r="EF93" s="569"/>
      <c r="EG93" s="113">
        <v>0</v>
      </c>
      <c r="EH93" s="112"/>
      <c r="EI93" s="67"/>
      <c r="EJ93" s="560"/>
      <c r="EK93" s="569"/>
      <c r="EL93" s="113">
        <f>SUM(CD93:EG93)</f>
        <v>0</v>
      </c>
      <c r="EM93" s="112"/>
      <c r="EN93" s="67"/>
      <c r="EO93" s="455"/>
      <c r="ER93" s="472"/>
      <c r="ES93" s="472"/>
    </row>
    <row r="94" spans="1:149" ht="12.75" hidden="1" customHeight="1" x14ac:dyDescent="0.2">
      <c r="A94" s="442"/>
      <c r="B94" s="442"/>
      <c r="D94" s="455"/>
      <c r="E94" s="560"/>
      <c r="F94" s="442"/>
      <c r="G94" s="67"/>
      <c r="H94" s="67"/>
      <c r="I94" s="67"/>
      <c r="J94" s="560"/>
      <c r="K94" s="67"/>
      <c r="L94" s="67"/>
      <c r="M94" s="67"/>
      <c r="N94" s="67"/>
      <c r="O94" s="560"/>
      <c r="P94" s="67"/>
      <c r="Q94" s="67"/>
      <c r="R94" s="67"/>
      <c r="S94" s="67"/>
      <c r="T94" s="560"/>
      <c r="U94" s="67"/>
      <c r="V94" s="67"/>
      <c r="W94" s="67"/>
      <c r="X94" s="67"/>
      <c r="Y94" s="560"/>
      <c r="Z94" s="67"/>
      <c r="AA94" s="67"/>
      <c r="AB94" s="67"/>
      <c r="AC94" s="67"/>
      <c r="AD94" s="560"/>
      <c r="AE94" s="67"/>
      <c r="AF94" s="67"/>
      <c r="AG94" s="67"/>
      <c r="AH94" s="67"/>
      <c r="AI94" s="560"/>
      <c r="AJ94" s="67"/>
      <c r="AK94" s="67"/>
      <c r="AL94" s="67"/>
      <c r="AM94" s="67"/>
      <c r="AN94" s="560"/>
      <c r="AO94" s="67"/>
      <c r="AP94" s="67"/>
      <c r="AQ94" s="67"/>
      <c r="AR94" s="67"/>
      <c r="AS94" s="560"/>
      <c r="AT94" s="67"/>
      <c r="AU94" s="67"/>
      <c r="AV94" s="67"/>
      <c r="AW94" s="67"/>
      <c r="AX94" s="560"/>
      <c r="AY94" s="67"/>
      <c r="AZ94" s="67"/>
      <c r="BA94" s="67"/>
      <c r="BB94" s="67"/>
      <c r="BC94" s="560"/>
      <c r="BD94" s="67"/>
      <c r="BE94" s="67"/>
      <c r="BF94" s="67"/>
      <c r="BG94" s="67"/>
      <c r="BH94" s="560"/>
      <c r="BI94" s="67"/>
      <c r="BJ94" s="67"/>
      <c r="BK94" s="67"/>
      <c r="BL94" s="67"/>
      <c r="BM94" s="560"/>
      <c r="BN94" s="67"/>
      <c r="BO94" s="67"/>
      <c r="BP94" s="67"/>
      <c r="BQ94" s="67"/>
      <c r="BR94" s="560"/>
      <c r="BS94" s="67"/>
      <c r="BT94" s="67"/>
      <c r="BU94" s="67"/>
      <c r="BV94" s="67"/>
      <c r="BW94" s="560"/>
      <c r="BX94" s="67"/>
      <c r="BY94" s="67"/>
      <c r="BZ94" s="67"/>
      <c r="CA94" s="67"/>
      <c r="CB94" s="560"/>
      <c r="CC94" s="67"/>
      <c r="CD94" s="67"/>
      <c r="CE94" s="67"/>
      <c r="CF94" s="67"/>
      <c r="CG94" s="560"/>
      <c r="CH94" s="67"/>
      <c r="CI94" s="67"/>
      <c r="CJ94" s="67"/>
      <c r="CK94" s="67"/>
      <c r="CL94" s="560"/>
      <c r="CM94" s="67"/>
      <c r="CN94" s="67"/>
      <c r="CO94" s="67"/>
      <c r="CP94" s="67"/>
      <c r="CQ94" s="560"/>
      <c r="CR94" s="67"/>
      <c r="CS94" s="67"/>
      <c r="CT94" s="67"/>
      <c r="CU94" s="67"/>
      <c r="CV94" s="560"/>
      <c r="CW94" s="67"/>
      <c r="CX94" s="67"/>
      <c r="CY94" s="67"/>
      <c r="CZ94" s="67"/>
      <c r="DA94" s="560"/>
      <c r="DB94" s="67"/>
      <c r="DC94" s="67"/>
      <c r="DD94" s="67"/>
      <c r="DE94" s="67"/>
      <c r="DF94" s="560"/>
      <c r="DG94" s="67"/>
      <c r="DH94" s="67"/>
      <c r="DI94" s="67"/>
      <c r="DJ94" s="67"/>
      <c r="DK94" s="560"/>
      <c r="DL94" s="67"/>
      <c r="DM94" s="67"/>
      <c r="DN94" s="67"/>
      <c r="DO94" s="67"/>
      <c r="DP94" s="560"/>
      <c r="DQ94" s="67"/>
      <c r="DR94" s="67"/>
      <c r="DS94" s="67"/>
      <c r="DT94" s="67"/>
      <c r="DU94" s="560"/>
      <c r="DV94" s="67"/>
      <c r="DW94" s="67"/>
      <c r="DX94" s="67"/>
      <c r="DY94" s="67"/>
      <c r="DZ94" s="560"/>
      <c r="EA94" s="67"/>
      <c r="EB94" s="67"/>
      <c r="EC94" s="67"/>
      <c r="ED94" s="67"/>
      <c r="EE94" s="560"/>
      <c r="EF94" s="67"/>
      <c r="EG94" s="67"/>
      <c r="EH94" s="67"/>
      <c r="EI94" s="67"/>
      <c r="EJ94" s="560"/>
      <c r="EK94" s="67"/>
      <c r="EL94" s="67"/>
      <c r="EM94" s="67"/>
      <c r="EN94" s="67"/>
      <c r="EO94" s="455"/>
      <c r="ER94" s="472"/>
      <c r="ES94" s="472"/>
    </row>
    <row r="95" spans="1:149" ht="12.75" hidden="1" customHeight="1" x14ac:dyDescent="0.2">
      <c r="A95" s="442"/>
      <c r="B95" s="442"/>
      <c r="C95" s="573"/>
      <c r="D95" s="480" t="s">
        <v>359</v>
      </c>
      <c r="E95" s="560"/>
      <c r="F95" s="442"/>
      <c r="G95" s="67">
        <f>SUM(G96:G98)</f>
        <v>0</v>
      </c>
      <c r="H95" s="67"/>
      <c r="I95" s="67"/>
      <c r="J95" s="560"/>
      <c r="K95" s="67"/>
      <c r="L95" s="67">
        <f>SUM(L96:L98)</f>
        <v>0</v>
      </c>
      <c r="M95" s="67"/>
      <c r="N95" s="67"/>
      <c r="O95" s="560"/>
      <c r="P95" s="67"/>
      <c r="Q95" s="67">
        <f>SUM(Q96:Q98)</f>
        <v>0</v>
      </c>
      <c r="R95" s="67"/>
      <c r="S95" s="67"/>
      <c r="T95" s="560"/>
      <c r="U95" s="67"/>
      <c r="V95" s="67">
        <f>SUM(V96:V98)</f>
        <v>0</v>
      </c>
      <c r="W95" s="67"/>
      <c r="X95" s="67"/>
      <c r="Y95" s="560"/>
      <c r="Z95" s="67"/>
      <c r="AA95" s="67">
        <f>SUM(AA96:AA98)</f>
        <v>0</v>
      </c>
      <c r="AB95" s="67"/>
      <c r="AC95" s="67"/>
      <c r="AD95" s="560"/>
      <c r="AE95" s="67"/>
      <c r="AF95" s="67">
        <f>SUM(AF96:AF98)</f>
        <v>0</v>
      </c>
      <c r="AG95" s="67"/>
      <c r="AH95" s="67"/>
      <c r="AI95" s="560"/>
      <c r="AJ95" s="67"/>
      <c r="AK95" s="67">
        <f>SUM(AK96:AK98)</f>
        <v>0</v>
      </c>
      <c r="AL95" s="67"/>
      <c r="AM95" s="67"/>
      <c r="AN95" s="560"/>
      <c r="AO95" s="67"/>
      <c r="AP95" s="67">
        <f>SUM(AP96:AP98)</f>
        <v>0</v>
      </c>
      <c r="AQ95" s="67"/>
      <c r="AR95" s="67"/>
      <c r="AS95" s="560"/>
      <c r="AT95" s="67"/>
      <c r="AU95" s="67">
        <f>SUM(AU96:AU98)</f>
        <v>0</v>
      </c>
      <c r="AV95" s="67"/>
      <c r="AW95" s="67"/>
      <c r="AX95" s="560"/>
      <c r="AY95" s="67"/>
      <c r="AZ95" s="67">
        <f>SUM(AZ96:AZ98)</f>
        <v>0</v>
      </c>
      <c r="BA95" s="67"/>
      <c r="BB95" s="67"/>
      <c r="BC95" s="560"/>
      <c r="BD95" s="67"/>
      <c r="BE95" s="67">
        <f>SUM(BE96:BE98)</f>
        <v>0</v>
      </c>
      <c r="BF95" s="67"/>
      <c r="BG95" s="67"/>
      <c r="BH95" s="560"/>
      <c r="BI95" s="67"/>
      <c r="BJ95" s="67">
        <f>SUM(BJ96:BJ98)</f>
        <v>0</v>
      </c>
      <c r="BK95" s="67"/>
      <c r="BL95" s="67"/>
      <c r="BM95" s="560"/>
      <c r="BN95" s="67"/>
      <c r="BO95" s="67">
        <f>SUM(BO96:BO98)</f>
        <v>0</v>
      </c>
      <c r="BP95" s="67"/>
      <c r="BQ95" s="67"/>
      <c r="BR95" s="560"/>
      <c r="BS95" s="67"/>
      <c r="BT95" s="67">
        <f>SUM(BT96:BT98)</f>
        <v>0</v>
      </c>
      <c r="BU95" s="67"/>
      <c r="BV95" s="67"/>
      <c r="BW95" s="560"/>
      <c r="BX95" s="67"/>
      <c r="BY95" s="67">
        <f>SUM(BY96:BY98)</f>
        <v>0</v>
      </c>
      <c r="BZ95" s="67"/>
      <c r="CA95" s="67"/>
      <c r="CB95" s="560"/>
      <c r="CC95" s="67"/>
      <c r="CD95" s="67">
        <f>SUM(CD96:CD98)</f>
        <v>0</v>
      </c>
      <c r="CE95" s="67"/>
      <c r="CF95" s="67"/>
      <c r="CG95" s="560"/>
      <c r="CH95" s="67"/>
      <c r="CI95" s="67">
        <f>SUM(CI96:CI98)</f>
        <v>0</v>
      </c>
      <c r="CJ95" s="67"/>
      <c r="CK95" s="67"/>
      <c r="CL95" s="560"/>
      <c r="CM95" s="67"/>
      <c r="CN95" s="67">
        <f>SUM(CN96:CN98)</f>
        <v>0</v>
      </c>
      <c r="CO95" s="67"/>
      <c r="CP95" s="67"/>
      <c r="CQ95" s="560"/>
      <c r="CR95" s="67"/>
      <c r="CS95" s="67">
        <f>SUM(CS96:CS98)</f>
        <v>0</v>
      </c>
      <c r="CT95" s="67"/>
      <c r="CU95" s="67"/>
      <c r="CV95" s="560"/>
      <c r="CW95" s="67"/>
      <c r="CX95" s="67">
        <f>SUM(CX96:CX98)</f>
        <v>0</v>
      </c>
      <c r="CY95" s="67"/>
      <c r="CZ95" s="67"/>
      <c r="DA95" s="560"/>
      <c r="DB95" s="67"/>
      <c r="DC95" s="67">
        <f>SUM(DC96:DC98)</f>
        <v>0</v>
      </c>
      <c r="DD95" s="67"/>
      <c r="DE95" s="67"/>
      <c r="DF95" s="560"/>
      <c r="DG95" s="67"/>
      <c r="DH95" s="67">
        <f>SUM(DH96:DH98)</f>
        <v>0</v>
      </c>
      <c r="DI95" s="67"/>
      <c r="DJ95" s="67"/>
      <c r="DK95" s="560"/>
      <c r="DL95" s="67"/>
      <c r="DM95" s="67">
        <f>SUM(DM96:DM98)</f>
        <v>0</v>
      </c>
      <c r="DN95" s="67"/>
      <c r="DO95" s="67"/>
      <c r="DP95" s="560"/>
      <c r="DQ95" s="67"/>
      <c r="DR95" s="67">
        <f>SUM(DR96:DR98)</f>
        <v>0</v>
      </c>
      <c r="DS95" s="67"/>
      <c r="DT95" s="67"/>
      <c r="DU95" s="560"/>
      <c r="DV95" s="67"/>
      <c r="DW95" s="67">
        <f>SUM(DW96:DW98)</f>
        <v>0</v>
      </c>
      <c r="DX95" s="67"/>
      <c r="DY95" s="67"/>
      <c r="DZ95" s="560"/>
      <c r="EA95" s="67"/>
      <c r="EB95" s="67">
        <f>SUM(EB96:EB98)</f>
        <v>0</v>
      </c>
      <c r="EC95" s="67"/>
      <c r="ED95" s="67"/>
      <c r="EE95" s="560"/>
      <c r="EF95" s="67"/>
      <c r="EG95" s="67">
        <f>SUM(EG96:EG98)</f>
        <v>0</v>
      </c>
      <c r="EH95" s="67"/>
      <c r="EI95" s="67"/>
      <c r="EJ95" s="560"/>
      <c r="EK95" s="67"/>
      <c r="EL95" s="67">
        <f>SUM(EL96:EL98)</f>
        <v>0</v>
      </c>
      <c r="EM95" s="67"/>
      <c r="EN95" s="67"/>
      <c r="EO95" s="455"/>
      <c r="ER95" s="472"/>
      <c r="ES95" s="472"/>
    </row>
    <row r="96" spans="1:149" ht="12.75" hidden="1" customHeight="1" x14ac:dyDescent="0.2">
      <c r="A96" s="442"/>
      <c r="B96" s="442"/>
      <c r="D96" s="455" t="s">
        <v>342</v>
      </c>
      <c r="E96" s="560"/>
      <c r="F96" s="473"/>
      <c r="G96" s="558">
        <v>0</v>
      </c>
      <c r="H96" s="559"/>
      <c r="I96" s="67"/>
      <c r="J96" s="560"/>
      <c r="K96" s="561"/>
      <c r="L96" s="558">
        <v>0</v>
      </c>
      <c r="M96" s="559"/>
      <c r="N96" s="67"/>
      <c r="O96" s="560"/>
      <c r="P96" s="561"/>
      <c r="Q96" s="558">
        <v>0</v>
      </c>
      <c r="R96" s="559"/>
      <c r="S96" s="67"/>
      <c r="T96" s="560"/>
      <c r="U96" s="561"/>
      <c r="V96" s="558">
        <v>0</v>
      </c>
      <c r="W96" s="559"/>
      <c r="X96" s="67"/>
      <c r="Y96" s="560"/>
      <c r="Z96" s="561"/>
      <c r="AA96" s="558">
        <v>0</v>
      </c>
      <c r="AB96" s="559"/>
      <c r="AC96" s="67"/>
      <c r="AD96" s="560"/>
      <c r="AE96" s="561"/>
      <c r="AF96" s="558">
        <v>0</v>
      </c>
      <c r="AG96" s="559"/>
      <c r="AH96" s="67"/>
      <c r="AI96" s="560"/>
      <c r="AJ96" s="561"/>
      <c r="AK96" s="558">
        <v>0</v>
      </c>
      <c r="AL96" s="559"/>
      <c r="AM96" s="67"/>
      <c r="AN96" s="560"/>
      <c r="AO96" s="561"/>
      <c r="AP96" s="558">
        <v>0</v>
      </c>
      <c r="AQ96" s="559"/>
      <c r="AR96" s="67"/>
      <c r="AS96" s="560"/>
      <c r="AT96" s="561"/>
      <c r="AU96" s="558">
        <v>0</v>
      </c>
      <c r="AV96" s="559"/>
      <c r="AW96" s="67"/>
      <c r="AX96" s="560"/>
      <c r="AY96" s="561"/>
      <c r="AZ96" s="558">
        <v>0</v>
      </c>
      <c r="BA96" s="559"/>
      <c r="BB96" s="67"/>
      <c r="BC96" s="560"/>
      <c r="BD96" s="561"/>
      <c r="BE96" s="558">
        <v>0</v>
      </c>
      <c r="BF96" s="559"/>
      <c r="BG96" s="67"/>
      <c r="BH96" s="560"/>
      <c r="BI96" s="561"/>
      <c r="BJ96" s="558">
        <v>0</v>
      </c>
      <c r="BK96" s="559"/>
      <c r="BL96" s="67"/>
      <c r="BM96" s="560"/>
      <c r="BN96" s="561"/>
      <c r="BO96" s="558">
        <v>0</v>
      </c>
      <c r="BP96" s="559"/>
      <c r="BQ96" s="67"/>
      <c r="BR96" s="560"/>
      <c r="BS96" s="561"/>
      <c r="BT96" s="558">
        <f>SUM(L96:BO96)</f>
        <v>0</v>
      </c>
      <c r="BU96" s="559"/>
      <c r="BV96" s="67"/>
      <c r="BW96" s="560"/>
      <c r="BX96" s="561"/>
      <c r="BY96" s="558">
        <f>SUM(Q96:BT96)</f>
        <v>0</v>
      </c>
      <c r="BZ96" s="559"/>
      <c r="CA96" s="67"/>
      <c r="CB96" s="560"/>
      <c r="CC96" s="561"/>
      <c r="CD96" s="558">
        <v>0</v>
      </c>
      <c r="CE96" s="559"/>
      <c r="CF96" s="67"/>
      <c r="CG96" s="560"/>
      <c r="CH96" s="561"/>
      <c r="CI96" s="558">
        <v>0</v>
      </c>
      <c r="CJ96" s="559"/>
      <c r="CK96" s="67"/>
      <c r="CL96" s="560"/>
      <c r="CM96" s="561"/>
      <c r="CN96" s="558">
        <v>0</v>
      </c>
      <c r="CO96" s="559"/>
      <c r="CP96" s="67"/>
      <c r="CQ96" s="560"/>
      <c r="CR96" s="561"/>
      <c r="CS96" s="558">
        <v>0</v>
      </c>
      <c r="CT96" s="559"/>
      <c r="CU96" s="67"/>
      <c r="CV96" s="560"/>
      <c r="CW96" s="561"/>
      <c r="CX96" s="558">
        <v>0</v>
      </c>
      <c r="CY96" s="559"/>
      <c r="CZ96" s="67"/>
      <c r="DA96" s="560"/>
      <c r="DB96" s="561"/>
      <c r="DC96" s="558">
        <v>0</v>
      </c>
      <c r="DD96" s="559"/>
      <c r="DE96" s="67"/>
      <c r="DF96" s="560"/>
      <c r="DG96" s="561"/>
      <c r="DH96" s="558">
        <v>0</v>
      </c>
      <c r="DI96" s="559"/>
      <c r="DJ96" s="67"/>
      <c r="DK96" s="560"/>
      <c r="DL96" s="561"/>
      <c r="DM96" s="558">
        <v>0</v>
      </c>
      <c r="DN96" s="559"/>
      <c r="DO96" s="67"/>
      <c r="DP96" s="560"/>
      <c r="DQ96" s="561"/>
      <c r="DR96" s="558">
        <v>0</v>
      </c>
      <c r="DS96" s="559"/>
      <c r="DT96" s="67"/>
      <c r="DU96" s="560"/>
      <c r="DV96" s="561"/>
      <c r="DW96" s="558">
        <v>0</v>
      </c>
      <c r="DX96" s="559"/>
      <c r="DY96" s="67"/>
      <c r="DZ96" s="560"/>
      <c r="EA96" s="561"/>
      <c r="EB96" s="558">
        <v>0</v>
      </c>
      <c r="EC96" s="559"/>
      <c r="ED96" s="67"/>
      <c r="EE96" s="560"/>
      <c r="EF96" s="561"/>
      <c r="EG96" s="558">
        <v>0</v>
      </c>
      <c r="EH96" s="559"/>
      <c r="EI96" s="67"/>
      <c r="EJ96" s="560"/>
      <c r="EK96" s="561"/>
      <c r="EL96" s="558">
        <f>SUM(CD96:EG96)</f>
        <v>0</v>
      </c>
      <c r="EM96" s="559"/>
      <c r="EN96" s="67"/>
      <c r="EO96" s="455"/>
      <c r="ER96" s="472"/>
      <c r="ES96" s="472"/>
    </row>
    <row r="97" spans="1:149" ht="12.75" hidden="1" customHeight="1" x14ac:dyDescent="0.2">
      <c r="A97" s="442"/>
      <c r="B97" s="442"/>
      <c r="D97" s="455" t="s">
        <v>344</v>
      </c>
      <c r="E97" s="560"/>
      <c r="F97" s="465"/>
      <c r="G97" s="67">
        <v>0</v>
      </c>
      <c r="H97" s="66"/>
      <c r="I97" s="67"/>
      <c r="J97" s="560"/>
      <c r="K97" s="560"/>
      <c r="L97" s="67">
        <v>0</v>
      </c>
      <c r="M97" s="66"/>
      <c r="N97" s="67"/>
      <c r="O97" s="560"/>
      <c r="P97" s="560"/>
      <c r="Q97" s="67">
        <v>0</v>
      </c>
      <c r="R97" s="66"/>
      <c r="S97" s="67"/>
      <c r="T97" s="560"/>
      <c r="U97" s="560"/>
      <c r="V97" s="67">
        <v>0</v>
      </c>
      <c r="W97" s="66"/>
      <c r="X97" s="67"/>
      <c r="Y97" s="560"/>
      <c r="Z97" s="560"/>
      <c r="AA97" s="67">
        <v>0</v>
      </c>
      <c r="AB97" s="66"/>
      <c r="AC97" s="67"/>
      <c r="AD97" s="560"/>
      <c r="AE97" s="560"/>
      <c r="AF97" s="67">
        <v>0</v>
      </c>
      <c r="AG97" s="66"/>
      <c r="AH97" s="67"/>
      <c r="AI97" s="560"/>
      <c r="AJ97" s="560"/>
      <c r="AK97" s="67">
        <v>0</v>
      </c>
      <c r="AL97" s="66"/>
      <c r="AM97" s="67"/>
      <c r="AN97" s="560"/>
      <c r="AO97" s="560"/>
      <c r="AP97" s="67">
        <v>0</v>
      </c>
      <c r="AQ97" s="66"/>
      <c r="AR97" s="67"/>
      <c r="AS97" s="560"/>
      <c r="AT97" s="560"/>
      <c r="AU97" s="67">
        <v>0</v>
      </c>
      <c r="AV97" s="66"/>
      <c r="AW97" s="67"/>
      <c r="AX97" s="560"/>
      <c r="AY97" s="560"/>
      <c r="AZ97" s="67">
        <v>0</v>
      </c>
      <c r="BA97" s="66"/>
      <c r="BB97" s="67"/>
      <c r="BC97" s="560"/>
      <c r="BD97" s="560"/>
      <c r="BE97" s="67">
        <v>0</v>
      </c>
      <c r="BF97" s="66"/>
      <c r="BG97" s="67"/>
      <c r="BH97" s="560"/>
      <c r="BI97" s="560"/>
      <c r="BJ97" s="67">
        <v>0</v>
      </c>
      <c r="BK97" s="66"/>
      <c r="BL97" s="67"/>
      <c r="BM97" s="560"/>
      <c r="BN97" s="560"/>
      <c r="BO97" s="67">
        <v>0</v>
      </c>
      <c r="BP97" s="66"/>
      <c r="BQ97" s="67"/>
      <c r="BR97" s="560"/>
      <c r="BS97" s="560"/>
      <c r="BT97" s="67">
        <f>SUM(L97:BO97)</f>
        <v>0</v>
      </c>
      <c r="BU97" s="66"/>
      <c r="BV97" s="67"/>
      <c r="BW97" s="560"/>
      <c r="BX97" s="560"/>
      <c r="BY97" s="67">
        <f>SUM(Q97:BT97)</f>
        <v>0</v>
      </c>
      <c r="BZ97" s="66"/>
      <c r="CA97" s="67"/>
      <c r="CB97" s="560"/>
      <c r="CC97" s="560"/>
      <c r="CD97" s="67">
        <v>0</v>
      </c>
      <c r="CE97" s="66"/>
      <c r="CF97" s="67"/>
      <c r="CG97" s="560"/>
      <c r="CH97" s="560"/>
      <c r="CI97" s="67">
        <v>0</v>
      </c>
      <c r="CJ97" s="66"/>
      <c r="CK97" s="67"/>
      <c r="CL97" s="560"/>
      <c r="CM97" s="560"/>
      <c r="CN97" s="67">
        <v>0</v>
      </c>
      <c r="CO97" s="66"/>
      <c r="CP97" s="67"/>
      <c r="CQ97" s="560"/>
      <c r="CR97" s="560"/>
      <c r="CS97" s="67">
        <v>0</v>
      </c>
      <c r="CT97" s="66"/>
      <c r="CU97" s="67"/>
      <c r="CV97" s="560"/>
      <c r="CW97" s="560"/>
      <c r="CX97" s="67">
        <v>0</v>
      </c>
      <c r="CY97" s="66"/>
      <c r="CZ97" s="67"/>
      <c r="DA97" s="560"/>
      <c r="DB97" s="560"/>
      <c r="DC97" s="67">
        <v>0</v>
      </c>
      <c r="DD97" s="66"/>
      <c r="DE97" s="67"/>
      <c r="DF97" s="560"/>
      <c r="DG97" s="560"/>
      <c r="DH97" s="67">
        <v>0</v>
      </c>
      <c r="DI97" s="66"/>
      <c r="DJ97" s="67"/>
      <c r="DK97" s="560"/>
      <c r="DL97" s="560"/>
      <c r="DM97" s="67">
        <v>0</v>
      </c>
      <c r="DN97" s="66"/>
      <c r="DO97" s="67"/>
      <c r="DP97" s="560"/>
      <c r="DQ97" s="560"/>
      <c r="DR97" s="67">
        <v>0</v>
      </c>
      <c r="DS97" s="66"/>
      <c r="DT97" s="67"/>
      <c r="DU97" s="560"/>
      <c r="DV97" s="560"/>
      <c r="DW97" s="67">
        <v>0</v>
      </c>
      <c r="DX97" s="66"/>
      <c r="DY97" s="67"/>
      <c r="DZ97" s="560"/>
      <c r="EA97" s="560"/>
      <c r="EB97" s="67">
        <v>0</v>
      </c>
      <c r="EC97" s="66"/>
      <c r="ED97" s="67"/>
      <c r="EE97" s="560"/>
      <c r="EF97" s="560"/>
      <c r="EG97" s="67">
        <v>0</v>
      </c>
      <c r="EH97" s="66"/>
      <c r="EI97" s="67"/>
      <c r="EJ97" s="560"/>
      <c r="EK97" s="560"/>
      <c r="EL97" s="67">
        <f>SUM(CD97:EG97)</f>
        <v>0</v>
      </c>
      <c r="EM97" s="66"/>
      <c r="EN97" s="67"/>
      <c r="EO97" s="455"/>
      <c r="ER97" s="472"/>
      <c r="ES97" s="472"/>
    </row>
    <row r="98" spans="1:149" ht="12.75" hidden="1" customHeight="1" x14ac:dyDescent="0.2">
      <c r="A98" s="442"/>
      <c r="B98" s="442"/>
      <c r="D98" s="455" t="s">
        <v>352</v>
      </c>
      <c r="E98" s="560"/>
      <c r="F98" s="488"/>
      <c r="G98" s="113">
        <v>0</v>
      </c>
      <c r="H98" s="112"/>
      <c r="I98" s="67"/>
      <c r="J98" s="560"/>
      <c r="K98" s="569"/>
      <c r="L98" s="113">
        <v>0</v>
      </c>
      <c r="M98" s="112"/>
      <c r="N98" s="67"/>
      <c r="O98" s="560"/>
      <c r="P98" s="569"/>
      <c r="Q98" s="113">
        <v>0</v>
      </c>
      <c r="R98" s="112"/>
      <c r="S98" s="67"/>
      <c r="T98" s="560"/>
      <c r="U98" s="569"/>
      <c r="V98" s="113">
        <v>0</v>
      </c>
      <c r="W98" s="112"/>
      <c r="X98" s="67"/>
      <c r="Y98" s="560"/>
      <c r="Z98" s="569"/>
      <c r="AA98" s="113">
        <v>0</v>
      </c>
      <c r="AB98" s="112"/>
      <c r="AC98" s="67"/>
      <c r="AD98" s="560"/>
      <c r="AE98" s="569"/>
      <c r="AF98" s="113">
        <v>0</v>
      </c>
      <c r="AG98" s="112"/>
      <c r="AH98" s="67"/>
      <c r="AI98" s="560"/>
      <c r="AJ98" s="569"/>
      <c r="AK98" s="113">
        <v>0</v>
      </c>
      <c r="AL98" s="112"/>
      <c r="AM98" s="67"/>
      <c r="AN98" s="560"/>
      <c r="AO98" s="569"/>
      <c r="AP98" s="113">
        <v>0</v>
      </c>
      <c r="AQ98" s="112"/>
      <c r="AR98" s="67"/>
      <c r="AS98" s="560"/>
      <c r="AT98" s="569"/>
      <c r="AU98" s="113">
        <v>0</v>
      </c>
      <c r="AV98" s="112"/>
      <c r="AW98" s="67"/>
      <c r="AX98" s="560"/>
      <c r="AY98" s="569"/>
      <c r="AZ98" s="113">
        <v>0</v>
      </c>
      <c r="BA98" s="112"/>
      <c r="BB98" s="67"/>
      <c r="BC98" s="560"/>
      <c r="BD98" s="569"/>
      <c r="BE98" s="113">
        <v>0</v>
      </c>
      <c r="BF98" s="112"/>
      <c r="BG98" s="67"/>
      <c r="BH98" s="560"/>
      <c r="BI98" s="569"/>
      <c r="BJ98" s="113">
        <v>0</v>
      </c>
      <c r="BK98" s="112"/>
      <c r="BL98" s="67"/>
      <c r="BM98" s="560"/>
      <c r="BN98" s="569"/>
      <c r="BO98" s="113">
        <v>0</v>
      </c>
      <c r="BP98" s="112"/>
      <c r="BQ98" s="67"/>
      <c r="BR98" s="560"/>
      <c r="BS98" s="569"/>
      <c r="BT98" s="113">
        <f>SUM(L98:BO98)</f>
        <v>0</v>
      </c>
      <c r="BU98" s="112"/>
      <c r="BV98" s="67"/>
      <c r="BW98" s="560"/>
      <c r="BX98" s="569"/>
      <c r="BY98" s="113">
        <f>SUM(Q98:BT98)</f>
        <v>0</v>
      </c>
      <c r="BZ98" s="112"/>
      <c r="CA98" s="67"/>
      <c r="CB98" s="560"/>
      <c r="CC98" s="569"/>
      <c r="CD98" s="113">
        <v>0</v>
      </c>
      <c r="CE98" s="112"/>
      <c r="CF98" s="67"/>
      <c r="CG98" s="560"/>
      <c r="CH98" s="569"/>
      <c r="CI98" s="113">
        <v>0</v>
      </c>
      <c r="CJ98" s="112"/>
      <c r="CK98" s="67"/>
      <c r="CL98" s="560"/>
      <c r="CM98" s="569"/>
      <c r="CN98" s="113">
        <v>0</v>
      </c>
      <c r="CO98" s="112"/>
      <c r="CP98" s="67"/>
      <c r="CQ98" s="560"/>
      <c r="CR98" s="569"/>
      <c r="CS98" s="113">
        <v>0</v>
      </c>
      <c r="CT98" s="112"/>
      <c r="CU98" s="67"/>
      <c r="CV98" s="560"/>
      <c r="CW98" s="569"/>
      <c r="CX98" s="113">
        <v>0</v>
      </c>
      <c r="CY98" s="112"/>
      <c r="CZ98" s="67"/>
      <c r="DA98" s="560"/>
      <c r="DB98" s="569"/>
      <c r="DC98" s="113">
        <v>0</v>
      </c>
      <c r="DD98" s="112"/>
      <c r="DE98" s="67"/>
      <c r="DF98" s="560"/>
      <c r="DG98" s="569"/>
      <c r="DH98" s="113">
        <v>0</v>
      </c>
      <c r="DI98" s="112"/>
      <c r="DJ98" s="67"/>
      <c r="DK98" s="560"/>
      <c r="DL98" s="569"/>
      <c r="DM98" s="113">
        <v>0</v>
      </c>
      <c r="DN98" s="112"/>
      <c r="DO98" s="67"/>
      <c r="DP98" s="560"/>
      <c r="DQ98" s="569"/>
      <c r="DR98" s="113">
        <v>0</v>
      </c>
      <c r="DS98" s="112"/>
      <c r="DT98" s="67"/>
      <c r="DU98" s="560"/>
      <c r="DV98" s="569"/>
      <c r="DW98" s="113">
        <v>0</v>
      </c>
      <c r="DX98" s="112"/>
      <c r="DY98" s="67"/>
      <c r="DZ98" s="560"/>
      <c r="EA98" s="569"/>
      <c r="EB98" s="113">
        <v>0</v>
      </c>
      <c r="EC98" s="112"/>
      <c r="ED98" s="67"/>
      <c r="EE98" s="560"/>
      <c r="EF98" s="569"/>
      <c r="EG98" s="113">
        <v>0</v>
      </c>
      <c r="EH98" s="112"/>
      <c r="EI98" s="67"/>
      <c r="EJ98" s="560"/>
      <c r="EK98" s="569"/>
      <c r="EL98" s="113">
        <f>SUM(CD98:EG98)</f>
        <v>0</v>
      </c>
      <c r="EM98" s="112"/>
      <c r="EN98" s="67"/>
      <c r="EO98" s="455"/>
      <c r="ER98" s="472"/>
      <c r="ES98" s="472"/>
    </row>
    <row r="99" spans="1:149" ht="12.75" hidden="1" customHeight="1" x14ac:dyDescent="0.2">
      <c r="A99" s="442"/>
      <c r="B99" s="442"/>
      <c r="D99" s="455"/>
      <c r="E99" s="560"/>
      <c r="F99" s="442"/>
      <c r="G99" s="67"/>
      <c r="H99" s="67"/>
      <c r="I99" s="67"/>
      <c r="J99" s="560"/>
      <c r="K99" s="67"/>
      <c r="L99" s="67"/>
      <c r="M99" s="67"/>
      <c r="N99" s="67"/>
      <c r="O99" s="560"/>
      <c r="P99" s="67"/>
      <c r="Q99" s="67"/>
      <c r="R99" s="67"/>
      <c r="S99" s="67"/>
      <c r="T99" s="560"/>
      <c r="U99" s="67"/>
      <c r="V99" s="67"/>
      <c r="W99" s="67"/>
      <c r="X99" s="67"/>
      <c r="Y99" s="560"/>
      <c r="Z99" s="67"/>
      <c r="AA99" s="67"/>
      <c r="AB99" s="67"/>
      <c r="AC99" s="67"/>
      <c r="AD99" s="560"/>
      <c r="AE99" s="67"/>
      <c r="AF99" s="67"/>
      <c r="AG99" s="67"/>
      <c r="AH99" s="67"/>
      <c r="AI99" s="560"/>
      <c r="AJ99" s="67"/>
      <c r="AK99" s="67"/>
      <c r="AL99" s="67"/>
      <c r="AM99" s="67"/>
      <c r="AN99" s="560"/>
      <c r="AO99" s="67"/>
      <c r="AP99" s="67"/>
      <c r="AQ99" s="67"/>
      <c r="AR99" s="67"/>
      <c r="AS99" s="560"/>
      <c r="AT99" s="67"/>
      <c r="AU99" s="67"/>
      <c r="AV99" s="67"/>
      <c r="AW99" s="67"/>
      <c r="AX99" s="560"/>
      <c r="AY99" s="67"/>
      <c r="AZ99" s="67"/>
      <c r="BA99" s="67"/>
      <c r="BB99" s="67"/>
      <c r="BC99" s="560"/>
      <c r="BD99" s="67"/>
      <c r="BE99" s="67"/>
      <c r="BF99" s="67"/>
      <c r="BG99" s="67"/>
      <c r="BH99" s="560"/>
      <c r="BI99" s="67"/>
      <c r="BJ99" s="67"/>
      <c r="BK99" s="67"/>
      <c r="BL99" s="67"/>
      <c r="BM99" s="560"/>
      <c r="BN99" s="67"/>
      <c r="BO99" s="67"/>
      <c r="BP99" s="67"/>
      <c r="BQ99" s="67"/>
      <c r="BR99" s="560"/>
      <c r="BS99" s="67"/>
      <c r="BT99" s="67"/>
      <c r="BU99" s="67"/>
      <c r="BV99" s="67"/>
      <c r="BW99" s="560"/>
      <c r="BX99" s="67"/>
      <c r="BY99" s="67"/>
      <c r="BZ99" s="67"/>
      <c r="CA99" s="67"/>
      <c r="CB99" s="560"/>
      <c r="CC99" s="67"/>
      <c r="CD99" s="67"/>
      <c r="CE99" s="67"/>
      <c r="CF99" s="67"/>
      <c r="CG99" s="560"/>
      <c r="CH99" s="67"/>
      <c r="CI99" s="67"/>
      <c r="CJ99" s="67"/>
      <c r="CK99" s="67"/>
      <c r="CL99" s="560"/>
      <c r="CM99" s="67"/>
      <c r="CN99" s="67"/>
      <c r="CO99" s="67"/>
      <c r="CP99" s="67"/>
      <c r="CQ99" s="560"/>
      <c r="CR99" s="67"/>
      <c r="CS99" s="67"/>
      <c r="CT99" s="67"/>
      <c r="CU99" s="67"/>
      <c r="CV99" s="560"/>
      <c r="CW99" s="67"/>
      <c r="CX99" s="67"/>
      <c r="CY99" s="67"/>
      <c r="CZ99" s="67"/>
      <c r="DA99" s="560"/>
      <c r="DB99" s="67"/>
      <c r="DC99" s="67"/>
      <c r="DD99" s="67"/>
      <c r="DE99" s="67"/>
      <c r="DF99" s="560"/>
      <c r="DG99" s="67"/>
      <c r="DH99" s="67"/>
      <c r="DI99" s="67"/>
      <c r="DJ99" s="67"/>
      <c r="DK99" s="560"/>
      <c r="DL99" s="67"/>
      <c r="DM99" s="67"/>
      <c r="DN99" s="67"/>
      <c r="DO99" s="67"/>
      <c r="DP99" s="560"/>
      <c r="DQ99" s="67"/>
      <c r="DR99" s="67"/>
      <c r="DS99" s="67"/>
      <c r="DT99" s="67"/>
      <c r="DU99" s="560"/>
      <c r="DV99" s="67"/>
      <c r="DW99" s="67"/>
      <c r="DX99" s="67"/>
      <c r="DY99" s="67"/>
      <c r="DZ99" s="560"/>
      <c r="EA99" s="67"/>
      <c r="EB99" s="67"/>
      <c r="EC99" s="67"/>
      <c r="ED99" s="67"/>
      <c r="EE99" s="560"/>
      <c r="EF99" s="67"/>
      <c r="EG99" s="67"/>
      <c r="EH99" s="67"/>
      <c r="EI99" s="67"/>
      <c r="EJ99" s="560"/>
      <c r="EK99" s="67"/>
      <c r="EL99" s="67"/>
      <c r="EM99" s="67"/>
      <c r="EN99" s="67"/>
      <c r="EO99" s="455"/>
      <c r="ER99" s="472"/>
      <c r="ES99" s="472"/>
    </row>
    <row r="100" spans="1:149" ht="12.75" hidden="1" customHeight="1" x14ac:dyDescent="0.2">
      <c r="A100" s="442"/>
      <c r="B100" s="442"/>
      <c r="D100" s="455" t="s">
        <v>360</v>
      </c>
      <c r="E100" s="560"/>
      <c r="F100" s="442"/>
      <c r="G100" s="67">
        <f>SUM(G101:G103)</f>
        <v>0</v>
      </c>
      <c r="H100" s="67"/>
      <c r="I100" s="67"/>
      <c r="J100" s="560"/>
      <c r="K100" s="67"/>
      <c r="L100" s="67">
        <f>SUM(L101:L103)</f>
        <v>0</v>
      </c>
      <c r="M100" s="67"/>
      <c r="N100" s="67"/>
      <c r="O100" s="560"/>
      <c r="P100" s="67"/>
      <c r="Q100" s="67">
        <f>SUM(Q101:Q103)</f>
        <v>0</v>
      </c>
      <c r="R100" s="67"/>
      <c r="S100" s="67"/>
      <c r="T100" s="560"/>
      <c r="U100" s="67"/>
      <c r="V100" s="67">
        <f>SUM(V101:V103)</f>
        <v>0</v>
      </c>
      <c r="W100" s="67"/>
      <c r="X100" s="67"/>
      <c r="Y100" s="560"/>
      <c r="Z100" s="67"/>
      <c r="AA100" s="67">
        <f>SUM(AA101:AA103)</f>
        <v>0</v>
      </c>
      <c r="AB100" s="67"/>
      <c r="AC100" s="67"/>
      <c r="AD100" s="560"/>
      <c r="AE100" s="67"/>
      <c r="AF100" s="67">
        <f>SUM(AF101:AF103)</f>
        <v>0</v>
      </c>
      <c r="AG100" s="67"/>
      <c r="AH100" s="67"/>
      <c r="AI100" s="560"/>
      <c r="AJ100" s="67"/>
      <c r="AK100" s="67">
        <f>SUM(AK101:AK103)</f>
        <v>0</v>
      </c>
      <c r="AL100" s="67"/>
      <c r="AM100" s="67"/>
      <c r="AN100" s="560"/>
      <c r="AO100" s="67"/>
      <c r="AP100" s="67">
        <f>SUM(AP101:AP103)</f>
        <v>0</v>
      </c>
      <c r="AQ100" s="67"/>
      <c r="AR100" s="67"/>
      <c r="AS100" s="560"/>
      <c r="AT100" s="67"/>
      <c r="AU100" s="67">
        <f>SUM(AU101:AU103)</f>
        <v>0</v>
      </c>
      <c r="AV100" s="67"/>
      <c r="AW100" s="67"/>
      <c r="AX100" s="560"/>
      <c r="AY100" s="67"/>
      <c r="AZ100" s="67">
        <f>SUM(AZ101:AZ103)</f>
        <v>0</v>
      </c>
      <c r="BA100" s="67"/>
      <c r="BB100" s="67"/>
      <c r="BC100" s="560"/>
      <c r="BD100" s="67"/>
      <c r="BE100" s="67">
        <f>SUM(BE101:BE103)</f>
        <v>0</v>
      </c>
      <c r="BF100" s="67"/>
      <c r="BG100" s="67"/>
      <c r="BH100" s="560"/>
      <c r="BI100" s="67"/>
      <c r="BJ100" s="67">
        <f>SUM(BJ101:BJ103)</f>
        <v>0</v>
      </c>
      <c r="BK100" s="67"/>
      <c r="BL100" s="67"/>
      <c r="BM100" s="560"/>
      <c r="BN100" s="67"/>
      <c r="BO100" s="67">
        <f>SUM(BO101:BO103)</f>
        <v>0</v>
      </c>
      <c r="BP100" s="67"/>
      <c r="BQ100" s="67"/>
      <c r="BR100" s="560"/>
      <c r="BS100" s="67"/>
      <c r="BT100" s="67">
        <f>SUM(BT101:BT103)</f>
        <v>0</v>
      </c>
      <c r="BU100" s="67"/>
      <c r="BV100" s="67"/>
      <c r="BW100" s="560"/>
      <c r="BX100" s="67"/>
      <c r="BY100" s="67">
        <f>SUM(BY101:BY103)</f>
        <v>0</v>
      </c>
      <c r="BZ100" s="67"/>
      <c r="CA100" s="67"/>
      <c r="CB100" s="560"/>
      <c r="CC100" s="67"/>
      <c r="CD100" s="67">
        <f>SUM(CD101:CD103)</f>
        <v>0</v>
      </c>
      <c r="CE100" s="67"/>
      <c r="CF100" s="67"/>
      <c r="CG100" s="560"/>
      <c r="CH100" s="67"/>
      <c r="CI100" s="67">
        <f>SUM(CI101:CI103)</f>
        <v>0</v>
      </c>
      <c r="CJ100" s="67"/>
      <c r="CK100" s="67"/>
      <c r="CL100" s="560"/>
      <c r="CM100" s="67"/>
      <c r="CN100" s="67">
        <f>SUM(CN101:CN103)</f>
        <v>0</v>
      </c>
      <c r="CO100" s="67"/>
      <c r="CP100" s="67"/>
      <c r="CQ100" s="560"/>
      <c r="CR100" s="67"/>
      <c r="CS100" s="67">
        <f>SUM(CS101:CS103)</f>
        <v>0</v>
      </c>
      <c r="CT100" s="67"/>
      <c r="CU100" s="67"/>
      <c r="CV100" s="560"/>
      <c r="CW100" s="67"/>
      <c r="CX100" s="67">
        <f>SUM(CX101:CX103)</f>
        <v>0</v>
      </c>
      <c r="CY100" s="67"/>
      <c r="CZ100" s="67"/>
      <c r="DA100" s="560"/>
      <c r="DB100" s="67"/>
      <c r="DC100" s="67">
        <f>SUM(DC101:DC103)</f>
        <v>0</v>
      </c>
      <c r="DD100" s="67"/>
      <c r="DE100" s="67"/>
      <c r="DF100" s="560"/>
      <c r="DG100" s="67"/>
      <c r="DH100" s="67">
        <f>SUM(DH101:DH103)</f>
        <v>0</v>
      </c>
      <c r="DI100" s="67"/>
      <c r="DJ100" s="67"/>
      <c r="DK100" s="560"/>
      <c r="DL100" s="67"/>
      <c r="DM100" s="67">
        <f>SUM(DM101:DM103)</f>
        <v>0</v>
      </c>
      <c r="DN100" s="67"/>
      <c r="DO100" s="67"/>
      <c r="DP100" s="560"/>
      <c r="DQ100" s="67"/>
      <c r="DR100" s="67">
        <f>SUM(DR101:DR103)</f>
        <v>0</v>
      </c>
      <c r="DS100" s="67"/>
      <c r="DT100" s="67"/>
      <c r="DU100" s="560"/>
      <c r="DV100" s="67"/>
      <c r="DW100" s="67">
        <f>SUM(DW101:DW103)</f>
        <v>0</v>
      </c>
      <c r="DX100" s="67"/>
      <c r="DY100" s="67"/>
      <c r="DZ100" s="560"/>
      <c r="EA100" s="67"/>
      <c r="EB100" s="67">
        <f>SUM(EB101:EB103)</f>
        <v>0</v>
      </c>
      <c r="EC100" s="67"/>
      <c r="ED100" s="67"/>
      <c r="EE100" s="560"/>
      <c r="EF100" s="67"/>
      <c r="EG100" s="67">
        <f>SUM(EG101:EG103)</f>
        <v>0</v>
      </c>
      <c r="EH100" s="67"/>
      <c r="EI100" s="67"/>
      <c r="EJ100" s="560"/>
      <c r="EK100" s="67"/>
      <c r="EL100" s="67">
        <f>SUM(EL101:EL103)</f>
        <v>0</v>
      </c>
      <c r="EM100" s="67"/>
      <c r="EN100" s="67"/>
      <c r="EO100" s="455"/>
      <c r="ER100" s="472"/>
      <c r="ES100" s="472"/>
    </row>
    <row r="101" spans="1:149" ht="12.75" hidden="1" customHeight="1" x14ac:dyDescent="0.2">
      <c r="A101" s="442"/>
      <c r="B101" s="442"/>
      <c r="D101" s="455" t="s">
        <v>342</v>
      </c>
      <c r="E101" s="560"/>
      <c r="F101" s="473"/>
      <c r="G101" s="558">
        <v>0</v>
      </c>
      <c r="H101" s="559"/>
      <c r="I101" s="67"/>
      <c r="J101" s="560"/>
      <c r="K101" s="561"/>
      <c r="L101" s="558">
        <v>0</v>
      </c>
      <c r="M101" s="559"/>
      <c r="N101" s="67"/>
      <c r="O101" s="560"/>
      <c r="P101" s="561"/>
      <c r="Q101" s="558">
        <v>0</v>
      </c>
      <c r="R101" s="559"/>
      <c r="S101" s="67"/>
      <c r="T101" s="560"/>
      <c r="U101" s="561"/>
      <c r="V101" s="558">
        <v>0</v>
      </c>
      <c r="W101" s="559"/>
      <c r="X101" s="67"/>
      <c r="Y101" s="560"/>
      <c r="Z101" s="561"/>
      <c r="AA101" s="558">
        <v>0</v>
      </c>
      <c r="AB101" s="559"/>
      <c r="AC101" s="67"/>
      <c r="AD101" s="560"/>
      <c r="AE101" s="561"/>
      <c r="AF101" s="558">
        <v>0</v>
      </c>
      <c r="AG101" s="559"/>
      <c r="AH101" s="67"/>
      <c r="AI101" s="560"/>
      <c r="AJ101" s="561"/>
      <c r="AK101" s="558">
        <v>0</v>
      </c>
      <c r="AL101" s="559"/>
      <c r="AM101" s="67"/>
      <c r="AN101" s="560"/>
      <c r="AO101" s="561"/>
      <c r="AP101" s="558">
        <v>0</v>
      </c>
      <c r="AQ101" s="559"/>
      <c r="AR101" s="67"/>
      <c r="AS101" s="560"/>
      <c r="AT101" s="561"/>
      <c r="AU101" s="558">
        <v>0</v>
      </c>
      <c r="AV101" s="559"/>
      <c r="AW101" s="67"/>
      <c r="AX101" s="560"/>
      <c r="AY101" s="561"/>
      <c r="AZ101" s="558">
        <v>0</v>
      </c>
      <c r="BA101" s="559"/>
      <c r="BB101" s="67"/>
      <c r="BC101" s="560"/>
      <c r="BD101" s="561"/>
      <c r="BE101" s="558">
        <v>0</v>
      </c>
      <c r="BF101" s="559"/>
      <c r="BG101" s="67"/>
      <c r="BH101" s="560"/>
      <c r="BI101" s="561"/>
      <c r="BJ101" s="558">
        <v>0</v>
      </c>
      <c r="BK101" s="559"/>
      <c r="BL101" s="67"/>
      <c r="BM101" s="560"/>
      <c r="BN101" s="561"/>
      <c r="BO101" s="558">
        <v>0</v>
      </c>
      <c r="BP101" s="559"/>
      <c r="BQ101" s="67"/>
      <c r="BR101" s="560"/>
      <c r="BS101" s="561"/>
      <c r="BT101" s="558">
        <f>SUM(L101:BO101)</f>
        <v>0</v>
      </c>
      <c r="BU101" s="559"/>
      <c r="BV101" s="67"/>
      <c r="BW101" s="560"/>
      <c r="BX101" s="561"/>
      <c r="BY101" s="558">
        <f>SUM(Q101:BT101)</f>
        <v>0</v>
      </c>
      <c r="BZ101" s="559"/>
      <c r="CA101" s="67"/>
      <c r="CB101" s="560"/>
      <c r="CC101" s="561"/>
      <c r="CD101" s="558">
        <v>0</v>
      </c>
      <c r="CE101" s="559"/>
      <c r="CF101" s="67"/>
      <c r="CG101" s="560"/>
      <c r="CH101" s="561"/>
      <c r="CI101" s="558">
        <v>0</v>
      </c>
      <c r="CJ101" s="559"/>
      <c r="CK101" s="67"/>
      <c r="CL101" s="560"/>
      <c r="CM101" s="561"/>
      <c r="CN101" s="558">
        <v>0</v>
      </c>
      <c r="CO101" s="559"/>
      <c r="CP101" s="67"/>
      <c r="CQ101" s="560"/>
      <c r="CR101" s="561"/>
      <c r="CS101" s="558">
        <v>0</v>
      </c>
      <c r="CT101" s="559"/>
      <c r="CU101" s="67"/>
      <c r="CV101" s="560"/>
      <c r="CW101" s="561"/>
      <c r="CX101" s="558">
        <v>0</v>
      </c>
      <c r="CY101" s="559"/>
      <c r="CZ101" s="67"/>
      <c r="DA101" s="560"/>
      <c r="DB101" s="561"/>
      <c r="DC101" s="558">
        <v>0</v>
      </c>
      <c r="DD101" s="559"/>
      <c r="DE101" s="67"/>
      <c r="DF101" s="560"/>
      <c r="DG101" s="561"/>
      <c r="DH101" s="558">
        <v>0</v>
      </c>
      <c r="DI101" s="559"/>
      <c r="DJ101" s="67"/>
      <c r="DK101" s="560"/>
      <c r="DL101" s="561"/>
      <c r="DM101" s="558">
        <v>0</v>
      </c>
      <c r="DN101" s="559"/>
      <c r="DO101" s="67"/>
      <c r="DP101" s="560"/>
      <c r="DQ101" s="561"/>
      <c r="DR101" s="558">
        <v>0</v>
      </c>
      <c r="DS101" s="559"/>
      <c r="DT101" s="67"/>
      <c r="DU101" s="560"/>
      <c r="DV101" s="561"/>
      <c r="DW101" s="558">
        <v>0</v>
      </c>
      <c r="DX101" s="559"/>
      <c r="DY101" s="67"/>
      <c r="DZ101" s="560"/>
      <c r="EA101" s="561"/>
      <c r="EB101" s="558">
        <v>0</v>
      </c>
      <c r="EC101" s="559"/>
      <c r="ED101" s="67"/>
      <c r="EE101" s="560"/>
      <c r="EF101" s="561"/>
      <c r="EG101" s="558">
        <v>0</v>
      </c>
      <c r="EH101" s="559"/>
      <c r="EI101" s="67"/>
      <c r="EJ101" s="560"/>
      <c r="EK101" s="561"/>
      <c r="EL101" s="558">
        <f>SUM(CD101:EG101)</f>
        <v>0</v>
      </c>
      <c r="EM101" s="559"/>
      <c r="EN101" s="67"/>
      <c r="EO101" s="455"/>
      <c r="ER101" s="472"/>
      <c r="ES101" s="472"/>
    </row>
    <row r="102" spans="1:149" ht="12.75" hidden="1" customHeight="1" x14ac:dyDescent="0.2">
      <c r="A102" s="442"/>
      <c r="B102" s="442"/>
      <c r="D102" s="455" t="s">
        <v>344</v>
      </c>
      <c r="E102" s="560"/>
      <c r="F102" s="465"/>
      <c r="G102" s="67">
        <v>0</v>
      </c>
      <c r="H102" s="66"/>
      <c r="I102" s="67"/>
      <c r="J102" s="560"/>
      <c r="K102" s="560"/>
      <c r="L102" s="67">
        <v>0</v>
      </c>
      <c r="M102" s="66"/>
      <c r="N102" s="67"/>
      <c r="O102" s="560"/>
      <c r="P102" s="560"/>
      <c r="Q102" s="67">
        <v>0</v>
      </c>
      <c r="R102" s="66"/>
      <c r="S102" s="67"/>
      <c r="T102" s="560"/>
      <c r="U102" s="560"/>
      <c r="V102" s="67">
        <v>0</v>
      </c>
      <c r="W102" s="66"/>
      <c r="X102" s="67"/>
      <c r="Y102" s="560"/>
      <c r="Z102" s="560"/>
      <c r="AA102" s="67">
        <v>0</v>
      </c>
      <c r="AB102" s="66"/>
      <c r="AC102" s="67"/>
      <c r="AD102" s="560"/>
      <c r="AE102" s="560"/>
      <c r="AF102" s="67">
        <v>0</v>
      </c>
      <c r="AG102" s="66"/>
      <c r="AH102" s="67"/>
      <c r="AI102" s="560"/>
      <c r="AJ102" s="560"/>
      <c r="AK102" s="67">
        <v>0</v>
      </c>
      <c r="AL102" s="66"/>
      <c r="AM102" s="67"/>
      <c r="AN102" s="560"/>
      <c r="AO102" s="560"/>
      <c r="AP102" s="67">
        <v>0</v>
      </c>
      <c r="AQ102" s="66"/>
      <c r="AR102" s="67"/>
      <c r="AS102" s="560"/>
      <c r="AT102" s="560"/>
      <c r="AU102" s="67">
        <v>0</v>
      </c>
      <c r="AV102" s="66"/>
      <c r="AW102" s="67"/>
      <c r="AX102" s="560"/>
      <c r="AY102" s="560"/>
      <c r="AZ102" s="67">
        <v>0</v>
      </c>
      <c r="BA102" s="66"/>
      <c r="BB102" s="67"/>
      <c r="BC102" s="560"/>
      <c r="BD102" s="560"/>
      <c r="BE102" s="67">
        <v>0</v>
      </c>
      <c r="BF102" s="66"/>
      <c r="BG102" s="67"/>
      <c r="BH102" s="560"/>
      <c r="BI102" s="560"/>
      <c r="BJ102" s="67">
        <v>0</v>
      </c>
      <c r="BK102" s="66"/>
      <c r="BL102" s="67"/>
      <c r="BM102" s="560"/>
      <c r="BN102" s="560"/>
      <c r="BO102" s="67">
        <v>0</v>
      </c>
      <c r="BP102" s="66"/>
      <c r="BQ102" s="67"/>
      <c r="BR102" s="560"/>
      <c r="BS102" s="560"/>
      <c r="BT102" s="67">
        <f>SUM(L102:BO102)</f>
        <v>0</v>
      </c>
      <c r="BU102" s="66"/>
      <c r="BV102" s="67"/>
      <c r="BW102" s="560"/>
      <c r="BX102" s="560"/>
      <c r="BY102" s="67">
        <f>SUM(Q102:BT102)</f>
        <v>0</v>
      </c>
      <c r="BZ102" s="66"/>
      <c r="CA102" s="67"/>
      <c r="CB102" s="560"/>
      <c r="CC102" s="560"/>
      <c r="CD102" s="67">
        <v>0</v>
      </c>
      <c r="CE102" s="66"/>
      <c r="CF102" s="67"/>
      <c r="CG102" s="560"/>
      <c r="CH102" s="560"/>
      <c r="CI102" s="67">
        <v>0</v>
      </c>
      <c r="CJ102" s="66"/>
      <c r="CK102" s="67"/>
      <c r="CL102" s="560"/>
      <c r="CM102" s="560"/>
      <c r="CN102" s="67">
        <v>0</v>
      </c>
      <c r="CO102" s="66"/>
      <c r="CP102" s="67"/>
      <c r="CQ102" s="560"/>
      <c r="CR102" s="560"/>
      <c r="CS102" s="67">
        <v>0</v>
      </c>
      <c r="CT102" s="66"/>
      <c r="CU102" s="67"/>
      <c r="CV102" s="560"/>
      <c r="CW102" s="560"/>
      <c r="CX102" s="67">
        <v>0</v>
      </c>
      <c r="CY102" s="66"/>
      <c r="CZ102" s="67"/>
      <c r="DA102" s="560"/>
      <c r="DB102" s="560"/>
      <c r="DC102" s="67">
        <v>0</v>
      </c>
      <c r="DD102" s="66"/>
      <c r="DE102" s="67"/>
      <c r="DF102" s="560"/>
      <c r="DG102" s="560"/>
      <c r="DH102" s="67">
        <v>0</v>
      </c>
      <c r="DI102" s="66"/>
      <c r="DJ102" s="67"/>
      <c r="DK102" s="560"/>
      <c r="DL102" s="560"/>
      <c r="DM102" s="67">
        <v>0</v>
      </c>
      <c r="DN102" s="66"/>
      <c r="DO102" s="67"/>
      <c r="DP102" s="560"/>
      <c r="DQ102" s="560"/>
      <c r="DR102" s="67">
        <v>0</v>
      </c>
      <c r="DS102" s="66"/>
      <c r="DT102" s="67"/>
      <c r="DU102" s="560"/>
      <c r="DV102" s="560"/>
      <c r="DW102" s="67">
        <v>0</v>
      </c>
      <c r="DX102" s="66"/>
      <c r="DY102" s="67"/>
      <c r="DZ102" s="560"/>
      <c r="EA102" s="560"/>
      <c r="EB102" s="67">
        <v>0</v>
      </c>
      <c r="EC102" s="66"/>
      <c r="ED102" s="67"/>
      <c r="EE102" s="560"/>
      <c r="EF102" s="560"/>
      <c r="EG102" s="67">
        <v>0</v>
      </c>
      <c r="EH102" s="66"/>
      <c r="EI102" s="67"/>
      <c r="EJ102" s="560"/>
      <c r="EK102" s="560"/>
      <c r="EL102" s="67">
        <f>SUM(CD102:EG102)</f>
        <v>0</v>
      </c>
      <c r="EM102" s="66"/>
      <c r="EN102" s="67"/>
      <c r="EO102" s="455"/>
      <c r="ER102" s="472"/>
      <c r="ES102" s="472"/>
    </row>
    <row r="103" spans="1:149" ht="12.75" hidden="1" customHeight="1" x14ac:dyDescent="0.2">
      <c r="A103" s="442"/>
      <c r="B103" s="442"/>
      <c r="D103" s="455" t="s">
        <v>352</v>
      </c>
      <c r="E103" s="560"/>
      <c r="F103" s="488"/>
      <c r="G103" s="113">
        <v>0</v>
      </c>
      <c r="H103" s="112"/>
      <c r="I103" s="67"/>
      <c r="J103" s="560"/>
      <c r="K103" s="569"/>
      <c r="L103" s="113">
        <v>0</v>
      </c>
      <c r="M103" s="112"/>
      <c r="N103" s="67"/>
      <c r="O103" s="560"/>
      <c r="P103" s="569"/>
      <c r="Q103" s="113">
        <v>0</v>
      </c>
      <c r="R103" s="112"/>
      <c r="S103" s="67"/>
      <c r="T103" s="560"/>
      <c r="U103" s="569"/>
      <c r="V103" s="113">
        <v>0</v>
      </c>
      <c r="W103" s="112"/>
      <c r="X103" s="67"/>
      <c r="Y103" s="560"/>
      <c r="Z103" s="569"/>
      <c r="AA103" s="113">
        <v>0</v>
      </c>
      <c r="AB103" s="112"/>
      <c r="AC103" s="67"/>
      <c r="AD103" s="560"/>
      <c r="AE103" s="569"/>
      <c r="AF103" s="113">
        <v>0</v>
      </c>
      <c r="AG103" s="112"/>
      <c r="AH103" s="67"/>
      <c r="AI103" s="560"/>
      <c r="AJ103" s="569"/>
      <c r="AK103" s="113">
        <v>0</v>
      </c>
      <c r="AL103" s="112"/>
      <c r="AM103" s="67"/>
      <c r="AN103" s="560"/>
      <c r="AO103" s="569"/>
      <c r="AP103" s="113">
        <v>0</v>
      </c>
      <c r="AQ103" s="112"/>
      <c r="AR103" s="67"/>
      <c r="AS103" s="560"/>
      <c r="AT103" s="569"/>
      <c r="AU103" s="113">
        <v>0</v>
      </c>
      <c r="AV103" s="112"/>
      <c r="AW103" s="67"/>
      <c r="AX103" s="560"/>
      <c r="AY103" s="569"/>
      <c r="AZ103" s="113">
        <v>0</v>
      </c>
      <c r="BA103" s="112"/>
      <c r="BB103" s="67"/>
      <c r="BC103" s="560"/>
      <c r="BD103" s="569"/>
      <c r="BE103" s="113">
        <v>0</v>
      </c>
      <c r="BF103" s="112"/>
      <c r="BG103" s="67"/>
      <c r="BH103" s="560"/>
      <c r="BI103" s="569"/>
      <c r="BJ103" s="113">
        <v>0</v>
      </c>
      <c r="BK103" s="112"/>
      <c r="BL103" s="67"/>
      <c r="BM103" s="560"/>
      <c r="BN103" s="569"/>
      <c r="BO103" s="113">
        <v>0</v>
      </c>
      <c r="BP103" s="112"/>
      <c r="BQ103" s="67"/>
      <c r="BR103" s="560"/>
      <c r="BS103" s="569"/>
      <c r="BT103" s="113">
        <f>SUM(L103:BO103)</f>
        <v>0</v>
      </c>
      <c r="BU103" s="112"/>
      <c r="BV103" s="67"/>
      <c r="BW103" s="560"/>
      <c r="BX103" s="569"/>
      <c r="BY103" s="113">
        <f>SUM(Q103:BT103)</f>
        <v>0</v>
      </c>
      <c r="BZ103" s="112"/>
      <c r="CA103" s="67"/>
      <c r="CB103" s="560"/>
      <c r="CC103" s="569"/>
      <c r="CD103" s="113">
        <v>0</v>
      </c>
      <c r="CE103" s="112"/>
      <c r="CF103" s="67"/>
      <c r="CG103" s="560"/>
      <c r="CH103" s="569"/>
      <c r="CI103" s="113">
        <v>0</v>
      </c>
      <c r="CJ103" s="112"/>
      <c r="CK103" s="67"/>
      <c r="CL103" s="560"/>
      <c r="CM103" s="569"/>
      <c r="CN103" s="113">
        <v>0</v>
      </c>
      <c r="CO103" s="112"/>
      <c r="CP103" s="67"/>
      <c r="CQ103" s="560"/>
      <c r="CR103" s="569"/>
      <c r="CS103" s="113">
        <v>0</v>
      </c>
      <c r="CT103" s="112"/>
      <c r="CU103" s="67"/>
      <c r="CV103" s="560"/>
      <c r="CW103" s="569"/>
      <c r="CX103" s="113">
        <v>0</v>
      </c>
      <c r="CY103" s="112"/>
      <c r="CZ103" s="67"/>
      <c r="DA103" s="560"/>
      <c r="DB103" s="569"/>
      <c r="DC103" s="113">
        <v>0</v>
      </c>
      <c r="DD103" s="112"/>
      <c r="DE103" s="67"/>
      <c r="DF103" s="560"/>
      <c r="DG103" s="569"/>
      <c r="DH103" s="113">
        <v>0</v>
      </c>
      <c r="DI103" s="112"/>
      <c r="DJ103" s="67"/>
      <c r="DK103" s="560"/>
      <c r="DL103" s="569"/>
      <c r="DM103" s="113">
        <v>0</v>
      </c>
      <c r="DN103" s="112"/>
      <c r="DO103" s="67"/>
      <c r="DP103" s="560"/>
      <c r="DQ103" s="569"/>
      <c r="DR103" s="113">
        <v>0</v>
      </c>
      <c r="DS103" s="112"/>
      <c r="DT103" s="67"/>
      <c r="DU103" s="560"/>
      <c r="DV103" s="569"/>
      <c r="DW103" s="113">
        <v>0</v>
      </c>
      <c r="DX103" s="112"/>
      <c r="DY103" s="67"/>
      <c r="DZ103" s="560"/>
      <c r="EA103" s="569"/>
      <c r="EB103" s="113">
        <v>0</v>
      </c>
      <c r="EC103" s="112"/>
      <c r="ED103" s="67"/>
      <c r="EE103" s="560"/>
      <c r="EF103" s="569"/>
      <c r="EG103" s="113">
        <v>0</v>
      </c>
      <c r="EH103" s="112"/>
      <c r="EI103" s="67"/>
      <c r="EJ103" s="560"/>
      <c r="EK103" s="569"/>
      <c r="EL103" s="113">
        <f>SUM(CD103:EG103)</f>
        <v>0</v>
      </c>
      <c r="EM103" s="112"/>
      <c r="EN103" s="67"/>
      <c r="EO103" s="455"/>
      <c r="ER103" s="472"/>
      <c r="ES103" s="472"/>
    </row>
    <row r="104" spans="1:149" ht="12.75" hidden="1" customHeight="1" x14ac:dyDescent="0.2">
      <c r="A104" s="442"/>
      <c r="B104" s="442"/>
      <c r="D104" s="455"/>
      <c r="E104" s="560"/>
      <c r="F104" s="442"/>
      <c r="G104" s="67"/>
      <c r="H104" s="67"/>
      <c r="I104" s="67"/>
      <c r="J104" s="560"/>
      <c r="K104" s="67"/>
      <c r="L104" s="67"/>
      <c r="M104" s="67"/>
      <c r="N104" s="67"/>
      <c r="O104" s="560"/>
      <c r="P104" s="67"/>
      <c r="Q104" s="67"/>
      <c r="R104" s="67"/>
      <c r="S104" s="67"/>
      <c r="T104" s="560"/>
      <c r="U104" s="67"/>
      <c r="V104" s="67"/>
      <c r="W104" s="67"/>
      <c r="X104" s="67"/>
      <c r="Y104" s="560"/>
      <c r="Z104" s="67"/>
      <c r="AA104" s="67"/>
      <c r="AB104" s="67"/>
      <c r="AC104" s="67"/>
      <c r="AD104" s="560"/>
      <c r="AE104" s="67"/>
      <c r="AF104" s="67"/>
      <c r="AG104" s="67"/>
      <c r="AH104" s="67"/>
      <c r="AI104" s="560"/>
      <c r="AJ104" s="67"/>
      <c r="AK104" s="67"/>
      <c r="AL104" s="67"/>
      <c r="AM104" s="67"/>
      <c r="AN104" s="560"/>
      <c r="AO104" s="67"/>
      <c r="AP104" s="67"/>
      <c r="AQ104" s="67"/>
      <c r="AR104" s="67"/>
      <c r="AS104" s="560"/>
      <c r="AT104" s="67"/>
      <c r="AU104" s="67"/>
      <c r="AV104" s="67"/>
      <c r="AW104" s="67"/>
      <c r="AX104" s="560"/>
      <c r="AY104" s="67"/>
      <c r="AZ104" s="67"/>
      <c r="BA104" s="67"/>
      <c r="BB104" s="67"/>
      <c r="BC104" s="560"/>
      <c r="BD104" s="67"/>
      <c r="BE104" s="67"/>
      <c r="BF104" s="67"/>
      <c r="BG104" s="67"/>
      <c r="BH104" s="560"/>
      <c r="BI104" s="67"/>
      <c r="BJ104" s="67"/>
      <c r="BK104" s="67"/>
      <c r="BL104" s="67"/>
      <c r="BM104" s="560"/>
      <c r="BN104" s="67"/>
      <c r="BO104" s="67"/>
      <c r="BP104" s="67"/>
      <c r="BQ104" s="67"/>
      <c r="BR104" s="560"/>
      <c r="BS104" s="113"/>
      <c r="BT104" s="67"/>
      <c r="BU104" s="67"/>
      <c r="BV104" s="67"/>
      <c r="BW104" s="560"/>
      <c r="BX104" s="67"/>
      <c r="BY104" s="67"/>
      <c r="BZ104" s="67"/>
      <c r="CA104" s="67"/>
      <c r="CB104" s="560"/>
      <c r="CC104" s="67"/>
      <c r="CD104" s="67"/>
      <c r="CE104" s="67"/>
      <c r="CF104" s="67"/>
      <c r="CG104" s="560"/>
      <c r="CH104" s="67"/>
      <c r="CI104" s="67"/>
      <c r="CJ104" s="67"/>
      <c r="CK104" s="67"/>
      <c r="CL104" s="560"/>
      <c r="CM104" s="67"/>
      <c r="CN104" s="67"/>
      <c r="CO104" s="67"/>
      <c r="CP104" s="67"/>
      <c r="CQ104" s="560"/>
      <c r="CR104" s="67"/>
      <c r="CS104" s="67"/>
      <c r="CT104" s="67"/>
      <c r="CU104" s="67"/>
      <c r="CV104" s="560"/>
      <c r="CW104" s="67"/>
      <c r="CX104" s="67"/>
      <c r="CY104" s="67"/>
      <c r="CZ104" s="67"/>
      <c r="DA104" s="560"/>
      <c r="DB104" s="67"/>
      <c r="DC104" s="67"/>
      <c r="DD104" s="67"/>
      <c r="DE104" s="67"/>
      <c r="DF104" s="560"/>
      <c r="DG104" s="67"/>
      <c r="DH104" s="67"/>
      <c r="DI104" s="67"/>
      <c r="DJ104" s="67"/>
      <c r="DK104" s="560"/>
      <c r="DL104" s="67"/>
      <c r="DM104" s="67"/>
      <c r="DN104" s="67"/>
      <c r="DO104" s="67"/>
      <c r="DP104" s="560"/>
      <c r="DQ104" s="67"/>
      <c r="DR104" s="67"/>
      <c r="DS104" s="67"/>
      <c r="DT104" s="67"/>
      <c r="DU104" s="560"/>
      <c r="DV104" s="67"/>
      <c r="DW104" s="67"/>
      <c r="DX104" s="67"/>
      <c r="DY104" s="67"/>
      <c r="DZ104" s="560"/>
      <c r="EA104" s="67"/>
      <c r="EB104" s="67"/>
      <c r="EC104" s="67"/>
      <c r="ED104" s="67"/>
      <c r="EE104" s="560"/>
      <c r="EF104" s="67"/>
      <c r="EG104" s="67"/>
      <c r="EH104" s="67"/>
      <c r="EI104" s="67"/>
      <c r="EJ104" s="560"/>
      <c r="EK104" s="67"/>
      <c r="EL104" s="67"/>
      <c r="EM104" s="67"/>
      <c r="EN104" s="67"/>
      <c r="EO104" s="455"/>
      <c r="ER104" s="472"/>
      <c r="ES104" s="472"/>
    </row>
    <row r="105" spans="1:149" ht="12.75" hidden="1" customHeight="1" x14ac:dyDescent="0.2">
      <c r="A105" s="442"/>
      <c r="B105" s="442"/>
      <c r="D105" s="455" t="s">
        <v>361</v>
      </c>
      <c r="E105" s="560"/>
      <c r="F105" s="442"/>
      <c r="G105" s="67">
        <f>SUM(G106:G108)</f>
        <v>0</v>
      </c>
      <c r="H105" s="67"/>
      <c r="I105" s="67"/>
      <c r="J105" s="560"/>
      <c r="K105" s="67"/>
      <c r="L105" s="67">
        <f>SUM(L106:L108)</f>
        <v>0</v>
      </c>
      <c r="M105" s="67"/>
      <c r="N105" s="67"/>
      <c r="O105" s="560"/>
      <c r="P105" s="67"/>
      <c r="Q105" s="67">
        <f>SUM(Q106:Q108)</f>
        <v>0</v>
      </c>
      <c r="R105" s="67"/>
      <c r="S105" s="67"/>
      <c r="T105" s="560"/>
      <c r="U105" s="67"/>
      <c r="V105" s="67">
        <f>SUM(V106:V108)</f>
        <v>0</v>
      </c>
      <c r="W105" s="67"/>
      <c r="X105" s="67"/>
      <c r="Y105" s="560"/>
      <c r="Z105" s="67"/>
      <c r="AA105" s="67">
        <f>SUM(AA106:AA108)</f>
        <v>0</v>
      </c>
      <c r="AB105" s="67"/>
      <c r="AC105" s="67"/>
      <c r="AD105" s="560"/>
      <c r="AE105" s="67"/>
      <c r="AF105" s="67">
        <f>SUM(AF106:AF108)</f>
        <v>0</v>
      </c>
      <c r="AG105" s="67"/>
      <c r="AH105" s="67"/>
      <c r="AI105" s="560"/>
      <c r="AJ105" s="67"/>
      <c r="AK105" s="67">
        <f>SUM(AK106:AK108)</f>
        <v>0</v>
      </c>
      <c r="AL105" s="67"/>
      <c r="AM105" s="67"/>
      <c r="AN105" s="560"/>
      <c r="AO105" s="67"/>
      <c r="AP105" s="67">
        <f>SUM(AP106:AP108)</f>
        <v>0</v>
      </c>
      <c r="AQ105" s="67"/>
      <c r="AR105" s="67"/>
      <c r="AS105" s="560"/>
      <c r="AT105" s="67"/>
      <c r="AU105" s="67">
        <f>SUM(AU106:AU108)</f>
        <v>0</v>
      </c>
      <c r="AV105" s="67"/>
      <c r="AW105" s="67"/>
      <c r="AX105" s="560"/>
      <c r="AY105" s="67"/>
      <c r="AZ105" s="67">
        <f>SUM(AZ106:AZ108)</f>
        <v>0</v>
      </c>
      <c r="BA105" s="67"/>
      <c r="BB105" s="67"/>
      <c r="BC105" s="560"/>
      <c r="BD105" s="67"/>
      <c r="BE105" s="67">
        <f>SUM(BE106:BE108)</f>
        <v>0</v>
      </c>
      <c r="BF105" s="67"/>
      <c r="BG105" s="67"/>
      <c r="BH105" s="560"/>
      <c r="BI105" s="67"/>
      <c r="BJ105" s="67">
        <f>SUM(BJ106:BJ108)</f>
        <v>0</v>
      </c>
      <c r="BK105" s="67"/>
      <c r="BL105" s="67"/>
      <c r="BM105" s="560"/>
      <c r="BN105" s="67"/>
      <c r="BO105" s="67">
        <f>SUM(BO106:BO108)</f>
        <v>0</v>
      </c>
      <c r="BP105" s="67"/>
      <c r="BQ105" s="67"/>
      <c r="BR105" s="560"/>
      <c r="BS105" s="113"/>
      <c r="BT105" s="113">
        <f>SUM(BT106:BT108)</f>
        <v>0</v>
      </c>
      <c r="BU105" s="67"/>
      <c r="BV105" s="67"/>
      <c r="BW105" s="560"/>
      <c r="BX105" s="67"/>
      <c r="BY105" s="113">
        <f>SUM(BY106:BY108)</f>
        <v>0</v>
      </c>
      <c r="BZ105" s="67"/>
      <c r="CA105" s="67"/>
      <c r="CB105" s="560"/>
      <c r="CC105" s="67"/>
      <c r="CD105" s="67">
        <f>SUM(CD106:CD108)</f>
        <v>0</v>
      </c>
      <c r="CE105" s="67"/>
      <c r="CF105" s="67"/>
      <c r="CG105" s="560"/>
      <c r="CH105" s="67"/>
      <c r="CI105" s="67">
        <f>SUM(CI106:CI108)</f>
        <v>0</v>
      </c>
      <c r="CJ105" s="67"/>
      <c r="CK105" s="67"/>
      <c r="CL105" s="560"/>
      <c r="CM105" s="67"/>
      <c r="CN105" s="67">
        <f>SUM(CN106:CN108)</f>
        <v>0</v>
      </c>
      <c r="CO105" s="67"/>
      <c r="CP105" s="67"/>
      <c r="CQ105" s="560"/>
      <c r="CR105" s="67"/>
      <c r="CS105" s="67">
        <f>SUM(CS106:CS108)</f>
        <v>0</v>
      </c>
      <c r="CT105" s="67"/>
      <c r="CU105" s="67"/>
      <c r="CV105" s="560"/>
      <c r="CW105" s="67"/>
      <c r="CX105" s="67">
        <f>SUM(CX106:CX108)</f>
        <v>0</v>
      </c>
      <c r="CY105" s="67"/>
      <c r="CZ105" s="67"/>
      <c r="DA105" s="560"/>
      <c r="DB105" s="67"/>
      <c r="DC105" s="67">
        <f>SUM(DC106:DC108)</f>
        <v>0</v>
      </c>
      <c r="DD105" s="67"/>
      <c r="DE105" s="67"/>
      <c r="DF105" s="560"/>
      <c r="DG105" s="67"/>
      <c r="DH105" s="67">
        <f>SUM(DH106:DH108)</f>
        <v>0</v>
      </c>
      <c r="DI105" s="67"/>
      <c r="DJ105" s="67"/>
      <c r="DK105" s="560"/>
      <c r="DL105" s="67"/>
      <c r="DM105" s="67">
        <f>SUM(DM106:DM108)</f>
        <v>0</v>
      </c>
      <c r="DN105" s="67"/>
      <c r="DO105" s="67"/>
      <c r="DP105" s="560"/>
      <c r="DQ105" s="67"/>
      <c r="DR105" s="67">
        <f>SUM(DR106:DR108)</f>
        <v>0</v>
      </c>
      <c r="DS105" s="67"/>
      <c r="DT105" s="67"/>
      <c r="DU105" s="560"/>
      <c r="DV105" s="67"/>
      <c r="DW105" s="67">
        <f>SUM(DW106:DW108)</f>
        <v>0</v>
      </c>
      <c r="DX105" s="67"/>
      <c r="DY105" s="67"/>
      <c r="DZ105" s="560"/>
      <c r="EA105" s="67"/>
      <c r="EB105" s="67">
        <f>SUM(EB106:EB108)</f>
        <v>0</v>
      </c>
      <c r="EC105" s="67"/>
      <c r="ED105" s="67"/>
      <c r="EE105" s="560"/>
      <c r="EF105" s="67"/>
      <c r="EG105" s="67">
        <f>SUM(EG106:EG108)</f>
        <v>0</v>
      </c>
      <c r="EH105" s="67"/>
      <c r="EI105" s="66"/>
      <c r="EJ105" s="560"/>
      <c r="EK105" s="67"/>
      <c r="EL105" s="113">
        <f>SUM(EL106:EL108)</f>
        <v>0</v>
      </c>
      <c r="EM105" s="67"/>
      <c r="EN105" s="67"/>
      <c r="EO105" s="455"/>
      <c r="ER105" s="472"/>
      <c r="ES105" s="472"/>
    </row>
    <row r="106" spans="1:149" ht="12.75" hidden="1" customHeight="1" x14ac:dyDescent="0.2">
      <c r="A106" s="442"/>
      <c r="B106" s="442"/>
      <c r="D106" s="455" t="s">
        <v>342</v>
      </c>
      <c r="E106" s="560"/>
      <c r="F106" s="473"/>
      <c r="G106" s="558">
        <v>0</v>
      </c>
      <c r="H106" s="559"/>
      <c r="I106" s="67"/>
      <c r="J106" s="560"/>
      <c r="K106" s="561"/>
      <c r="L106" s="558">
        <v>0</v>
      </c>
      <c r="M106" s="559"/>
      <c r="N106" s="67"/>
      <c r="O106" s="560"/>
      <c r="P106" s="561"/>
      <c r="Q106" s="558">
        <v>0</v>
      </c>
      <c r="R106" s="559"/>
      <c r="S106" s="67"/>
      <c r="T106" s="560"/>
      <c r="U106" s="561"/>
      <c r="V106" s="558">
        <v>0</v>
      </c>
      <c r="W106" s="559"/>
      <c r="X106" s="67"/>
      <c r="Y106" s="560"/>
      <c r="Z106" s="561"/>
      <c r="AA106" s="558">
        <v>0</v>
      </c>
      <c r="AB106" s="559"/>
      <c r="AC106" s="67"/>
      <c r="AD106" s="560"/>
      <c r="AE106" s="561"/>
      <c r="AF106" s="558">
        <v>0</v>
      </c>
      <c r="AG106" s="559"/>
      <c r="AH106" s="67"/>
      <c r="AI106" s="560"/>
      <c r="AJ106" s="561"/>
      <c r="AK106" s="558">
        <v>0</v>
      </c>
      <c r="AL106" s="559"/>
      <c r="AM106" s="67"/>
      <c r="AN106" s="560"/>
      <c r="AO106" s="561"/>
      <c r="AP106" s="558">
        <v>0</v>
      </c>
      <c r="AQ106" s="559"/>
      <c r="AR106" s="67"/>
      <c r="AS106" s="560"/>
      <c r="AT106" s="561"/>
      <c r="AU106" s="558">
        <v>0</v>
      </c>
      <c r="AV106" s="559"/>
      <c r="AW106" s="67"/>
      <c r="AX106" s="560"/>
      <c r="AY106" s="561"/>
      <c r="AZ106" s="558">
        <v>0</v>
      </c>
      <c r="BA106" s="559"/>
      <c r="BB106" s="67"/>
      <c r="BC106" s="560"/>
      <c r="BD106" s="561"/>
      <c r="BE106" s="558">
        <v>0</v>
      </c>
      <c r="BF106" s="559"/>
      <c r="BG106" s="67"/>
      <c r="BH106" s="560"/>
      <c r="BI106" s="561"/>
      <c r="BJ106" s="558">
        <v>0</v>
      </c>
      <c r="BK106" s="559"/>
      <c r="BL106" s="67"/>
      <c r="BM106" s="560"/>
      <c r="BN106" s="561"/>
      <c r="BO106" s="558">
        <v>0</v>
      </c>
      <c r="BP106" s="559"/>
      <c r="BQ106" s="67"/>
      <c r="BR106" s="560"/>
      <c r="BS106" s="560"/>
      <c r="BT106" s="67">
        <f>SUM(L106:BO106)</f>
        <v>0</v>
      </c>
      <c r="BU106" s="559"/>
      <c r="BV106" s="67"/>
      <c r="BW106" s="560"/>
      <c r="BX106" s="561"/>
      <c r="BY106" s="67">
        <f>SUM(Q106:BT106)</f>
        <v>0</v>
      </c>
      <c r="BZ106" s="559"/>
      <c r="CA106" s="67"/>
      <c r="CB106" s="560"/>
      <c r="CC106" s="561"/>
      <c r="CD106" s="558">
        <v>0</v>
      </c>
      <c r="CE106" s="559"/>
      <c r="CF106" s="67"/>
      <c r="CG106" s="560"/>
      <c r="CH106" s="561"/>
      <c r="CI106" s="558">
        <v>0</v>
      </c>
      <c r="CJ106" s="559"/>
      <c r="CK106" s="67"/>
      <c r="CL106" s="560"/>
      <c r="CM106" s="561"/>
      <c r="CN106" s="558">
        <v>0</v>
      </c>
      <c r="CO106" s="559"/>
      <c r="CP106" s="67"/>
      <c r="CQ106" s="560"/>
      <c r="CR106" s="561"/>
      <c r="CS106" s="558">
        <v>0</v>
      </c>
      <c r="CT106" s="559"/>
      <c r="CU106" s="67"/>
      <c r="CV106" s="560"/>
      <c r="CW106" s="561"/>
      <c r="CX106" s="558">
        <v>0</v>
      </c>
      <c r="CY106" s="559"/>
      <c r="CZ106" s="67"/>
      <c r="DA106" s="560"/>
      <c r="DB106" s="561"/>
      <c r="DC106" s="558">
        <v>0</v>
      </c>
      <c r="DD106" s="559"/>
      <c r="DE106" s="67"/>
      <c r="DF106" s="560"/>
      <c r="DG106" s="561"/>
      <c r="DH106" s="558">
        <v>0</v>
      </c>
      <c r="DI106" s="559"/>
      <c r="DJ106" s="67"/>
      <c r="DK106" s="560"/>
      <c r="DL106" s="561"/>
      <c r="DM106" s="558">
        <v>0</v>
      </c>
      <c r="DN106" s="559"/>
      <c r="DO106" s="67"/>
      <c r="DP106" s="560"/>
      <c r="DQ106" s="561"/>
      <c r="DR106" s="558">
        <v>0</v>
      </c>
      <c r="DS106" s="559"/>
      <c r="DT106" s="67"/>
      <c r="DU106" s="560"/>
      <c r="DV106" s="561"/>
      <c r="DW106" s="558">
        <v>0</v>
      </c>
      <c r="DX106" s="559"/>
      <c r="DY106" s="67"/>
      <c r="DZ106" s="560"/>
      <c r="EA106" s="561"/>
      <c r="EB106" s="558">
        <v>0</v>
      </c>
      <c r="EC106" s="559"/>
      <c r="ED106" s="67"/>
      <c r="EE106" s="560"/>
      <c r="EF106" s="561"/>
      <c r="EG106" s="558">
        <v>0</v>
      </c>
      <c r="EH106" s="559"/>
      <c r="EI106" s="66"/>
      <c r="EJ106" s="63"/>
      <c r="EK106" s="561"/>
      <c r="EL106" s="67">
        <f>SUM(CD106:EG106)</f>
        <v>0</v>
      </c>
      <c r="EM106" s="559"/>
      <c r="EN106" s="67"/>
      <c r="EO106" s="455"/>
      <c r="ER106" s="472"/>
      <c r="ES106" s="472"/>
    </row>
    <row r="107" spans="1:149" ht="12.75" hidden="1" customHeight="1" x14ac:dyDescent="0.2">
      <c r="A107" s="442"/>
      <c r="B107" s="442"/>
      <c r="D107" s="455" t="s">
        <v>344</v>
      </c>
      <c r="E107" s="560"/>
      <c r="F107" s="465"/>
      <c r="G107" s="67">
        <v>0</v>
      </c>
      <c r="H107" s="66"/>
      <c r="I107" s="67"/>
      <c r="J107" s="560"/>
      <c r="K107" s="560"/>
      <c r="L107" s="67">
        <v>0</v>
      </c>
      <c r="M107" s="66"/>
      <c r="N107" s="67"/>
      <c r="O107" s="560"/>
      <c r="P107" s="560"/>
      <c r="Q107" s="67">
        <v>0</v>
      </c>
      <c r="R107" s="66"/>
      <c r="S107" s="67"/>
      <c r="T107" s="560"/>
      <c r="U107" s="560"/>
      <c r="V107" s="67">
        <v>0</v>
      </c>
      <c r="W107" s="66"/>
      <c r="X107" s="67"/>
      <c r="Y107" s="560"/>
      <c r="Z107" s="560"/>
      <c r="AA107" s="67">
        <v>0</v>
      </c>
      <c r="AB107" s="66"/>
      <c r="AC107" s="67"/>
      <c r="AD107" s="560"/>
      <c r="AE107" s="560"/>
      <c r="AF107" s="67">
        <v>0</v>
      </c>
      <c r="AG107" s="66"/>
      <c r="AH107" s="67"/>
      <c r="AI107" s="560"/>
      <c r="AJ107" s="560"/>
      <c r="AK107" s="67">
        <v>0</v>
      </c>
      <c r="AL107" s="66"/>
      <c r="AM107" s="67"/>
      <c r="AN107" s="560"/>
      <c r="AO107" s="560"/>
      <c r="AP107" s="67">
        <v>0</v>
      </c>
      <c r="AQ107" s="66"/>
      <c r="AR107" s="67"/>
      <c r="AS107" s="560"/>
      <c r="AT107" s="560"/>
      <c r="AU107" s="67">
        <v>0</v>
      </c>
      <c r="AV107" s="66"/>
      <c r="AW107" s="67"/>
      <c r="AX107" s="560"/>
      <c r="AY107" s="560"/>
      <c r="AZ107" s="67">
        <v>0</v>
      </c>
      <c r="BA107" s="66"/>
      <c r="BB107" s="67"/>
      <c r="BC107" s="560"/>
      <c r="BD107" s="560"/>
      <c r="BE107" s="67">
        <v>0</v>
      </c>
      <c r="BF107" s="66"/>
      <c r="BG107" s="67"/>
      <c r="BH107" s="560"/>
      <c r="BI107" s="560"/>
      <c r="BJ107" s="67">
        <v>0</v>
      </c>
      <c r="BK107" s="66"/>
      <c r="BL107" s="67"/>
      <c r="BM107" s="560"/>
      <c r="BN107" s="560"/>
      <c r="BO107" s="67">
        <v>0</v>
      </c>
      <c r="BP107" s="66"/>
      <c r="BQ107" s="67"/>
      <c r="BR107" s="560"/>
      <c r="BS107" s="560"/>
      <c r="BT107" s="67">
        <f>SUM(L107:BO107)</f>
        <v>0</v>
      </c>
      <c r="BU107" s="66"/>
      <c r="BV107" s="67"/>
      <c r="BW107" s="560"/>
      <c r="BX107" s="560"/>
      <c r="BY107" s="67">
        <f>SUM(Q107:BT107)</f>
        <v>0</v>
      </c>
      <c r="BZ107" s="66"/>
      <c r="CA107" s="67"/>
      <c r="CB107" s="560"/>
      <c r="CC107" s="560"/>
      <c r="CD107" s="67">
        <v>0</v>
      </c>
      <c r="CE107" s="66"/>
      <c r="CF107" s="67"/>
      <c r="CG107" s="560"/>
      <c r="CH107" s="560"/>
      <c r="CI107" s="67">
        <v>0</v>
      </c>
      <c r="CJ107" s="66"/>
      <c r="CK107" s="67"/>
      <c r="CL107" s="560"/>
      <c r="CM107" s="560"/>
      <c r="CN107" s="67">
        <v>0</v>
      </c>
      <c r="CO107" s="66"/>
      <c r="CP107" s="67"/>
      <c r="CQ107" s="560"/>
      <c r="CR107" s="560"/>
      <c r="CS107" s="67">
        <v>0</v>
      </c>
      <c r="CT107" s="66"/>
      <c r="CU107" s="67"/>
      <c r="CV107" s="560"/>
      <c r="CW107" s="560"/>
      <c r="CX107" s="67">
        <v>0</v>
      </c>
      <c r="CY107" s="66"/>
      <c r="CZ107" s="67"/>
      <c r="DA107" s="560"/>
      <c r="DB107" s="560"/>
      <c r="DC107" s="67">
        <v>0</v>
      </c>
      <c r="DD107" s="66"/>
      <c r="DE107" s="67"/>
      <c r="DF107" s="560"/>
      <c r="DG107" s="560"/>
      <c r="DH107" s="67">
        <v>0</v>
      </c>
      <c r="DI107" s="66"/>
      <c r="DJ107" s="67"/>
      <c r="DK107" s="560"/>
      <c r="DL107" s="560"/>
      <c r="DM107" s="67">
        <v>0</v>
      </c>
      <c r="DN107" s="66"/>
      <c r="DO107" s="67"/>
      <c r="DP107" s="560"/>
      <c r="DQ107" s="560"/>
      <c r="DR107" s="67">
        <v>0</v>
      </c>
      <c r="DS107" s="66"/>
      <c r="DT107" s="67"/>
      <c r="DU107" s="560"/>
      <c r="DV107" s="560"/>
      <c r="DW107" s="67">
        <v>0</v>
      </c>
      <c r="DX107" s="66"/>
      <c r="DY107" s="67"/>
      <c r="DZ107" s="560"/>
      <c r="EA107" s="560"/>
      <c r="EB107" s="67">
        <v>0</v>
      </c>
      <c r="EC107" s="66"/>
      <c r="ED107" s="67"/>
      <c r="EE107" s="560"/>
      <c r="EF107" s="560"/>
      <c r="EG107" s="67">
        <v>0</v>
      </c>
      <c r="EH107" s="66"/>
      <c r="EI107" s="67"/>
      <c r="EJ107" s="560"/>
      <c r="EK107" s="560"/>
      <c r="EL107" s="67">
        <f>SUM(CD107:EG107)</f>
        <v>0</v>
      </c>
      <c r="EM107" s="66"/>
      <c r="EN107" s="67"/>
      <c r="EO107" s="455"/>
      <c r="ER107" s="472"/>
      <c r="ES107" s="472"/>
    </row>
    <row r="108" spans="1:149" ht="12.75" hidden="1" customHeight="1" x14ac:dyDescent="0.2">
      <c r="A108" s="442"/>
      <c r="B108" s="442"/>
      <c r="D108" s="455" t="s">
        <v>352</v>
      </c>
      <c r="E108" s="560"/>
      <c r="F108" s="488"/>
      <c r="G108" s="113">
        <v>0</v>
      </c>
      <c r="H108" s="112"/>
      <c r="I108" s="67"/>
      <c r="J108" s="560"/>
      <c r="K108" s="569"/>
      <c r="L108" s="113">
        <v>0</v>
      </c>
      <c r="M108" s="112"/>
      <c r="N108" s="67"/>
      <c r="O108" s="560"/>
      <c r="P108" s="569"/>
      <c r="Q108" s="113">
        <v>0</v>
      </c>
      <c r="R108" s="112"/>
      <c r="S108" s="67"/>
      <c r="T108" s="560"/>
      <c r="U108" s="569"/>
      <c r="V108" s="113">
        <v>0</v>
      </c>
      <c r="W108" s="112"/>
      <c r="X108" s="67"/>
      <c r="Y108" s="560"/>
      <c r="Z108" s="569"/>
      <c r="AA108" s="113">
        <v>0</v>
      </c>
      <c r="AB108" s="112"/>
      <c r="AC108" s="67"/>
      <c r="AD108" s="560"/>
      <c r="AE108" s="569"/>
      <c r="AF108" s="113">
        <v>0</v>
      </c>
      <c r="AG108" s="112"/>
      <c r="AH108" s="67"/>
      <c r="AI108" s="560"/>
      <c r="AJ108" s="569"/>
      <c r="AK108" s="113">
        <v>0</v>
      </c>
      <c r="AL108" s="112"/>
      <c r="AM108" s="67"/>
      <c r="AN108" s="560"/>
      <c r="AO108" s="569"/>
      <c r="AP108" s="113">
        <v>0</v>
      </c>
      <c r="AQ108" s="112"/>
      <c r="AR108" s="67"/>
      <c r="AS108" s="560"/>
      <c r="AT108" s="569"/>
      <c r="AU108" s="113">
        <v>0</v>
      </c>
      <c r="AV108" s="112"/>
      <c r="AW108" s="67"/>
      <c r="AX108" s="560"/>
      <c r="AY108" s="569"/>
      <c r="AZ108" s="113">
        <v>0</v>
      </c>
      <c r="BA108" s="112"/>
      <c r="BB108" s="67"/>
      <c r="BC108" s="560"/>
      <c r="BD108" s="569"/>
      <c r="BE108" s="113">
        <v>0</v>
      </c>
      <c r="BF108" s="112"/>
      <c r="BG108" s="67"/>
      <c r="BH108" s="560"/>
      <c r="BI108" s="569"/>
      <c r="BJ108" s="113">
        <v>0</v>
      </c>
      <c r="BK108" s="112"/>
      <c r="BL108" s="67"/>
      <c r="BM108" s="560"/>
      <c r="BN108" s="569"/>
      <c r="BO108" s="113">
        <v>0</v>
      </c>
      <c r="BP108" s="112"/>
      <c r="BQ108" s="67"/>
      <c r="BR108" s="560"/>
      <c r="BS108" s="569"/>
      <c r="BT108" s="113">
        <f>SUM(L108:BO108)</f>
        <v>0</v>
      </c>
      <c r="BU108" s="112"/>
      <c r="BV108" s="67"/>
      <c r="BW108" s="560"/>
      <c r="BX108" s="569"/>
      <c r="BY108" s="113">
        <f>SUM(Q108:BT108)</f>
        <v>0</v>
      </c>
      <c r="BZ108" s="112"/>
      <c r="CA108" s="67"/>
      <c r="CB108" s="560"/>
      <c r="CC108" s="569"/>
      <c r="CD108" s="113">
        <v>0</v>
      </c>
      <c r="CE108" s="112"/>
      <c r="CF108" s="67"/>
      <c r="CG108" s="560"/>
      <c r="CH108" s="569"/>
      <c r="CI108" s="113">
        <v>0</v>
      </c>
      <c r="CJ108" s="112"/>
      <c r="CK108" s="67"/>
      <c r="CL108" s="560"/>
      <c r="CM108" s="569"/>
      <c r="CN108" s="113">
        <v>0</v>
      </c>
      <c r="CO108" s="112"/>
      <c r="CP108" s="67"/>
      <c r="CQ108" s="560"/>
      <c r="CR108" s="569"/>
      <c r="CS108" s="113">
        <v>0</v>
      </c>
      <c r="CT108" s="112"/>
      <c r="CU108" s="67"/>
      <c r="CV108" s="560"/>
      <c r="CW108" s="569"/>
      <c r="CX108" s="113">
        <v>0</v>
      </c>
      <c r="CY108" s="112"/>
      <c r="CZ108" s="67"/>
      <c r="DA108" s="560"/>
      <c r="DB108" s="569"/>
      <c r="DC108" s="113">
        <v>0</v>
      </c>
      <c r="DD108" s="112"/>
      <c r="DE108" s="67"/>
      <c r="DF108" s="560"/>
      <c r="DG108" s="569"/>
      <c r="DH108" s="113">
        <v>0</v>
      </c>
      <c r="DI108" s="112"/>
      <c r="DJ108" s="67"/>
      <c r="DK108" s="560"/>
      <c r="DL108" s="569"/>
      <c r="DM108" s="113">
        <v>0</v>
      </c>
      <c r="DN108" s="112"/>
      <c r="DO108" s="67"/>
      <c r="DP108" s="560"/>
      <c r="DQ108" s="569"/>
      <c r="DR108" s="113">
        <v>0</v>
      </c>
      <c r="DS108" s="112"/>
      <c r="DT108" s="67"/>
      <c r="DU108" s="560"/>
      <c r="DV108" s="569"/>
      <c r="DW108" s="113">
        <v>0</v>
      </c>
      <c r="DX108" s="112"/>
      <c r="DY108" s="67"/>
      <c r="DZ108" s="560"/>
      <c r="EA108" s="569"/>
      <c r="EB108" s="113">
        <v>0</v>
      </c>
      <c r="EC108" s="112"/>
      <c r="ED108" s="67"/>
      <c r="EE108" s="560"/>
      <c r="EF108" s="569"/>
      <c r="EG108" s="113">
        <v>0</v>
      </c>
      <c r="EH108" s="112"/>
      <c r="EI108" s="67"/>
      <c r="EJ108" s="560"/>
      <c r="EK108" s="569"/>
      <c r="EL108" s="113">
        <f>SUM(CD108:EG108)</f>
        <v>0</v>
      </c>
      <c r="EM108" s="112"/>
      <c r="EN108" s="67"/>
      <c r="EO108" s="455"/>
      <c r="ER108" s="472"/>
      <c r="ES108" s="472"/>
    </row>
    <row r="109" spans="1:149" ht="12.75" hidden="1" customHeight="1" x14ac:dyDescent="0.2">
      <c r="A109" s="442"/>
      <c r="B109" s="442"/>
      <c r="D109" s="455"/>
      <c r="E109" s="560"/>
      <c r="F109" s="442"/>
      <c r="G109" s="67"/>
      <c r="H109" s="67"/>
      <c r="I109" s="67"/>
      <c r="J109" s="560"/>
      <c r="K109" s="67"/>
      <c r="L109" s="67"/>
      <c r="M109" s="67"/>
      <c r="N109" s="67"/>
      <c r="O109" s="560"/>
      <c r="P109" s="67"/>
      <c r="Q109" s="67"/>
      <c r="R109" s="67"/>
      <c r="S109" s="67"/>
      <c r="T109" s="560"/>
      <c r="U109" s="67"/>
      <c r="V109" s="67"/>
      <c r="W109" s="67"/>
      <c r="X109" s="67"/>
      <c r="Y109" s="560"/>
      <c r="Z109" s="67"/>
      <c r="AA109" s="67"/>
      <c r="AB109" s="67"/>
      <c r="AC109" s="67"/>
      <c r="AD109" s="560"/>
      <c r="AE109" s="67"/>
      <c r="AF109" s="67"/>
      <c r="AG109" s="67"/>
      <c r="AH109" s="67"/>
      <c r="AI109" s="560"/>
      <c r="AJ109" s="67"/>
      <c r="AK109" s="67"/>
      <c r="AL109" s="67"/>
      <c r="AM109" s="67"/>
      <c r="AN109" s="560"/>
      <c r="AO109" s="67"/>
      <c r="AP109" s="67"/>
      <c r="AQ109" s="67"/>
      <c r="AR109" s="67"/>
      <c r="AS109" s="560"/>
      <c r="AT109" s="67"/>
      <c r="AU109" s="67"/>
      <c r="AV109" s="67"/>
      <c r="AW109" s="67"/>
      <c r="AX109" s="560"/>
      <c r="AY109" s="67"/>
      <c r="AZ109" s="67"/>
      <c r="BA109" s="67"/>
      <c r="BB109" s="67"/>
      <c r="BC109" s="560"/>
      <c r="BD109" s="67"/>
      <c r="BE109" s="67"/>
      <c r="BF109" s="67"/>
      <c r="BG109" s="67"/>
      <c r="BH109" s="560"/>
      <c r="BI109" s="67"/>
      <c r="BJ109" s="67"/>
      <c r="BK109" s="67"/>
      <c r="BL109" s="67"/>
      <c r="BM109" s="560"/>
      <c r="BN109" s="67"/>
      <c r="BO109" s="67"/>
      <c r="BP109" s="67"/>
      <c r="BQ109" s="67"/>
      <c r="BR109" s="560"/>
      <c r="BS109" s="67"/>
      <c r="BT109" s="67"/>
      <c r="BU109" s="67"/>
      <c r="BV109" s="67"/>
      <c r="BW109" s="560"/>
      <c r="BX109" s="67"/>
      <c r="BY109" s="67"/>
      <c r="BZ109" s="67"/>
      <c r="CA109" s="67"/>
      <c r="CB109" s="560"/>
      <c r="CC109" s="67"/>
      <c r="CD109" s="67"/>
      <c r="CE109" s="67"/>
      <c r="CF109" s="67"/>
      <c r="CG109" s="560"/>
      <c r="CH109" s="67"/>
      <c r="CI109" s="67"/>
      <c r="CJ109" s="67"/>
      <c r="CK109" s="67"/>
      <c r="CL109" s="560"/>
      <c r="CM109" s="67"/>
      <c r="CN109" s="67"/>
      <c r="CO109" s="67"/>
      <c r="CP109" s="67"/>
      <c r="CQ109" s="560"/>
      <c r="CR109" s="67"/>
      <c r="CS109" s="67"/>
      <c r="CT109" s="67"/>
      <c r="CU109" s="67"/>
      <c r="CV109" s="560"/>
      <c r="CW109" s="67"/>
      <c r="CX109" s="67"/>
      <c r="CY109" s="67"/>
      <c r="CZ109" s="67"/>
      <c r="DA109" s="560"/>
      <c r="DB109" s="67"/>
      <c r="DC109" s="67"/>
      <c r="DD109" s="67"/>
      <c r="DE109" s="67"/>
      <c r="DF109" s="560"/>
      <c r="DG109" s="67"/>
      <c r="DH109" s="67"/>
      <c r="DI109" s="67"/>
      <c r="DJ109" s="67"/>
      <c r="DK109" s="560"/>
      <c r="DL109" s="67"/>
      <c r="DM109" s="67"/>
      <c r="DN109" s="67"/>
      <c r="DO109" s="67"/>
      <c r="DP109" s="560"/>
      <c r="DQ109" s="67"/>
      <c r="DR109" s="67"/>
      <c r="DS109" s="67"/>
      <c r="DT109" s="67"/>
      <c r="DU109" s="560"/>
      <c r="DV109" s="67"/>
      <c r="DW109" s="67"/>
      <c r="DX109" s="67"/>
      <c r="DY109" s="67"/>
      <c r="DZ109" s="560"/>
      <c r="EA109" s="67"/>
      <c r="EB109" s="67"/>
      <c r="EC109" s="67"/>
      <c r="ED109" s="67"/>
      <c r="EE109" s="560"/>
      <c r="EF109" s="67"/>
      <c r="EG109" s="67"/>
      <c r="EH109" s="67"/>
      <c r="EI109" s="67"/>
      <c r="EJ109" s="560"/>
      <c r="EK109" s="67"/>
      <c r="EL109" s="67"/>
      <c r="EM109" s="67"/>
      <c r="EN109" s="67"/>
      <c r="EO109" s="455"/>
      <c r="ER109" s="472"/>
      <c r="ES109" s="472"/>
    </row>
    <row r="110" spans="1:149" ht="12.75" hidden="1" customHeight="1" x14ac:dyDescent="0.2">
      <c r="A110" s="442"/>
      <c r="B110" s="442"/>
      <c r="D110" s="455" t="s">
        <v>362</v>
      </c>
      <c r="E110" s="560"/>
      <c r="F110" s="442"/>
      <c r="G110" s="67">
        <f>SUM(G111:G113)</f>
        <v>0</v>
      </c>
      <c r="H110" s="67"/>
      <c r="I110" s="67"/>
      <c r="J110" s="560"/>
      <c r="K110" s="67"/>
      <c r="L110" s="67">
        <f>SUM(L111:L113)</f>
        <v>0</v>
      </c>
      <c r="M110" s="67"/>
      <c r="N110" s="67"/>
      <c r="O110" s="560"/>
      <c r="P110" s="67"/>
      <c r="Q110" s="67">
        <f>SUM(Q111:Q113)</f>
        <v>0</v>
      </c>
      <c r="R110" s="67"/>
      <c r="S110" s="67"/>
      <c r="T110" s="560"/>
      <c r="U110" s="67"/>
      <c r="V110" s="67">
        <f>SUM(V111:V113)</f>
        <v>0</v>
      </c>
      <c r="W110" s="67"/>
      <c r="X110" s="67"/>
      <c r="Y110" s="560"/>
      <c r="Z110" s="67"/>
      <c r="AA110" s="67">
        <f>SUM(AA111:AA113)</f>
        <v>0</v>
      </c>
      <c r="AB110" s="67"/>
      <c r="AC110" s="67"/>
      <c r="AD110" s="560"/>
      <c r="AE110" s="67"/>
      <c r="AF110" s="67">
        <f>SUM(AF111:AF113)</f>
        <v>0</v>
      </c>
      <c r="AG110" s="67"/>
      <c r="AH110" s="67"/>
      <c r="AI110" s="560"/>
      <c r="AJ110" s="67"/>
      <c r="AK110" s="67">
        <f>SUM(AK111:AK113)</f>
        <v>0</v>
      </c>
      <c r="AL110" s="67"/>
      <c r="AM110" s="67"/>
      <c r="AN110" s="560"/>
      <c r="AO110" s="67"/>
      <c r="AP110" s="67">
        <f>SUM(AP111:AP113)</f>
        <v>0</v>
      </c>
      <c r="AQ110" s="67"/>
      <c r="AR110" s="67"/>
      <c r="AS110" s="560"/>
      <c r="AT110" s="67"/>
      <c r="AU110" s="67">
        <f>SUM(AU111:AU113)</f>
        <v>0</v>
      </c>
      <c r="AV110" s="67"/>
      <c r="AW110" s="67"/>
      <c r="AX110" s="560"/>
      <c r="AY110" s="67"/>
      <c r="AZ110" s="67">
        <f>SUM(AZ111:AZ113)</f>
        <v>0</v>
      </c>
      <c r="BA110" s="67"/>
      <c r="BB110" s="67"/>
      <c r="BC110" s="560"/>
      <c r="BD110" s="67"/>
      <c r="BE110" s="67">
        <f>SUM(BE111:BE113)</f>
        <v>0</v>
      </c>
      <c r="BF110" s="67"/>
      <c r="BG110" s="67"/>
      <c r="BH110" s="560"/>
      <c r="BI110" s="67"/>
      <c r="BJ110" s="67">
        <f>SUM(BJ111:BJ113)</f>
        <v>0</v>
      </c>
      <c r="BK110" s="67"/>
      <c r="BL110" s="67"/>
      <c r="BM110" s="560"/>
      <c r="BN110" s="67"/>
      <c r="BO110" s="67">
        <f>SUM(BO111:BO113)</f>
        <v>0</v>
      </c>
      <c r="BP110" s="67"/>
      <c r="BQ110" s="67"/>
      <c r="BR110" s="560"/>
      <c r="BS110" s="67"/>
      <c r="BT110" s="67">
        <f>SUM(BT111:BT113)</f>
        <v>0</v>
      </c>
      <c r="BU110" s="67"/>
      <c r="BV110" s="67"/>
      <c r="BW110" s="560"/>
      <c r="BX110" s="67"/>
      <c r="BY110" s="67">
        <f>SUM(BY111:BY113)</f>
        <v>0</v>
      </c>
      <c r="BZ110" s="67"/>
      <c r="CA110" s="67"/>
      <c r="CB110" s="560"/>
      <c r="CC110" s="67"/>
      <c r="CD110" s="67">
        <f>SUM(CD111:CD113)</f>
        <v>0</v>
      </c>
      <c r="CE110" s="67"/>
      <c r="CF110" s="67"/>
      <c r="CG110" s="560"/>
      <c r="CH110" s="67"/>
      <c r="CI110" s="67">
        <f>SUM(CI111:CI113)</f>
        <v>0</v>
      </c>
      <c r="CJ110" s="67"/>
      <c r="CK110" s="67"/>
      <c r="CL110" s="560"/>
      <c r="CM110" s="67"/>
      <c r="CN110" s="67">
        <f>SUM(CN111:CN113)</f>
        <v>0</v>
      </c>
      <c r="CO110" s="67"/>
      <c r="CP110" s="67"/>
      <c r="CQ110" s="560"/>
      <c r="CR110" s="67"/>
      <c r="CS110" s="67">
        <f>SUM(CS111:CS113)</f>
        <v>0</v>
      </c>
      <c r="CT110" s="67"/>
      <c r="CU110" s="67"/>
      <c r="CV110" s="560"/>
      <c r="CW110" s="67"/>
      <c r="CX110" s="67">
        <f>SUM(CX111:CX113)</f>
        <v>0</v>
      </c>
      <c r="CY110" s="67"/>
      <c r="CZ110" s="67"/>
      <c r="DA110" s="560"/>
      <c r="DB110" s="67"/>
      <c r="DC110" s="67">
        <f>SUM(DC111:DC113)</f>
        <v>0</v>
      </c>
      <c r="DD110" s="67"/>
      <c r="DE110" s="67"/>
      <c r="DF110" s="560"/>
      <c r="DG110" s="67"/>
      <c r="DH110" s="67">
        <f>SUM(DH111:DH113)</f>
        <v>0</v>
      </c>
      <c r="DI110" s="67"/>
      <c r="DJ110" s="67"/>
      <c r="DK110" s="560"/>
      <c r="DL110" s="67"/>
      <c r="DM110" s="67">
        <f>SUM(DM111:DM113)</f>
        <v>0</v>
      </c>
      <c r="DN110" s="67"/>
      <c r="DO110" s="67"/>
      <c r="DP110" s="560"/>
      <c r="DQ110" s="67"/>
      <c r="DR110" s="67">
        <f>SUM(DR111:DR113)</f>
        <v>0</v>
      </c>
      <c r="DS110" s="67"/>
      <c r="DT110" s="67"/>
      <c r="DU110" s="560"/>
      <c r="DV110" s="67"/>
      <c r="DW110" s="67">
        <f>SUM(DW111:DW113)</f>
        <v>0</v>
      </c>
      <c r="DX110" s="67"/>
      <c r="DY110" s="67"/>
      <c r="DZ110" s="560"/>
      <c r="EA110" s="67"/>
      <c r="EB110" s="67">
        <f>SUM(EB111:EB113)</f>
        <v>0</v>
      </c>
      <c r="EC110" s="67"/>
      <c r="ED110" s="67"/>
      <c r="EE110" s="560"/>
      <c r="EF110" s="67"/>
      <c r="EG110" s="67">
        <f>SUM(EG111:EG113)</f>
        <v>0</v>
      </c>
      <c r="EH110" s="67"/>
      <c r="EI110" s="67"/>
      <c r="EJ110" s="560"/>
      <c r="EK110" s="67"/>
      <c r="EL110" s="67">
        <f>SUM(EL111:EL113)</f>
        <v>0</v>
      </c>
      <c r="EM110" s="67"/>
      <c r="EN110" s="67"/>
      <c r="EO110" s="455"/>
      <c r="ER110" s="472"/>
      <c r="ES110" s="472"/>
    </row>
    <row r="111" spans="1:149" ht="12.75" hidden="1" customHeight="1" x14ac:dyDescent="0.2">
      <c r="A111" s="442"/>
      <c r="B111" s="442"/>
      <c r="D111" s="455" t="s">
        <v>342</v>
      </c>
      <c r="E111" s="560"/>
      <c r="F111" s="473"/>
      <c r="G111" s="558">
        <v>0</v>
      </c>
      <c r="H111" s="559"/>
      <c r="I111" s="67"/>
      <c r="J111" s="560"/>
      <c r="K111" s="561"/>
      <c r="L111" s="558">
        <v>0</v>
      </c>
      <c r="M111" s="559"/>
      <c r="N111" s="67"/>
      <c r="O111" s="560"/>
      <c r="P111" s="561"/>
      <c r="Q111" s="558">
        <v>0</v>
      </c>
      <c r="R111" s="559"/>
      <c r="S111" s="67"/>
      <c r="T111" s="560"/>
      <c r="U111" s="561"/>
      <c r="V111" s="558">
        <v>0</v>
      </c>
      <c r="W111" s="559"/>
      <c r="X111" s="67"/>
      <c r="Y111" s="560"/>
      <c r="Z111" s="561"/>
      <c r="AA111" s="558">
        <v>0</v>
      </c>
      <c r="AB111" s="559"/>
      <c r="AC111" s="67"/>
      <c r="AD111" s="560"/>
      <c r="AE111" s="561"/>
      <c r="AF111" s="558">
        <v>0</v>
      </c>
      <c r="AG111" s="559"/>
      <c r="AH111" s="67"/>
      <c r="AI111" s="560"/>
      <c r="AJ111" s="561"/>
      <c r="AK111" s="558">
        <v>0</v>
      </c>
      <c r="AL111" s="559"/>
      <c r="AM111" s="67"/>
      <c r="AN111" s="560"/>
      <c r="AO111" s="561"/>
      <c r="AP111" s="558">
        <v>0</v>
      </c>
      <c r="AQ111" s="559"/>
      <c r="AR111" s="67"/>
      <c r="AS111" s="560"/>
      <c r="AT111" s="561"/>
      <c r="AU111" s="558">
        <v>0</v>
      </c>
      <c r="AV111" s="559"/>
      <c r="AW111" s="67"/>
      <c r="AX111" s="560"/>
      <c r="AY111" s="561"/>
      <c r="AZ111" s="558">
        <v>0</v>
      </c>
      <c r="BA111" s="559"/>
      <c r="BB111" s="67"/>
      <c r="BC111" s="560"/>
      <c r="BD111" s="561"/>
      <c r="BE111" s="558">
        <v>0</v>
      </c>
      <c r="BF111" s="559"/>
      <c r="BG111" s="67"/>
      <c r="BH111" s="560"/>
      <c r="BI111" s="561"/>
      <c r="BJ111" s="558">
        <v>0</v>
      </c>
      <c r="BK111" s="559"/>
      <c r="BL111" s="67"/>
      <c r="BM111" s="560"/>
      <c r="BN111" s="561"/>
      <c r="BO111" s="558">
        <v>0</v>
      </c>
      <c r="BP111" s="559"/>
      <c r="BQ111" s="67"/>
      <c r="BR111" s="560"/>
      <c r="BS111" s="561"/>
      <c r="BT111" s="558">
        <f>SUM(L111:BO111)</f>
        <v>0</v>
      </c>
      <c r="BU111" s="559"/>
      <c r="BV111" s="67"/>
      <c r="BW111" s="560"/>
      <c r="BX111" s="561"/>
      <c r="BY111" s="558">
        <f>SUM(Q111:BT111)</f>
        <v>0</v>
      </c>
      <c r="BZ111" s="559"/>
      <c r="CA111" s="67"/>
      <c r="CB111" s="560"/>
      <c r="CC111" s="561"/>
      <c r="CD111" s="558">
        <v>0</v>
      </c>
      <c r="CE111" s="559"/>
      <c r="CF111" s="67"/>
      <c r="CG111" s="560"/>
      <c r="CH111" s="561"/>
      <c r="CI111" s="558">
        <v>0</v>
      </c>
      <c r="CJ111" s="559"/>
      <c r="CK111" s="67"/>
      <c r="CL111" s="560"/>
      <c r="CM111" s="561"/>
      <c r="CN111" s="558">
        <v>0</v>
      </c>
      <c r="CO111" s="559"/>
      <c r="CP111" s="67"/>
      <c r="CQ111" s="560"/>
      <c r="CR111" s="561"/>
      <c r="CS111" s="558">
        <v>0</v>
      </c>
      <c r="CT111" s="559"/>
      <c r="CU111" s="67"/>
      <c r="CV111" s="560"/>
      <c r="CW111" s="561"/>
      <c r="CX111" s="558">
        <v>0</v>
      </c>
      <c r="CY111" s="559"/>
      <c r="CZ111" s="67"/>
      <c r="DA111" s="560"/>
      <c r="DB111" s="561"/>
      <c r="DC111" s="558">
        <v>0</v>
      </c>
      <c r="DD111" s="559"/>
      <c r="DE111" s="67"/>
      <c r="DF111" s="560"/>
      <c r="DG111" s="561"/>
      <c r="DH111" s="558">
        <v>0</v>
      </c>
      <c r="DI111" s="559"/>
      <c r="DJ111" s="67"/>
      <c r="DK111" s="560"/>
      <c r="DL111" s="561"/>
      <c r="DM111" s="558">
        <v>0</v>
      </c>
      <c r="DN111" s="559"/>
      <c r="DO111" s="67"/>
      <c r="DP111" s="560"/>
      <c r="DQ111" s="561"/>
      <c r="DR111" s="558">
        <v>0</v>
      </c>
      <c r="DS111" s="559"/>
      <c r="DT111" s="67"/>
      <c r="DU111" s="560"/>
      <c r="DV111" s="561"/>
      <c r="DW111" s="558">
        <v>0</v>
      </c>
      <c r="DX111" s="559"/>
      <c r="DY111" s="67"/>
      <c r="DZ111" s="560"/>
      <c r="EA111" s="561"/>
      <c r="EB111" s="558">
        <v>0</v>
      </c>
      <c r="EC111" s="559"/>
      <c r="ED111" s="67"/>
      <c r="EE111" s="560"/>
      <c r="EF111" s="561"/>
      <c r="EG111" s="558">
        <v>0</v>
      </c>
      <c r="EH111" s="559"/>
      <c r="EI111" s="67"/>
      <c r="EJ111" s="560"/>
      <c r="EK111" s="561"/>
      <c r="EL111" s="558">
        <f>SUM(CD111:EG111)</f>
        <v>0</v>
      </c>
      <c r="EM111" s="559"/>
      <c r="EN111" s="67"/>
      <c r="EO111" s="455"/>
      <c r="ER111" s="472"/>
      <c r="ES111" s="472"/>
    </row>
    <row r="112" spans="1:149" ht="12.75" hidden="1" customHeight="1" x14ac:dyDescent="0.2">
      <c r="A112" s="442"/>
      <c r="B112" s="442"/>
      <c r="D112" s="455" t="s">
        <v>344</v>
      </c>
      <c r="E112" s="560"/>
      <c r="F112" s="465"/>
      <c r="G112" s="67">
        <v>0</v>
      </c>
      <c r="H112" s="66"/>
      <c r="I112" s="67"/>
      <c r="J112" s="560"/>
      <c r="K112" s="560"/>
      <c r="L112" s="67">
        <v>0</v>
      </c>
      <c r="M112" s="66"/>
      <c r="N112" s="67"/>
      <c r="O112" s="560"/>
      <c r="P112" s="560"/>
      <c r="Q112" s="67">
        <v>0</v>
      </c>
      <c r="R112" s="66"/>
      <c r="S112" s="67"/>
      <c r="T112" s="560"/>
      <c r="U112" s="560"/>
      <c r="V112" s="67">
        <v>0</v>
      </c>
      <c r="W112" s="66"/>
      <c r="X112" s="67"/>
      <c r="Y112" s="560"/>
      <c r="Z112" s="560"/>
      <c r="AA112" s="67">
        <v>0</v>
      </c>
      <c r="AB112" s="66"/>
      <c r="AC112" s="67"/>
      <c r="AD112" s="560"/>
      <c r="AE112" s="560"/>
      <c r="AF112" s="67">
        <v>0</v>
      </c>
      <c r="AG112" s="66"/>
      <c r="AH112" s="67"/>
      <c r="AI112" s="560"/>
      <c r="AJ112" s="560"/>
      <c r="AK112" s="67">
        <v>0</v>
      </c>
      <c r="AL112" s="66"/>
      <c r="AM112" s="67"/>
      <c r="AN112" s="560"/>
      <c r="AO112" s="560"/>
      <c r="AP112" s="67">
        <v>0</v>
      </c>
      <c r="AQ112" s="66"/>
      <c r="AR112" s="67"/>
      <c r="AS112" s="560"/>
      <c r="AT112" s="560"/>
      <c r="AU112" s="67">
        <v>0</v>
      </c>
      <c r="AV112" s="66"/>
      <c r="AW112" s="67"/>
      <c r="AX112" s="560"/>
      <c r="AY112" s="560"/>
      <c r="AZ112" s="67">
        <v>0</v>
      </c>
      <c r="BA112" s="66"/>
      <c r="BB112" s="67"/>
      <c r="BC112" s="560"/>
      <c r="BD112" s="560"/>
      <c r="BE112" s="67">
        <v>0</v>
      </c>
      <c r="BF112" s="66"/>
      <c r="BG112" s="67"/>
      <c r="BH112" s="560"/>
      <c r="BI112" s="560"/>
      <c r="BJ112" s="67">
        <v>0</v>
      </c>
      <c r="BK112" s="66"/>
      <c r="BL112" s="67"/>
      <c r="BM112" s="560"/>
      <c r="BN112" s="560"/>
      <c r="BO112" s="67">
        <v>0</v>
      </c>
      <c r="BP112" s="66"/>
      <c r="BQ112" s="67"/>
      <c r="BR112" s="560"/>
      <c r="BS112" s="560"/>
      <c r="BT112" s="67">
        <f>SUM(L112:BO112)</f>
        <v>0</v>
      </c>
      <c r="BU112" s="66"/>
      <c r="BV112" s="67"/>
      <c r="BW112" s="560"/>
      <c r="BX112" s="560"/>
      <c r="BY112" s="67">
        <f>SUM(Q112:BT112)</f>
        <v>0</v>
      </c>
      <c r="BZ112" s="66"/>
      <c r="CA112" s="67"/>
      <c r="CB112" s="560"/>
      <c r="CC112" s="560"/>
      <c r="CD112" s="67">
        <v>0</v>
      </c>
      <c r="CE112" s="66"/>
      <c r="CF112" s="67"/>
      <c r="CG112" s="560"/>
      <c r="CH112" s="560"/>
      <c r="CI112" s="67">
        <v>0</v>
      </c>
      <c r="CJ112" s="66"/>
      <c r="CK112" s="67"/>
      <c r="CL112" s="560"/>
      <c r="CM112" s="560"/>
      <c r="CN112" s="67">
        <v>0</v>
      </c>
      <c r="CO112" s="66"/>
      <c r="CP112" s="67"/>
      <c r="CQ112" s="560"/>
      <c r="CR112" s="560"/>
      <c r="CS112" s="67">
        <v>0</v>
      </c>
      <c r="CT112" s="66"/>
      <c r="CU112" s="67"/>
      <c r="CV112" s="560"/>
      <c r="CW112" s="560"/>
      <c r="CX112" s="67">
        <v>0</v>
      </c>
      <c r="CY112" s="66"/>
      <c r="CZ112" s="67"/>
      <c r="DA112" s="560"/>
      <c r="DB112" s="560"/>
      <c r="DC112" s="67">
        <v>0</v>
      </c>
      <c r="DD112" s="66"/>
      <c r="DE112" s="67"/>
      <c r="DF112" s="560"/>
      <c r="DG112" s="560"/>
      <c r="DH112" s="67">
        <v>0</v>
      </c>
      <c r="DI112" s="66"/>
      <c r="DJ112" s="67"/>
      <c r="DK112" s="560"/>
      <c r="DL112" s="560"/>
      <c r="DM112" s="67">
        <v>0</v>
      </c>
      <c r="DN112" s="66"/>
      <c r="DO112" s="67"/>
      <c r="DP112" s="560"/>
      <c r="DQ112" s="560"/>
      <c r="DR112" s="67">
        <v>0</v>
      </c>
      <c r="DS112" s="66"/>
      <c r="DT112" s="67"/>
      <c r="DU112" s="560"/>
      <c r="DV112" s="560"/>
      <c r="DW112" s="67">
        <v>0</v>
      </c>
      <c r="DX112" s="66"/>
      <c r="DY112" s="67"/>
      <c r="DZ112" s="560"/>
      <c r="EA112" s="560"/>
      <c r="EB112" s="67">
        <v>0</v>
      </c>
      <c r="EC112" s="66"/>
      <c r="ED112" s="67"/>
      <c r="EE112" s="560"/>
      <c r="EF112" s="560"/>
      <c r="EG112" s="67">
        <v>0</v>
      </c>
      <c r="EH112" s="66"/>
      <c r="EI112" s="67"/>
      <c r="EJ112" s="560"/>
      <c r="EK112" s="560"/>
      <c r="EL112" s="67">
        <f>SUM(CD112:EG112)</f>
        <v>0</v>
      </c>
      <c r="EM112" s="66"/>
      <c r="EN112" s="67"/>
      <c r="EO112" s="455"/>
      <c r="ER112" s="472"/>
      <c r="ES112" s="472"/>
    </row>
    <row r="113" spans="1:149" ht="12.75" hidden="1" customHeight="1" x14ac:dyDescent="0.2">
      <c r="A113" s="442"/>
      <c r="B113" s="442"/>
      <c r="D113" s="455" t="s">
        <v>352</v>
      </c>
      <c r="E113" s="560"/>
      <c r="F113" s="488"/>
      <c r="G113" s="113">
        <v>0</v>
      </c>
      <c r="H113" s="112"/>
      <c r="I113" s="67"/>
      <c r="J113" s="560"/>
      <c r="K113" s="569"/>
      <c r="L113" s="113">
        <v>0</v>
      </c>
      <c r="M113" s="112"/>
      <c r="N113" s="67"/>
      <c r="O113" s="560"/>
      <c r="P113" s="569"/>
      <c r="Q113" s="113">
        <v>0</v>
      </c>
      <c r="R113" s="112"/>
      <c r="S113" s="67"/>
      <c r="T113" s="560"/>
      <c r="U113" s="569"/>
      <c r="V113" s="113">
        <v>0</v>
      </c>
      <c r="W113" s="112"/>
      <c r="X113" s="67"/>
      <c r="Y113" s="560"/>
      <c r="Z113" s="569"/>
      <c r="AA113" s="113">
        <v>0</v>
      </c>
      <c r="AB113" s="112"/>
      <c r="AC113" s="67"/>
      <c r="AD113" s="560"/>
      <c r="AE113" s="569"/>
      <c r="AF113" s="113">
        <v>0</v>
      </c>
      <c r="AG113" s="112"/>
      <c r="AH113" s="67"/>
      <c r="AI113" s="560"/>
      <c r="AJ113" s="569"/>
      <c r="AK113" s="113">
        <v>0</v>
      </c>
      <c r="AL113" s="112"/>
      <c r="AM113" s="67"/>
      <c r="AN113" s="560"/>
      <c r="AO113" s="569"/>
      <c r="AP113" s="113">
        <v>0</v>
      </c>
      <c r="AQ113" s="112"/>
      <c r="AR113" s="67"/>
      <c r="AS113" s="560"/>
      <c r="AT113" s="569"/>
      <c r="AU113" s="113">
        <v>0</v>
      </c>
      <c r="AV113" s="112"/>
      <c r="AW113" s="67"/>
      <c r="AX113" s="560"/>
      <c r="AY113" s="569"/>
      <c r="AZ113" s="113">
        <v>0</v>
      </c>
      <c r="BA113" s="112"/>
      <c r="BB113" s="67"/>
      <c r="BC113" s="560"/>
      <c r="BD113" s="569"/>
      <c r="BE113" s="113">
        <v>0</v>
      </c>
      <c r="BF113" s="112"/>
      <c r="BG113" s="67"/>
      <c r="BH113" s="560"/>
      <c r="BI113" s="569"/>
      <c r="BJ113" s="113">
        <v>0</v>
      </c>
      <c r="BK113" s="112"/>
      <c r="BL113" s="67"/>
      <c r="BM113" s="560"/>
      <c r="BN113" s="569"/>
      <c r="BO113" s="113">
        <v>0</v>
      </c>
      <c r="BP113" s="112"/>
      <c r="BQ113" s="67"/>
      <c r="BR113" s="560"/>
      <c r="BS113" s="569"/>
      <c r="BT113" s="113">
        <f>SUM(L113:BO113)</f>
        <v>0</v>
      </c>
      <c r="BU113" s="112"/>
      <c r="BV113" s="67"/>
      <c r="BW113" s="560"/>
      <c r="BX113" s="569"/>
      <c r="BY113" s="113">
        <f>SUM(Q113:BT113)</f>
        <v>0</v>
      </c>
      <c r="BZ113" s="112"/>
      <c r="CA113" s="67"/>
      <c r="CB113" s="560"/>
      <c r="CC113" s="569"/>
      <c r="CD113" s="113">
        <v>0</v>
      </c>
      <c r="CE113" s="112"/>
      <c r="CF113" s="67"/>
      <c r="CG113" s="560"/>
      <c r="CH113" s="569"/>
      <c r="CI113" s="113">
        <v>0</v>
      </c>
      <c r="CJ113" s="112"/>
      <c r="CK113" s="67"/>
      <c r="CL113" s="560"/>
      <c r="CM113" s="569"/>
      <c r="CN113" s="113">
        <v>0</v>
      </c>
      <c r="CO113" s="112"/>
      <c r="CP113" s="67"/>
      <c r="CQ113" s="560"/>
      <c r="CR113" s="569"/>
      <c r="CS113" s="113">
        <v>0</v>
      </c>
      <c r="CT113" s="112"/>
      <c r="CU113" s="67"/>
      <c r="CV113" s="560"/>
      <c r="CW113" s="569"/>
      <c r="CX113" s="113">
        <v>0</v>
      </c>
      <c r="CY113" s="112"/>
      <c r="CZ113" s="67"/>
      <c r="DA113" s="560"/>
      <c r="DB113" s="569"/>
      <c r="DC113" s="113">
        <v>0</v>
      </c>
      <c r="DD113" s="112"/>
      <c r="DE113" s="67"/>
      <c r="DF113" s="560"/>
      <c r="DG113" s="569"/>
      <c r="DH113" s="113">
        <v>0</v>
      </c>
      <c r="DI113" s="112"/>
      <c r="DJ113" s="67"/>
      <c r="DK113" s="560"/>
      <c r="DL113" s="569"/>
      <c r="DM113" s="113">
        <v>0</v>
      </c>
      <c r="DN113" s="112"/>
      <c r="DO113" s="67"/>
      <c r="DP113" s="560"/>
      <c r="DQ113" s="569"/>
      <c r="DR113" s="113">
        <v>0</v>
      </c>
      <c r="DS113" s="112"/>
      <c r="DT113" s="67"/>
      <c r="DU113" s="560"/>
      <c r="DV113" s="569"/>
      <c r="DW113" s="113">
        <v>0</v>
      </c>
      <c r="DX113" s="112"/>
      <c r="DY113" s="67"/>
      <c r="DZ113" s="560"/>
      <c r="EA113" s="569"/>
      <c r="EB113" s="113">
        <v>0</v>
      </c>
      <c r="EC113" s="112"/>
      <c r="ED113" s="67"/>
      <c r="EE113" s="560"/>
      <c r="EF113" s="569"/>
      <c r="EG113" s="113">
        <v>0</v>
      </c>
      <c r="EH113" s="112"/>
      <c r="EI113" s="67"/>
      <c r="EJ113" s="560"/>
      <c r="EK113" s="569"/>
      <c r="EL113" s="113">
        <f>SUM(CD113:EG113)</f>
        <v>0</v>
      </c>
      <c r="EM113" s="112"/>
      <c r="EN113" s="67"/>
      <c r="EO113" s="455"/>
      <c r="ER113" s="472"/>
      <c r="ES113" s="472"/>
    </row>
    <row r="114" spans="1:149" ht="12.75" hidden="1" customHeight="1" x14ac:dyDescent="0.2">
      <c r="A114" s="442"/>
      <c r="B114" s="442"/>
      <c r="D114" s="455"/>
      <c r="E114" s="560"/>
      <c r="F114" s="442"/>
      <c r="G114" s="67"/>
      <c r="H114" s="67"/>
      <c r="I114" s="67"/>
      <c r="J114" s="560"/>
      <c r="K114" s="67"/>
      <c r="L114" s="67"/>
      <c r="M114" s="67"/>
      <c r="N114" s="67"/>
      <c r="O114" s="560"/>
      <c r="P114" s="67"/>
      <c r="Q114" s="67"/>
      <c r="R114" s="67"/>
      <c r="S114" s="67"/>
      <c r="T114" s="560"/>
      <c r="U114" s="67"/>
      <c r="V114" s="67"/>
      <c r="W114" s="67"/>
      <c r="X114" s="67"/>
      <c r="Y114" s="560"/>
      <c r="Z114" s="67"/>
      <c r="AA114" s="67"/>
      <c r="AB114" s="67"/>
      <c r="AC114" s="67"/>
      <c r="AD114" s="560"/>
      <c r="AE114" s="67"/>
      <c r="AF114" s="67"/>
      <c r="AG114" s="67"/>
      <c r="AH114" s="67"/>
      <c r="AI114" s="560"/>
      <c r="AJ114" s="67"/>
      <c r="AK114" s="67"/>
      <c r="AL114" s="67"/>
      <c r="AM114" s="67"/>
      <c r="AN114" s="560"/>
      <c r="AO114" s="67"/>
      <c r="AP114" s="67"/>
      <c r="AQ114" s="67"/>
      <c r="AR114" s="67"/>
      <c r="AS114" s="560"/>
      <c r="AT114" s="67"/>
      <c r="AU114" s="67"/>
      <c r="AV114" s="67"/>
      <c r="AW114" s="67"/>
      <c r="AX114" s="560"/>
      <c r="AY114" s="67"/>
      <c r="AZ114" s="67"/>
      <c r="BA114" s="67"/>
      <c r="BB114" s="67"/>
      <c r="BC114" s="560"/>
      <c r="BD114" s="67"/>
      <c r="BE114" s="67"/>
      <c r="BF114" s="67"/>
      <c r="BG114" s="67"/>
      <c r="BH114" s="560"/>
      <c r="BI114" s="67"/>
      <c r="BJ114" s="67"/>
      <c r="BK114" s="67"/>
      <c r="BL114" s="67"/>
      <c r="BM114" s="560"/>
      <c r="BN114" s="67"/>
      <c r="BO114" s="67"/>
      <c r="BP114" s="67"/>
      <c r="BQ114" s="67"/>
      <c r="BR114" s="560"/>
      <c r="BS114" s="67"/>
      <c r="BT114" s="67"/>
      <c r="BU114" s="67"/>
      <c r="BV114" s="67"/>
      <c r="BW114" s="560"/>
      <c r="BX114" s="67"/>
      <c r="BY114" s="67"/>
      <c r="BZ114" s="67"/>
      <c r="CA114" s="67"/>
      <c r="CB114" s="560"/>
      <c r="CC114" s="67"/>
      <c r="CD114" s="67"/>
      <c r="CE114" s="67"/>
      <c r="CF114" s="67"/>
      <c r="CG114" s="560"/>
      <c r="CH114" s="67"/>
      <c r="CI114" s="67"/>
      <c r="CJ114" s="67"/>
      <c r="CK114" s="67"/>
      <c r="CL114" s="560"/>
      <c r="CM114" s="67"/>
      <c r="CN114" s="67"/>
      <c r="CO114" s="67"/>
      <c r="CP114" s="67"/>
      <c r="CQ114" s="560"/>
      <c r="CR114" s="67"/>
      <c r="CS114" s="67"/>
      <c r="CT114" s="67"/>
      <c r="CU114" s="67"/>
      <c r="CV114" s="560"/>
      <c r="CW114" s="67"/>
      <c r="CX114" s="67"/>
      <c r="CY114" s="67"/>
      <c r="CZ114" s="67"/>
      <c r="DA114" s="560"/>
      <c r="DB114" s="67"/>
      <c r="DC114" s="67"/>
      <c r="DD114" s="67"/>
      <c r="DE114" s="67"/>
      <c r="DF114" s="560"/>
      <c r="DG114" s="67"/>
      <c r="DH114" s="67"/>
      <c r="DI114" s="67"/>
      <c r="DJ114" s="67"/>
      <c r="DK114" s="560"/>
      <c r="DL114" s="67"/>
      <c r="DM114" s="67"/>
      <c r="DN114" s="67"/>
      <c r="DO114" s="67"/>
      <c r="DP114" s="560"/>
      <c r="DQ114" s="67"/>
      <c r="DR114" s="67"/>
      <c r="DS114" s="67"/>
      <c r="DT114" s="67"/>
      <c r="DU114" s="560"/>
      <c r="DV114" s="67"/>
      <c r="DW114" s="67"/>
      <c r="DX114" s="67"/>
      <c r="DY114" s="67"/>
      <c r="DZ114" s="560"/>
      <c r="EA114" s="67"/>
      <c r="EB114" s="67"/>
      <c r="EC114" s="67"/>
      <c r="ED114" s="67"/>
      <c r="EE114" s="560"/>
      <c r="EF114" s="67"/>
      <c r="EG114" s="67"/>
      <c r="EH114" s="67"/>
      <c r="EI114" s="67"/>
      <c r="EJ114" s="560"/>
      <c r="EK114" s="67"/>
      <c r="EL114" s="67"/>
      <c r="EM114" s="67"/>
      <c r="EN114" s="67"/>
      <c r="EO114" s="455"/>
      <c r="ER114" s="472"/>
      <c r="ES114" s="472"/>
    </row>
    <row r="115" spans="1:149" ht="12.75" hidden="1" customHeight="1" x14ac:dyDescent="0.2">
      <c r="A115" s="442"/>
      <c r="B115" s="442"/>
      <c r="D115" s="455" t="s">
        <v>363</v>
      </c>
      <c r="E115" s="560"/>
      <c r="F115" s="442"/>
      <c r="G115" s="67">
        <f>SUM(G116:G118)</f>
        <v>0</v>
      </c>
      <c r="H115" s="67"/>
      <c r="I115" s="67"/>
      <c r="J115" s="560"/>
      <c r="K115" s="67"/>
      <c r="L115" s="67">
        <f>SUM(L116:L118)</f>
        <v>0</v>
      </c>
      <c r="M115" s="67"/>
      <c r="N115" s="67"/>
      <c r="O115" s="560"/>
      <c r="P115" s="67"/>
      <c r="Q115" s="67">
        <f>SUM(Q116:Q118)</f>
        <v>0</v>
      </c>
      <c r="R115" s="67"/>
      <c r="S115" s="67"/>
      <c r="T115" s="560"/>
      <c r="U115" s="67"/>
      <c r="V115" s="67">
        <f>SUM(V116:V118)</f>
        <v>0</v>
      </c>
      <c r="W115" s="67"/>
      <c r="X115" s="67"/>
      <c r="Y115" s="560"/>
      <c r="Z115" s="67"/>
      <c r="AA115" s="67">
        <f>SUM(AA116:AA118)</f>
        <v>0</v>
      </c>
      <c r="AB115" s="67"/>
      <c r="AC115" s="67"/>
      <c r="AD115" s="560"/>
      <c r="AE115" s="67"/>
      <c r="AF115" s="67">
        <f>SUM(AF116:AF118)</f>
        <v>0</v>
      </c>
      <c r="AG115" s="67"/>
      <c r="AH115" s="67"/>
      <c r="AI115" s="560"/>
      <c r="AJ115" s="67"/>
      <c r="AK115" s="67">
        <f>SUM(AK116:AK118)</f>
        <v>0</v>
      </c>
      <c r="AL115" s="67"/>
      <c r="AM115" s="67"/>
      <c r="AN115" s="560"/>
      <c r="AO115" s="67"/>
      <c r="AP115" s="67">
        <f>SUM(AP116:AP118)</f>
        <v>0</v>
      </c>
      <c r="AQ115" s="67"/>
      <c r="AR115" s="67"/>
      <c r="AS115" s="560"/>
      <c r="AT115" s="67"/>
      <c r="AU115" s="67">
        <f>SUM(AU116:AU118)</f>
        <v>0</v>
      </c>
      <c r="AV115" s="67"/>
      <c r="AW115" s="67"/>
      <c r="AX115" s="560"/>
      <c r="AY115" s="67"/>
      <c r="AZ115" s="67">
        <f>SUM(AZ116:AZ118)</f>
        <v>0</v>
      </c>
      <c r="BA115" s="67"/>
      <c r="BB115" s="67"/>
      <c r="BC115" s="560"/>
      <c r="BD115" s="67"/>
      <c r="BE115" s="67">
        <f>SUM(BE116:BE118)</f>
        <v>0</v>
      </c>
      <c r="BF115" s="67"/>
      <c r="BG115" s="67"/>
      <c r="BH115" s="560"/>
      <c r="BI115" s="67"/>
      <c r="BJ115" s="67">
        <f>SUM(BJ116:BJ118)</f>
        <v>0</v>
      </c>
      <c r="BK115" s="67"/>
      <c r="BL115" s="67"/>
      <c r="BM115" s="560"/>
      <c r="BN115" s="67"/>
      <c r="BO115" s="67">
        <f>SUM(BO116:BO118)</f>
        <v>0</v>
      </c>
      <c r="BP115" s="67"/>
      <c r="BQ115" s="67"/>
      <c r="BR115" s="560"/>
      <c r="BS115" s="67"/>
      <c r="BT115" s="67">
        <f>SUM(BT116:BT118)</f>
        <v>0</v>
      </c>
      <c r="BU115" s="67"/>
      <c r="BV115" s="67"/>
      <c r="BW115" s="560"/>
      <c r="BX115" s="67"/>
      <c r="BY115" s="67">
        <f>SUM(BY116:BY118)</f>
        <v>0</v>
      </c>
      <c r="BZ115" s="67"/>
      <c r="CA115" s="67"/>
      <c r="CB115" s="560"/>
      <c r="CC115" s="67"/>
      <c r="CD115" s="67">
        <f>SUM(CD116:CD118)</f>
        <v>0</v>
      </c>
      <c r="CE115" s="67"/>
      <c r="CF115" s="67"/>
      <c r="CG115" s="560"/>
      <c r="CH115" s="67"/>
      <c r="CI115" s="67">
        <f>SUM(CI116:CI118)</f>
        <v>0</v>
      </c>
      <c r="CJ115" s="67"/>
      <c r="CK115" s="67"/>
      <c r="CL115" s="560"/>
      <c r="CM115" s="67"/>
      <c r="CN115" s="67">
        <f>SUM(CN116:CN118)</f>
        <v>0</v>
      </c>
      <c r="CO115" s="67"/>
      <c r="CP115" s="67"/>
      <c r="CQ115" s="560"/>
      <c r="CR115" s="67"/>
      <c r="CS115" s="67">
        <f>SUM(CS116:CS118)</f>
        <v>0</v>
      </c>
      <c r="CT115" s="67"/>
      <c r="CU115" s="67"/>
      <c r="CV115" s="560"/>
      <c r="CW115" s="67"/>
      <c r="CX115" s="67">
        <f>SUM(CX116:CX118)</f>
        <v>0</v>
      </c>
      <c r="CY115" s="67"/>
      <c r="CZ115" s="67"/>
      <c r="DA115" s="560"/>
      <c r="DB115" s="67"/>
      <c r="DC115" s="67">
        <f>SUM(DC116:DC118)</f>
        <v>0</v>
      </c>
      <c r="DD115" s="67"/>
      <c r="DE115" s="67"/>
      <c r="DF115" s="560"/>
      <c r="DG115" s="67"/>
      <c r="DH115" s="67">
        <f>SUM(DH116:DH118)</f>
        <v>0</v>
      </c>
      <c r="DI115" s="67"/>
      <c r="DJ115" s="67"/>
      <c r="DK115" s="560"/>
      <c r="DL115" s="67"/>
      <c r="DM115" s="67">
        <f>SUM(DM116:DM118)</f>
        <v>0</v>
      </c>
      <c r="DN115" s="67"/>
      <c r="DO115" s="67"/>
      <c r="DP115" s="560"/>
      <c r="DQ115" s="67"/>
      <c r="DR115" s="67">
        <f>SUM(DR116:DR118)</f>
        <v>0</v>
      </c>
      <c r="DS115" s="67"/>
      <c r="DT115" s="67"/>
      <c r="DU115" s="560"/>
      <c r="DV115" s="67"/>
      <c r="DW115" s="67">
        <f>SUM(DW116:DW118)</f>
        <v>0</v>
      </c>
      <c r="DX115" s="67"/>
      <c r="DY115" s="67"/>
      <c r="DZ115" s="560"/>
      <c r="EA115" s="67"/>
      <c r="EB115" s="67">
        <f>SUM(EB116:EB118)</f>
        <v>0</v>
      </c>
      <c r="EC115" s="67"/>
      <c r="ED115" s="67"/>
      <c r="EE115" s="560"/>
      <c r="EF115" s="67"/>
      <c r="EG115" s="67">
        <f>SUM(EG116:EG118)</f>
        <v>0</v>
      </c>
      <c r="EH115" s="67"/>
      <c r="EI115" s="67"/>
      <c r="EJ115" s="560"/>
      <c r="EK115" s="67"/>
      <c r="EL115" s="67">
        <f>SUM(EL116:EL118)</f>
        <v>0</v>
      </c>
      <c r="EM115" s="67"/>
      <c r="EN115" s="67"/>
      <c r="EO115" s="455"/>
      <c r="ER115" s="472"/>
      <c r="ES115" s="472"/>
    </row>
    <row r="116" spans="1:149" ht="12.75" hidden="1" customHeight="1" x14ac:dyDescent="0.2">
      <c r="A116" s="442"/>
      <c r="B116" s="442"/>
      <c r="D116" s="455" t="s">
        <v>342</v>
      </c>
      <c r="E116" s="560"/>
      <c r="F116" s="473"/>
      <c r="G116" s="558">
        <v>0</v>
      </c>
      <c r="H116" s="559"/>
      <c r="I116" s="67"/>
      <c r="J116" s="560"/>
      <c r="K116" s="561"/>
      <c r="L116" s="558">
        <v>0</v>
      </c>
      <c r="M116" s="559"/>
      <c r="N116" s="67"/>
      <c r="O116" s="560"/>
      <c r="P116" s="561"/>
      <c r="Q116" s="558">
        <v>0</v>
      </c>
      <c r="R116" s="559"/>
      <c r="S116" s="67"/>
      <c r="T116" s="560"/>
      <c r="U116" s="561"/>
      <c r="V116" s="558">
        <v>0</v>
      </c>
      <c r="W116" s="559"/>
      <c r="X116" s="67"/>
      <c r="Y116" s="560"/>
      <c r="Z116" s="561"/>
      <c r="AA116" s="558">
        <v>0</v>
      </c>
      <c r="AB116" s="559"/>
      <c r="AC116" s="67"/>
      <c r="AD116" s="560"/>
      <c r="AE116" s="561"/>
      <c r="AF116" s="558">
        <v>0</v>
      </c>
      <c r="AG116" s="559"/>
      <c r="AH116" s="67"/>
      <c r="AI116" s="560"/>
      <c r="AJ116" s="561"/>
      <c r="AK116" s="558">
        <v>0</v>
      </c>
      <c r="AL116" s="559"/>
      <c r="AM116" s="67"/>
      <c r="AN116" s="560"/>
      <c r="AO116" s="561"/>
      <c r="AP116" s="558">
        <v>0</v>
      </c>
      <c r="AQ116" s="559"/>
      <c r="AR116" s="67"/>
      <c r="AS116" s="560"/>
      <c r="AT116" s="561"/>
      <c r="AU116" s="558">
        <v>0</v>
      </c>
      <c r="AV116" s="559"/>
      <c r="AW116" s="67"/>
      <c r="AX116" s="560"/>
      <c r="AY116" s="561"/>
      <c r="AZ116" s="558">
        <v>0</v>
      </c>
      <c r="BA116" s="559"/>
      <c r="BB116" s="67"/>
      <c r="BC116" s="560"/>
      <c r="BD116" s="561"/>
      <c r="BE116" s="558">
        <v>0</v>
      </c>
      <c r="BF116" s="559"/>
      <c r="BG116" s="67"/>
      <c r="BH116" s="560"/>
      <c r="BI116" s="561"/>
      <c r="BJ116" s="558">
        <v>0</v>
      </c>
      <c r="BK116" s="559"/>
      <c r="BL116" s="67"/>
      <c r="BM116" s="560"/>
      <c r="BN116" s="561"/>
      <c r="BO116" s="558">
        <v>0</v>
      </c>
      <c r="BP116" s="559"/>
      <c r="BQ116" s="67"/>
      <c r="BR116" s="560"/>
      <c r="BS116" s="561"/>
      <c r="BT116" s="558">
        <f>SUM(L116:BO116)</f>
        <v>0</v>
      </c>
      <c r="BU116" s="559"/>
      <c r="BV116" s="67"/>
      <c r="BW116" s="560"/>
      <c r="BX116" s="561"/>
      <c r="BY116" s="558">
        <f>SUM(Q116:BT116)</f>
        <v>0</v>
      </c>
      <c r="BZ116" s="559"/>
      <c r="CA116" s="67"/>
      <c r="CB116" s="560"/>
      <c r="CC116" s="561"/>
      <c r="CD116" s="558">
        <v>0</v>
      </c>
      <c r="CE116" s="559"/>
      <c r="CF116" s="67"/>
      <c r="CG116" s="560"/>
      <c r="CH116" s="561"/>
      <c r="CI116" s="558">
        <v>0</v>
      </c>
      <c r="CJ116" s="559"/>
      <c r="CK116" s="67"/>
      <c r="CL116" s="560"/>
      <c r="CM116" s="561"/>
      <c r="CN116" s="558">
        <v>0</v>
      </c>
      <c r="CO116" s="559"/>
      <c r="CP116" s="67"/>
      <c r="CQ116" s="560"/>
      <c r="CR116" s="561"/>
      <c r="CS116" s="558">
        <v>0</v>
      </c>
      <c r="CT116" s="559"/>
      <c r="CU116" s="67"/>
      <c r="CV116" s="560"/>
      <c r="CW116" s="561"/>
      <c r="CX116" s="558">
        <v>0</v>
      </c>
      <c r="CY116" s="559"/>
      <c r="CZ116" s="67"/>
      <c r="DA116" s="560"/>
      <c r="DB116" s="561"/>
      <c r="DC116" s="558">
        <v>0</v>
      </c>
      <c r="DD116" s="559"/>
      <c r="DE116" s="67"/>
      <c r="DF116" s="560"/>
      <c r="DG116" s="561"/>
      <c r="DH116" s="558">
        <v>0</v>
      </c>
      <c r="DI116" s="559"/>
      <c r="DJ116" s="67"/>
      <c r="DK116" s="560"/>
      <c r="DL116" s="561"/>
      <c r="DM116" s="558">
        <v>0</v>
      </c>
      <c r="DN116" s="559"/>
      <c r="DO116" s="67"/>
      <c r="DP116" s="560"/>
      <c r="DQ116" s="561"/>
      <c r="DR116" s="558">
        <v>0</v>
      </c>
      <c r="DS116" s="559"/>
      <c r="DT116" s="67"/>
      <c r="DU116" s="560"/>
      <c r="DV116" s="561"/>
      <c r="DW116" s="558">
        <v>0</v>
      </c>
      <c r="DX116" s="559"/>
      <c r="DY116" s="67"/>
      <c r="DZ116" s="560"/>
      <c r="EA116" s="561"/>
      <c r="EB116" s="558">
        <v>0</v>
      </c>
      <c r="EC116" s="559"/>
      <c r="ED116" s="67"/>
      <c r="EE116" s="560"/>
      <c r="EF116" s="561"/>
      <c r="EG116" s="558">
        <v>0</v>
      </c>
      <c r="EH116" s="559"/>
      <c r="EI116" s="67"/>
      <c r="EJ116" s="560"/>
      <c r="EK116" s="561"/>
      <c r="EL116" s="558">
        <f>SUM(CD116:EG116)</f>
        <v>0</v>
      </c>
      <c r="EM116" s="559"/>
      <c r="EN116" s="67"/>
      <c r="EO116" s="455"/>
      <c r="ER116" s="472"/>
      <c r="ES116" s="472"/>
    </row>
    <row r="117" spans="1:149" ht="12.75" hidden="1" customHeight="1" x14ac:dyDescent="0.2">
      <c r="A117" s="442"/>
      <c r="B117" s="442"/>
      <c r="D117" s="455" t="s">
        <v>344</v>
      </c>
      <c r="E117" s="560"/>
      <c r="F117" s="465"/>
      <c r="G117" s="67">
        <v>0</v>
      </c>
      <c r="H117" s="66"/>
      <c r="I117" s="67"/>
      <c r="J117" s="560"/>
      <c r="K117" s="560"/>
      <c r="L117" s="67">
        <v>0</v>
      </c>
      <c r="M117" s="66"/>
      <c r="N117" s="67"/>
      <c r="O117" s="560"/>
      <c r="P117" s="560"/>
      <c r="Q117" s="67">
        <v>0</v>
      </c>
      <c r="R117" s="66"/>
      <c r="S117" s="67"/>
      <c r="T117" s="560"/>
      <c r="U117" s="560"/>
      <c r="V117" s="67">
        <v>0</v>
      </c>
      <c r="W117" s="66"/>
      <c r="X117" s="67"/>
      <c r="Y117" s="560"/>
      <c r="Z117" s="560"/>
      <c r="AA117" s="67">
        <v>0</v>
      </c>
      <c r="AB117" s="66"/>
      <c r="AC117" s="67"/>
      <c r="AD117" s="560"/>
      <c r="AE117" s="560"/>
      <c r="AF117" s="67">
        <v>0</v>
      </c>
      <c r="AG117" s="66"/>
      <c r="AH117" s="67"/>
      <c r="AI117" s="560"/>
      <c r="AJ117" s="560"/>
      <c r="AK117" s="67">
        <v>0</v>
      </c>
      <c r="AL117" s="66"/>
      <c r="AM117" s="67"/>
      <c r="AN117" s="560"/>
      <c r="AO117" s="560"/>
      <c r="AP117" s="67">
        <v>0</v>
      </c>
      <c r="AQ117" s="66"/>
      <c r="AR117" s="67"/>
      <c r="AS117" s="560"/>
      <c r="AT117" s="560"/>
      <c r="AU117" s="67">
        <v>0</v>
      </c>
      <c r="AV117" s="66"/>
      <c r="AW117" s="67"/>
      <c r="AX117" s="560"/>
      <c r="AY117" s="560"/>
      <c r="AZ117" s="67">
        <v>0</v>
      </c>
      <c r="BA117" s="66"/>
      <c r="BB117" s="67"/>
      <c r="BC117" s="560"/>
      <c r="BD117" s="560"/>
      <c r="BE117" s="67">
        <v>0</v>
      </c>
      <c r="BF117" s="66"/>
      <c r="BG117" s="67"/>
      <c r="BH117" s="560"/>
      <c r="BI117" s="560"/>
      <c r="BJ117" s="67">
        <v>0</v>
      </c>
      <c r="BK117" s="66"/>
      <c r="BL117" s="67"/>
      <c r="BM117" s="560"/>
      <c r="BN117" s="560"/>
      <c r="BO117" s="67">
        <v>0</v>
      </c>
      <c r="BP117" s="66"/>
      <c r="BQ117" s="67"/>
      <c r="BR117" s="560"/>
      <c r="BS117" s="560"/>
      <c r="BT117" s="67">
        <f>SUM(L117:BO117)</f>
        <v>0</v>
      </c>
      <c r="BU117" s="66"/>
      <c r="BV117" s="67"/>
      <c r="BW117" s="560"/>
      <c r="BX117" s="560"/>
      <c r="BY117" s="67">
        <f>SUM(Q117:BT117)</f>
        <v>0</v>
      </c>
      <c r="BZ117" s="66"/>
      <c r="CA117" s="67"/>
      <c r="CB117" s="560"/>
      <c r="CC117" s="560"/>
      <c r="CD117" s="67">
        <v>0</v>
      </c>
      <c r="CE117" s="66"/>
      <c r="CF117" s="67"/>
      <c r="CG117" s="560"/>
      <c r="CH117" s="560"/>
      <c r="CI117" s="67">
        <v>0</v>
      </c>
      <c r="CJ117" s="66"/>
      <c r="CK117" s="67"/>
      <c r="CL117" s="560"/>
      <c r="CM117" s="560"/>
      <c r="CN117" s="67">
        <v>0</v>
      </c>
      <c r="CO117" s="66"/>
      <c r="CP117" s="67"/>
      <c r="CQ117" s="560"/>
      <c r="CR117" s="560"/>
      <c r="CS117" s="67">
        <v>0</v>
      </c>
      <c r="CT117" s="66"/>
      <c r="CU117" s="67"/>
      <c r="CV117" s="560"/>
      <c r="CW117" s="560"/>
      <c r="CX117" s="67">
        <v>0</v>
      </c>
      <c r="CY117" s="66"/>
      <c r="CZ117" s="67"/>
      <c r="DA117" s="560"/>
      <c r="DB117" s="560"/>
      <c r="DC117" s="67">
        <v>0</v>
      </c>
      <c r="DD117" s="66"/>
      <c r="DE117" s="67"/>
      <c r="DF117" s="560"/>
      <c r="DG117" s="560"/>
      <c r="DH117" s="67">
        <v>0</v>
      </c>
      <c r="DI117" s="66"/>
      <c r="DJ117" s="67"/>
      <c r="DK117" s="560"/>
      <c r="DL117" s="560"/>
      <c r="DM117" s="67">
        <v>0</v>
      </c>
      <c r="DN117" s="66"/>
      <c r="DO117" s="67"/>
      <c r="DP117" s="560"/>
      <c r="DQ117" s="560"/>
      <c r="DR117" s="67">
        <v>0</v>
      </c>
      <c r="DS117" s="66"/>
      <c r="DT117" s="67"/>
      <c r="DU117" s="560"/>
      <c r="DV117" s="560"/>
      <c r="DW117" s="67">
        <v>0</v>
      </c>
      <c r="DX117" s="66"/>
      <c r="DY117" s="67"/>
      <c r="DZ117" s="560"/>
      <c r="EA117" s="560"/>
      <c r="EB117" s="67">
        <v>0</v>
      </c>
      <c r="EC117" s="66"/>
      <c r="ED117" s="67"/>
      <c r="EE117" s="560"/>
      <c r="EF117" s="560"/>
      <c r="EG117" s="67">
        <v>0</v>
      </c>
      <c r="EH117" s="66"/>
      <c r="EI117" s="67"/>
      <c r="EJ117" s="560"/>
      <c r="EK117" s="560"/>
      <c r="EL117" s="67">
        <f>SUM(CD117:EG117)</f>
        <v>0</v>
      </c>
      <c r="EM117" s="66"/>
      <c r="EN117" s="67"/>
      <c r="EO117" s="455"/>
      <c r="ER117" s="472"/>
      <c r="ES117" s="472"/>
    </row>
    <row r="118" spans="1:149" ht="12.75" hidden="1" customHeight="1" x14ac:dyDescent="0.2">
      <c r="A118" s="442"/>
      <c r="B118" s="442"/>
      <c r="D118" s="455" t="s">
        <v>352</v>
      </c>
      <c r="E118" s="560"/>
      <c r="F118" s="488"/>
      <c r="G118" s="113">
        <v>0</v>
      </c>
      <c r="H118" s="112"/>
      <c r="I118" s="67"/>
      <c r="J118" s="560"/>
      <c r="K118" s="569"/>
      <c r="L118" s="113">
        <v>0</v>
      </c>
      <c r="M118" s="112"/>
      <c r="N118" s="67"/>
      <c r="O118" s="560"/>
      <c r="P118" s="569"/>
      <c r="Q118" s="113">
        <v>0</v>
      </c>
      <c r="R118" s="112"/>
      <c r="S118" s="67"/>
      <c r="T118" s="560"/>
      <c r="U118" s="569"/>
      <c r="V118" s="113">
        <v>0</v>
      </c>
      <c r="W118" s="112"/>
      <c r="X118" s="67"/>
      <c r="Y118" s="560"/>
      <c r="Z118" s="569"/>
      <c r="AA118" s="113">
        <v>0</v>
      </c>
      <c r="AB118" s="112"/>
      <c r="AC118" s="67"/>
      <c r="AD118" s="560"/>
      <c r="AE118" s="569"/>
      <c r="AF118" s="113">
        <v>0</v>
      </c>
      <c r="AG118" s="112"/>
      <c r="AH118" s="67"/>
      <c r="AI118" s="560"/>
      <c r="AJ118" s="569"/>
      <c r="AK118" s="113">
        <v>0</v>
      </c>
      <c r="AL118" s="112"/>
      <c r="AM118" s="67"/>
      <c r="AN118" s="560"/>
      <c r="AO118" s="569"/>
      <c r="AP118" s="113">
        <v>0</v>
      </c>
      <c r="AQ118" s="112"/>
      <c r="AR118" s="67"/>
      <c r="AS118" s="560"/>
      <c r="AT118" s="569"/>
      <c r="AU118" s="113">
        <v>0</v>
      </c>
      <c r="AV118" s="112"/>
      <c r="AW118" s="67"/>
      <c r="AX118" s="560"/>
      <c r="AY118" s="569"/>
      <c r="AZ118" s="113">
        <v>0</v>
      </c>
      <c r="BA118" s="112"/>
      <c r="BB118" s="67"/>
      <c r="BC118" s="560"/>
      <c r="BD118" s="569"/>
      <c r="BE118" s="113">
        <v>0</v>
      </c>
      <c r="BF118" s="112"/>
      <c r="BG118" s="67"/>
      <c r="BH118" s="560"/>
      <c r="BI118" s="569"/>
      <c r="BJ118" s="113">
        <v>0</v>
      </c>
      <c r="BK118" s="112"/>
      <c r="BL118" s="67"/>
      <c r="BM118" s="560"/>
      <c r="BN118" s="569"/>
      <c r="BO118" s="113">
        <v>0</v>
      </c>
      <c r="BP118" s="112"/>
      <c r="BQ118" s="67"/>
      <c r="BR118" s="560"/>
      <c r="BS118" s="569"/>
      <c r="BT118" s="113">
        <f>SUM(L118:BO118)</f>
        <v>0</v>
      </c>
      <c r="BU118" s="112"/>
      <c r="BV118" s="67"/>
      <c r="BW118" s="560"/>
      <c r="BX118" s="569"/>
      <c r="BY118" s="113">
        <f>SUM(Q118:BT118)</f>
        <v>0</v>
      </c>
      <c r="BZ118" s="112"/>
      <c r="CA118" s="67"/>
      <c r="CB118" s="560"/>
      <c r="CC118" s="569"/>
      <c r="CD118" s="113">
        <v>0</v>
      </c>
      <c r="CE118" s="112"/>
      <c r="CF118" s="67"/>
      <c r="CG118" s="560"/>
      <c r="CH118" s="569"/>
      <c r="CI118" s="113">
        <v>0</v>
      </c>
      <c r="CJ118" s="112"/>
      <c r="CK118" s="67"/>
      <c r="CL118" s="560"/>
      <c r="CM118" s="569"/>
      <c r="CN118" s="113">
        <v>0</v>
      </c>
      <c r="CO118" s="112"/>
      <c r="CP118" s="67"/>
      <c r="CQ118" s="560"/>
      <c r="CR118" s="569"/>
      <c r="CS118" s="113">
        <v>0</v>
      </c>
      <c r="CT118" s="112"/>
      <c r="CU118" s="67"/>
      <c r="CV118" s="560"/>
      <c r="CW118" s="569"/>
      <c r="CX118" s="113">
        <v>0</v>
      </c>
      <c r="CY118" s="112"/>
      <c r="CZ118" s="67"/>
      <c r="DA118" s="560"/>
      <c r="DB118" s="569"/>
      <c r="DC118" s="113">
        <v>0</v>
      </c>
      <c r="DD118" s="112"/>
      <c r="DE118" s="67"/>
      <c r="DF118" s="560"/>
      <c r="DG118" s="569"/>
      <c r="DH118" s="113">
        <v>0</v>
      </c>
      <c r="DI118" s="112"/>
      <c r="DJ118" s="67"/>
      <c r="DK118" s="560"/>
      <c r="DL118" s="569"/>
      <c r="DM118" s="113">
        <v>0</v>
      </c>
      <c r="DN118" s="112"/>
      <c r="DO118" s="67"/>
      <c r="DP118" s="560"/>
      <c r="DQ118" s="569"/>
      <c r="DR118" s="113">
        <v>0</v>
      </c>
      <c r="DS118" s="112"/>
      <c r="DT118" s="67"/>
      <c r="DU118" s="560"/>
      <c r="DV118" s="569"/>
      <c r="DW118" s="113">
        <v>0</v>
      </c>
      <c r="DX118" s="112"/>
      <c r="DY118" s="67"/>
      <c r="DZ118" s="560"/>
      <c r="EA118" s="569"/>
      <c r="EB118" s="113">
        <v>0</v>
      </c>
      <c r="EC118" s="112"/>
      <c r="ED118" s="67"/>
      <c r="EE118" s="560"/>
      <c r="EF118" s="569"/>
      <c r="EG118" s="113">
        <v>0</v>
      </c>
      <c r="EH118" s="112"/>
      <c r="EI118" s="67"/>
      <c r="EJ118" s="560"/>
      <c r="EK118" s="569"/>
      <c r="EL118" s="113">
        <f>SUM(CD118:EG118)</f>
        <v>0</v>
      </c>
      <c r="EM118" s="112"/>
      <c r="EN118" s="67"/>
      <c r="EO118" s="455"/>
      <c r="ER118" s="472"/>
      <c r="ES118" s="472"/>
    </row>
    <row r="119" spans="1:149" ht="12.75" hidden="1" customHeight="1" x14ac:dyDescent="0.2">
      <c r="A119" s="442"/>
      <c r="B119" s="442"/>
      <c r="D119" s="455"/>
      <c r="E119" s="560"/>
      <c r="F119" s="442"/>
      <c r="G119" s="67"/>
      <c r="H119" s="67"/>
      <c r="I119" s="67"/>
      <c r="J119" s="560"/>
      <c r="K119" s="67"/>
      <c r="L119" s="67"/>
      <c r="M119" s="67"/>
      <c r="N119" s="67"/>
      <c r="O119" s="560"/>
      <c r="P119" s="67"/>
      <c r="Q119" s="67"/>
      <c r="R119" s="67"/>
      <c r="S119" s="67"/>
      <c r="T119" s="560"/>
      <c r="U119" s="67"/>
      <c r="V119" s="67"/>
      <c r="W119" s="67"/>
      <c r="X119" s="67"/>
      <c r="Y119" s="560"/>
      <c r="Z119" s="67"/>
      <c r="AA119" s="67"/>
      <c r="AB119" s="67"/>
      <c r="AC119" s="67"/>
      <c r="AD119" s="560"/>
      <c r="AE119" s="67"/>
      <c r="AF119" s="67"/>
      <c r="AG119" s="67"/>
      <c r="AH119" s="67"/>
      <c r="AI119" s="560"/>
      <c r="AJ119" s="67"/>
      <c r="AK119" s="67"/>
      <c r="AL119" s="67"/>
      <c r="AM119" s="67"/>
      <c r="AN119" s="560"/>
      <c r="AO119" s="67"/>
      <c r="AP119" s="67"/>
      <c r="AQ119" s="67"/>
      <c r="AR119" s="67"/>
      <c r="AS119" s="560"/>
      <c r="AT119" s="67"/>
      <c r="AU119" s="67"/>
      <c r="AV119" s="67"/>
      <c r="AW119" s="67"/>
      <c r="AX119" s="560"/>
      <c r="AY119" s="67"/>
      <c r="AZ119" s="67"/>
      <c r="BA119" s="67"/>
      <c r="BB119" s="67"/>
      <c r="BC119" s="560"/>
      <c r="BD119" s="67"/>
      <c r="BE119" s="67"/>
      <c r="BF119" s="67"/>
      <c r="BG119" s="67"/>
      <c r="BH119" s="560"/>
      <c r="BI119" s="67"/>
      <c r="BJ119" s="67"/>
      <c r="BK119" s="67"/>
      <c r="BL119" s="67"/>
      <c r="BM119" s="560"/>
      <c r="BN119" s="67"/>
      <c r="BO119" s="67"/>
      <c r="BP119" s="67"/>
      <c r="BQ119" s="67"/>
      <c r="BR119" s="560"/>
      <c r="BS119" s="67"/>
      <c r="BT119" s="67"/>
      <c r="BU119" s="67"/>
      <c r="BV119" s="67"/>
      <c r="BW119" s="560"/>
      <c r="BX119" s="67"/>
      <c r="BY119" s="67"/>
      <c r="BZ119" s="67"/>
      <c r="CA119" s="67"/>
      <c r="CB119" s="560"/>
      <c r="CC119" s="67"/>
      <c r="CD119" s="67"/>
      <c r="CE119" s="67"/>
      <c r="CF119" s="67"/>
      <c r="CG119" s="560"/>
      <c r="CH119" s="67"/>
      <c r="CI119" s="67"/>
      <c r="CJ119" s="67"/>
      <c r="CK119" s="67"/>
      <c r="CL119" s="560"/>
      <c r="CM119" s="67"/>
      <c r="CN119" s="67"/>
      <c r="CO119" s="67"/>
      <c r="CP119" s="67"/>
      <c r="CQ119" s="560"/>
      <c r="CR119" s="67"/>
      <c r="CS119" s="67"/>
      <c r="CT119" s="67"/>
      <c r="CU119" s="67"/>
      <c r="CV119" s="560"/>
      <c r="CW119" s="67"/>
      <c r="CX119" s="67"/>
      <c r="CY119" s="67"/>
      <c r="CZ119" s="67"/>
      <c r="DA119" s="560"/>
      <c r="DB119" s="67"/>
      <c r="DC119" s="67"/>
      <c r="DD119" s="67"/>
      <c r="DE119" s="67"/>
      <c r="DF119" s="560"/>
      <c r="DG119" s="67"/>
      <c r="DH119" s="67"/>
      <c r="DI119" s="67"/>
      <c r="DJ119" s="67"/>
      <c r="DK119" s="560"/>
      <c r="DL119" s="67"/>
      <c r="DM119" s="67"/>
      <c r="DN119" s="67"/>
      <c r="DO119" s="67"/>
      <c r="DP119" s="560"/>
      <c r="DQ119" s="67"/>
      <c r="DR119" s="67"/>
      <c r="DS119" s="67"/>
      <c r="DT119" s="67"/>
      <c r="DU119" s="560"/>
      <c r="DV119" s="67"/>
      <c r="DW119" s="67"/>
      <c r="DX119" s="67"/>
      <c r="DY119" s="67"/>
      <c r="DZ119" s="560"/>
      <c r="EA119" s="67"/>
      <c r="EB119" s="67"/>
      <c r="EC119" s="67"/>
      <c r="ED119" s="67"/>
      <c r="EE119" s="560"/>
      <c r="EF119" s="67"/>
      <c r="EG119" s="67"/>
      <c r="EH119" s="67"/>
      <c r="EI119" s="67"/>
      <c r="EJ119" s="560"/>
      <c r="EK119" s="67"/>
      <c r="EL119" s="67"/>
      <c r="EM119" s="67"/>
      <c r="EN119" s="67"/>
      <c r="EO119" s="455"/>
      <c r="ER119" s="472"/>
      <c r="ES119" s="472"/>
    </row>
    <row r="120" spans="1:149" x14ac:dyDescent="0.2">
      <c r="A120" s="442"/>
      <c r="B120" s="442"/>
      <c r="D120" s="455" t="s">
        <v>364</v>
      </c>
      <c r="E120" s="560"/>
      <c r="F120" s="442"/>
      <c r="G120" s="67">
        <f>SUM(G121:G123)</f>
        <v>0</v>
      </c>
      <c r="H120" s="67"/>
      <c r="I120" s="67"/>
      <c r="J120" s="560"/>
      <c r="K120" s="67"/>
      <c r="L120" s="67">
        <f>SUM(L121:L123)</f>
        <v>0</v>
      </c>
      <c r="M120" s="67"/>
      <c r="N120" s="67"/>
      <c r="O120" s="560"/>
      <c r="P120" s="67"/>
      <c r="Q120" s="67">
        <f>SUM(Q121:Q123)</f>
        <v>0</v>
      </c>
      <c r="R120" s="67"/>
      <c r="S120" s="67"/>
      <c r="T120" s="560"/>
      <c r="U120" s="67"/>
      <c r="V120" s="67">
        <f>SUM(V121:V123)</f>
        <v>0</v>
      </c>
      <c r="W120" s="67"/>
      <c r="X120" s="67"/>
      <c r="Y120" s="560"/>
      <c r="Z120" s="67"/>
      <c r="AA120" s="67">
        <f>SUM(AA121:AA123)</f>
        <v>0</v>
      </c>
      <c r="AB120" s="67"/>
      <c r="AC120" s="67"/>
      <c r="AD120" s="560"/>
      <c r="AE120" s="67"/>
      <c r="AF120" s="67">
        <f>SUM(AF121:AF123)</f>
        <v>0</v>
      </c>
      <c r="AG120" s="67"/>
      <c r="AH120" s="67"/>
      <c r="AI120" s="560"/>
      <c r="AJ120" s="67"/>
      <c r="AK120" s="67">
        <f>SUM(AK121:AK123)</f>
        <v>0</v>
      </c>
      <c r="AL120" s="67"/>
      <c r="AM120" s="67"/>
      <c r="AN120" s="560"/>
      <c r="AO120" s="67"/>
      <c r="AP120" s="67">
        <f>SUM(AP121:AP123)</f>
        <v>0</v>
      </c>
      <c r="AQ120" s="67"/>
      <c r="AR120" s="67"/>
      <c r="AS120" s="560"/>
      <c r="AT120" s="67"/>
      <c r="AU120" s="67">
        <f>SUM(AU121:AU123)</f>
        <v>0</v>
      </c>
      <c r="AV120" s="67"/>
      <c r="AW120" s="67"/>
      <c r="AX120" s="560"/>
      <c r="AY120" s="67"/>
      <c r="AZ120" s="67">
        <f>SUM(AZ121:AZ123)</f>
        <v>0</v>
      </c>
      <c r="BA120" s="67"/>
      <c r="BB120" s="67"/>
      <c r="BC120" s="560"/>
      <c r="BD120" s="67"/>
      <c r="BE120" s="67">
        <f>SUM(BE121:BE123)</f>
        <v>0</v>
      </c>
      <c r="BF120" s="67"/>
      <c r="BG120" s="67"/>
      <c r="BH120" s="560"/>
      <c r="BI120" s="67"/>
      <c r="BJ120" s="67">
        <f>SUM(BJ121:BJ123)</f>
        <v>0</v>
      </c>
      <c r="BK120" s="67"/>
      <c r="BL120" s="67"/>
      <c r="BM120" s="560"/>
      <c r="BN120" s="67"/>
      <c r="BO120" s="67">
        <f>SUM(BO121:BO123)</f>
        <v>0</v>
      </c>
      <c r="BP120" s="67"/>
      <c r="BQ120" s="67"/>
      <c r="BR120" s="560"/>
      <c r="BS120" s="67"/>
      <c r="BT120" s="67">
        <f>SUM(BT121:BT123)</f>
        <v>0</v>
      </c>
      <c r="BU120" s="67"/>
      <c r="BV120" s="67"/>
      <c r="BW120" s="560"/>
      <c r="BX120" s="67"/>
      <c r="BY120" s="67">
        <f>SUM(BY121:BY123)</f>
        <v>22156177</v>
      </c>
      <c r="BZ120" s="67"/>
      <c r="CA120" s="67"/>
      <c r="CB120" s="560"/>
      <c r="CC120" s="67"/>
      <c r="CD120" s="67">
        <f>SUM(CD121:CD123)</f>
        <v>2119000</v>
      </c>
      <c r="CE120" s="67"/>
      <c r="CF120" s="67"/>
      <c r="CG120" s="560"/>
      <c r="CH120" s="67"/>
      <c r="CI120" s="67">
        <f>SUM(CI121:CI123)</f>
        <v>1103177</v>
      </c>
      <c r="CJ120" s="67"/>
      <c r="CK120" s="67"/>
      <c r="CL120" s="560"/>
      <c r="CM120" s="67"/>
      <c r="CN120" s="67">
        <f>SUM(CN121:CN123)</f>
        <v>2200000</v>
      </c>
      <c r="CO120" s="67"/>
      <c r="CP120" s="67"/>
      <c r="CQ120" s="560"/>
      <c r="CR120" s="67"/>
      <c r="CS120" s="67">
        <f>SUM(CS121:CS123)</f>
        <v>546000</v>
      </c>
      <c r="CT120" s="67"/>
      <c r="CU120" s="67"/>
      <c r="CV120" s="560"/>
      <c r="CW120" s="67"/>
      <c r="CX120" s="67">
        <f>SUM(CX121:CX123)</f>
        <v>4875000</v>
      </c>
      <c r="CY120" s="67"/>
      <c r="CZ120" s="67"/>
      <c r="DA120" s="560"/>
      <c r="DB120" s="67"/>
      <c r="DC120" s="67">
        <f>SUM(DC121:DC123)</f>
        <v>2264000</v>
      </c>
      <c r="DD120" s="67"/>
      <c r="DE120" s="67"/>
      <c r="DF120" s="560"/>
      <c r="DG120" s="67"/>
      <c r="DH120" s="67">
        <f>SUM(DH121:DH123)</f>
        <v>0</v>
      </c>
      <c r="DI120" s="67"/>
      <c r="DJ120" s="67"/>
      <c r="DK120" s="560"/>
      <c r="DL120" s="67"/>
      <c r="DM120" s="67">
        <f>SUM(DM121:DM123)</f>
        <v>2263000</v>
      </c>
      <c r="DN120" s="67"/>
      <c r="DO120" s="67"/>
      <c r="DP120" s="560"/>
      <c r="DQ120" s="67"/>
      <c r="DR120" s="67">
        <f>SUM(DR121:DR123)</f>
        <v>4524000</v>
      </c>
      <c r="DS120" s="67"/>
      <c r="DT120" s="67"/>
      <c r="DU120" s="560"/>
      <c r="DV120" s="67"/>
      <c r="DW120" s="67">
        <f>SUM(DW121:DW123)</f>
        <v>0</v>
      </c>
      <c r="DX120" s="67"/>
      <c r="DY120" s="67"/>
      <c r="DZ120" s="560"/>
      <c r="EA120" s="67"/>
      <c r="EB120" s="67">
        <f>SUM(EB121:EB123)</f>
        <v>2262000</v>
      </c>
      <c r="EC120" s="67"/>
      <c r="ED120" s="67"/>
      <c r="EE120" s="560"/>
      <c r="EF120" s="67"/>
      <c r="EG120" s="67">
        <f>SUM(EG121:EG123)</f>
        <v>0</v>
      </c>
      <c r="EH120" s="67"/>
      <c r="EI120" s="67"/>
      <c r="EJ120" s="560"/>
      <c r="EK120" s="67"/>
      <c r="EL120" s="67">
        <f>SUM(EL121:EL123)</f>
        <v>3222177</v>
      </c>
      <c r="EM120" s="67"/>
      <c r="EN120" s="67"/>
      <c r="EO120" s="455"/>
      <c r="ER120" s="472"/>
      <c r="ES120" s="472"/>
    </row>
    <row r="121" spans="1:149" x14ac:dyDescent="0.2">
      <c r="A121" s="442"/>
      <c r="B121" s="442"/>
      <c r="D121" s="455" t="s">
        <v>342</v>
      </c>
      <c r="E121" s="560"/>
      <c r="F121" s="473"/>
      <c r="G121" s="558">
        <v>0</v>
      </c>
      <c r="H121" s="559"/>
      <c r="I121" s="67"/>
      <c r="J121" s="560"/>
      <c r="K121" s="561"/>
      <c r="L121" s="558">
        <v>0</v>
      </c>
      <c r="M121" s="559"/>
      <c r="N121" s="67"/>
      <c r="O121" s="560"/>
      <c r="P121" s="561"/>
      <c r="Q121" s="558">
        <v>0</v>
      </c>
      <c r="R121" s="559"/>
      <c r="S121" s="67"/>
      <c r="T121" s="560"/>
      <c r="U121" s="561"/>
      <c r="V121" s="558">
        <v>0</v>
      </c>
      <c r="W121" s="559"/>
      <c r="X121" s="67"/>
      <c r="Y121" s="560"/>
      <c r="Z121" s="561"/>
      <c r="AA121" s="558">
        <v>0</v>
      </c>
      <c r="AB121" s="559"/>
      <c r="AC121" s="67"/>
      <c r="AD121" s="560"/>
      <c r="AE121" s="561"/>
      <c r="AF121" s="558">
        <v>0</v>
      </c>
      <c r="AG121" s="559"/>
      <c r="AH121" s="67"/>
      <c r="AI121" s="560"/>
      <c r="AJ121" s="561"/>
      <c r="AK121" s="558">
        <v>0</v>
      </c>
      <c r="AL121" s="559"/>
      <c r="AM121" s="67"/>
      <c r="AN121" s="560"/>
      <c r="AO121" s="561"/>
      <c r="AP121" s="558">
        <v>0</v>
      </c>
      <c r="AQ121" s="559"/>
      <c r="AR121" s="67"/>
      <c r="AS121" s="560"/>
      <c r="AT121" s="561"/>
      <c r="AU121" s="558">
        <v>0</v>
      </c>
      <c r="AV121" s="559"/>
      <c r="AW121" s="67"/>
      <c r="AX121" s="560"/>
      <c r="AY121" s="561"/>
      <c r="AZ121" s="558">
        <v>0</v>
      </c>
      <c r="BA121" s="559"/>
      <c r="BB121" s="67"/>
      <c r="BC121" s="560"/>
      <c r="BD121" s="561"/>
      <c r="BE121" s="558">
        <v>0</v>
      </c>
      <c r="BF121" s="559"/>
      <c r="BG121" s="67"/>
      <c r="BH121" s="560"/>
      <c r="BI121" s="561"/>
      <c r="BJ121" s="558">
        <v>0</v>
      </c>
      <c r="BK121" s="559"/>
      <c r="BL121" s="67"/>
      <c r="BM121" s="560"/>
      <c r="BN121" s="561"/>
      <c r="BO121" s="558">
        <v>0</v>
      </c>
      <c r="BP121" s="559"/>
      <c r="BQ121" s="67"/>
      <c r="BR121" s="560"/>
      <c r="BS121" s="561"/>
      <c r="BT121" s="558">
        <f>SUM(L121:BO121)</f>
        <v>0</v>
      </c>
      <c r="BU121" s="559"/>
      <c r="BV121" s="67"/>
      <c r="BW121" s="560"/>
      <c r="BX121" s="561"/>
      <c r="BY121" s="558">
        <v>20301382</v>
      </c>
      <c r="BZ121" s="559"/>
      <c r="CA121" s="67"/>
      <c r="CB121" s="560"/>
      <c r="CC121" s="561"/>
      <c r="CD121" s="558">
        <f>2119000-135529</f>
        <v>1983471</v>
      </c>
      <c r="CE121" s="559"/>
      <c r="CF121" s="67"/>
      <c r="CG121" s="560"/>
      <c r="CH121" s="561"/>
      <c r="CI121" s="558">
        <f>1103177-72711</f>
        <v>1030466</v>
      </c>
      <c r="CJ121" s="559"/>
      <c r="CK121" s="67"/>
      <c r="CL121" s="560"/>
      <c r="CM121" s="561"/>
      <c r="CN121" s="558">
        <f>2200000-173807</f>
        <v>2026193</v>
      </c>
      <c r="CO121" s="559"/>
      <c r="CP121" s="67"/>
      <c r="CQ121" s="560"/>
      <c r="CR121" s="561"/>
      <c r="CS121" s="558">
        <f>546000-44754</f>
        <v>501246</v>
      </c>
      <c r="CT121" s="559"/>
      <c r="CU121" s="67"/>
      <c r="CV121" s="560"/>
      <c r="CW121" s="561"/>
      <c r="CX121" s="558">
        <f>4875000-417052</f>
        <v>4457948</v>
      </c>
      <c r="CY121" s="559"/>
      <c r="CZ121" s="67"/>
      <c r="DA121" s="560"/>
      <c r="DB121" s="561"/>
      <c r="DC121" s="558">
        <f>2264000-156357</f>
        <v>2107643</v>
      </c>
      <c r="DD121" s="559"/>
      <c r="DE121" s="67"/>
      <c r="DF121" s="560"/>
      <c r="DG121" s="561"/>
      <c r="DH121" s="558">
        <v>0</v>
      </c>
      <c r="DI121" s="559"/>
      <c r="DJ121" s="67"/>
      <c r="DK121" s="560"/>
      <c r="DL121" s="561"/>
      <c r="DM121" s="558">
        <f>2263000-209425</f>
        <v>2053575</v>
      </c>
      <c r="DN121" s="559"/>
      <c r="DO121" s="67"/>
      <c r="DP121" s="560"/>
      <c r="DQ121" s="561"/>
      <c r="DR121" s="558">
        <f>4524000-451972</f>
        <v>4072028</v>
      </c>
      <c r="DS121" s="559"/>
      <c r="DT121" s="67"/>
      <c r="DU121" s="560"/>
      <c r="DV121" s="561"/>
      <c r="DW121" s="558">
        <v>0</v>
      </c>
      <c r="DX121" s="559"/>
      <c r="DY121" s="67"/>
      <c r="DZ121" s="560"/>
      <c r="EA121" s="561"/>
      <c r="EB121" s="558">
        <f>2262000-193188</f>
        <v>2068812</v>
      </c>
      <c r="EC121" s="559"/>
      <c r="ED121" s="67"/>
      <c r="EE121" s="560"/>
      <c r="EF121" s="561"/>
      <c r="EG121" s="558">
        <v>0</v>
      </c>
      <c r="EH121" s="559"/>
      <c r="EI121" s="67"/>
      <c r="EJ121" s="560"/>
      <c r="EK121" s="561"/>
      <c r="EL121" s="558">
        <f>SUM(CD121:CI121)</f>
        <v>3013937</v>
      </c>
      <c r="EM121" s="559"/>
      <c r="EN121" s="67"/>
      <c r="EO121" s="455"/>
      <c r="ER121" s="472"/>
      <c r="ES121" s="472"/>
    </row>
    <row r="122" spans="1:149" x14ac:dyDescent="0.2">
      <c r="A122" s="442"/>
      <c r="B122" s="442"/>
      <c r="D122" s="455" t="s">
        <v>344</v>
      </c>
      <c r="E122" s="560"/>
      <c r="F122" s="465"/>
      <c r="G122" s="67">
        <v>0</v>
      </c>
      <c r="H122" s="66"/>
      <c r="I122" s="67"/>
      <c r="J122" s="560"/>
      <c r="K122" s="560"/>
      <c r="L122" s="67">
        <v>0</v>
      </c>
      <c r="M122" s="66"/>
      <c r="N122" s="67"/>
      <c r="O122" s="560"/>
      <c r="P122" s="560"/>
      <c r="Q122" s="67">
        <v>0</v>
      </c>
      <c r="R122" s="66"/>
      <c r="S122" s="67"/>
      <c r="T122" s="560"/>
      <c r="U122" s="560"/>
      <c r="V122" s="67">
        <v>0</v>
      </c>
      <c r="W122" s="66"/>
      <c r="X122" s="67"/>
      <c r="Y122" s="560"/>
      <c r="Z122" s="560"/>
      <c r="AA122" s="67">
        <v>0</v>
      </c>
      <c r="AB122" s="66"/>
      <c r="AC122" s="67"/>
      <c r="AD122" s="560"/>
      <c r="AE122" s="560"/>
      <c r="AF122" s="67">
        <v>0</v>
      </c>
      <c r="AG122" s="66"/>
      <c r="AH122" s="67"/>
      <c r="AI122" s="560"/>
      <c r="AJ122" s="560"/>
      <c r="AK122" s="67">
        <v>0</v>
      </c>
      <c r="AL122" s="66"/>
      <c r="AM122" s="67"/>
      <c r="AN122" s="560"/>
      <c r="AO122" s="560"/>
      <c r="AP122" s="67">
        <v>0</v>
      </c>
      <c r="AQ122" s="66"/>
      <c r="AR122" s="67"/>
      <c r="AS122" s="560"/>
      <c r="AT122" s="560"/>
      <c r="AU122" s="67">
        <v>0</v>
      </c>
      <c r="AV122" s="66"/>
      <c r="AW122" s="67"/>
      <c r="AX122" s="560"/>
      <c r="AY122" s="560"/>
      <c r="AZ122" s="67">
        <v>0</v>
      </c>
      <c r="BA122" s="66"/>
      <c r="BB122" s="67"/>
      <c r="BC122" s="560"/>
      <c r="BD122" s="560"/>
      <c r="BE122" s="67">
        <v>0</v>
      </c>
      <c r="BF122" s="66"/>
      <c r="BG122" s="67"/>
      <c r="BH122" s="560"/>
      <c r="BI122" s="560"/>
      <c r="BJ122" s="67">
        <v>0</v>
      </c>
      <c r="BK122" s="66"/>
      <c r="BL122" s="67"/>
      <c r="BM122" s="560"/>
      <c r="BN122" s="560"/>
      <c r="BO122" s="67">
        <v>0</v>
      </c>
      <c r="BP122" s="66"/>
      <c r="BQ122" s="67"/>
      <c r="BR122" s="560"/>
      <c r="BS122" s="560"/>
      <c r="BT122" s="67">
        <f>SUM(L122:BO122)</f>
        <v>0</v>
      </c>
      <c r="BU122" s="66"/>
      <c r="BV122" s="67"/>
      <c r="BW122" s="560"/>
      <c r="BX122" s="560"/>
      <c r="BY122" s="67">
        <v>1854795</v>
      </c>
      <c r="BZ122" s="66"/>
      <c r="CA122" s="67"/>
      <c r="CB122" s="560"/>
      <c r="CC122" s="560"/>
      <c r="CD122" s="67">
        <v>135529</v>
      </c>
      <c r="CE122" s="66"/>
      <c r="CF122" s="67"/>
      <c r="CG122" s="560"/>
      <c r="CH122" s="560"/>
      <c r="CI122" s="67">
        <v>72711</v>
      </c>
      <c r="CJ122" s="66"/>
      <c r="CK122" s="67"/>
      <c r="CL122" s="560"/>
      <c r="CM122" s="560"/>
      <c r="CN122" s="67">
        <v>173807</v>
      </c>
      <c r="CO122" s="66"/>
      <c r="CP122" s="67"/>
      <c r="CQ122" s="560"/>
      <c r="CR122" s="560"/>
      <c r="CS122" s="67">
        <v>44754</v>
      </c>
      <c r="CT122" s="66"/>
      <c r="CU122" s="67"/>
      <c r="CV122" s="560"/>
      <c r="CW122" s="560"/>
      <c r="CX122" s="67">
        <v>417052</v>
      </c>
      <c r="CY122" s="66"/>
      <c r="CZ122" s="67"/>
      <c r="DA122" s="560"/>
      <c r="DB122" s="560"/>
      <c r="DC122" s="67">
        <v>156357</v>
      </c>
      <c r="DD122" s="66"/>
      <c r="DE122" s="67"/>
      <c r="DF122" s="560"/>
      <c r="DG122" s="560"/>
      <c r="DH122" s="67">
        <v>0</v>
      </c>
      <c r="DI122" s="66"/>
      <c r="DJ122" s="67"/>
      <c r="DK122" s="560"/>
      <c r="DL122" s="560"/>
      <c r="DM122" s="67">
        <v>209425</v>
      </c>
      <c r="DN122" s="66"/>
      <c r="DO122" s="67"/>
      <c r="DP122" s="560"/>
      <c r="DQ122" s="560"/>
      <c r="DR122" s="67">
        <v>451972</v>
      </c>
      <c r="DS122" s="66"/>
      <c r="DT122" s="67"/>
      <c r="DU122" s="560"/>
      <c r="DV122" s="560"/>
      <c r="DW122" s="67">
        <v>0</v>
      </c>
      <c r="DX122" s="66"/>
      <c r="DY122" s="67"/>
      <c r="DZ122" s="560"/>
      <c r="EA122" s="560"/>
      <c r="EB122" s="67">
        <v>193188</v>
      </c>
      <c r="EC122" s="66"/>
      <c r="ED122" s="67"/>
      <c r="EE122" s="560"/>
      <c r="EF122" s="560"/>
      <c r="EG122" s="67">
        <v>0</v>
      </c>
      <c r="EH122" s="66"/>
      <c r="EI122" s="67"/>
      <c r="EJ122" s="560"/>
      <c r="EK122" s="560"/>
      <c r="EL122" s="67">
        <f>SUM(CD122:CI122)</f>
        <v>208240</v>
      </c>
      <c r="EM122" s="66"/>
      <c r="EN122" s="67"/>
      <c r="EO122" s="455"/>
      <c r="ER122" s="472"/>
      <c r="ES122" s="472"/>
    </row>
    <row r="123" spans="1:149" x14ac:dyDescent="0.2">
      <c r="A123" s="442"/>
      <c r="B123" s="442"/>
      <c r="D123" s="455" t="s">
        <v>352</v>
      </c>
      <c r="E123" s="560"/>
      <c r="F123" s="488"/>
      <c r="G123" s="113">
        <v>0</v>
      </c>
      <c r="H123" s="112"/>
      <c r="I123" s="67"/>
      <c r="J123" s="560"/>
      <c r="K123" s="569"/>
      <c r="L123" s="113">
        <v>0</v>
      </c>
      <c r="M123" s="112"/>
      <c r="N123" s="67"/>
      <c r="O123" s="560"/>
      <c r="P123" s="569"/>
      <c r="Q123" s="113">
        <v>0</v>
      </c>
      <c r="R123" s="112"/>
      <c r="S123" s="67"/>
      <c r="T123" s="560"/>
      <c r="U123" s="569"/>
      <c r="V123" s="113">
        <v>0</v>
      </c>
      <c r="W123" s="112"/>
      <c r="X123" s="67"/>
      <c r="Y123" s="560"/>
      <c r="Z123" s="569"/>
      <c r="AA123" s="113">
        <v>0</v>
      </c>
      <c r="AB123" s="112"/>
      <c r="AC123" s="67"/>
      <c r="AD123" s="560"/>
      <c r="AE123" s="569"/>
      <c r="AF123" s="113">
        <v>0</v>
      </c>
      <c r="AG123" s="112"/>
      <c r="AH123" s="67"/>
      <c r="AI123" s="560"/>
      <c r="AJ123" s="569"/>
      <c r="AK123" s="113">
        <v>0</v>
      </c>
      <c r="AL123" s="112"/>
      <c r="AM123" s="67"/>
      <c r="AN123" s="560"/>
      <c r="AO123" s="569"/>
      <c r="AP123" s="113">
        <v>0</v>
      </c>
      <c r="AQ123" s="112"/>
      <c r="AR123" s="67"/>
      <c r="AS123" s="560"/>
      <c r="AT123" s="569"/>
      <c r="AU123" s="113">
        <v>0</v>
      </c>
      <c r="AV123" s="112"/>
      <c r="AW123" s="67"/>
      <c r="AX123" s="560"/>
      <c r="AY123" s="569"/>
      <c r="AZ123" s="113">
        <v>0</v>
      </c>
      <c r="BA123" s="112"/>
      <c r="BB123" s="67"/>
      <c r="BC123" s="560"/>
      <c r="BD123" s="569"/>
      <c r="BE123" s="113">
        <v>0</v>
      </c>
      <c r="BF123" s="112"/>
      <c r="BG123" s="67"/>
      <c r="BH123" s="560"/>
      <c r="BI123" s="569"/>
      <c r="BJ123" s="113">
        <v>0</v>
      </c>
      <c r="BK123" s="112"/>
      <c r="BL123" s="67"/>
      <c r="BM123" s="560"/>
      <c r="BN123" s="569"/>
      <c r="BO123" s="113">
        <v>0</v>
      </c>
      <c r="BP123" s="112"/>
      <c r="BQ123" s="67"/>
      <c r="BR123" s="560"/>
      <c r="BS123" s="569"/>
      <c r="BT123" s="113">
        <f>SUM(L123:BO123)</f>
        <v>0</v>
      </c>
      <c r="BU123" s="112"/>
      <c r="BV123" s="67"/>
      <c r="BW123" s="560"/>
      <c r="BX123" s="569"/>
      <c r="BY123" s="113">
        <v>0</v>
      </c>
      <c r="BZ123" s="112"/>
      <c r="CA123" s="67"/>
      <c r="CB123" s="560"/>
      <c r="CC123" s="569"/>
      <c r="CD123" s="113">
        <v>0</v>
      </c>
      <c r="CE123" s="112"/>
      <c r="CF123" s="67"/>
      <c r="CG123" s="560"/>
      <c r="CH123" s="569"/>
      <c r="CI123" s="113">
        <v>0</v>
      </c>
      <c r="CJ123" s="112"/>
      <c r="CK123" s="67"/>
      <c r="CL123" s="560"/>
      <c r="CM123" s="569"/>
      <c r="CN123" s="113">
        <v>0</v>
      </c>
      <c r="CO123" s="112"/>
      <c r="CP123" s="67"/>
      <c r="CQ123" s="560"/>
      <c r="CR123" s="569"/>
      <c r="CS123" s="113">
        <v>0</v>
      </c>
      <c r="CT123" s="112"/>
      <c r="CU123" s="67"/>
      <c r="CV123" s="560"/>
      <c r="CW123" s="569"/>
      <c r="CX123" s="113">
        <v>0</v>
      </c>
      <c r="CY123" s="112"/>
      <c r="CZ123" s="67"/>
      <c r="DA123" s="560"/>
      <c r="DB123" s="569"/>
      <c r="DC123" s="113">
        <v>0</v>
      </c>
      <c r="DD123" s="112"/>
      <c r="DE123" s="67"/>
      <c r="DF123" s="560"/>
      <c r="DG123" s="569"/>
      <c r="DH123" s="113">
        <v>0</v>
      </c>
      <c r="DI123" s="112"/>
      <c r="DJ123" s="67"/>
      <c r="DK123" s="560"/>
      <c r="DL123" s="569"/>
      <c r="DM123" s="113">
        <v>0</v>
      </c>
      <c r="DN123" s="112"/>
      <c r="DO123" s="67"/>
      <c r="DP123" s="560"/>
      <c r="DQ123" s="569"/>
      <c r="DR123" s="113">
        <v>0</v>
      </c>
      <c r="DS123" s="112"/>
      <c r="DT123" s="67"/>
      <c r="DU123" s="560"/>
      <c r="DV123" s="569"/>
      <c r="DW123" s="113">
        <v>0</v>
      </c>
      <c r="DX123" s="112"/>
      <c r="DY123" s="67"/>
      <c r="DZ123" s="560"/>
      <c r="EA123" s="569"/>
      <c r="EB123" s="113">
        <v>0</v>
      </c>
      <c r="EC123" s="112"/>
      <c r="ED123" s="67"/>
      <c r="EE123" s="560"/>
      <c r="EF123" s="569"/>
      <c r="EG123" s="113">
        <v>0</v>
      </c>
      <c r="EH123" s="112"/>
      <c r="EI123" s="67"/>
      <c r="EJ123" s="560"/>
      <c r="EK123" s="569"/>
      <c r="EL123" s="113">
        <f>SUM(CD123:CI123)</f>
        <v>0</v>
      </c>
      <c r="EM123" s="112"/>
      <c r="EN123" s="67"/>
      <c r="EO123" s="455"/>
      <c r="ER123" s="472"/>
      <c r="ES123" s="472"/>
    </row>
    <row r="124" spans="1:149" hidden="1" x14ac:dyDescent="0.2">
      <c r="A124" s="442"/>
      <c r="B124" s="442"/>
      <c r="D124" s="455"/>
      <c r="E124" s="560"/>
      <c r="F124" s="442"/>
      <c r="G124" s="67"/>
      <c r="H124" s="67"/>
      <c r="I124" s="67"/>
      <c r="J124" s="560"/>
      <c r="K124" s="67"/>
      <c r="L124" s="67"/>
      <c r="M124" s="67"/>
      <c r="N124" s="67"/>
      <c r="O124" s="560"/>
      <c r="P124" s="67"/>
      <c r="Q124" s="67"/>
      <c r="R124" s="67"/>
      <c r="S124" s="67"/>
      <c r="T124" s="560"/>
      <c r="U124" s="67"/>
      <c r="V124" s="67"/>
      <c r="W124" s="67"/>
      <c r="X124" s="67"/>
      <c r="Y124" s="560"/>
      <c r="Z124" s="67"/>
      <c r="AA124" s="67"/>
      <c r="AB124" s="67"/>
      <c r="AC124" s="67"/>
      <c r="AD124" s="560"/>
      <c r="AE124" s="67"/>
      <c r="AF124" s="67"/>
      <c r="AG124" s="67"/>
      <c r="AH124" s="67"/>
      <c r="AI124" s="560"/>
      <c r="AJ124" s="67"/>
      <c r="AK124" s="67"/>
      <c r="AL124" s="67"/>
      <c r="AM124" s="67"/>
      <c r="AN124" s="560"/>
      <c r="AO124" s="67"/>
      <c r="AP124" s="67"/>
      <c r="AQ124" s="67"/>
      <c r="AR124" s="67"/>
      <c r="AS124" s="560"/>
      <c r="AT124" s="67"/>
      <c r="AU124" s="67"/>
      <c r="AV124" s="67"/>
      <c r="AW124" s="67"/>
      <c r="AX124" s="560"/>
      <c r="AY124" s="67"/>
      <c r="AZ124" s="67"/>
      <c r="BA124" s="67"/>
      <c r="BB124" s="67"/>
      <c r="BC124" s="560"/>
      <c r="BD124" s="67"/>
      <c r="BE124" s="67"/>
      <c r="BF124" s="67"/>
      <c r="BG124" s="67"/>
      <c r="BH124" s="560"/>
      <c r="BI124" s="67"/>
      <c r="BJ124" s="67"/>
      <c r="BK124" s="67"/>
      <c r="BL124" s="67"/>
      <c r="BM124" s="560"/>
      <c r="BN124" s="67"/>
      <c r="BO124" s="67"/>
      <c r="BP124" s="67"/>
      <c r="BQ124" s="67"/>
      <c r="BR124" s="560"/>
      <c r="BS124" s="67"/>
      <c r="BT124" s="67"/>
      <c r="BU124" s="67"/>
      <c r="BV124" s="67"/>
      <c r="BW124" s="560"/>
      <c r="BX124" s="67"/>
      <c r="BY124" s="67"/>
      <c r="BZ124" s="67"/>
      <c r="CA124" s="67"/>
      <c r="CB124" s="560"/>
      <c r="CC124" s="67"/>
      <c r="CD124" s="67"/>
      <c r="CE124" s="67"/>
      <c r="CF124" s="67"/>
      <c r="CG124" s="560"/>
      <c r="CH124" s="67"/>
      <c r="CI124" s="67"/>
      <c r="CJ124" s="67"/>
      <c r="CK124" s="67"/>
      <c r="CL124" s="560"/>
      <c r="CM124" s="67"/>
      <c r="CN124" s="67"/>
      <c r="CO124" s="67"/>
      <c r="CP124" s="67"/>
      <c r="CQ124" s="560"/>
      <c r="CR124" s="67"/>
      <c r="CS124" s="67"/>
      <c r="CT124" s="67"/>
      <c r="CU124" s="67"/>
      <c r="CV124" s="560"/>
      <c r="CW124" s="67"/>
      <c r="CX124" s="67"/>
      <c r="CY124" s="67"/>
      <c r="CZ124" s="67"/>
      <c r="DA124" s="560"/>
      <c r="DB124" s="67"/>
      <c r="DC124" s="67"/>
      <c r="DD124" s="67"/>
      <c r="DE124" s="67"/>
      <c r="DF124" s="560"/>
      <c r="DG124" s="67"/>
      <c r="DH124" s="67"/>
      <c r="DI124" s="67"/>
      <c r="DJ124" s="67"/>
      <c r="DK124" s="560"/>
      <c r="DL124" s="67"/>
      <c r="DM124" s="67"/>
      <c r="DN124" s="67"/>
      <c r="DO124" s="67"/>
      <c r="DP124" s="560"/>
      <c r="DQ124" s="67"/>
      <c r="DR124" s="67"/>
      <c r="DS124" s="67"/>
      <c r="DT124" s="67"/>
      <c r="DU124" s="560"/>
      <c r="DV124" s="67"/>
      <c r="DW124" s="67"/>
      <c r="DX124" s="67"/>
      <c r="DY124" s="67"/>
      <c r="DZ124" s="560"/>
      <c r="EA124" s="67"/>
      <c r="EB124" s="67"/>
      <c r="EC124" s="67"/>
      <c r="ED124" s="67"/>
      <c r="EE124" s="560"/>
      <c r="EF124" s="67"/>
      <c r="EG124" s="67"/>
      <c r="EH124" s="67"/>
      <c r="EI124" s="67"/>
      <c r="EJ124" s="560"/>
      <c r="EK124" s="67"/>
      <c r="EL124" s="67"/>
      <c r="EM124" s="67"/>
      <c r="EN124" s="67"/>
      <c r="EO124" s="455"/>
      <c r="ER124" s="472"/>
      <c r="ES124" s="472"/>
    </row>
    <row r="125" spans="1:149" hidden="1" x14ac:dyDescent="0.2">
      <c r="A125" s="442"/>
      <c r="B125" s="442"/>
      <c r="D125" s="455" t="s">
        <v>365</v>
      </c>
      <c r="E125" s="560"/>
      <c r="F125" s="442"/>
      <c r="G125" s="67">
        <f>SUM(G126:G129)</f>
        <v>0</v>
      </c>
      <c r="H125" s="67"/>
      <c r="I125" s="67"/>
      <c r="J125" s="560"/>
      <c r="K125" s="67"/>
      <c r="L125" s="67">
        <f>SUM(L126:L129)</f>
        <v>0</v>
      </c>
      <c r="M125" s="67"/>
      <c r="N125" s="67"/>
      <c r="O125" s="560"/>
      <c r="P125" s="67"/>
      <c r="Q125" s="67">
        <f>SUM(Q126:Q129)</f>
        <v>0</v>
      </c>
      <c r="R125" s="67"/>
      <c r="S125" s="67"/>
      <c r="T125" s="560"/>
      <c r="U125" s="67"/>
      <c r="V125" s="67">
        <f>SUM(V126:V129)</f>
        <v>0</v>
      </c>
      <c r="W125" s="67"/>
      <c r="X125" s="67"/>
      <c r="Y125" s="560"/>
      <c r="Z125" s="67"/>
      <c r="AA125" s="67">
        <f>SUM(AA126:AA129)</f>
        <v>0</v>
      </c>
      <c r="AB125" s="67"/>
      <c r="AC125" s="67"/>
      <c r="AD125" s="560"/>
      <c r="AE125" s="67"/>
      <c r="AF125" s="67">
        <f>SUM(AF126:AF129)</f>
        <v>0</v>
      </c>
      <c r="AG125" s="67"/>
      <c r="AH125" s="67"/>
      <c r="AI125" s="560"/>
      <c r="AJ125" s="67"/>
      <c r="AK125" s="67">
        <f>SUM(AK126:AK129)</f>
        <v>0</v>
      </c>
      <c r="AL125" s="67"/>
      <c r="AM125" s="67"/>
      <c r="AN125" s="560"/>
      <c r="AO125" s="67"/>
      <c r="AP125" s="67">
        <f>SUM(AP126:AP129)</f>
        <v>0</v>
      </c>
      <c r="AQ125" s="67"/>
      <c r="AR125" s="67"/>
      <c r="AS125" s="560"/>
      <c r="AT125" s="67"/>
      <c r="AU125" s="67">
        <f>SUM(AU126:AU129)</f>
        <v>0</v>
      </c>
      <c r="AV125" s="67"/>
      <c r="AW125" s="67"/>
      <c r="AX125" s="560"/>
      <c r="AY125" s="67"/>
      <c r="AZ125" s="67">
        <f>SUM(AZ126:AZ129)</f>
        <v>0</v>
      </c>
      <c r="BA125" s="67"/>
      <c r="BB125" s="67"/>
      <c r="BC125" s="560"/>
      <c r="BD125" s="67"/>
      <c r="BE125" s="67">
        <f>SUM(BE126:BE129)</f>
        <v>0</v>
      </c>
      <c r="BF125" s="67"/>
      <c r="BG125" s="67"/>
      <c r="BH125" s="560"/>
      <c r="BI125" s="67"/>
      <c r="BJ125" s="67">
        <f>SUM(BJ126:BJ129)</f>
        <v>0</v>
      </c>
      <c r="BK125" s="67"/>
      <c r="BL125" s="67"/>
      <c r="BM125" s="560"/>
      <c r="BN125" s="67"/>
      <c r="BO125" s="67">
        <f>SUM(BO126:BO129)</f>
        <v>0</v>
      </c>
      <c r="BP125" s="67"/>
      <c r="BQ125" s="67"/>
      <c r="BR125" s="560"/>
      <c r="BS125" s="67"/>
      <c r="BT125" s="67">
        <f>SUM(BT126:BT129)</f>
        <v>0</v>
      </c>
      <c r="BU125" s="67"/>
      <c r="BV125" s="67"/>
      <c r="BW125" s="560"/>
      <c r="BX125" s="67"/>
      <c r="BY125" s="67">
        <f>SUM(BY126:BY129)</f>
        <v>0</v>
      </c>
      <c r="BZ125" s="67"/>
      <c r="CA125" s="67"/>
      <c r="CB125" s="560"/>
      <c r="CC125" s="67"/>
      <c r="CD125" s="67">
        <f>SUM(CD126:CD129)</f>
        <v>0</v>
      </c>
      <c r="CE125" s="67"/>
      <c r="CF125" s="67"/>
      <c r="CG125" s="560"/>
      <c r="CH125" s="67"/>
      <c r="CI125" s="67">
        <f>SUM(CI126:CI129)</f>
        <v>0</v>
      </c>
      <c r="CJ125" s="67"/>
      <c r="CK125" s="67"/>
      <c r="CL125" s="560"/>
      <c r="CM125" s="67"/>
      <c r="CN125" s="67">
        <f>SUM(CN126:CN129)</f>
        <v>0</v>
      </c>
      <c r="CO125" s="67"/>
      <c r="CP125" s="67"/>
      <c r="CQ125" s="560"/>
      <c r="CR125" s="67"/>
      <c r="CS125" s="67">
        <f>SUM(CS126:CS129)</f>
        <v>0</v>
      </c>
      <c r="CT125" s="67"/>
      <c r="CU125" s="67"/>
      <c r="CV125" s="560"/>
      <c r="CW125" s="67"/>
      <c r="CX125" s="67">
        <f>SUM(CX126:CX129)</f>
        <v>0</v>
      </c>
      <c r="CY125" s="67"/>
      <c r="CZ125" s="67"/>
      <c r="DA125" s="560"/>
      <c r="DB125" s="67"/>
      <c r="DC125" s="67">
        <f>SUM(DC126:DC129)</f>
        <v>0</v>
      </c>
      <c r="DD125" s="67"/>
      <c r="DE125" s="67"/>
      <c r="DF125" s="560"/>
      <c r="DG125" s="67"/>
      <c r="DH125" s="67">
        <f>SUM(DH126:DH129)</f>
        <v>0</v>
      </c>
      <c r="DI125" s="67"/>
      <c r="DJ125" s="67"/>
      <c r="DK125" s="560"/>
      <c r="DL125" s="67"/>
      <c r="DM125" s="67">
        <f>SUM(DM126:DM129)</f>
        <v>0</v>
      </c>
      <c r="DN125" s="67"/>
      <c r="DO125" s="67"/>
      <c r="DP125" s="560"/>
      <c r="DQ125" s="67"/>
      <c r="DR125" s="67">
        <f>SUM(DR126:DR129)</f>
        <v>0</v>
      </c>
      <c r="DS125" s="67"/>
      <c r="DT125" s="67"/>
      <c r="DU125" s="560"/>
      <c r="DV125" s="67"/>
      <c r="DW125" s="67">
        <f>SUM(DW126:DW129)</f>
        <v>0</v>
      </c>
      <c r="DX125" s="67"/>
      <c r="DY125" s="67"/>
      <c r="DZ125" s="560"/>
      <c r="EA125" s="67"/>
      <c r="EB125" s="67">
        <f>SUM(EB126:EB129)</f>
        <v>0</v>
      </c>
      <c r="EC125" s="67"/>
      <c r="ED125" s="67"/>
      <c r="EE125" s="560"/>
      <c r="EF125" s="67"/>
      <c r="EG125" s="67">
        <f>SUM(EG126:EG129)</f>
        <v>0</v>
      </c>
      <c r="EH125" s="67"/>
      <c r="EI125" s="67"/>
      <c r="EJ125" s="560"/>
      <c r="EK125" s="67"/>
      <c r="EL125" s="67">
        <f>SUM(EL126:EL129)</f>
        <v>0</v>
      </c>
      <c r="EM125" s="67"/>
      <c r="EN125" s="67"/>
      <c r="EO125" s="455"/>
      <c r="ER125" s="472"/>
      <c r="ES125" s="472"/>
    </row>
    <row r="126" spans="1:149" hidden="1" x14ac:dyDescent="0.2">
      <c r="A126" s="442"/>
      <c r="B126" s="442"/>
      <c r="D126" s="455" t="s">
        <v>342</v>
      </c>
      <c r="E126" s="560"/>
      <c r="F126" s="473"/>
      <c r="G126" s="558">
        <v>0</v>
      </c>
      <c r="H126" s="559"/>
      <c r="I126" s="67"/>
      <c r="J126" s="560"/>
      <c r="K126" s="561"/>
      <c r="L126" s="558">
        <v>0</v>
      </c>
      <c r="M126" s="559"/>
      <c r="N126" s="67"/>
      <c r="O126" s="560"/>
      <c r="P126" s="561"/>
      <c r="Q126" s="558">
        <v>0</v>
      </c>
      <c r="R126" s="559"/>
      <c r="S126" s="67"/>
      <c r="T126" s="560"/>
      <c r="U126" s="561"/>
      <c r="V126" s="558">
        <v>0</v>
      </c>
      <c r="W126" s="559"/>
      <c r="X126" s="67"/>
      <c r="Y126" s="560"/>
      <c r="Z126" s="561"/>
      <c r="AA126" s="558">
        <v>0</v>
      </c>
      <c r="AB126" s="559"/>
      <c r="AC126" s="67"/>
      <c r="AD126" s="560"/>
      <c r="AE126" s="561"/>
      <c r="AF126" s="558">
        <v>0</v>
      </c>
      <c r="AG126" s="559"/>
      <c r="AH126" s="67"/>
      <c r="AI126" s="560"/>
      <c r="AJ126" s="561"/>
      <c r="AK126" s="558">
        <v>0</v>
      </c>
      <c r="AL126" s="559"/>
      <c r="AM126" s="67"/>
      <c r="AN126" s="560"/>
      <c r="AO126" s="561"/>
      <c r="AP126" s="558">
        <v>0</v>
      </c>
      <c r="AQ126" s="559"/>
      <c r="AR126" s="67"/>
      <c r="AS126" s="560"/>
      <c r="AT126" s="561"/>
      <c r="AU126" s="558">
        <v>0</v>
      </c>
      <c r="AV126" s="559"/>
      <c r="AW126" s="67"/>
      <c r="AX126" s="560"/>
      <c r="AY126" s="561"/>
      <c r="AZ126" s="558">
        <v>0</v>
      </c>
      <c r="BA126" s="559"/>
      <c r="BB126" s="67"/>
      <c r="BC126" s="560"/>
      <c r="BD126" s="561"/>
      <c r="BE126" s="558">
        <v>0</v>
      </c>
      <c r="BF126" s="559"/>
      <c r="BG126" s="67"/>
      <c r="BH126" s="560"/>
      <c r="BI126" s="561"/>
      <c r="BJ126" s="558">
        <v>0</v>
      </c>
      <c r="BK126" s="559"/>
      <c r="BL126" s="67"/>
      <c r="BM126" s="560"/>
      <c r="BN126" s="561"/>
      <c r="BO126" s="558">
        <v>0</v>
      </c>
      <c r="BP126" s="559"/>
      <c r="BQ126" s="67"/>
      <c r="BR126" s="560"/>
      <c r="BS126" s="561"/>
      <c r="BT126" s="558">
        <f>SUM(L126:BO126)</f>
        <v>0</v>
      </c>
      <c r="BU126" s="559"/>
      <c r="BV126" s="67"/>
      <c r="BW126" s="560"/>
      <c r="BX126" s="561"/>
      <c r="BY126" s="558">
        <f>SUM(Q126:BT126)</f>
        <v>0</v>
      </c>
      <c r="BZ126" s="559"/>
      <c r="CA126" s="67"/>
      <c r="CB126" s="560"/>
      <c r="CC126" s="561"/>
      <c r="CD126" s="558">
        <v>0</v>
      </c>
      <c r="CE126" s="559"/>
      <c r="CF126" s="67"/>
      <c r="CG126" s="560"/>
      <c r="CH126" s="561"/>
      <c r="CI126" s="558">
        <v>0</v>
      </c>
      <c r="CJ126" s="559"/>
      <c r="CK126" s="67"/>
      <c r="CL126" s="560"/>
      <c r="CM126" s="561"/>
      <c r="CN126" s="558">
        <v>0</v>
      </c>
      <c r="CO126" s="559"/>
      <c r="CP126" s="67"/>
      <c r="CQ126" s="560"/>
      <c r="CR126" s="561"/>
      <c r="CS126" s="558">
        <v>0</v>
      </c>
      <c r="CT126" s="559"/>
      <c r="CU126" s="67"/>
      <c r="CV126" s="560"/>
      <c r="CW126" s="561"/>
      <c r="CX126" s="558">
        <v>0</v>
      </c>
      <c r="CY126" s="559"/>
      <c r="CZ126" s="67"/>
      <c r="DA126" s="560"/>
      <c r="DB126" s="561"/>
      <c r="DC126" s="558">
        <v>0</v>
      </c>
      <c r="DD126" s="559"/>
      <c r="DE126" s="67"/>
      <c r="DF126" s="560"/>
      <c r="DG126" s="561"/>
      <c r="DH126" s="558">
        <v>0</v>
      </c>
      <c r="DI126" s="559"/>
      <c r="DJ126" s="67"/>
      <c r="DK126" s="560"/>
      <c r="DL126" s="561"/>
      <c r="DM126" s="558">
        <v>0</v>
      </c>
      <c r="DN126" s="559"/>
      <c r="DO126" s="67"/>
      <c r="DP126" s="560"/>
      <c r="DQ126" s="561"/>
      <c r="DR126" s="558">
        <v>0</v>
      </c>
      <c r="DS126" s="559"/>
      <c r="DT126" s="67"/>
      <c r="DU126" s="560"/>
      <c r="DV126" s="561"/>
      <c r="DW126" s="558">
        <v>0</v>
      </c>
      <c r="DX126" s="559"/>
      <c r="DY126" s="67"/>
      <c r="DZ126" s="560"/>
      <c r="EA126" s="561"/>
      <c r="EB126" s="558">
        <v>0</v>
      </c>
      <c r="EC126" s="559"/>
      <c r="ED126" s="67"/>
      <c r="EE126" s="560"/>
      <c r="EF126" s="561"/>
      <c r="EG126" s="558">
        <v>0</v>
      </c>
      <c r="EH126" s="559"/>
      <c r="EI126" s="67"/>
      <c r="EJ126" s="560"/>
      <c r="EK126" s="561"/>
      <c r="EL126" s="558">
        <f>SUM(CD126:EG126)</f>
        <v>0</v>
      </c>
      <c r="EM126" s="559"/>
      <c r="EN126" s="67"/>
      <c r="EO126" s="455"/>
      <c r="ER126" s="472"/>
      <c r="ES126" s="472"/>
    </row>
    <row r="127" spans="1:149" hidden="1" x14ac:dyDescent="0.2">
      <c r="A127" s="442"/>
      <c r="B127" s="442"/>
      <c r="D127" s="455" t="s">
        <v>344</v>
      </c>
      <c r="E127" s="560"/>
      <c r="F127" s="465"/>
      <c r="G127" s="67">
        <v>0</v>
      </c>
      <c r="H127" s="66"/>
      <c r="I127" s="67"/>
      <c r="J127" s="560"/>
      <c r="K127" s="560"/>
      <c r="L127" s="67">
        <v>0</v>
      </c>
      <c r="M127" s="66"/>
      <c r="N127" s="67"/>
      <c r="O127" s="560"/>
      <c r="P127" s="560"/>
      <c r="Q127" s="67">
        <v>0</v>
      </c>
      <c r="R127" s="66"/>
      <c r="S127" s="67"/>
      <c r="T127" s="560"/>
      <c r="U127" s="560"/>
      <c r="V127" s="67">
        <v>0</v>
      </c>
      <c r="W127" s="66"/>
      <c r="X127" s="67"/>
      <c r="Y127" s="560"/>
      <c r="Z127" s="560"/>
      <c r="AA127" s="67">
        <v>0</v>
      </c>
      <c r="AB127" s="66"/>
      <c r="AC127" s="67"/>
      <c r="AD127" s="560"/>
      <c r="AE127" s="560"/>
      <c r="AF127" s="67">
        <v>0</v>
      </c>
      <c r="AG127" s="66"/>
      <c r="AH127" s="67"/>
      <c r="AI127" s="560"/>
      <c r="AJ127" s="560"/>
      <c r="AK127" s="67">
        <v>0</v>
      </c>
      <c r="AL127" s="66"/>
      <c r="AM127" s="67"/>
      <c r="AN127" s="560"/>
      <c r="AO127" s="560"/>
      <c r="AP127" s="67">
        <v>0</v>
      </c>
      <c r="AQ127" s="66"/>
      <c r="AR127" s="67"/>
      <c r="AS127" s="560"/>
      <c r="AT127" s="560"/>
      <c r="AU127" s="67">
        <v>0</v>
      </c>
      <c r="AV127" s="66"/>
      <c r="AW127" s="67"/>
      <c r="AX127" s="560"/>
      <c r="AY127" s="560"/>
      <c r="AZ127" s="67">
        <v>0</v>
      </c>
      <c r="BA127" s="66"/>
      <c r="BB127" s="67"/>
      <c r="BC127" s="560"/>
      <c r="BD127" s="560"/>
      <c r="BE127" s="67">
        <v>0</v>
      </c>
      <c r="BF127" s="66"/>
      <c r="BG127" s="67"/>
      <c r="BH127" s="560"/>
      <c r="BI127" s="560"/>
      <c r="BJ127" s="67">
        <v>0</v>
      </c>
      <c r="BK127" s="66"/>
      <c r="BL127" s="67"/>
      <c r="BM127" s="560"/>
      <c r="BN127" s="560"/>
      <c r="BO127" s="67">
        <v>0</v>
      </c>
      <c r="BP127" s="66"/>
      <c r="BQ127" s="67"/>
      <c r="BR127" s="560"/>
      <c r="BS127" s="560"/>
      <c r="BT127" s="67">
        <f>SUM(L127:BO127)</f>
        <v>0</v>
      </c>
      <c r="BU127" s="66"/>
      <c r="BV127" s="67"/>
      <c r="BW127" s="560"/>
      <c r="BX127" s="560"/>
      <c r="BY127" s="67">
        <f>SUM(Q127:BT127)</f>
        <v>0</v>
      </c>
      <c r="BZ127" s="66"/>
      <c r="CA127" s="67"/>
      <c r="CB127" s="560"/>
      <c r="CC127" s="560"/>
      <c r="CD127" s="67">
        <v>0</v>
      </c>
      <c r="CE127" s="66"/>
      <c r="CF127" s="67"/>
      <c r="CG127" s="560"/>
      <c r="CH127" s="560"/>
      <c r="CI127" s="67">
        <v>0</v>
      </c>
      <c r="CJ127" s="66"/>
      <c r="CK127" s="67"/>
      <c r="CL127" s="560"/>
      <c r="CM127" s="560"/>
      <c r="CN127" s="67">
        <v>0</v>
      </c>
      <c r="CO127" s="66"/>
      <c r="CP127" s="67"/>
      <c r="CQ127" s="560"/>
      <c r="CR127" s="560"/>
      <c r="CS127" s="67">
        <v>0</v>
      </c>
      <c r="CT127" s="66"/>
      <c r="CU127" s="67"/>
      <c r="CV127" s="560"/>
      <c r="CW127" s="560"/>
      <c r="CX127" s="67">
        <v>0</v>
      </c>
      <c r="CY127" s="66"/>
      <c r="CZ127" s="67"/>
      <c r="DA127" s="560"/>
      <c r="DB127" s="560"/>
      <c r="DC127" s="67">
        <v>0</v>
      </c>
      <c r="DD127" s="66"/>
      <c r="DE127" s="67"/>
      <c r="DF127" s="560"/>
      <c r="DG127" s="560"/>
      <c r="DH127" s="67">
        <v>0</v>
      </c>
      <c r="DI127" s="66"/>
      <c r="DJ127" s="67"/>
      <c r="DK127" s="560"/>
      <c r="DL127" s="560"/>
      <c r="DM127" s="67">
        <v>0</v>
      </c>
      <c r="DN127" s="66"/>
      <c r="DO127" s="67"/>
      <c r="DP127" s="560"/>
      <c r="DQ127" s="560"/>
      <c r="DR127" s="67">
        <v>0</v>
      </c>
      <c r="DS127" s="66"/>
      <c r="DT127" s="67"/>
      <c r="DU127" s="560"/>
      <c r="DV127" s="560"/>
      <c r="DW127" s="67">
        <v>0</v>
      </c>
      <c r="DX127" s="66"/>
      <c r="DY127" s="67"/>
      <c r="DZ127" s="560"/>
      <c r="EA127" s="560"/>
      <c r="EB127" s="67">
        <v>0</v>
      </c>
      <c r="EC127" s="66"/>
      <c r="ED127" s="67"/>
      <c r="EE127" s="560"/>
      <c r="EF127" s="560"/>
      <c r="EG127" s="67">
        <v>0</v>
      </c>
      <c r="EH127" s="66"/>
      <c r="EI127" s="67"/>
      <c r="EJ127" s="560"/>
      <c r="EK127" s="560"/>
      <c r="EL127" s="67">
        <f>SUM(CD127:EG127)</f>
        <v>0</v>
      </c>
      <c r="EM127" s="66"/>
      <c r="EN127" s="67"/>
      <c r="EO127" s="455"/>
      <c r="ER127" s="472"/>
      <c r="ES127" s="472"/>
    </row>
    <row r="128" spans="1:149" hidden="1" x14ac:dyDescent="0.2">
      <c r="A128" s="442"/>
      <c r="B128" s="442"/>
      <c r="D128" s="455" t="s">
        <v>345</v>
      </c>
      <c r="E128" s="560"/>
      <c r="F128" s="465"/>
      <c r="G128" s="67">
        <v>0</v>
      </c>
      <c r="H128" s="66"/>
      <c r="I128" s="67"/>
      <c r="J128" s="560"/>
      <c r="K128" s="560"/>
      <c r="L128" s="67">
        <v>0</v>
      </c>
      <c r="M128" s="66"/>
      <c r="N128" s="67"/>
      <c r="O128" s="560"/>
      <c r="P128" s="560"/>
      <c r="Q128" s="67">
        <v>0</v>
      </c>
      <c r="R128" s="66"/>
      <c r="S128" s="67"/>
      <c r="T128" s="560"/>
      <c r="U128" s="560"/>
      <c r="V128" s="67">
        <v>0</v>
      </c>
      <c r="W128" s="66"/>
      <c r="X128" s="67"/>
      <c r="Y128" s="560"/>
      <c r="Z128" s="560"/>
      <c r="AA128" s="67">
        <v>0</v>
      </c>
      <c r="AB128" s="66"/>
      <c r="AC128" s="67"/>
      <c r="AD128" s="560"/>
      <c r="AE128" s="560"/>
      <c r="AF128" s="67">
        <v>0</v>
      </c>
      <c r="AG128" s="66"/>
      <c r="AH128" s="67"/>
      <c r="AI128" s="560"/>
      <c r="AJ128" s="560"/>
      <c r="AK128" s="67">
        <v>0</v>
      </c>
      <c r="AL128" s="66"/>
      <c r="AM128" s="67"/>
      <c r="AN128" s="560"/>
      <c r="AO128" s="560"/>
      <c r="AP128" s="67">
        <v>0</v>
      </c>
      <c r="AQ128" s="66"/>
      <c r="AR128" s="67"/>
      <c r="AS128" s="560"/>
      <c r="AT128" s="560"/>
      <c r="AU128" s="67">
        <v>0</v>
      </c>
      <c r="AV128" s="66"/>
      <c r="AW128" s="67"/>
      <c r="AX128" s="560"/>
      <c r="AY128" s="560"/>
      <c r="AZ128" s="67">
        <v>0</v>
      </c>
      <c r="BA128" s="66"/>
      <c r="BB128" s="67"/>
      <c r="BC128" s="560"/>
      <c r="BD128" s="560"/>
      <c r="BE128" s="67">
        <v>0</v>
      </c>
      <c r="BF128" s="66"/>
      <c r="BG128" s="67"/>
      <c r="BH128" s="560"/>
      <c r="BI128" s="560"/>
      <c r="BJ128" s="67">
        <v>0</v>
      </c>
      <c r="BK128" s="66"/>
      <c r="BL128" s="67"/>
      <c r="BM128" s="560"/>
      <c r="BN128" s="560"/>
      <c r="BO128" s="67">
        <v>0</v>
      </c>
      <c r="BP128" s="66"/>
      <c r="BQ128" s="67"/>
      <c r="BR128" s="560"/>
      <c r="BS128" s="560"/>
      <c r="BT128" s="67">
        <f>SUM(L128:BO128)</f>
        <v>0</v>
      </c>
      <c r="BU128" s="66"/>
      <c r="BV128" s="67"/>
      <c r="BW128" s="560"/>
      <c r="BX128" s="560"/>
      <c r="BY128" s="67">
        <f>SUM(Q128:BT128)</f>
        <v>0</v>
      </c>
      <c r="BZ128" s="66"/>
      <c r="CA128" s="67"/>
      <c r="CB128" s="560"/>
      <c r="CC128" s="560"/>
      <c r="CD128" s="67">
        <v>0</v>
      </c>
      <c r="CE128" s="66"/>
      <c r="CF128" s="67"/>
      <c r="CG128" s="560"/>
      <c r="CH128" s="560"/>
      <c r="CI128" s="67">
        <v>0</v>
      </c>
      <c r="CJ128" s="66"/>
      <c r="CK128" s="67"/>
      <c r="CL128" s="560"/>
      <c r="CM128" s="560"/>
      <c r="CN128" s="67">
        <v>0</v>
      </c>
      <c r="CO128" s="66"/>
      <c r="CP128" s="67"/>
      <c r="CQ128" s="560"/>
      <c r="CR128" s="560"/>
      <c r="CS128" s="67">
        <v>0</v>
      </c>
      <c r="CT128" s="66"/>
      <c r="CU128" s="67"/>
      <c r="CV128" s="560"/>
      <c r="CW128" s="560"/>
      <c r="CX128" s="67">
        <v>0</v>
      </c>
      <c r="CY128" s="66"/>
      <c r="CZ128" s="67"/>
      <c r="DA128" s="560"/>
      <c r="DB128" s="560"/>
      <c r="DC128" s="67">
        <v>0</v>
      </c>
      <c r="DD128" s="66"/>
      <c r="DE128" s="67"/>
      <c r="DF128" s="560"/>
      <c r="DG128" s="560"/>
      <c r="DH128" s="67">
        <v>0</v>
      </c>
      <c r="DI128" s="66"/>
      <c r="DJ128" s="67"/>
      <c r="DK128" s="560"/>
      <c r="DL128" s="560"/>
      <c r="DM128" s="67">
        <v>0</v>
      </c>
      <c r="DN128" s="66"/>
      <c r="DO128" s="67"/>
      <c r="DP128" s="560"/>
      <c r="DQ128" s="560"/>
      <c r="DR128" s="67">
        <v>0</v>
      </c>
      <c r="DS128" s="66"/>
      <c r="DT128" s="67"/>
      <c r="DU128" s="560"/>
      <c r="DV128" s="560"/>
      <c r="DW128" s="67">
        <v>0</v>
      </c>
      <c r="DX128" s="66"/>
      <c r="DY128" s="67"/>
      <c r="DZ128" s="560"/>
      <c r="EA128" s="560"/>
      <c r="EB128" s="67">
        <v>0</v>
      </c>
      <c r="EC128" s="66"/>
      <c r="ED128" s="67"/>
      <c r="EE128" s="560"/>
      <c r="EF128" s="560"/>
      <c r="EG128" s="67">
        <v>0</v>
      </c>
      <c r="EH128" s="66"/>
      <c r="EI128" s="67"/>
      <c r="EJ128" s="560"/>
      <c r="EK128" s="560"/>
      <c r="EL128" s="67">
        <f>SUM(CD128:EG128)</f>
        <v>0</v>
      </c>
      <c r="EM128" s="66"/>
      <c r="EN128" s="67"/>
      <c r="EO128" s="455"/>
      <c r="ER128" s="472"/>
      <c r="ES128" s="472"/>
    </row>
    <row r="129" spans="1:149" hidden="1" x14ac:dyDescent="0.2">
      <c r="A129" s="442"/>
      <c r="B129" s="442"/>
      <c r="D129" s="455" t="s">
        <v>346</v>
      </c>
      <c r="E129" s="560"/>
      <c r="F129" s="488"/>
      <c r="G129" s="113">
        <v>0</v>
      </c>
      <c r="H129" s="112"/>
      <c r="I129" s="67"/>
      <c r="J129" s="560"/>
      <c r="K129" s="569"/>
      <c r="L129" s="113">
        <v>0</v>
      </c>
      <c r="M129" s="112"/>
      <c r="N129" s="67"/>
      <c r="O129" s="560"/>
      <c r="P129" s="569"/>
      <c r="Q129" s="113">
        <v>0</v>
      </c>
      <c r="R129" s="112"/>
      <c r="S129" s="67"/>
      <c r="T129" s="560"/>
      <c r="U129" s="569"/>
      <c r="V129" s="113">
        <v>0</v>
      </c>
      <c r="W129" s="112"/>
      <c r="X129" s="67"/>
      <c r="Y129" s="560"/>
      <c r="Z129" s="569"/>
      <c r="AA129" s="113">
        <v>0</v>
      </c>
      <c r="AB129" s="112"/>
      <c r="AC129" s="67"/>
      <c r="AD129" s="560"/>
      <c r="AE129" s="569"/>
      <c r="AF129" s="113">
        <v>0</v>
      </c>
      <c r="AG129" s="112"/>
      <c r="AH129" s="67"/>
      <c r="AI129" s="560"/>
      <c r="AJ129" s="569"/>
      <c r="AK129" s="113">
        <v>0</v>
      </c>
      <c r="AL129" s="112"/>
      <c r="AM129" s="67"/>
      <c r="AN129" s="560"/>
      <c r="AO129" s="569"/>
      <c r="AP129" s="113">
        <v>0</v>
      </c>
      <c r="AQ129" s="112"/>
      <c r="AR129" s="67"/>
      <c r="AS129" s="560"/>
      <c r="AT129" s="569"/>
      <c r="AU129" s="113">
        <v>0</v>
      </c>
      <c r="AV129" s="112"/>
      <c r="AW129" s="67"/>
      <c r="AX129" s="560"/>
      <c r="AY129" s="569"/>
      <c r="AZ129" s="113">
        <v>0</v>
      </c>
      <c r="BA129" s="112"/>
      <c r="BB129" s="67"/>
      <c r="BC129" s="560"/>
      <c r="BD129" s="569"/>
      <c r="BE129" s="113">
        <v>0</v>
      </c>
      <c r="BF129" s="112"/>
      <c r="BG129" s="67"/>
      <c r="BH129" s="560"/>
      <c r="BI129" s="569"/>
      <c r="BJ129" s="113">
        <v>0</v>
      </c>
      <c r="BK129" s="112"/>
      <c r="BL129" s="67"/>
      <c r="BM129" s="560"/>
      <c r="BN129" s="569"/>
      <c r="BO129" s="113">
        <v>0</v>
      </c>
      <c r="BP129" s="112"/>
      <c r="BQ129" s="67"/>
      <c r="BR129" s="560"/>
      <c r="BS129" s="569"/>
      <c r="BT129" s="113">
        <f>SUM(L129:BO129)</f>
        <v>0</v>
      </c>
      <c r="BU129" s="112"/>
      <c r="BV129" s="67"/>
      <c r="BW129" s="560"/>
      <c r="BX129" s="569"/>
      <c r="BY129" s="113">
        <f>SUM(Q129:BT129)</f>
        <v>0</v>
      </c>
      <c r="BZ129" s="112"/>
      <c r="CA129" s="67"/>
      <c r="CB129" s="560"/>
      <c r="CC129" s="569"/>
      <c r="CD129" s="113">
        <v>0</v>
      </c>
      <c r="CE129" s="112"/>
      <c r="CF129" s="67"/>
      <c r="CG129" s="560"/>
      <c r="CH129" s="569"/>
      <c r="CI129" s="113">
        <v>0</v>
      </c>
      <c r="CJ129" s="112"/>
      <c r="CK129" s="67"/>
      <c r="CL129" s="560"/>
      <c r="CM129" s="569"/>
      <c r="CN129" s="113">
        <v>0</v>
      </c>
      <c r="CO129" s="112"/>
      <c r="CP129" s="67"/>
      <c r="CQ129" s="560"/>
      <c r="CR129" s="569"/>
      <c r="CS129" s="113">
        <v>0</v>
      </c>
      <c r="CT129" s="112"/>
      <c r="CU129" s="67"/>
      <c r="CV129" s="560"/>
      <c r="CW129" s="569"/>
      <c r="CX129" s="113">
        <v>0</v>
      </c>
      <c r="CY129" s="112"/>
      <c r="CZ129" s="67"/>
      <c r="DA129" s="560"/>
      <c r="DB129" s="569"/>
      <c r="DC129" s="113">
        <v>0</v>
      </c>
      <c r="DD129" s="112"/>
      <c r="DE129" s="67"/>
      <c r="DF129" s="560"/>
      <c r="DG129" s="569"/>
      <c r="DH129" s="113">
        <v>0</v>
      </c>
      <c r="DI129" s="112"/>
      <c r="DJ129" s="67"/>
      <c r="DK129" s="560"/>
      <c r="DL129" s="569"/>
      <c r="DM129" s="113">
        <v>0</v>
      </c>
      <c r="DN129" s="112"/>
      <c r="DO129" s="67"/>
      <c r="DP129" s="560"/>
      <c r="DQ129" s="569"/>
      <c r="DR129" s="113">
        <v>0</v>
      </c>
      <c r="DS129" s="112"/>
      <c r="DT129" s="67"/>
      <c r="DU129" s="560"/>
      <c r="DV129" s="569"/>
      <c r="DW129" s="113">
        <v>0</v>
      </c>
      <c r="DX129" s="112"/>
      <c r="DY129" s="67"/>
      <c r="DZ129" s="560"/>
      <c r="EA129" s="569"/>
      <c r="EB129" s="113">
        <v>0</v>
      </c>
      <c r="EC129" s="112"/>
      <c r="ED129" s="67"/>
      <c r="EE129" s="560"/>
      <c r="EF129" s="569"/>
      <c r="EG129" s="113">
        <v>0</v>
      </c>
      <c r="EH129" s="112"/>
      <c r="EI129" s="67"/>
      <c r="EJ129" s="560"/>
      <c r="EK129" s="569"/>
      <c r="EL129" s="113">
        <f>SUM(CD129:EG129)</f>
        <v>0</v>
      </c>
      <c r="EM129" s="112"/>
      <c r="EN129" s="67"/>
      <c r="EO129" s="455"/>
      <c r="ER129" s="472"/>
      <c r="ES129" s="472"/>
    </row>
    <row r="130" spans="1:149" hidden="1" x14ac:dyDescent="0.2">
      <c r="A130" s="442"/>
      <c r="B130" s="442"/>
      <c r="D130" s="455"/>
      <c r="E130" s="560"/>
      <c r="F130" s="442"/>
      <c r="G130" s="67"/>
      <c r="H130" s="67"/>
      <c r="I130" s="67"/>
      <c r="J130" s="560"/>
      <c r="K130" s="67"/>
      <c r="L130" s="67"/>
      <c r="M130" s="67"/>
      <c r="N130" s="67"/>
      <c r="O130" s="560"/>
      <c r="P130" s="67"/>
      <c r="Q130" s="67"/>
      <c r="R130" s="67"/>
      <c r="S130" s="67"/>
      <c r="T130" s="560"/>
      <c r="U130" s="67"/>
      <c r="V130" s="67"/>
      <c r="W130" s="67"/>
      <c r="X130" s="67"/>
      <c r="Y130" s="560"/>
      <c r="Z130" s="67"/>
      <c r="AA130" s="67"/>
      <c r="AB130" s="67"/>
      <c r="AC130" s="67"/>
      <c r="AD130" s="560"/>
      <c r="AE130" s="67"/>
      <c r="AF130" s="67"/>
      <c r="AG130" s="67"/>
      <c r="AH130" s="67"/>
      <c r="AI130" s="560"/>
      <c r="AJ130" s="67"/>
      <c r="AK130" s="67"/>
      <c r="AL130" s="67"/>
      <c r="AM130" s="67"/>
      <c r="AN130" s="560"/>
      <c r="AO130" s="67"/>
      <c r="AP130" s="67"/>
      <c r="AQ130" s="67"/>
      <c r="AR130" s="67"/>
      <c r="AS130" s="560"/>
      <c r="AT130" s="67"/>
      <c r="AU130" s="67"/>
      <c r="AV130" s="67"/>
      <c r="AW130" s="67"/>
      <c r="AX130" s="560"/>
      <c r="AY130" s="67"/>
      <c r="AZ130" s="67"/>
      <c r="BA130" s="67"/>
      <c r="BB130" s="67"/>
      <c r="BC130" s="560"/>
      <c r="BD130" s="67"/>
      <c r="BE130" s="67"/>
      <c r="BF130" s="67"/>
      <c r="BG130" s="67"/>
      <c r="BH130" s="560"/>
      <c r="BI130" s="67"/>
      <c r="BJ130" s="67"/>
      <c r="BK130" s="67"/>
      <c r="BL130" s="67"/>
      <c r="BM130" s="560"/>
      <c r="BN130" s="67"/>
      <c r="BO130" s="67"/>
      <c r="BP130" s="67"/>
      <c r="BQ130" s="67"/>
      <c r="BR130" s="560"/>
      <c r="BS130" s="67"/>
      <c r="BT130" s="67"/>
      <c r="BU130" s="67"/>
      <c r="BV130" s="67"/>
      <c r="BW130" s="560"/>
      <c r="BX130" s="67"/>
      <c r="BY130" s="67"/>
      <c r="BZ130" s="67"/>
      <c r="CA130" s="67"/>
      <c r="CB130" s="560"/>
      <c r="CC130" s="67"/>
      <c r="CD130" s="67"/>
      <c r="CE130" s="67"/>
      <c r="CF130" s="67"/>
      <c r="CG130" s="560"/>
      <c r="CH130" s="67"/>
      <c r="CI130" s="67"/>
      <c r="CJ130" s="67"/>
      <c r="CK130" s="67"/>
      <c r="CL130" s="560"/>
      <c r="CM130" s="67"/>
      <c r="CN130" s="67"/>
      <c r="CO130" s="67"/>
      <c r="CP130" s="67"/>
      <c r="CQ130" s="560"/>
      <c r="CR130" s="67"/>
      <c r="CS130" s="67"/>
      <c r="CT130" s="67"/>
      <c r="CU130" s="67"/>
      <c r="CV130" s="560"/>
      <c r="CW130" s="67"/>
      <c r="CX130" s="67"/>
      <c r="CY130" s="67"/>
      <c r="CZ130" s="67"/>
      <c r="DA130" s="560"/>
      <c r="DB130" s="67"/>
      <c r="DC130" s="67"/>
      <c r="DD130" s="67"/>
      <c r="DE130" s="67"/>
      <c r="DF130" s="560"/>
      <c r="DG130" s="67"/>
      <c r="DH130" s="67"/>
      <c r="DI130" s="67"/>
      <c r="DJ130" s="67"/>
      <c r="DK130" s="560"/>
      <c r="DL130" s="67"/>
      <c r="DM130" s="67"/>
      <c r="DN130" s="67"/>
      <c r="DO130" s="67"/>
      <c r="DP130" s="560"/>
      <c r="DQ130" s="67"/>
      <c r="DR130" s="67"/>
      <c r="DS130" s="67"/>
      <c r="DT130" s="67"/>
      <c r="DU130" s="560"/>
      <c r="DV130" s="67"/>
      <c r="DW130" s="67"/>
      <c r="DX130" s="67"/>
      <c r="DY130" s="67"/>
      <c r="DZ130" s="560"/>
      <c r="EA130" s="67"/>
      <c r="EB130" s="67"/>
      <c r="EC130" s="67"/>
      <c r="ED130" s="67"/>
      <c r="EE130" s="560"/>
      <c r="EF130" s="67"/>
      <c r="EG130" s="67"/>
      <c r="EH130" s="67"/>
      <c r="EI130" s="67"/>
      <c r="EJ130" s="560"/>
      <c r="EK130" s="67"/>
      <c r="EL130" s="67"/>
      <c r="EM130" s="67"/>
      <c r="EN130" s="67"/>
      <c r="EO130" s="455"/>
      <c r="ER130" s="472"/>
      <c r="ES130" s="472"/>
    </row>
    <row r="131" spans="1:149" ht="12.75" hidden="1" customHeight="1" x14ac:dyDescent="0.2">
      <c r="A131" s="442"/>
      <c r="B131" s="442"/>
      <c r="D131" s="455" t="s">
        <v>366</v>
      </c>
      <c r="E131" s="560"/>
      <c r="F131" s="442"/>
      <c r="G131" s="67">
        <f>SUM(G132:G135)</f>
        <v>0</v>
      </c>
      <c r="H131" s="67"/>
      <c r="I131" s="67"/>
      <c r="J131" s="560"/>
      <c r="K131" s="67"/>
      <c r="L131" s="67">
        <f>SUM(L132:L135)</f>
        <v>0</v>
      </c>
      <c r="M131" s="67"/>
      <c r="N131" s="67"/>
      <c r="O131" s="560"/>
      <c r="P131" s="67"/>
      <c r="Q131" s="67">
        <f>SUM(Q132:Q135)</f>
        <v>0</v>
      </c>
      <c r="R131" s="67"/>
      <c r="S131" s="67"/>
      <c r="T131" s="560"/>
      <c r="U131" s="67"/>
      <c r="V131" s="67">
        <f>SUM(V132:V135)</f>
        <v>0</v>
      </c>
      <c r="W131" s="67"/>
      <c r="X131" s="67"/>
      <c r="Y131" s="560"/>
      <c r="Z131" s="67"/>
      <c r="AA131" s="67">
        <f>SUM(AA132:AA135)</f>
        <v>0</v>
      </c>
      <c r="AB131" s="67"/>
      <c r="AC131" s="67"/>
      <c r="AD131" s="560"/>
      <c r="AE131" s="67"/>
      <c r="AF131" s="67">
        <f>SUM(AF132:AF135)</f>
        <v>0</v>
      </c>
      <c r="AG131" s="67"/>
      <c r="AH131" s="67"/>
      <c r="AI131" s="560"/>
      <c r="AJ131" s="67"/>
      <c r="AK131" s="67">
        <f>SUM(AK132:AK135)</f>
        <v>0</v>
      </c>
      <c r="AL131" s="67"/>
      <c r="AM131" s="67"/>
      <c r="AN131" s="560"/>
      <c r="AO131" s="67"/>
      <c r="AP131" s="67">
        <f>SUM(AP132:AP135)</f>
        <v>0</v>
      </c>
      <c r="AQ131" s="67"/>
      <c r="AR131" s="67"/>
      <c r="AS131" s="560"/>
      <c r="AT131" s="67"/>
      <c r="AU131" s="67">
        <f>SUM(AU132:AU135)</f>
        <v>0</v>
      </c>
      <c r="AV131" s="67"/>
      <c r="AW131" s="67"/>
      <c r="AX131" s="560"/>
      <c r="AY131" s="67"/>
      <c r="AZ131" s="67">
        <f>SUM(AZ132:AZ135)</f>
        <v>0</v>
      </c>
      <c r="BA131" s="67"/>
      <c r="BB131" s="67"/>
      <c r="BC131" s="560"/>
      <c r="BD131" s="67"/>
      <c r="BE131" s="67">
        <f>SUM(BE132:BE135)</f>
        <v>0</v>
      </c>
      <c r="BF131" s="67"/>
      <c r="BG131" s="67"/>
      <c r="BH131" s="560"/>
      <c r="BI131" s="67"/>
      <c r="BJ131" s="67">
        <f>SUM(BJ132:BJ135)</f>
        <v>0</v>
      </c>
      <c r="BK131" s="67"/>
      <c r="BL131" s="67"/>
      <c r="BM131" s="560"/>
      <c r="BN131" s="67"/>
      <c r="BO131" s="67">
        <f>SUM(BO132:BO135)</f>
        <v>0</v>
      </c>
      <c r="BP131" s="67"/>
      <c r="BQ131" s="67"/>
      <c r="BR131" s="560"/>
      <c r="BS131" s="67"/>
      <c r="BT131" s="67">
        <f>SUM(BT132:BT135)</f>
        <v>0</v>
      </c>
      <c r="BU131" s="67"/>
      <c r="BV131" s="67"/>
      <c r="BW131" s="560"/>
      <c r="BX131" s="67"/>
      <c r="BY131" s="67">
        <f>SUM(BY132:BY135)</f>
        <v>0</v>
      </c>
      <c r="BZ131" s="67"/>
      <c r="CA131" s="67"/>
      <c r="CB131" s="560"/>
      <c r="CC131" s="67"/>
      <c r="CD131" s="67">
        <f>SUM(CD132:CD135)</f>
        <v>0</v>
      </c>
      <c r="CE131" s="67"/>
      <c r="CF131" s="67"/>
      <c r="CG131" s="560"/>
      <c r="CH131" s="67"/>
      <c r="CI131" s="67">
        <f>SUM(CI132:CI135)</f>
        <v>0</v>
      </c>
      <c r="CJ131" s="67"/>
      <c r="CK131" s="67"/>
      <c r="CL131" s="560"/>
      <c r="CM131" s="67"/>
      <c r="CN131" s="67">
        <f>SUM(CN132:CN135)</f>
        <v>0</v>
      </c>
      <c r="CO131" s="67"/>
      <c r="CP131" s="67"/>
      <c r="CQ131" s="560"/>
      <c r="CR131" s="67"/>
      <c r="CS131" s="67">
        <f>SUM(CS132:CS135)</f>
        <v>0</v>
      </c>
      <c r="CT131" s="67"/>
      <c r="CU131" s="67"/>
      <c r="CV131" s="560"/>
      <c r="CW131" s="67"/>
      <c r="CX131" s="67">
        <f>SUM(CX132:CX135)</f>
        <v>0</v>
      </c>
      <c r="CY131" s="67"/>
      <c r="CZ131" s="67"/>
      <c r="DA131" s="560"/>
      <c r="DB131" s="67"/>
      <c r="DC131" s="67">
        <f>SUM(DC132:DC135)</f>
        <v>0</v>
      </c>
      <c r="DD131" s="67"/>
      <c r="DE131" s="67"/>
      <c r="DF131" s="560"/>
      <c r="DG131" s="67"/>
      <c r="DH131" s="67">
        <f>SUM(DH132:DH135)</f>
        <v>0</v>
      </c>
      <c r="DI131" s="67"/>
      <c r="DJ131" s="67"/>
      <c r="DK131" s="560"/>
      <c r="DL131" s="67"/>
      <c r="DM131" s="67">
        <f>SUM(DM132:DM135)</f>
        <v>0</v>
      </c>
      <c r="DN131" s="67"/>
      <c r="DO131" s="67"/>
      <c r="DP131" s="560"/>
      <c r="DQ131" s="67"/>
      <c r="DR131" s="67">
        <f>SUM(DR132:DR135)</f>
        <v>0</v>
      </c>
      <c r="DS131" s="67"/>
      <c r="DT131" s="67"/>
      <c r="DU131" s="560"/>
      <c r="DV131" s="67"/>
      <c r="DW131" s="67">
        <f>SUM(DW132:DW135)</f>
        <v>0</v>
      </c>
      <c r="DX131" s="67"/>
      <c r="DY131" s="67"/>
      <c r="DZ131" s="560"/>
      <c r="EA131" s="67"/>
      <c r="EB131" s="67">
        <f>SUM(EB132:EB135)</f>
        <v>0</v>
      </c>
      <c r="EC131" s="67"/>
      <c r="ED131" s="67"/>
      <c r="EE131" s="560"/>
      <c r="EF131" s="67"/>
      <c r="EG131" s="67">
        <f>SUM(EG132:EG135)</f>
        <v>0</v>
      </c>
      <c r="EH131" s="67"/>
      <c r="EI131" s="67"/>
      <c r="EJ131" s="560"/>
      <c r="EK131" s="67"/>
      <c r="EL131" s="67">
        <f>SUM(EL132:EL135)</f>
        <v>0</v>
      </c>
      <c r="EM131" s="67"/>
      <c r="EN131" s="67"/>
      <c r="EO131" s="455"/>
      <c r="ER131" s="472"/>
      <c r="ES131" s="472"/>
    </row>
    <row r="132" spans="1:149" ht="12.75" hidden="1" customHeight="1" x14ac:dyDescent="0.2">
      <c r="A132" s="442"/>
      <c r="B132" s="442"/>
      <c r="D132" s="455" t="s">
        <v>342</v>
      </c>
      <c r="E132" s="560"/>
      <c r="F132" s="473"/>
      <c r="G132" s="558">
        <v>0</v>
      </c>
      <c r="H132" s="559"/>
      <c r="I132" s="67"/>
      <c r="J132" s="560"/>
      <c r="K132" s="561"/>
      <c r="L132" s="558">
        <v>0</v>
      </c>
      <c r="M132" s="559"/>
      <c r="N132" s="67"/>
      <c r="O132" s="560"/>
      <c r="P132" s="561"/>
      <c r="Q132" s="558">
        <v>0</v>
      </c>
      <c r="R132" s="559"/>
      <c r="S132" s="67"/>
      <c r="T132" s="560"/>
      <c r="U132" s="561"/>
      <c r="V132" s="558">
        <v>0</v>
      </c>
      <c r="W132" s="559"/>
      <c r="X132" s="67"/>
      <c r="Y132" s="560"/>
      <c r="Z132" s="561"/>
      <c r="AA132" s="558">
        <v>0</v>
      </c>
      <c r="AB132" s="559"/>
      <c r="AC132" s="67"/>
      <c r="AD132" s="560"/>
      <c r="AE132" s="561"/>
      <c r="AF132" s="558">
        <v>0</v>
      </c>
      <c r="AG132" s="559"/>
      <c r="AH132" s="67"/>
      <c r="AI132" s="560"/>
      <c r="AJ132" s="561"/>
      <c r="AK132" s="558">
        <v>0</v>
      </c>
      <c r="AL132" s="559"/>
      <c r="AM132" s="67"/>
      <c r="AN132" s="560"/>
      <c r="AO132" s="561"/>
      <c r="AP132" s="558">
        <v>0</v>
      </c>
      <c r="AQ132" s="559"/>
      <c r="AR132" s="67"/>
      <c r="AS132" s="560"/>
      <c r="AT132" s="561"/>
      <c r="AU132" s="558">
        <v>0</v>
      </c>
      <c r="AV132" s="559"/>
      <c r="AW132" s="67"/>
      <c r="AX132" s="560"/>
      <c r="AY132" s="561"/>
      <c r="AZ132" s="558">
        <v>0</v>
      </c>
      <c r="BA132" s="559"/>
      <c r="BB132" s="67"/>
      <c r="BC132" s="560"/>
      <c r="BD132" s="561"/>
      <c r="BE132" s="558">
        <v>0</v>
      </c>
      <c r="BF132" s="559"/>
      <c r="BG132" s="67"/>
      <c r="BH132" s="560"/>
      <c r="BI132" s="561"/>
      <c r="BJ132" s="558">
        <v>0</v>
      </c>
      <c r="BK132" s="559"/>
      <c r="BL132" s="67"/>
      <c r="BM132" s="560"/>
      <c r="BN132" s="561"/>
      <c r="BO132" s="558">
        <v>0</v>
      </c>
      <c r="BP132" s="559"/>
      <c r="BQ132" s="67"/>
      <c r="BR132" s="560"/>
      <c r="BS132" s="561"/>
      <c r="BT132" s="558">
        <f>SUM(L132:BO132)</f>
        <v>0</v>
      </c>
      <c r="BU132" s="559"/>
      <c r="BV132" s="67"/>
      <c r="BW132" s="560"/>
      <c r="BX132" s="561"/>
      <c r="BY132" s="558">
        <v>0</v>
      </c>
      <c r="BZ132" s="559"/>
      <c r="CA132" s="67"/>
      <c r="CB132" s="560"/>
      <c r="CC132" s="561"/>
      <c r="CD132" s="558">
        <v>0</v>
      </c>
      <c r="CE132" s="559"/>
      <c r="CF132" s="67"/>
      <c r="CG132" s="560"/>
      <c r="CH132" s="561"/>
      <c r="CI132" s="558">
        <v>0</v>
      </c>
      <c r="CJ132" s="559"/>
      <c r="CK132" s="67"/>
      <c r="CL132" s="560"/>
      <c r="CM132" s="561"/>
      <c r="CN132" s="558">
        <v>0</v>
      </c>
      <c r="CO132" s="559"/>
      <c r="CP132" s="67"/>
      <c r="CQ132" s="560"/>
      <c r="CR132" s="561"/>
      <c r="CS132" s="558">
        <v>0</v>
      </c>
      <c r="CT132" s="559"/>
      <c r="CU132" s="67"/>
      <c r="CV132" s="560"/>
      <c r="CW132" s="561"/>
      <c r="CX132" s="558">
        <v>0</v>
      </c>
      <c r="CY132" s="559"/>
      <c r="CZ132" s="67"/>
      <c r="DA132" s="560"/>
      <c r="DB132" s="561"/>
      <c r="DC132" s="558">
        <v>0</v>
      </c>
      <c r="DD132" s="559"/>
      <c r="DE132" s="67"/>
      <c r="DF132" s="560"/>
      <c r="DG132" s="561"/>
      <c r="DH132" s="558">
        <v>0</v>
      </c>
      <c r="DI132" s="559"/>
      <c r="DJ132" s="67"/>
      <c r="DK132" s="560"/>
      <c r="DL132" s="561"/>
      <c r="DM132" s="558">
        <v>0</v>
      </c>
      <c r="DN132" s="559"/>
      <c r="DO132" s="67"/>
      <c r="DP132" s="560"/>
      <c r="DQ132" s="561"/>
      <c r="DR132" s="558">
        <v>0</v>
      </c>
      <c r="DS132" s="559"/>
      <c r="DT132" s="67"/>
      <c r="DU132" s="560"/>
      <c r="DV132" s="561"/>
      <c r="DW132" s="558">
        <v>0</v>
      </c>
      <c r="DX132" s="559"/>
      <c r="DY132" s="67"/>
      <c r="DZ132" s="560"/>
      <c r="EA132" s="561"/>
      <c r="EB132" s="558">
        <v>0</v>
      </c>
      <c r="EC132" s="559"/>
      <c r="ED132" s="67"/>
      <c r="EE132" s="560"/>
      <c r="EF132" s="561"/>
      <c r="EG132" s="558">
        <v>0</v>
      </c>
      <c r="EH132" s="559"/>
      <c r="EI132" s="67"/>
      <c r="EJ132" s="560"/>
      <c r="EK132" s="561"/>
      <c r="EL132" s="558">
        <f>SUM(CD132:CI132)</f>
        <v>0</v>
      </c>
      <c r="EM132" s="559"/>
      <c r="EN132" s="67"/>
      <c r="EO132" s="455"/>
      <c r="ER132" s="472"/>
      <c r="ES132" s="472"/>
    </row>
    <row r="133" spans="1:149" ht="12.75" hidden="1" customHeight="1" x14ac:dyDescent="0.2">
      <c r="A133" s="442"/>
      <c r="B133" s="442"/>
      <c r="D133" s="455" t="s">
        <v>344</v>
      </c>
      <c r="E133" s="560"/>
      <c r="F133" s="465"/>
      <c r="G133" s="67">
        <v>0</v>
      </c>
      <c r="H133" s="66"/>
      <c r="I133" s="67"/>
      <c r="J133" s="560"/>
      <c r="K133" s="560"/>
      <c r="L133" s="67">
        <v>0</v>
      </c>
      <c r="M133" s="66"/>
      <c r="N133" s="67"/>
      <c r="O133" s="560"/>
      <c r="P133" s="560"/>
      <c r="Q133" s="67">
        <v>0</v>
      </c>
      <c r="R133" s="66"/>
      <c r="S133" s="67"/>
      <c r="T133" s="560"/>
      <c r="U133" s="560"/>
      <c r="V133" s="67">
        <v>0</v>
      </c>
      <c r="W133" s="66"/>
      <c r="X133" s="67"/>
      <c r="Y133" s="560"/>
      <c r="Z133" s="560"/>
      <c r="AA133" s="67">
        <v>0</v>
      </c>
      <c r="AB133" s="66"/>
      <c r="AC133" s="67"/>
      <c r="AD133" s="560"/>
      <c r="AE133" s="560"/>
      <c r="AF133" s="67">
        <v>0</v>
      </c>
      <c r="AG133" s="66"/>
      <c r="AH133" s="67"/>
      <c r="AI133" s="560"/>
      <c r="AJ133" s="560"/>
      <c r="AK133" s="67">
        <v>0</v>
      </c>
      <c r="AL133" s="66"/>
      <c r="AM133" s="67"/>
      <c r="AN133" s="560"/>
      <c r="AO133" s="560"/>
      <c r="AP133" s="67">
        <v>0</v>
      </c>
      <c r="AQ133" s="66"/>
      <c r="AR133" s="67"/>
      <c r="AS133" s="560"/>
      <c r="AT133" s="560"/>
      <c r="AU133" s="67">
        <v>0</v>
      </c>
      <c r="AV133" s="66"/>
      <c r="AW133" s="67"/>
      <c r="AX133" s="560"/>
      <c r="AY133" s="560"/>
      <c r="AZ133" s="67">
        <v>0</v>
      </c>
      <c r="BA133" s="66"/>
      <c r="BB133" s="67"/>
      <c r="BC133" s="560"/>
      <c r="BD133" s="560"/>
      <c r="BE133" s="67">
        <v>0</v>
      </c>
      <c r="BF133" s="66"/>
      <c r="BG133" s="67"/>
      <c r="BH133" s="560"/>
      <c r="BI133" s="560"/>
      <c r="BJ133" s="67">
        <v>0</v>
      </c>
      <c r="BK133" s="66"/>
      <c r="BL133" s="67"/>
      <c r="BM133" s="560"/>
      <c r="BN133" s="560"/>
      <c r="BO133" s="67">
        <v>0</v>
      </c>
      <c r="BP133" s="66"/>
      <c r="BQ133" s="67"/>
      <c r="BR133" s="560"/>
      <c r="BS133" s="560"/>
      <c r="BT133" s="67">
        <f>SUM(L133:BO133)</f>
        <v>0</v>
      </c>
      <c r="BU133" s="66"/>
      <c r="BV133" s="67"/>
      <c r="BW133" s="560"/>
      <c r="BX133" s="560"/>
      <c r="BY133" s="67">
        <v>0</v>
      </c>
      <c r="BZ133" s="66"/>
      <c r="CA133" s="67"/>
      <c r="CB133" s="560"/>
      <c r="CC133" s="560"/>
      <c r="CD133" s="67">
        <v>0</v>
      </c>
      <c r="CE133" s="66"/>
      <c r="CF133" s="67"/>
      <c r="CG133" s="560"/>
      <c r="CH133" s="560"/>
      <c r="CI133" s="67">
        <v>0</v>
      </c>
      <c r="CJ133" s="66"/>
      <c r="CK133" s="67"/>
      <c r="CL133" s="560"/>
      <c r="CM133" s="560"/>
      <c r="CN133" s="67">
        <v>0</v>
      </c>
      <c r="CO133" s="66"/>
      <c r="CP133" s="67"/>
      <c r="CQ133" s="560"/>
      <c r="CR133" s="560"/>
      <c r="CS133" s="67">
        <v>0</v>
      </c>
      <c r="CT133" s="66"/>
      <c r="CU133" s="67"/>
      <c r="CV133" s="560"/>
      <c r="CW133" s="560"/>
      <c r="CX133" s="67">
        <v>0</v>
      </c>
      <c r="CY133" s="66"/>
      <c r="CZ133" s="67"/>
      <c r="DA133" s="560"/>
      <c r="DB133" s="560"/>
      <c r="DC133" s="67">
        <v>0</v>
      </c>
      <c r="DD133" s="66"/>
      <c r="DE133" s="67"/>
      <c r="DF133" s="560"/>
      <c r="DG133" s="560"/>
      <c r="DH133" s="67">
        <v>0</v>
      </c>
      <c r="DI133" s="66"/>
      <c r="DJ133" s="67"/>
      <c r="DK133" s="560"/>
      <c r="DL133" s="560"/>
      <c r="DM133" s="67">
        <v>0</v>
      </c>
      <c r="DN133" s="66"/>
      <c r="DO133" s="67"/>
      <c r="DP133" s="560"/>
      <c r="DQ133" s="560"/>
      <c r="DR133" s="67">
        <v>0</v>
      </c>
      <c r="DS133" s="66"/>
      <c r="DT133" s="67"/>
      <c r="DU133" s="560"/>
      <c r="DV133" s="560"/>
      <c r="DW133" s="67">
        <v>0</v>
      </c>
      <c r="DX133" s="66"/>
      <c r="DY133" s="67"/>
      <c r="DZ133" s="560"/>
      <c r="EA133" s="560"/>
      <c r="EB133" s="67">
        <v>0</v>
      </c>
      <c r="EC133" s="66"/>
      <c r="ED133" s="67"/>
      <c r="EE133" s="560"/>
      <c r="EF133" s="560"/>
      <c r="EG133" s="67">
        <v>0</v>
      </c>
      <c r="EH133" s="66"/>
      <c r="EI133" s="67"/>
      <c r="EJ133" s="560"/>
      <c r="EK133" s="560"/>
      <c r="EL133" s="67">
        <f>SUM(CD133:CI133)</f>
        <v>0</v>
      </c>
      <c r="EM133" s="66"/>
      <c r="EN133" s="67"/>
      <c r="EO133" s="455"/>
      <c r="ER133" s="472"/>
      <c r="ES133" s="472"/>
    </row>
    <row r="134" spans="1:149" ht="12.75" hidden="1" customHeight="1" x14ac:dyDescent="0.2">
      <c r="A134" s="442"/>
      <c r="B134" s="442"/>
      <c r="D134" s="455" t="s">
        <v>345</v>
      </c>
      <c r="E134" s="560"/>
      <c r="F134" s="465"/>
      <c r="G134" s="67">
        <v>0</v>
      </c>
      <c r="H134" s="66"/>
      <c r="I134" s="67"/>
      <c r="J134" s="560"/>
      <c r="K134" s="560"/>
      <c r="L134" s="67">
        <v>0</v>
      </c>
      <c r="M134" s="66"/>
      <c r="N134" s="67"/>
      <c r="O134" s="560"/>
      <c r="P134" s="560"/>
      <c r="Q134" s="67">
        <v>0</v>
      </c>
      <c r="R134" s="66"/>
      <c r="S134" s="67"/>
      <c r="T134" s="560"/>
      <c r="U134" s="560"/>
      <c r="V134" s="67">
        <v>0</v>
      </c>
      <c r="W134" s="66"/>
      <c r="X134" s="67"/>
      <c r="Y134" s="560"/>
      <c r="Z134" s="560"/>
      <c r="AA134" s="67">
        <v>0</v>
      </c>
      <c r="AB134" s="66"/>
      <c r="AC134" s="67"/>
      <c r="AD134" s="560"/>
      <c r="AE134" s="560"/>
      <c r="AF134" s="67">
        <v>0</v>
      </c>
      <c r="AG134" s="66"/>
      <c r="AH134" s="67"/>
      <c r="AI134" s="560"/>
      <c r="AJ134" s="560"/>
      <c r="AK134" s="67">
        <v>0</v>
      </c>
      <c r="AL134" s="66"/>
      <c r="AM134" s="67"/>
      <c r="AN134" s="560"/>
      <c r="AO134" s="560"/>
      <c r="AP134" s="67">
        <v>0</v>
      </c>
      <c r="AQ134" s="66"/>
      <c r="AR134" s="67"/>
      <c r="AS134" s="560"/>
      <c r="AT134" s="560"/>
      <c r="AU134" s="67">
        <v>0</v>
      </c>
      <c r="AV134" s="66"/>
      <c r="AW134" s="67"/>
      <c r="AX134" s="560"/>
      <c r="AY134" s="560"/>
      <c r="AZ134" s="67">
        <v>0</v>
      </c>
      <c r="BA134" s="66"/>
      <c r="BB134" s="67"/>
      <c r="BC134" s="560"/>
      <c r="BD134" s="560"/>
      <c r="BE134" s="67">
        <v>0</v>
      </c>
      <c r="BF134" s="66"/>
      <c r="BG134" s="67"/>
      <c r="BH134" s="560"/>
      <c r="BI134" s="560"/>
      <c r="BJ134" s="67">
        <v>0</v>
      </c>
      <c r="BK134" s="66"/>
      <c r="BL134" s="67"/>
      <c r="BM134" s="560"/>
      <c r="BN134" s="560"/>
      <c r="BO134" s="67">
        <v>0</v>
      </c>
      <c r="BP134" s="66"/>
      <c r="BQ134" s="67"/>
      <c r="BR134" s="560"/>
      <c r="BS134" s="560"/>
      <c r="BT134" s="67">
        <f>SUM(L134:BO134)</f>
        <v>0</v>
      </c>
      <c r="BU134" s="66"/>
      <c r="BV134" s="67"/>
      <c r="BW134" s="560"/>
      <c r="BX134" s="560"/>
      <c r="BY134" s="67">
        <v>0</v>
      </c>
      <c r="BZ134" s="66"/>
      <c r="CA134" s="67"/>
      <c r="CB134" s="560"/>
      <c r="CC134" s="560"/>
      <c r="CD134" s="67">
        <v>0</v>
      </c>
      <c r="CE134" s="66"/>
      <c r="CF134" s="67"/>
      <c r="CG134" s="560"/>
      <c r="CH134" s="560"/>
      <c r="CI134" s="67">
        <v>0</v>
      </c>
      <c r="CJ134" s="66"/>
      <c r="CK134" s="67"/>
      <c r="CL134" s="560"/>
      <c r="CM134" s="560"/>
      <c r="CN134" s="67">
        <v>0</v>
      </c>
      <c r="CO134" s="66"/>
      <c r="CP134" s="67"/>
      <c r="CQ134" s="560"/>
      <c r="CR134" s="560"/>
      <c r="CS134" s="67">
        <v>0</v>
      </c>
      <c r="CT134" s="66"/>
      <c r="CU134" s="67"/>
      <c r="CV134" s="560"/>
      <c r="CW134" s="560"/>
      <c r="CX134" s="67">
        <v>0</v>
      </c>
      <c r="CY134" s="66"/>
      <c r="CZ134" s="67"/>
      <c r="DA134" s="560"/>
      <c r="DB134" s="560"/>
      <c r="DC134" s="67">
        <v>0</v>
      </c>
      <c r="DD134" s="66"/>
      <c r="DE134" s="67"/>
      <c r="DF134" s="560"/>
      <c r="DG134" s="560"/>
      <c r="DH134" s="67">
        <v>0</v>
      </c>
      <c r="DI134" s="66"/>
      <c r="DJ134" s="67"/>
      <c r="DK134" s="560"/>
      <c r="DL134" s="560"/>
      <c r="DM134" s="67">
        <v>0</v>
      </c>
      <c r="DN134" s="66"/>
      <c r="DO134" s="67"/>
      <c r="DP134" s="560"/>
      <c r="DQ134" s="560"/>
      <c r="DR134" s="67">
        <v>0</v>
      </c>
      <c r="DS134" s="66"/>
      <c r="DT134" s="67"/>
      <c r="DU134" s="560"/>
      <c r="DV134" s="560"/>
      <c r="DW134" s="67">
        <v>0</v>
      </c>
      <c r="DX134" s="66"/>
      <c r="DY134" s="67"/>
      <c r="DZ134" s="560"/>
      <c r="EA134" s="560"/>
      <c r="EB134" s="67">
        <v>0</v>
      </c>
      <c r="EC134" s="66"/>
      <c r="ED134" s="67"/>
      <c r="EE134" s="560"/>
      <c r="EF134" s="560"/>
      <c r="EG134" s="67">
        <v>0</v>
      </c>
      <c r="EH134" s="66"/>
      <c r="EI134" s="67"/>
      <c r="EJ134" s="560"/>
      <c r="EK134" s="560"/>
      <c r="EL134" s="67">
        <f>SUM(CD134:CI134)</f>
        <v>0</v>
      </c>
      <c r="EM134" s="66"/>
      <c r="EN134" s="67"/>
      <c r="EO134" s="455"/>
      <c r="ER134" s="472"/>
      <c r="ES134" s="472"/>
    </row>
    <row r="135" spans="1:149" ht="12.75" hidden="1" customHeight="1" x14ac:dyDescent="0.2">
      <c r="A135" s="442"/>
      <c r="B135" s="442"/>
      <c r="D135" s="455" t="s">
        <v>346</v>
      </c>
      <c r="E135" s="560"/>
      <c r="F135" s="488"/>
      <c r="G135" s="113">
        <v>0</v>
      </c>
      <c r="H135" s="112"/>
      <c r="I135" s="67"/>
      <c r="J135" s="560"/>
      <c r="K135" s="569"/>
      <c r="L135" s="113">
        <v>0</v>
      </c>
      <c r="M135" s="112"/>
      <c r="N135" s="67"/>
      <c r="O135" s="560"/>
      <c r="P135" s="569"/>
      <c r="Q135" s="113">
        <v>0</v>
      </c>
      <c r="R135" s="112"/>
      <c r="S135" s="67"/>
      <c r="T135" s="560"/>
      <c r="U135" s="569"/>
      <c r="V135" s="113">
        <v>0</v>
      </c>
      <c r="W135" s="112"/>
      <c r="X135" s="67"/>
      <c r="Y135" s="560"/>
      <c r="Z135" s="569"/>
      <c r="AA135" s="113">
        <v>0</v>
      </c>
      <c r="AB135" s="112"/>
      <c r="AC135" s="67"/>
      <c r="AD135" s="560"/>
      <c r="AE135" s="569"/>
      <c r="AF135" s="113">
        <v>0</v>
      </c>
      <c r="AG135" s="112"/>
      <c r="AH135" s="67"/>
      <c r="AI135" s="560"/>
      <c r="AJ135" s="569"/>
      <c r="AK135" s="113">
        <v>0</v>
      </c>
      <c r="AL135" s="112"/>
      <c r="AM135" s="67"/>
      <c r="AN135" s="560"/>
      <c r="AO135" s="569"/>
      <c r="AP135" s="113">
        <v>0</v>
      </c>
      <c r="AQ135" s="112"/>
      <c r="AR135" s="67"/>
      <c r="AS135" s="560"/>
      <c r="AT135" s="569"/>
      <c r="AU135" s="113">
        <v>0</v>
      </c>
      <c r="AV135" s="112"/>
      <c r="AW135" s="67"/>
      <c r="AX135" s="560"/>
      <c r="AY135" s="569"/>
      <c r="AZ135" s="113">
        <v>0</v>
      </c>
      <c r="BA135" s="112"/>
      <c r="BB135" s="67"/>
      <c r="BC135" s="560"/>
      <c r="BD135" s="569"/>
      <c r="BE135" s="113">
        <v>0</v>
      </c>
      <c r="BF135" s="112"/>
      <c r="BG135" s="67"/>
      <c r="BH135" s="560"/>
      <c r="BI135" s="569"/>
      <c r="BJ135" s="113">
        <v>0</v>
      </c>
      <c r="BK135" s="112"/>
      <c r="BL135" s="67"/>
      <c r="BM135" s="560"/>
      <c r="BN135" s="569"/>
      <c r="BO135" s="113">
        <v>0</v>
      </c>
      <c r="BP135" s="112"/>
      <c r="BQ135" s="67"/>
      <c r="BR135" s="560"/>
      <c r="BS135" s="569"/>
      <c r="BT135" s="113">
        <f>SUM(L135:BO135)</f>
        <v>0</v>
      </c>
      <c r="BU135" s="112"/>
      <c r="BV135" s="67"/>
      <c r="BW135" s="560"/>
      <c r="BX135" s="569"/>
      <c r="BY135" s="113">
        <v>0</v>
      </c>
      <c r="BZ135" s="112"/>
      <c r="CA135" s="67"/>
      <c r="CB135" s="560"/>
      <c r="CC135" s="569"/>
      <c r="CD135" s="113">
        <v>0</v>
      </c>
      <c r="CE135" s="112"/>
      <c r="CF135" s="67"/>
      <c r="CG135" s="560"/>
      <c r="CH135" s="569"/>
      <c r="CI135" s="113">
        <v>0</v>
      </c>
      <c r="CJ135" s="112"/>
      <c r="CK135" s="67"/>
      <c r="CL135" s="560"/>
      <c r="CM135" s="569"/>
      <c r="CN135" s="113">
        <v>0</v>
      </c>
      <c r="CO135" s="112"/>
      <c r="CP135" s="67"/>
      <c r="CQ135" s="560"/>
      <c r="CR135" s="569"/>
      <c r="CS135" s="113">
        <v>0</v>
      </c>
      <c r="CT135" s="112"/>
      <c r="CU135" s="67"/>
      <c r="CV135" s="560"/>
      <c r="CW135" s="569"/>
      <c r="CX135" s="113">
        <v>0</v>
      </c>
      <c r="CY135" s="112"/>
      <c r="CZ135" s="67"/>
      <c r="DA135" s="560"/>
      <c r="DB135" s="569"/>
      <c r="DC135" s="113">
        <v>0</v>
      </c>
      <c r="DD135" s="112"/>
      <c r="DE135" s="67"/>
      <c r="DF135" s="560"/>
      <c r="DG135" s="569"/>
      <c r="DH135" s="113">
        <v>0</v>
      </c>
      <c r="DI135" s="112"/>
      <c r="DJ135" s="67"/>
      <c r="DK135" s="560"/>
      <c r="DL135" s="569"/>
      <c r="DM135" s="113">
        <v>0</v>
      </c>
      <c r="DN135" s="112"/>
      <c r="DO135" s="67"/>
      <c r="DP135" s="560"/>
      <c r="DQ135" s="569"/>
      <c r="DR135" s="113">
        <v>0</v>
      </c>
      <c r="DS135" s="112"/>
      <c r="DT135" s="67"/>
      <c r="DU135" s="560"/>
      <c r="DV135" s="569"/>
      <c r="DW135" s="113">
        <v>0</v>
      </c>
      <c r="DX135" s="112"/>
      <c r="DY135" s="67"/>
      <c r="DZ135" s="560"/>
      <c r="EA135" s="569"/>
      <c r="EB135" s="113">
        <v>0</v>
      </c>
      <c r="EC135" s="112"/>
      <c r="ED135" s="67"/>
      <c r="EE135" s="560"/>
      <c r="EF135" s="569"/>
      <c r="EG135" s="113">
        <v>0</v>
      </c>
      <c r="EH135" s="112"/>
      <c r="EI135" s="67"/>
      <c r="EJ135" s="560"/>
      <c r="EK135" s="569"/>
      <c r="EL135" s="113">
        <f>SUM(CD135:CI135)</f>
        <v>0</v>
      </c>
      <c r="EM135" s="112"/>
      <c r="EN135" s="67"/>
      <c r="EO135" s="455"/>
      <c r="ER135" s="472"/>
      <c r="ES135" s="472"/>
    </row>
    <row r="136" spans="1:149" ht="12.75" customHeight="1" x14ac:dyDescent="0.2">
      <c r="A136" s="442"/>
      <c r="B136" s="442"/>
      <c r="D136" s="455"/>
      <c r="E136" s="560"/>
      <c r="F136" s="442"/>
      <c r="G136" s="67"/>
      <c r="H136" s="67"/>
      <c r="I136" s="67"/>
      <c r="J136" s="560"/>
      <c r="K136" s="67"/>
      <c r="L136" s="67"/>
      <c r="M136" s="67"/>
      <c r="N136" s="67"/>
      <c r="O136" s="560"/>
      <c r="P136" s="67"/>
      <c r="Q136" s="67"/>
      <c r="R136" s="67"/>
      <c r="S136" s="67"/>
      <c r="T136" s="560"/>
      <c r="U136" s="67"/>
      <c r="V136" s="67"/>
      <c r="W136" s="67"/>
      <c r="X136" s="67"/>
      <c r="Y136" s="560"/>
      <c r="Z136" s="67"/>
      <c r="AA136" s="67"/>
      <c r="AB136" s="67"/>
      <c r="AC136" s="67"/>
      <c r="AD136" s="560"/>
      <c r="AE136" s="67"/>
      <c r="AF136" s="67"/>
      <c r="AG136" s="67"/>
      <c r="AH136" s="67"/>
      <c r="AI136" s="560"/>
      <c r="AJ136" s="67"/>
      <c r="AK136" s="67"/>
      <c r="AL136" s="67"/>
      <c r="AM136" s="67"/>
      <c r="AN136" s="560"/>
      <c r="AO136" s="67"/>
      <c r="AP136" s="67"/>
      <c r="AQ136" s="67"/>
      <c r="AR136" s="67"/>
      <c r="AS136" s="560"/>
      <c r="AT136" s="67"/>
      <c r="AU136" s="67"/>
      <c r="AV136" s="67"/>
      <c r="AW136" s="67"/>
      <c r="AX136" s="560"/>
      <c r="AY136" s="67"/>
      <c r="AZ136" s="67"/>
      <c r="BA136" s="67"/>
      <c r="BB136" s="67"/>
      <c r="BC136" s="560"/>
      <c r="BD136" s="67"/>
      <c r="BE136" s="67"/>
      <c r="BF136" s="67"/>
      <c r="BG136" s="67"/>
      <c r="BH136" s="560"/>
      <c r="BI136" s="67"/>
      <c r="BJ136" s="67"/>
      <c r="BK136" s="67"/>
      <c r="BL136" s="67"/>
      <c r="BM136" s="560"/>
      <c r="BN136" s="67"/>
      <c r="BO136" s="67"/>
      <c r="BP136" s="67"/>
      <c r="BQ136" s="67"/>
      <c r="BR136" s="560"/>
      <c r="BS136" s="67"/>
      <c r="BT136" s="67"/>
      <c r="BU136" s="67"/>
      <c r="BV136" s="67"/>
      <c r="BW136" s="560"/>
      <c r="BX136" s="67"/>
      <c r="BY136" s="67"/>
      <c r="BZ136" s="67"/>
      <c r="CA136" s="67"/>
      <c r="CB136" s="560"/>
      <c r="CC136" s="67"/>
      <c r="CD136" s="67"/>
      <c r="CE136" s="67"/>
      <c r="CF136" s="67"/>
      <c r="CG136" s="560"/>
      <c r="CH136" s="67"/>
      <c r="CI136" s="67"/>
      <c r="CJ136" s="67"/>
      <c r="CK136" s="67"/>
      <c r="CL136" s="560"/>
      <c r="CM136" s="67"/>
      <c r="CN136" s="67"/>
      <c r="CO136" s="67"/>
      <c r="CP136" s="67"/>
      <c r="CQ136" s="560"/>
      <c r="CR136" s="67"/>
      <c r="CS136" s="67"/>
      <c r="CT136" s="67"/>
      <c r="CU136" s="67"/>
      <c r="CV136" s="560"/>
      <c r="CW136" s="67"/>
      <c r="CX136" s="67"/>
      <c r="CY136" s="67"/>
      <c r="CZ136" s="67"/>
      <c r="DA136" s="560"/>
      <c r="DB136" s="67"/>
      <c r="DC136" s="67"/>
      <c r="DD136" s="67"/>
      <c r="DE136" s="67"/>
      <c r="DF136" s="560"/>
      <c r="DG136" s="67"/>
      <c r="DH136" s="67"/>
      <c r="DI136" s="67"/>
      <c r="DJ136" s="67"/>
      <c r="DK136" s="560"/>
      <c r="DL136" s="67"/>
      <c r="DM136" s="67"/>
      <c r="DN136" s="67"/>
      <c r="DO136" s="67"/>
      <c r="DP136" s="560"/>
      <c r="DQ136" s="67"/>
      <c r="DR136" s="67"/>
      <c r="DS136" s="67"/>
      <c r="DT136" s="67"/>
      <c r="DU136" s="560"/>
      <c r="DV136" s="67"/>
      <c r="DW136" s="67"/>
      <c r="DX136" s="67"/>
      <c r="DY136" s="67"/>
      <c r="DZ136" s="560"/>
      <c r="EA136" s="67"/>
      <c r="EB136" s="67"/>
      <c r="EC136" s="67"/>
      <c r="ED136" s="67"/>
      <c r="EE136" s="560"/>
      <c r="EF136" s="67"/>
      <c r="EG136" s="67"/>
      <c r="EH136" s="67"/>
      <c r="EI136" s="67"/>
      <c r="EJ136" s="560"/>
      <c r="EK136" s="67"/>
      <c r="EL136" s="67"/>
      <c r="EM136" s="67"/>
      <c r="EN136" s="67"/>
      <c r="EO136" s="455"/>
      <c r="ER136" s="472"/>
      <c r="ES136" s="472"/>
    </row>
    <row r="137" spans="1:149" ht="12.75" customHeight="1" x14ac:dyDescent="0.2">
      <c r="A137" s="442"/>
      <c r="B137" s="442"/>
      <c r="D137" s="455" t="s">
        <v>367</v>
      </c>
      <c r="E137" s="560"/>
      <c r="F137" s="442"/>
      <c r="G137" s="67">
        <f>SUM(G138:G141)</f>
        <v>0</v>
      </c>
      <c r="H137" s="67"/>
      <c r="I137" s="67"/>
      <c r="J137" s="560"/>
      <c r="K137" s="67"/>
      <c r="L137" s="67">
        <f>SUM(L138:L141)</f>
        <v>2291175</v>
      </c>
      <c r="M137" s="67"/>
      <c r="N137" s="67"/>
      <c r="O137" s="560"/>
      <c r="P137" s="67"/>
      <c r="Q137" s="67">
        <f>SUM(Q138:Q141)</f>
        <v>0</v>
      </c>
      <c r="R137" s="67"/>
      <c r="S137" s="67"/>
      <c r="T137" s="560"/>
      <c r="U137" s="67"/>
      <c r="V137" s="67">
        <f>SUM(V138:V141)</f>
        <v>0</v>
      </c>
      <c r="W137" s="67"/>
      <c r="X137" s="67"/>
      <c r="Y137" s="560"/>
      <c r="Z137" s="67"/>
      <c r="AA137" s="67">
        <f>SUM(AA138:AA141)</f>
        <v>0</v>
      </c>
      <c r="AB137" s="67"/>
      <c r="AC137" s="67"/>
      <c r="AD137" s="560"/>
      <c r="AE137" s="67"/>
      <c r="AF137" s="67">
        <f>SUM(AF138:AF141)</f>
        <v>0</v>
      </c>
      <c r="AG137" s="67"/>
      <c r="AH137" s="67"/>
      <c r="AI137" s="560"/>
      <c r="AJ137" s="67"/>
      <c r="AK137" s="67">
        <f>SUM(AK138:AK141)</f>
        <v>0</v>
      </c>
      <c r="AL137" s="67"/>
      <c r="AM137" s="67"/>
      <c r="AN137" s="560"/>
      <c r="AO137" s="67"/>
      <c r="AP137" s="67">
        <f>SUM(AP138:AP141)</f>
        <v>0</v>
      </c>
      <c r="AQ137" s="67"/>
      <c r="AR137" s="67"/>
      <c r="AS137" s="560"/>
      <c r="AT137" s="67"/>
      <c r="AU137" s="67">
        <f>SUM(AU138:AU141)</f>
        <v>0</v>
      </c>
      <c r="AV137" s="67"/>
      <c r="AW137" s="67"/>
      <c r="AX137" s="560"/>
      <c r="AY137" s="67"/>
      <c r="AZ137" s="67">
        <f>SUM(AZ138:AZ141)</f>
        <v>0</v>
      </c>
      <c r="BA137" s="67"/>
      <c r="BB137" s="67"/>
      <c r="BC137" s="560"/>
      <c r="BD137" s="67"/>
      <c r="BE137" s="67">
        <f>SUM(BE138:BE141)</f>
        <v>0</v>
      </c>
      <c r="BF137" s="67"/>
      <c r="BG137" s="67"/>
      <c r="BH137" s="560"/>
      <c r="BI137" s="67"/>
      <c r="BJ137" s="67">
        <f>SUM(BJ138:BJ141)</f>
        <v>0</v>
      </c>
      <c r="BK137" s="67"/>
      <c r="BL137" s="67"/>
      <c r="BM137" s="560"/>
      <c r="BN137" s="67"/>
      <c r="BO137" s="67">
        <f>SUM(BO138:BO141)</f>
        <v>0</v>
      </c>
      <c r="BP137" s="67"/>
      <c r="BQ137" s="67"/>
      <c r="BR137" s="560"/>
      <c r="BS137" s="67"/>
      <c r="BT137" s="67">
        <f>SUM(BT138:BT141)</f>
        <v>2291175</v>
      </c>
      <c r="BU137" s="67"/>
      <c r="BV137" s="67"/>
      <c r="BW137" s="560"/>
      <c r="BX137" s="67"/>
      <c r="BY137" s="67">
        <f>SUM(BY138:BY141)</f>
        <v>0</v>
      </c>
      <c r="BZ137" s="67"/>
      <c r="CA137" s="67"/>
      <c r="CB137" s="560"/>
      <c r="CC137" s="67"/>
      <c r="CD137" s="67">
        <f>SUM(CD138:CD141)</f>
        <v>0</v>
      </c>
      <c r="CE137" s="67"/>
      <c r="CF137" s="67"/>
      <c r="CG137" s="560"/>
      <c r="CH137" s="67"/>
      <c r="CI137" s="67">
        <f>SUM(CI138:CI141)</f>
        <v>0</v>
      </c>
      <c r="CJ137" s="67"/>
      <c r="CK137" s="67"/>
      <c r="CL137" s="560"/>
      <c r="CM137" s="67"/>
      <c r="CN137" s="67">
        <f>SUM(CN138:CN141)</f>
        <v>0</v>
      </c>
      <c r="CO137" s="67"/>
      <c r="CP137" s="67"/>
      <c r="CQ137" s="560"/>
      <c r="CR137" s="67"/>
      <c r="CS137" s="67">
        <f>SUM(CS138:CS141)</f>
        <v>0</v>
      </c>
      <c r="CT137" s="67"/>
      <c r="CU137" s="67"/>
      <c r="CV137" s="560"/>
      <c r="CW137" s="67"/>
      <c r="CX137" s="67">
        <f>SUM(CX138:CX141)</f>
        <v>0</v>
      </c>
      <c r="CY137" s="67"/>
      <c r="CZ137" s="67"/>
      <c r="DA137" s="560"/>
      <c r="DB137" s="67"/>
      <c r="DC137" s="67">
        <f>SUM(DC138:DC141)</f>
        <v>0</v>
      </c>
      <c r="DD137" s="67"/>
      <c r="DE137" s="67"/>
      <c r="DF137" s="560"/>
      <c r="DG137" s="67"/>
      <c r="DH137" s="67">
        <f>SUM(DH138:DH141)</f>
        <v>0</v>
      </c>
      <c r="DI137" s="67"/>
      <c r="DJ137" s="67"/>
      <c r="DK137" s="560"/>
      <c r="DL137" s="67"/>
      <c r="DM137" s="67">
        <f>SUM(DM138:DM141)</f>
        <v>0</v>
      </c>
      <c r="DN137" s="67"/>
      <c r="DO137" s="67"/>
      <c r="DP137" s="560"/>
      <c r="DQ137" s="67"/>
      <c r="DR137" s="67">
        <f>SUM(DR138:DR141)</f>
        <v>0</v>
      </c>
      <c r="DS137" s="67"/>
      <c r="DT137" s="67"/>
      <c r="DU137" s="560"/>
      <c r="DV137" s="67"/>
      <c r="DW137" s="67">
        <f>SUM(DW138:DW141)</f>
        <v>0</v>
      </c>
      <c r="DX137" s="67"/>
      <c r="DY137" s="67"/>
      <c r="DZ137" s="560"/>
      <c r="EA137" s="67"/>
      <c r="EB137" s="67">
        <f>SUM(EB138:EB141)</f>
        <v>0</v>
      </c>
      <c r="EC137" s="67"/>
      <c r="ED137" s="67"/>
      <c r="EE137" s="560"/>
      <c r="EF137" s="67"/>
      <c r="EG137" s="67">
        <f>SUM(EG138:EG141)</f>
        <v>0</v>
      </c>
      <c r="EH137" s="67"/>
      <c r="EI137" s="67"/>
      <c r="EJ137" s="560"/>
      <c r="EK137" s="67"/>
      <c r="EL137" s="67">
        <f>SUM(EL138:EL141)</f>
        <v>0</v>
      </c>
      <c r="EM137" s="67"/>
      <c r="EN137" s="67"/>
      <c r="EO137" s="455"/>
      <c r="ER137" s="472"/>
      <c r="ES137" s="472"/>
    </row>
    <row r="138" spans="1:149" ht="12.75" customHeight="1" x14ac:dyDescent="0.2">
      <c r="A138" s="442"/>
      <c r="B138" s="442"/>
      <c r="D138" s="455" t="s">
        <v>342</v>
      </c>
      <c r="E138" s="560"/>
      <c r="F138" s="473"/>
      <c r="G138" s="558">
        <v>0</v>
      </c>
      <c r="H138" s="559"/>
      <c r="I138" s="67"/>
      <c r="J138" s="560"/>
      <c r="K138" s="473"/>
      <c r="L138" s="558">
        <f>1410000-18467+4648</f>
        <v>1396181</v>
      </c>
      <c r="M138" s="559"/>
      <c r="N138" s="67"/>
      <c r="O138" s="560"/>
      <c r="P138" s="561"/>
      <c r="Q138" s="558">
        <v>0</v>
      </c>
      <c r="R138" s="559"/>
      <c r="S138" s="67"/>
      <c r="T138" s="560"/>
      <c r="U138" s="561"/>
      <c r="V138" s="558">
        <v>0</v>
      </c>
      <c r="W138" s="559"/>
      <c r="X138" s="67"/>
      <c r="Y138" s="560"/>
      <c r="Z138" s="561"/>
      <c r="AA138" s="558">
        <v>0</v>
      </c>
      <c r="AB138" s="559"/>
      <c r="AC138" s="67"/>
      <c r="AD138" s="560"/>
      <c r="AE138" s="561"/>
      <c r="AF138" s="558">
        <v>0</v>
      </c>
      <c r="AG138" s="559"/>
      <c r="AH138" s="67"/>
      <c r="AI138" s="560"/>
      <c r="AJ138" s="561"/>
      <c r="AK138" s="558">
        <v>0</v>
      </c>
      <c r="AL138" s="559"/>
      <c r="AM138" s="67"/>
      <c r="AN138" s="560"/>
      <c r="AO138" s="561"/>
      <c r="AP138" s="558">
        <v>0</v>
      </c>
      <c r="AQ138" s="559"/>
      <c r="AR138" s="67"/>
      <c r="AS138" s="560"/>
      <c r="AT138" s="561"/>
      <c r="AU138" s="558">
        <v>0</v>
      </c>
      <c r="AV138" s="559"/>
      <c r="AW138" s="67"/>
      <c r="AX138" s="560"/>
      <c r="AY138" s="561"/>
      <c r="AZ138" s="558">
        <v>0</v>
      </c>
      <c r="BA138" s="559"/>
      <c r="BB138" s="67"/>
      <c r="BC138" s="560"/>
      <c r="BD138" s="561"/>
      <c r="BE138" s="558">
        <v>0</v>
      </c>
      <c r="BF138" s="559"/>
      <c r="BG138" s="67"/>
      <c r="BH138" s="560"/>
      <c r="BI138" s="561"/>
      <c r="BJ138" s="558">
        <v>0</v>
      </c>
      <c r="BK138" s="559"/>
      <c r="BL138" s="67"/>
      <c r="BM138" s="560"/>
      <c r="BN138" s="561"/>
      <c r="BO138" s="558">
        <v>0</v>
      </c>
      <c r="BP138" s="559"/>
      <c r="BQ138" s="67"/>
      <c r="BR138" s="560"/>
      <c r="BS138" s="561"/>
      <c r="BT138" s="558">
        <f>SUM(L138:BO138)</f>
        <v>1396181</v>
      </c>
      <c r="BU138" s="559"/>
      <c r="BV138" s="67"/>
      <c r="BW138" s="560"/>
      <c r="BX138" s="561"/>
      <c r="BY138" s="558">
        <v>0</v>
      </c>
      <c r="BZ138" s="559"/>
      <c r="CA138" s="67"/>
      <c r="CB138" s="560"/>
      <c r="CC138" s="473"/>
      <c r="CD138" s="558">
        <v>0</v>
      </c>
      <c r="CE138" s="559"/>
      <c r="CF138" s="67"/>
      <c r="CG138" s="560"/>
      <c r="CH138" s="561"/>
      <c r="CI138" s="558">
        <v>0</v>
      </c>
      <c r="CJ138" s="559"/>
      <c r="CK138" s="67"/>
      <c r="CL138" s="560"/>
      <c r="CM138" s="561"/>
      <c r="CN138" s="558">
        <v>0</v>
      </c>
      <c r="CO138" s="559"/>
      <c r="CP138" s="67"/>
      <c r="CQ138" s="560"/>
      <c r="CR138" s="561"/>
      <c r="CS138" s="558">
        <v>0</v>
      </c>
      <c r="CT138" s="559"/>
      <c r="CU138" s="67"/>
      <c r="CV138" s="560"/>
      <c r="CW138" s="561"/>
      <c r="CX138" s="558">
        <v>0</v>
      </c>
      <c r="CY138" s="559"/>
      <c r="CZ138" s="67"/>
      <c r="DA138" s="560"/>
      <c r="DB138" s="561"/>
      <c r="DC138" s="558">
        <v>0</v>
      </c>
      <c r="DD138" s="559"/>
      <c r="DE138" s="67"/>
      <c r="DF138" s="560"/>
      <c r="DG138" s="561"/>
      <c r="DH138" s="558">
        <v>0</v>
      </c>
      <c r="DI138" s="559"/>
      <c r="DJ138" s="67"/>
      <c r="DK138" s="560"/>
      <c r="DL138" s="561"/>
      <c r="DM138" s="558">
        <v>0</v>
      </c>
      <c r="DN138" s="559"/>
      <c r="DO138" s="67"/>
      <c r="DP138" s="560"/>
      <c r="DQ138" s="561"/>
      <c r="DR138" s="558">
        <v>0</v>
      </c>
      <c r="DS138" s="559"/>
      <c r="DT138" s="67"/>
      <c r="DU138" s="560"/>
      <c r="DV138" s="561"/>
      <c r="DW138" s="558">
        <v>0</v>
      </c>
      <c r="DX138" s="559"/>
      <c r="DY138" s="67"/>
      <c r="DZ138" s="560"/>
      <c r="EA138" s="561"/>
      <c r="EB138" s="558">
        <v>0</v>
      </c>
      <c r="EC138" s="559"/>
      <c r="ED138" s="67"/>
      <c r="EE138" s="560"/>
      <c r="EF138" s="561"/>
      <c r="EG138" s="558">
        <v>0</v>
      </c>
      <c r="EH138" s="559"/>
      <c r="EI138" s="67"/>
      <c r="EJ138" s="560"/>
      <c r="EK138" s="561"/>
      <c r="EL138" s="558">
        <f>SUM(CD138:CI138)</f>
        <v>0</v>
      </c>
      <c r="EM138" s="559"/>
      <c r="EN138" s="67"/>
      <c r="EO138" s="455"/>
      <c r="ER138" s="472"/>
      <c r="ES138" s="472"/>
    </row>
    <row r="139" spans="1:149" ht="12.75" customHeight="1" x14ac:dyDescent="0.2">
      <c r="A139" s="442"/>
      <c r="B139" s="442"/>
      <c r="D139" s="455" t="s">
        <v>344</v>
      </c>
      <c r="E139" s="560"/>
      <c r="F139" s="465"/>
      <c r="G139" s="67">
        <v>0</v>
      </c>
      <c r="H139" s="66"/>
      <c r="I139" s="67"/>
      <c r="J139" s="560"/>
      <c r="K139" s="465"/>
      <c r="L139" s="67">
        <v>18467</v>
      </c>
      <c r="M139" s="66"/>
      <c r="N139" s="67"/>
      <c r="O139" s="560"/>
      <c r="P139" s="560"/>
      <c r="Q139" s="67">
        <v>0</v>
      </c>
      <c r="R139" s="66"/>
      <c r="S139" s="67"/>
      <c r="T139" s="560"/>
      <c r="U139" s="560"/>
      <c r="V139" s="67">
        <v>0</v>
      </c>
      <c r="W139" s="66"/>
      <c r="X139" s="67"/>
      <c r="Y139" s="560"/>
      <c r="Z139" s="560"/>
      <c r="AA139" s="67">
        <v>0</v>
      </c>
      <c r="AB139" s="66"/>
      <c r="AC139" s="67"/>
      <c r="AD139" s="560"/>
      <c r="AE139" s="560"/>
      <c r="AF139" s="67">
        <v>0</v>
      </c>
      <c r="AG139" s="66"/>
      <c r="AH139" s="67"/>
      <c r="AI139" s="560"/>
      <c r="AJ139" s="560"/>
      <c r="AK139" s="67">
        <v>0</v>
      </c>
      <c r="AL139" s="66"/>
      <c r="AM139" s="67"/>
      <c r="AN139" s="560"/>
      <c r="AO139" s="560"/>
      <c r="AP139" s="67">
        <v>0</v>
      </c>
      <c r="AQ139" s="66"/>
      <c r="AR139" s="67"/>
      <c r="AS139" s="560"/>
      <c r="AT139" s="560"/>
      <c r="AU139" s="67">
        <v>0</v>
      </c>
      <c r="AV139" s="66"/>
      <c r="AW139" s="67"/>
      <c r="AX139" s="560"/>
      <c r="AY139" s="560"/>
      <c r="AZ139" s="67">
        <v>0</v>
      </c>
      <c r="BA139" s="66"/>
      <c r="BB139" s="67"/>
      <c r="BC139" s="560"/>
      <c r="BD139" s="560"/>
      <c r="BE139" s="67">
        <v>0</v>
      </c>
      <c r="BF139" s="66"/>
      <c r="BG139" s="67"/>
      <c r="BH139" s="560"/>
      <c r="BI139" s="560"/>
      <c r="BJ139" s="67">
        <v>0</v>
      </c>
      <c r="BK139" s="66"/>
      <c r="BL139" s="67"/>
      <c r="BM139" s="560"/>
      <c r="BN139" s="560"/>
      <c r="BO139" s="67">
        <v>0</v>
      </c>
      <c r="BP139" s="66"/>
      <c r="BQ139" s="67"/>
      <c r="BR139" s="560"/>
      <c r="BS139" s="560"/>
      <c r="BT139" s="67">
        <f>SUM(L139:BO139)</f>
        <v>18467</v>
      </c>
      <c r="BU139" s="66"/>
      <c r="BV139" s="67"/>
      <c r="BW139" s="560"/>
      <c r="BX139" s="560"/>
      <c r="BY139" s="67">
        <v>0</v>
      </c>
      <c r="BZ139" s="66"/>
      <c r="CA139" s="67"/>
      <c r="CB139" s="560"/>
      <c r="CC139" s="465"/>
      <c r="CD139" s="67">
        <v>0</v>
      </c>
      <c r="CE139" s="66"/>
      <c r="CF139" s="67"/>
      <c r="CG139" s="560"/>
      <c r="CH139" s="560"/>
      <c r="CI139" s="67">
        <v>0</v>
      </c>
      <c r="CJ139" s="66"/>
      <c r="CK139" s="67"/>
      <c r="CL139" s="560"/>
      <c r="CM139" s="560"/>
      <c r="CN139" s="67">
        <v>0</v>
      </c>
      <c r="CO139" s="66"/>
      <c r="CP139" s="67"/>
      <c r="CQ139" s="560"/>
      <c r="CR139" s="560"/>
      <c r="CS139" s="67">
        <v>0</v>
      </c>
      <c r="CT139" s="66"/>
      <c r="CU139" s="67"/>
      <c r="CV139" s="560"/>
      <c r="CW139" s="560"/>
      <c r="CX139" s="67">
        <v>0</v>
      </c>
      <c r="CY139" s="66"/>
      <c r="CZ139" s="67"/>
      <c r="DA139" s="560"/>
      <c r="DB139" s="560"/>
      <c r="DC139" s="67">
        <v>0</v>
      </c>
      <c r="DD139" s="66"/>
      <c r="DE139" s="67"/>
      <c r="DF139" s="560"/>
      <c r="DG139" s="560"/>
      <c r="DH139" s="67">
        <v>0</v>
      </c>
      <c r="DI139" s="66"/>
      <c r="DJ139" s="67"/>
      <c r="DK139" s="560"/>
      <c r="DL139" s="560"/>
      <c r="DM139" s="67">
        <v>0</v>
      </c>
      <c r="DN139" s="66"/>
      <c r="DO139" s="67"/>
      <c r="DP139" s="560"/>
      <c r="DQ139" s="560"/>
      <c r="DR139" s="67">
        <v>0</v>
      </c>
      <c r="DS139" s="66"/>
      <c r="DT139" s="67"/>
      <c r="DU139" s="560"/>
      <c r="DV139" s="560"/>
      <c r="DW139" s="67">
        <v>0</v>
      </c>
      <c r="DX139" s="66"/>
      <c r="DY139" s="67"/>
      <c r="DZ139" s="560"/>
      <c r="EA139" s="560"/>
      <c r="EB139" s="67">
        <v>0</v>
      </c>
      <c r="EC139" s="66"/>
      <c r="ED139" s="67"/>
      <c r="EE139" s="560"/>
      <c r="EF139" s="560"/>
      <c r="EG139" s="67">
        <v>0</v>
      </c>
      <c r="EH139" s="66"/>
      <c r="EI139" s="67"/>
      <c r="EJ139" s="560"/>
      <c r="EK139" s="560"/>
      <c r="EL139" s="67">
        <f>SUM(CD139:CI139)</f>
        <v>0</v>
      </c>
      <c r="EM139" s="66"/>
      <c r="EN139" s="67"/>
      <c r="EO139" s="455"/>
      <c r="ER139" s="472"/>
      <c r="ES139" s="472"/>
    </row>
    <row r="140" spans="1:149" ht="12.75" customHeight="1" x14ac:dyDescent="0.2">
      <c r="A140" s="442"/>
      <c r="B140" s="442"/>
      <c r="D140" s="455" t="s">
        <v>345</v>
      </c>
      <c r="E140" s="560"/>
      <c r="F140" s="465"/>
      <c r="G140" s="67">
        <v>0</v>
      </c>
      <c r="H140" s="66"/>
      <c r="I140" s="67"/>
      <c r="J140" s="560"/>
      <c r="K140" s="465"/>
      <c r="L140" s="67">
        <v>-4648</v>
      </c>
      <c r="M140" s="66"/>
      <c r="N140" s="67"/>
      <c r="O140" s="560"/>
      <c r="P140" s="560"/>
      <c r="Q140" s="67">
        <v>0</v>
      </c>
      <c r="R140" s="66"/>
      <c r="S140" s="67"/>
      <c r="T140" s="560"/>
      <c r="U140" s="560"/>
      <c r="V140" s="67">
        <v>0</v>
      </c>
      <c r="W140" s="66"/>
      <c r="X140" s="67"/>
      <c r="Y140" s="560"/>
      <c r="Z140" s="560"/>
      <c r="AA140" s="67">
        <v>0</v>
      </c>
      <c r="AB140" s="66"/>
      <c r="AC140" s="67"/>
      <c r="AD140" s="560"/>
      <c r="AE140" s="560"/>
      <c r="AF140" s="67">
        <v>0</v>
      </c>
      <c r="AG140" s="66"/>
      <c r="AH140" s="67"/>
      <c r="AI140" s="560"/>
      <c r="AJ140" s="560"/>
      <c r="AK140" s="67">
        <v>0</v>
      </c>
      <c r="AL140" s="66"/>
      <c r="AM140" s="67"/>
      <c r="AN140" s="560"/>
      <c r="AO140" s="560"/>
      <c r="AP140" s="67">
        <v>0</v>
      </c>
      <c r="AQ140" s="66"/>
      <c r="AR140" s="67"/>
      <c r="AS140" s="560"/>
      <c r="AT140" s="560"/>
      <c r="AU140" s="67">
        <v>0</v>
      </c>
      <c r="AV140" s="66"/>
      <c r="AW140" s="67"/>
      <c r="AX140" s="560"/>
      <c r="AY140" s="560"/>
      <c r="AZ140" s="67">
        <v>0</v>
      </c>
      <c r="BA140" s="66"/>
      <c r="BB140" s="67"/>
      <c r="BC140" s="560"/>
      <c r="BD140" s="560"/>
      <c r="BE140" s="67">
        <v>0</v>
      </c>
      <c r="BF140" s="66"/>
      <c r="BG140" s="67"/>
      <c r="BH140" s="560"/>
      <c r="BI140" s="560"/>
      <c r="BJ140" s="67">
        <v>0</v>
      </c>
      <c r="BK140" s="66"/>
      <c r="BL140" s="67"/>
      <c r="BM140" s="560"/>
      <c r="BN140" s="560"/>
      <c r="BO140" s="67">
        <v>0</v>
      </c>
      <c r="BP140" s="66"/>
      <c r="BQ140" s="67"/>
      <c r="BR140" s="560"/>
      <c r="BS140" s="560"/>
      <c r="BT140" s="67">
        <f>SUM(L140:BO140)</f>
        <v>-4648</v>
      </c>
      <c r="BU140" s="66"/>
      <c r="BV140" s="67"/>
      <c r="BW140" s="560"/>
      <c r="BX140" s="560"/>
      <c r="BY140" s="67">
        <v>0</v>
      </c>
      <c r="BZ140" s="66"/>
      <c r="CA140" s="67"/>
      <c r="CB140" s="560"/>
      <c r="CC140" s="465"/>
      <c r="CD140" s="67">
        <v>0</v>
      </c>
      <c r="CE140" s="66"/>
      <c r="CF140" s="67"/>
      <c r="CG140" s="560"/>
      <c r="CH140" s="560"/>
      <c r="CI140" s="67">
        <v>0</v>
      </c>
      <c r="CJ140" s="66"/>
      <c r="CK140" s="67"/>
      <c r="CL140" s="560"/>
      <c r="CM140" s="560"/>
      <c r="CN140" s="67">
        <v>0</v>
      </c>
      <c r="CO140" s="66"/>
      <c r="CP140" s="67"/>
      <c r="CQ140" s="560"/>
      <c r="CR140" s="560"/>
      <c r="CS140" s="67">
        <v>0</v>
      </c>
      <c r="CT140" s="66"/>
      <c r="CU140" s="67"/>
      <c r="CV140" s="560"/>
      <c r="CW140" s="560"/>
      <c r="CX140" s="67">
        <v>0</v>
      </c>
      <c r="CY140" s="66"/>
      <c r="CZ140" s="67"/>
      <c r="DA140" s="560"/>
      <c r="DB140" s="560"/>
      <c r="DC140" s="67">
        <v>0</v>
      </c>
      <c r="DD140" s="66"/>
      <c r="DE140" s="67"/>
      <c r="DF140" s="560"/>
      <c r="DG140" s="560"/>
      <c r="DH140" s="67">
        <v>0</v>
      </c>
      <c r="DI140" s="66"/>
      <c r="DJ140" s="67"/>
      <c r="DK140" s="560"/>
      <c r="DL140" s="560"/>
      <c r="DM140" s="67">
        <v>0</v>
      </c>
      <c r="DN140" s="66"/>
      <c r="DO140" s="67"/>
      <c r="DP140" s="560"/>
      <c r="DQ140" s="560"/>
      <c r="DR140" s="67">
        <v>0</v>
      </c>
      <c r="DS140" s="66"/>
      <c r="DT140" s="67"/>
      <c r="DU140" s="560"/>
      <c r="DV140" s="560"/>
      <c r="DW140" s="67">
        <v>0</v>
      </c>
      <c r="DX140" s="66"/>
      <c r="DY140" s="67"/>
      <c r="DZ140" s="560"/>
      <c r="EA140" s="560"/>
      <c r="EB140" s="67">
        <v>0</v>
      </c>
      <c r="EC140" s="66"/>
      <c r="ED140" s="67"/>
      <c r="EE140" s="560"/>
      <c r="EF140" s="560"/>
      <c r="EG140" s="67">
        <v>0</v>
      </c>
      <c r="EH140" s="66"/>
      <c r="EI140" s="67"/>
      <c r="EJ140" s="560"/>
      <c r="EK140" s="560"/>
      <c r="EL140" s="67">
        <f>SUM(CD140:CI140)</f>
        <v>0</v>
      </c>
      <c r="EM140" s="66"/>
      <c r="EN140" s="67"/>
      <c r="EO140" s="455"/>
      <c r="ER140" s="472"/>
      <c r="ES140" s="472"/>
    </row>
    <row r="141" spans="1:149" ht="12.75" customHeight="1" x14ac:dyDescent="0.2">
      <c r="A141" s="442"/>
      <c r="B141" s="442"/>
      <c r="D141" s="455" t="s">
        <v>346</v>
      </c>
      <c r="F141" s="488"/>
      <c r="G141" s="113">
        <v>0</v>
      </c>
      <c r="H141" s="112"/>
      <c r="I141" s="67"/>
      <c r="J141" s="560"/>
      <c r="K141" s="488"/>
      <c r="L141" s="113">
        <v>881175</v>
      </c>
      <c r="M141" s="112"/>
      <c r="N141" s="67"/>
      <c r="O141" s="560"/>
      <c r="P141" s="569"/>
      <c r="Q141" s="113">
        <v>0</v>
      </c>
      <c r="R141" s="112"/>
      <c r="S141" s="67"/>
      <c r="T141" s="560"/>
      <c r="U141" s="569"/>
      <c r="V141" s="113">
        <v>0</v>
      </c>
      <c r="W141" s="112"/>
      <c r="X141" s="67"/>
      <c r="Y141" s="560"/>
      <c r="Z141" s="569"/>
      <c r="AA141" s="113">
        <v>0</v>
      </c>
      <c r="AB141" s="112"/>
      <c r="AC141" s="67"/>
      <c r="AD141" s="560"/>
      <c r="AE141" s="569"/>
      <c r="AF141" s="113">
        <v>0</v>
      </c>
      <c r="AG141" s="112"/>
      <c r="AH141" s="67"/>
      <c r="AI141" s="560"/>
      <c r="AJ141" s="569"/>
      <c r="AK141" s="113">
        <v>0</v>
      </c>
      <c r="AL141" s="112"/>
      <c r="AM141" s="67"/>
      <c r="AN141" s="560"/>
      <c r="AO141" s="569"/>
      <c r="AP141" s="113">
        <v>0</v>
      </c>
      <c r="AQ141" s="112"/>
      <c r="AR141" s="67"/>
      <c r="AS141" s="560"/>
      <c r="AT141" s="569"/>
      <c r="AU141" s="113">
        <v>0</v>
      </c>
      <c r="AV141" s="112"/>
      <c r="AW141" s="67"/>
      <c r="AX141" s="560"/>
      <c r="AY141" s="569"/>
      <c r="AZ141" s="113">
        <v>0</v>
      </c>
      <c r="BA141" s="112"/>
      <c r="BB141" s="67"/>
      <c r="BC141" s="560"/>
      <c r="BD141" s="569"/>
      <c r="BE141" s="113">
        <v>0</v>
      </c>
      <c r="BF141" s="112"/>
      <c r="BG141" s="67"/>
      <c r="BH141" s="560"/>
      <c r="BI141" s="569"/>
      <c r="BJ141" s="113">
        <v>0</v>
      </c>
      <c r="BK141" s="112"/>
      <c r="BL141" s="67"/>
      <c r="BM141" s="560"/>
      <c r="BN141" s="569"/>
      <c r="BO141" s="113">
        <v>0</v>
      </c>
      <c r="BP141" s="112"/>
      <c r="BQ141" s="67"/>
      <c r="BR141" s="560"/>
      <c r="BS141" s="569"/>
      <c r="BT141" s="113">
        <f>SUM(L141:BO141)</f>
        <v>881175</v>
      </c>
      <c r="BU141" s="112"/>
      <c r="BV141" s="67"/>
      <c r="BW141" s="560"/>
      <c r="BX141" s="569"/>
      <c r="BY141" s="113">
        <v>0</v>
      </c>
      <c r="BZ141" s="112"/>
      <c r="CA141" s="67"/>
      <c r="CB141" s="560"/>
      <c r="CC141" s="488"/>
      <c r="CD141" s="113">
        <v>0</v>
      </c>
      <c r="CE141" s="112"/>
      <c r="CF141" s="67"/>
      <c r="CG141" s="560"/>
      <c r="CH141" s="569"/>
      <c r="CI141" s="113">
        <v>0</v>
      </c>
      <c r="CJ141" s="112"/>
      <c r="CK141" s="67"/>
      <c r="CL141" s="560"/>
      <c r="CM141" s="569"/>
      <c r="CN141" s="113">
        <v>0</v>
      </c>
      <c r="CO141" s="112"/>
      <c r="CP141" s="67"/>
      <c r="CQ141" s="560"/>
      <c r="CR141" s="569"/>
      <c r="CS141" s="113">
        <v>0</v>
      </c>
      <c r="CT141" s="112"/>
      <c r="CU141" s="67"/>
      <c r="CV141" s="560"/>
      <c r="CW141" s="569"/>
      <c r="CX141" s="113">
        <v>0</v>
      </c>
      <c r="CY141" s="112"/>
      <c r="CZ141" s="67"/>
      <c r="DA141" s="560"/>
      <c r="DB141" s="569"/>
      <c r="DC141" s="113">
        <v>0</v>
      </c>
      <c r="DD141" s="112"/>
      <c r="DE141" s="67"/>
      <c r="DF141" s="560"/>
      <c r="DG141" s="569"/>
      <c r="DH141" s="113">
        <v>0</v>
      </c>
      <c r="DI141" s="112"/>
      <c r="DJ141" s="67"/>
      <c r="DK141" s="560"/>
      <c r="DL141" s="569"/>
      <c r="DM141" s="113">
        <v>0</v>
      </c>
      <c r="DN141" s="112"/>
      <c r="DO141" s="67"/>
      <c r="DP141" s="560"/>
      <c r="DQ141" s="569"/>
      <c r="DR141" s="113">
        <v>0</v>
      </c>
      <c r="DS141" s="112"/>
      <c r="DT141" s="67"/>
      <c r="DU141" s="560"/>
      <c r="DV141" s="569"/>
      <c r="DW141" s="113">
        <v>0</v>
      </c>
      <c r="DX141" s="112"/>
      <c r="DY141" s="67"/>
      <c r="DZ141" s="560"/>
      <c r="EA141" s="569"/>
      <c r="EB141" s="113">
        <v>0</v>
      </c>
      <c r="EC141" s="112"/>
      <c r="ED141" s="67"/>
      <c r="EE141" s="560"/>
      <c r="EF141" s="569"/>
      <c r="EG141" s="113">
        <v>0</v>
      </c>
      <c r="EH141" s="112"/>
      <c r="EI141" s="67"/>
      <c r="EJ141" s="560"/>
      <c r="EK141" s="569"/>
      <c r="EL141" s="113">
        <f>SUM(CD141:CI141)</f>
        <v>0</v>
      </c>
      <c r="EM141" s="112"/>
      <c r="EN141" s="67"/>
      <c r="EO141" s="455"/>
      <c r="ER141" s="472"/>
      <c r="ES141" s="472"/>
    </row>
    <row r="142" spans="1:149" ht="12.75" hidden="1" customHeight="1" x14ac:dyDescent="0.2">
      <c r="A142" s="442"/>
      <c r="B142" s="442"/>
      <c r="D142" s="455"/>
      <c r="F142" s="442"/>
      <c r="G142" s="67"/>
      <c r="H142" s="67"/>
      <c r="I142" s="67"/>
      <c r="J142" s="560"/>
      <c r="K142" s="67"/>
      <c r="L142" s="67"/>
      <c r="M142" s="67"/>
      <c r="N142" s="67"/>
      <c r="O142" s="560"/>
      <c r="P142" s="67"/>
      <c r="Q142" s="67"/>
      <c r="R142" s="67"/>
      <c r="S142" s="67"/>
      <c r="T142" s="560"/>
      <c r="U142" s="67"/>
      <c r="V142" s="67"/>
      <c r="W142" s="67"/>
      <c r="X142" s="67"/>
      <c r="Y142" s="560"/>
      <c r="Z142" s="67"/>
      <c r="AA142" s="67"/>
      <c r="AB142" s="67"/>
      <c r="AC142" s="67"/>
      <c r="AD142" s="560"/>
      <c r="AE142" s="67"/>
      <c r="AF142" s="67"/>
      <c r="AG142" s="67"/>
      <c r="AH142" s="67"/>
      <c r="AI142" s="560"/>
      <c r="AJ142" s="67"/>
      <c r="AK142" s="67"/>
      <c r="AL142" s="67"/>
      <c r="AM142" s="67"/>
      <c r="AN142" s="560"/>
      <c r="AO142" s="67"/>
      <c r="AP142" s="67"/>
      <c r="AQ142" s="67"/>
      <c r="AR142" s="67"/>
      <c r="AS142" s="560"/>
      <c r="AT142" s="67"/>
      <c r="AU142" s="67"/>
      <c r="AV142" s="67"/>
      <c r="AW142" s="67"/>
      <c r="AX142" s="560"/>
      <c r="AY142" s="67"/>
      <c r="AZ142" s="67"/>
      <c r="BA142" s="67"/>
      <c r="BB142" s="67"/>
      <c r="BC142" s="560"/>
      <c r="BD142" s="67"/>
      <c r="BE142" s="67"/>
      <c r="BF142" s="67"/>
      <c r="BG142" s="67"/>
      <c r="BH142" s="560"/>
      <c r="BI142" s="67"/>
      <c r="BJ142" s="67"/>
      <c r="BK142" s="67"/>
      <c r="BL142" s="67"/>
      <c r="BM142" s="560"/>
      <c r="BN142" s="67"/>
      <c r="BO142" s="67"/>
      <c r="BP142" s="67"/>
      <c r="BQ142" s="67"/>
      <c r="BR142" s="560"/>
      <c r="BS142" s="67"/>
      <c r="BT142" s="67"/>
      <c r="BU142" s="67"/>
      <c r="BV142" s="67"/>
      <c r="BW142" s="560"/>
      <c r="BX142" s="67"/>
      <c r="BY142" s="67"/>
      <c r="BZ142" s="67"/>
      <c r="CA142" s="67"/>
      <c r="CB142" s="560"/>
      <c r="CC142" s="67"/>
      <c r="CD142" s="67"/>
      <c r="CE142" s="67"/>
      <c r="CF142" s="67"/>
      <c r="CG142" s="560"/>
      <c r="CH142" s="67"/>
      <c r="CI142" s="67"/>
      <c r="CJ142" s="67"/>
      <c r="CK142" s="67"/>
      <c r="CL142" s="560"/>
      <c r="CM142" s="67"/>
      <c r="CN142" s="67"/>
      <c r="CO142" s="67"/>
      <c r="CP142" s="67"/>
      <c r="CQ142" s="560"/>
      <c r="CR142" s="67"/>
      <c r="CS142" s="67"/>
      <c r="CT142" s="67"/>
      <c r="CU142" s="67"/>
      <c r="CV142" s="560"/>
      <c r="CW142" s="67"/>
      <c r="CX142" s="67"/>
      <c r="CY142" s="67"/>
      <c r="CZ142" s="67"/>
      <c r="DA142" s="560"/>
      <c r="DB142" s="67"/>
      <c r="DC142" s="67"/>
      <c r="DD142" s="67"/>
      <c r="DE142" s="67"/>
      <c r="DF142" s="560"/>
      <c r="DG142" s="67"/>
      <c r="DH142" s="67"/>
      <c r="DI142" s="67"/>
      <c r="DJ142" s="67"/>
      <c r="DK142" s="560"/>
      <c r="DL142" s="67"/>
      <c r="DM142" s="67"/>
      <c r="DN142" s="67"/>
      <c r="DO142" s="67"/>
      <c r="DP142" s="560"/>
      <c r="DQ142" s="67"/>
      <c r="DR142" s="67"/>
      <c r="DS142" s="67"/>
      <c r="DT142" s="67"/>
      <c r="DU142" s="560"/>
      <c r="DV142" s="67"/>
      <c r="DW142" s="67"/>
      <c r="DX142" s="67"/>
      <c r="DY142" s="67"/>
      <c r="DZ142" s="560"/>
      <c r="EA142" s="67"/>
      <c r="EB142" s="67"/>
      <c r="EC142" s="67"/>
      <c r="ED142" s="67"/>
      <c r="EE142" s="560"/>
      <c r="EF142" s="67"/>
      <c r="EG142" s="67"/>
      <c r="EH142" s="67"/>
      <c r="EI142" s="67"/>
      <c r="EJ142" s="560"/>
      <c r="EK142" s="67"/>
      <c r="EL142" s="67"/>
      <c r="EM142" s="67"/>
      <c r="EN142" s="67"/>
      <c r="EO142" s="455"/>
      <c r="ER142" s="472"/>
      <c r="ES142" s="472"/>
    </row>
    <row r="143" spans="1:149" ht="12.75" hidden="1" customHeight="1" x14ac:dyDescent="0.2">
      <c r="A143" s="442"/>
      <c r="B143" s="442"/>
      <c r="D143" s="455" t="s">
        <v>368</v>
      </c>
      <c r="F143" s="442"/>
      <c r="G143" s="67">
        <f>SUM(G144:G146)</f>
        <v>0</v>
      </c>
      <c r="H143" s="67"/>
      <c r="I143" s="67"/>
      <c r="J143" s="560"/>
      <c r="K143" s="67"/>
      <c r="L143" s="67">
        <f>SUM(L144:L146)</f>
        <v>0</v>
      </c>
      <c r="M143" s="67"/>
      <c r="N143" s="67"/>
      <c r="O143" s="560"/>
      <c r="P143" s="67"/>
      <c r="Q143" s="67">
        <f>SUM(Q144:Q146)</f>
        <v>0</v>
      </c>
      <c r="R143" s="67"/>
      <c r="S143" s="67"/>
      <c r="T143" s="560"/>
      <c r="U143" s="67"/>
      <c r="V143" s="67">
        <f>SUM(V144:V146)</f>
        <v>0</v>
      </c>
      <c r="W143" s="67"/>
      <c r="X143" s="67"/>
      <c r="Y143" s="560"/>
      <c r="Z143" s="67"/>
      <c r="AA143" s="67">
        <f>SUM(AA144:AA146)</f>
        <v>0</v>
      </c>
      <c r="AB143" s="67"/>
      <c r="AC143" s="67"/>
      <c r="AD143" s="560"/>
      <c r="AE143" s="67"/>
      <c r="AF143" s="67">
        <f>SUM(AF144:AF146)</f>
        <v>0</v>
      </c>
      <c r="AG143" s="67"/>
      <c r="AH143" s="67"/>
      <c r="AI143" s="560"/>
      <c r="AJ143" s="67"/>
      <c r="AK143" s="67">
        <f>SUM(AK144:AK146)</f>
        <v>0</v>
      </c>
      <c r="AL143" s="67"/>
      <c r="AM143" s="67"/>
      <c r="AN143" s="560"/>
      <c r="AO143" s="67"/>
      <c r="AP143" s="67">
        <f>SUM(AP144:AP146)</f>
        <v>0</v>
      </c>
      <c r="AQ143" s="67"/>
      <c r="AR143" s="67"/>
      <c r="AS143" s="560"/>
      <c r="AT143" s="67"/>
      <c r="AU143" s="67">
        <f>SUM(AU144:AU146)</f>
        <v>0</v>
      </c>
      <c r="AV143" s="67"/>
      <c r="AW143" s="67"/>
      <c r="AX143" s="560"/>
      <c r="AY143" s="67"/>
      <c r="AZ143" s="67">
        <f>SUM(AZ144:AZ146)</f>
        <v>0</v>
      </c>
      <c r="BA143" s="67"/>
      <c r="BB143" s="67"/>
      <c r="BC143" s="560"/>
      <c r="BD143" s="67"/>
      <c r="BE143" s="67">
        <f>SUM(BE144:BE146)</f>
        <v>0</v>
      </c>
      <c r="BF143" s="67"/>
      <c r="BG143" s="67"/>
      <c r="BH143" s="560"/>
      <c r="BI143" s="67"/>
      <c r="BJ143" s="67">
        <f>SUM(BJ144:BJ146)</f>
        <v>0</v>
      </c>
      <c r="BK143" s="67"/>
      <c r="BL143" s="67"/>
      <c r="BM143" s="560"/>
      <c r="BN143" s="67"/>
      <c r="BO143" s="67">
        <f>SUM(BO144:BO146)</f>
        <v>0</v>
      </c>
      <c r="BP143" s="67"/>
      <c r="BQ143" s="67"/>
      <c r="BR143" s="560"/>
      <c r="BS143" s="67"/>
      <c r="BT143" s="67">
        <f>SUM(BT144:BT146)</f>
        <v>0</v>
      </c>
      <c r="BU143" s="67"/>
      <c r="BV143" s="67"/>
      <c r="BW143" s="560"/>
      <c r="BX143" s="67"/>
      <c r="BY143" s="67">
        <f>SUM(BY144:BY146)</f>
        <v>0</v>
      </c>
      <c r="BZ143" s="67"/>
      <c r="CA143" s="67"/>
      <c r="CB143" s="560"/>
      <c r="CC143" s="67"/>
      <c r="CD143" s="67">
        <f>SUM(CD144:CD146)</f>
        <v>0</v>
      </c>
      <c r="CE143" s="67"/>
      <c r="CF143" s="67"/>
      <c r="CG143" s="560"/>
      <c r="CH143" s="67"/>
      <c r="CI143" s="67">
        <f>SUM(CI144:CI146)</f>
        <v>0</v>
      </c>
      <c r="CJ143" s="67"/>
      <c r="CK143" s="67"/>
      <c r="CL143" s="560"/>
      <c r="CM143" s="67"/>
      <c r="CN143" s="67">
        <f>SUM(CN144:CN146)</f>
        <v>0</v>
      </c>
      <c r="CO143" s="67"/>
      <c r="CP143" s="67"/>
      <c r="CQ143" s="560"/>
      <c r="CR143" s="67"/>
      <c r="CS143" s="67">
        <f>SUM(CS144:CS146)</f>
        <v>0</v>
      </c>
      <c r="CT143" s="67"/>
      <c r="CU143" s="67"/>
      <c r="CV143" s="560"/>
      <c r="CW143" s="67"/>
      <c r="CX143" s="67">
        <f>SUM(CX144:CX146)</f>
        <v>0</v>
      </c>
      <c r="CY143" s="67"/>
      <c r="CZ143" s="67"/>
      <c r="DA143" s="560"/>
      <c r="DB143" s="67"/>
      <c r="DC143" s="67">
        <f>SUM(DC144:DC146)</f>
        <v>0</v>
      </c>
      <c r="DD143" s="67"/>
      <c r="DE143" s="67"/>
      <c r="DF143" s="560"/>
      <c r="DG143" s="67"/>
      <c r="DH143" s="67">
        <f>SUM(DH144:DH146)</f>
        <v>0</v>
      </c>
      <c r="DI143" s="67"/>
      <c r="DJ143" s="67"/>
      <c r="DK143" s="560"/>
      <c r="DL143" s="67"/>
      <c r="DM143" s="67">
        <f>SUM(DM144:DM146)</f>
        <v>0</v>
      </c>
      <c r="DN143" s="67"/>
      <c r="DO143" s="67"/>
      <c r="DP143" s="560"/>
      <c r="DQ143" s="67"/>
      <c r="DR143" s="67">
        <f>SUM(DR144:DR146)</f>
        <v>0</v>
      </c>
      <c r="DS143" s="67"/>
      <c r="DT143" s="67"/>
      <c r="DU143" s="560"/>
      <c r="DV143" s="67"/>
      <c r="DW143" s="67">
        <f>SUM(DW144:DW146)</f>
        <v>0</v>
      </c>
      <c r="DX143" s="67"/>
      <c r="DY143" s="67"/>
      <c r="DZ143" s="560"/>
      <c r="EA143" s="67"/>
      <c r="EB143" s="67">
        <f>SUM(EB144:EB146)</f>
        <v>0</v>
      </c>
      <c r="EC143" s="67"/>
      <c r="ED143" s="67"/>
      <c r="EE143" s="560"/>
      <c r="EF143" s="67"/>
      <c r="EG143" s="67">
        <f>SUM(EG144:EG146)</f>
        <v>0</v>
      </c>
      <c r="EH143" s="67"/>
      <c r="EI143" s="67"/>
      <c r="EJ143" s="560"/>
      <c r="EK143" s="67"/>
      <c r="EL143" s="67">
        <f>SUM(EL144:EL146)</f>
        <v>0</v>
      </c>
      <c r="EM143" s="67"/>
      <c r="EN143" s="67"/>
      <c r="EO143" s="455"/>
      <c r="ER143" s="472"/>
      <c r="ES143" s="472"/>
    </row>
    <row r="144" spans="1:149" ht="12.75" hidden="1" customHeight="1" x14ac:dyDescent="0.2">
      <c r="A144" s="442"/>
      <c r="B144" s="442"/>
      <c r="D144" s="455" t="s">
        <v>342</v>
      </c>
      <c r="F144" s="473"/>
      <c r="G144" s="558">
        <v>0</v>
      </c>
      <c r="H144" s="559"/>
      <c r="I144" s="67"/>
      <c r="J144" s="560"/>
      <c r="K144" s="473"/>
      <c r="L144" s="558">
        <v>0</v>
      </c>
      <c r="M144" s="559"/>
      <c r="N144" s="67"/>
      <c r="O144" s="560"/>
      <c r="P144" s="473"/>
      <c r="Q144" s="558">
        <v>0</v>
      </c>
      <c r="R144" s="559"/>
      <c r="S144" s="67"/>
      <c r="T144" s="560"/>
      <c r="U144" s="473"/>
      <c r="V144" s="558">
        <v>0</v>
      </c>
      <c r="W144" s="559"/>
      <c r="X144" s="67"/>
      <c r="Y144" s="560"/>
      <c r="Z144" s="473"/>
      <c r="AA144" s="558">
        <v>0</v>
      </c>
      <c r="AB144" s="559"/>
      <c r="AC144" s="67"/>
      <c r="AD144" s="560"/>
      <c r="AE144" s="473"/>
      <c r="AF144" s="558">
        <v>0</v>
      </c>
      <c r="AG144" s="559"/>
      <c r="AH144" s="67"/>
      <c r="AI144" s="560"/>
      <c r="AJ144" s="473"/>
      <c r="AK144" s="558">
        <v>0</v>
      </c>
      <c r="AL144" s="559"/>
      <c r="AM144" s="67"/>
      <c r="AN144" s="560"/>
      <c r="AO144" s="473"/>
      <c r="AP144" s="558">
        <v>0</v>
      </c>
      <c r="AQ144" s="559"/>
      <c r="AR144" s="67"/>
      <c r="AS144" s="560"/>
      <c r="AT144" s="561"/>
      <c r="AU144" s="558">
        <v>0</v>
      </c>
      <c r="AV144" s="559"/>
      <c r="AW144" s="67"/>
      <c r="AX144" s="560"/>
      <c r="AY144" s="561"/>
      <c r="AZ144" s="558">
        <v>0</v>
      </c>
      <c r="BA144" s="559"/>
      <c r="BB144" s="67"/>
      <c r="BC144" s="560"/>
      <c r="BD144" s="561"/>
      <c r="BE144" s="558">
        <v>0</v>
      </c>
      <c r="BF144" s="559"/>
      <c r="BG144" s="67"/>
      <c r="BH144" s="560"/>
      <c r="BI144" s="561"/>
      <c r="BJ144" s="558">
        <v>0</v>
      </c>
      <c r="BK144" s="559"/>
      <c r="BL144" s="67"/>
      <c r="BM144" s="560"/>
      <c r="BN144" s="561"/>
      <c r="BO144" s="558">
        <v>0</v>
      </c>
      <c r="BP144" s="559"/>
      <c r="BQ144" s="67"/>
      <c r="BR144" s="560"/>
      <c r="BS144" s="561"/>
      <c r="BT144" s="558">
        <f>SUM(L144:BO144)</f>
        <v>0</v>
      </c>
      <c r="BU144" s="559"/>
      <c r="BV144" s="67"/>
      <c r="BW144" s="560"/>
      <c r="BX144" s="561"/>
      <c r="BY144" s="558">
        <v>0</v>
      </c>
      <c r="BZ144" s="559"/>
      <c r="CA144" s="67"/>
      <c r="CB144" s="560"/>
      <c r="CC144" s="473"/>
      <c r="CD144" s="558">
        <v>0</v>
      </c>
      <c r="CE144" s="559"/>
      <c r="CF144" s="67"/>
      <c r="CG144" s="560"/>
      <c r="CH144" s="473"/>
      <c r="CI144" s="558">
        <v>0</v>
      </c>
      <c r="CJ144" s="559"/>
      <c r="CK144" s="67"/>
      <c r="CL144" s="560"/>
      <c r="CM144" s="473"/>
      <c r="CN144" s="558">
        <v>0</v>
      </c>
      <c r="CO144" s="559"/>
      <c r="CP144" s="67"/>
      <c r="CQ144" s="560"/>
      <c r="CR144" s="473"/>
      <c r="CS144" s="558">
        <v>0</v>
      </c>
      <c r="CT144" s="559"/>
      <c r="CU144" s="67"/>
      <c r="CV144" s="560"/>
      <c r="CW144" s="473"/>
      <c r="CX144" s="558">
        <v>0</v>
      </c>
      <c r="CY144" s="559"/>
      <c r="CZ144" s="67"/>
      <c r="DA144" s="560"/>
      <c r="DB144" s="473"/>
      <c r="DC144" s="558">
        <v>0</v>
      </c>
      <c r="DD144" s="559"/>
      <c r="DE144" s="67"/>
      <c r="DF144" s="560"/>
      <c r="DG144" s="473"/>
      <c r="DH144" s="558">
        <v>0</v>
      </c>
      <c r="DI144" s="559"/>
      <c r="DJ144" s="67"/>
      <c r="DK144" s="560"/>
      <c r="DL144" s="561"/>
      <c r="DM144" s="558">
        <v>0</v>
      </c>
      <c r="DN144" s="559"/>
      <c r="DO144" s="67"/>
      <c r="DP144" s="560"/>
      <c r="DQ144" s="561"/>
      <c r="DR144" s="558">
        <v>0</v>
      </c>
      <c r="DS144" s="559"/>
      <c r="DT144" s="67"/>
      <c r="DU144" s="560"/>
      <c r="DV144" s="561"/>
      <c r="DW144" s="558">
        <v>0</v>
      </c>
      <c r="DX144" s="559"/>
      <c r="DY144" s="67"/>
      <c r="DZ144" s="560"/>
      <c r="EA144" s="561"/>
      <c r="EB144" s="558">
        <v>0</v>
      </c>
      <c r="EC144" s="559"/>
      <c r="ED144" s="67"/>
      <c r="EE144" s="560"/>
      <c r="EF144" s="561"/>
      <c r="EG144" s="558">
        <v>0</v>
      </c>
      <c r="EH144" s="559"/>
      <c r="EI144" s="67"/>
      <c r="EJ144" s="560"/>
      <c r="EK144" s="561"/>
      <c r="EL144" s="558">
        <f>SUM(CD144:CI144)</f>
        <v>0</v>
      </c>
      <c r="EM144" s="559"/>
      <c r="EN144" s="67"/>
      <c r="EO144" s="455"/>
      <c r="ER144" s="472"/>
      <c r="ES144" s="472"/>
    </row>
    <row r="145" spans="1:149" ht="12.75" hidden="1" customHeight="1" x14ac:dyDescent="0.2">
      <c r="A145" s="442"/>
      <c r="B145" s="442"/>
      <c r="D145" s="455" t="s">
        <v>344</v>
      </c>
      <c r="F145" s="465"/>
      <c r="G145" s="67">
        <v>0</v>
      </c>
      <c r="H145" s="66"/>
      <c r="I145" s="67"/>
      <c r="J145" s="560"/>
      <c r="K145" s="465"/>
      <c r="L145" s="67">
        <v>0</v>
      </c>
      <c r="M145" s="66"/>
      <c r="N145" s="67"/>
      <c r="O145" s="560"/>
      <c r="P145" s="465"/>
      <c r="Q145" s="67">
        <v>0</v>
      </c>
      <c r="R145" s="66"/>
      <c r="S145" s="67"/>
      <c r="T145" s="560"/>
      <c r="U145" s="465"/>
      <c r="V145" s="67">
        <v>0</v>
      </c>
      <c r="W145" s="66"/>
      <c r="X145" s="67"/>
      <c r="Y145" s="560"/>
      <c r="Z145" s="465"/>
      <c r="AA145" s="67">
        <v>0</v>
      </c>
      <c r="AB145" s="66"/>
      <c r="AC145" s="67"/>
      <c r="AD145" s="560"/>
      <c r="AE145" s="465"/>
      <c r="AF145" s="67">
        <v>0</v>
      </c>
      <c r="AG145" s="66"/>
      <c r="AH145" s="67"/>
      <c r="AI145" s="560"/>
      <c r="AJ145" s="465"/>
      <c r="AK145" s="67">
        <v>0</v>
      </c>
      <c r="AL145" s="66"/>
      <c r="AM145" s="67"/>
      <c r="AN145" s="560"/>
      <c r="AO145" s="465"/>
      <c r="AP145" s="67">
        <v>0</v>
      </c>
      <c r="AQ145" s="66"/>
      <c r="AR145" s="67"/>
      <c r="AS145" s="560"/>
      <c r="AT145" s="560"/>
      <c r="AU145" s="67">
        <v>0</v>
      </c>
      <c r="AV145" s="66"/>
      <c r="AW145" s="67"/>
      <c r="AX145" s="560"/>
      <c r="AY145" s="560"/>
      <c r="AZ145" s="67">
        <v>0</v>
      </c>
      <c r="BA145" s="66"/>
      <c r="BB145" s="67"/>
      <c r="BC145" s="560"/>
      <c r="BD145" s="560"/>
      <c r="BE145" s="67">
        <v>0</v>
      </c>
      <c r="BF145" s="66"/>
      <c r="BG145" s="67"/>
      <c r="BH145" s="560"/>
      <c r="BI145" s="560"/>
      <c r="BJ145" s="67">
        <v>0</v>
      </c>
      <c r="BK145" s="66"/>
      <c r="BL145" s="67"/>
      <c r="BM145" s="560"/>
      <c r="BN145" s="560"/>
      <c r="BO145" s="67">
        <v>0</v>
      </c>
      <c r="BP145" s="66"/>
      <c r="BQ145" s="67"/>
      <c r="BR145" s="560"/>
      <c r="BS145" s="560"/>
      <c r="BT145" s="67">
        <f>SUM(L145:BO145)</f>
        <v>0</v>
      </c>
      <c r="BU145" s="66"/>
      <c r="BV145" s="67"/>
      <c r="BW145" s="560"/>
      <c r="BX145" s="560"/>
      <c r="BY145" s="67">
        <v>0</v>
      </c>
      <c r="BZ145" s="66"/>
      <c r="CA145" s="67"/>
      <c r="CB145" s="560"/>
      <c r="CC145" s="465"/>
      <c r="CD145" s="67">
        <v>0</v>
      </c>
      <c r="CE145" s="66"/>
      <c r="CF145" s="67"/>
      <c r="CG145" s="560"/>
      <c r="CH145" s="465"/>
      <c r="CI145" s="67">
        <v>0</v>
      </c>
      <c r="CJ145" s="66"/>
      <c r="CK145" s="67"/>
      <c r="CL145" s="560"/>
      <c r="CM145" s="465"/>
      <c r="CN145" s="67">
        <v>0</v>
      </c>
      <c r="CO145" s="66"/>
      <c r="CP145" s="67"/>
      <c r="CQ145" s="560"/>
      <c r="CR145" s="465"/>
      <c r="CS145" s="67">
        <v>0</v>
      </c>
      <c r="CT145" s="66"/>
      <c r="CU145" s="67"/>
      <c r="CV145" s="560"/>
      <c r="CW145" s="465"/>
      <c r="CX145" s="67">
        <v>0</v>
      </c>
      <c r="CY145" s="66"/>
      <c r="CZ145" s="67"/>
      <c r="DA145" s="560"/>
      <c r="DB145" s="465"/>
      <c r="DC145" s="67">
        <v>0</v>
      </c>
      <c r="DD145" s="66"/>
      <c r="DE145" s="67"/>
      <c r="DF145" s="560"/>
      <c r="DG145" s="465"/>
      <c r="DH145" s="67">
        <v>0</v>
      </c>
      <c r="DI145" s="66"/>
      <c r="DJ145" s="67"/>
      <c r="DK145" s="560"/>
      <c r="DL145" s="560"/>
      <c r="DM145" s="67">
        <v>0</v>
      </c>
      <c r="DN145" s="66"/>
      <c r="DO145" s="67"/>
      <c r="DP145" s="560"/>
      <c r="DQ145" s="560"/>
      <c r="DR145" s="67">
        <v>0</v>
      </c>
      <c r="DS145" s="66"/>
      <c r="DT145" s="67"/>
      <c r="DU145" s="560"/>
      <c r="DV145" s="560"/>
      <c r="DW145" s="67">
        <v>0</v>
      </c>
      <c r="DX145" s="66"/>
      <c r="DY145" s="67"/>
      <c r="DZ145" s="560"/>
      <c r="EA145" s="560"/>
      <c r="EB145" s="67">
        <v>0</v>
      </c>
      <c r="EC145" s="66"/>
      <c r="ED145" s="67"/>
      <c r="EE145" s="560"/>
      <c r="EF145" s="560"/>
      <c r="EG145" s="67">
        <v>0</v>
      </c>
      <c r="EH145" s="66"/>
      <c r="EI145" s="67"/>
      <c r="EJ145" s="560"/>
      <c r="EK145" s="560"/>
      <c r="EL145" s="67">
        <f>SUM(CD145:CI145)</f>
        <v>0</v>
      </c>
      <c r="EM145" s="66"/>
      <c r="EN145" s="67"/>
      <c r="EO145" s="455"/>
      <c r="ER145" s="472"/>
      <c r="ES145" s="472"/>
    </row>
    <row r="146" spans="1:149" ht="12.75" hidden="1" customHeight="1" x14ac:dyDescent="0.2">
      <c r="A146" s="442"/>
      <c r="B146" s="442"/>
      <c r="D146" s="455" t="s">
        <v>345</v>
      </c>
      <c r="F146" s="488"/>
      <c r="G146" s="113">
        <v>0</v>
      </c>
      <c r="H146" s="112"/>
      <c r="I146" s="67"/>
      <c r="J146" s="560"/>
      <c r="K146" s="488"/>
      <c r="L146" s="113">
        <v>0</v>
      </c>
      <c r="M146" s="112"/>
      <c r="N146" s="67"/>
      <c r="O146" s="560"/>
      <c r="P146" s="488"/>
      <c r="Q146" s="113">
        <v>0</v>
      </c>
      <c r="R146" s="112"/>
      <c r="S146" s="67"/>
      <c r="T146" s="560"/>
      <c r="U146" s="488"/>
      <c r="V146" s="113">
        <v>0</v>
      </c>
      <c r="W146" s="112"/>
      <c r="X146" s="67"/>
      <c r="Y146" s="560"/>
      <c r="Z146" s="488"/>
      <c r="AA146" s="113">
        <v>0</v>
      </c>
      <c r="AB146" s="112"/>
      <c r="AC146" s="67"/>
      <c r="AD146" s="560"/>
      <c r="AE146" s="488"/>
      <c r="AF146" s="113">
        <v>0</v>
      </c>
      <c r="AG146" s="112"/>
      <c r="AH146" s="67"/>
      <c r="AI146" s="560"/>
      <c r="AJ146" s="488"/>
      <c r="AK146" s="113">
        <v>0</v>
      </c>
      <c r="AL146" s="112"/>
      <c r="AM146" s="67"/>
      <c r="AN146" s="560"/>
      <c r="AO146" s="488"/>
      <c r="AP146" s="113">
        <v>0</v>
      </c>
      <c r="AQ146" s="112"/>
      <c r="AR146" s="67"/>
      <c r="AS146" s="560"/>
      <c r="AT146" s="569"/>
      <c r="AU146" s="113">
        <v>0</v>
      </c>
      <c r="AV146" s="112"/>
      <c r="AW146" s="67"/>
      <c r="AX146" s="560"/>
      <c r="AY146" s="569"/>
      <c r="AZ146" s="113">
        <v>0</v>
      </c>
      <c r="BA146" s="112"/>
      <c r="BB146" s="67"/>
      <c r="BC146" s="560"/>
      <c r="BD146" s="569"/>
      <c r="BE146" s="113">
        <v>0</v>
      </c>
      <c r="BF146" s="112"/>
      <c r="BG146" s="67"/>
      <c r="BH146" s="560"/>
      <c r="BI146" s="569"/>
      <c r="BJ146" s="113">
        <v>0</v>
      </c>
      <c r="BK146" s="112"/>
      <c r="BL146" s="67"/>
      <c r="BM146" s="560"/>
      <c r="BN146" s="569"/>
      <c r="BO146" s="113">
        <v>0</v>
      </c>
      <c r="BP146" s="112"/>
      <c r="BQ146" s="67"/>
      <c r="BR146" s="560"/>
      <c r="BS146" s="569"/>
      <c r="BT146" s="113">
        <f>SUM(L146:BO146)</f>
        <v>0</v>
      </c>
      <c r="BU146" s="112"/>
      <c r="BV146" s="67"/>
      <c r="BW146" s="560"/>
      <c r="BX146" s="569"/>
      <c r="BY146" s="113">
        <v>0</v>
      </c>
      <c r="BZ146" s="112"/>
      <c r="CA146" s="67"/>
      <c r="CB146" s="560"/>
      <c r="CC146" s="488"/>
      <c r="CD146" s="113">
        <v>0</v>
      </c>
      <c r="CE146" s="112"/>
      <c r="CF146" s="67"/>
      <c r="CG146" s="560"/>
      <c r="CH146" s="488"/>
      <c r="CI146" s="113">
        <v>0</v>
      </c>
      <c r="CJ146" s="112"/>
      <c r="CK146" s="67"/>
      <c r="CL146" s="560"/>
      <c r="CM146" s="488"/>
      <c r="CN146" s="113">
        <v>0</v>
      </c>
      <c r="CO146" s="112"/>
      <c r="CP146" s="67"/>
      <c r="CQ146" s="560"/>
      <c r="CR146" s="488"/>
      <c r="CS146" s="113">
        <v>0</v>
      </c>
      <c r="CT146" s="112"/>
      <c r="CU146" s="67"/>
      <c r="CV146" s="560"/>
      <c r="CW146" s="488"/>
      <c r="CX146" s="113">
        <v>0</v>
      </c>
      <c r="CY146" s="112"/>
      <c r="CZ146" s="67"/>
      <c r="DA146" s="560"/>
      <c r="DB146" s="488"/>
      <c r="DC146" s="113">
        <v>0</v>
      </c>
      <c r="DD146" s="112"/>
      <c r="DE146" s="67"/>
      <c r="DF146" s="560"/>
      <c r="DG146" s="488"/>
      <c r="DH146" s="113">
        <v>0</v>
      </c>
      <c r="DI146" s="112"/>
      <c r="DJ146" s="67"/>
      <c r="DK146" s="560"/>
      <c r="DL146" s="569"/>
      <c r="DM146" s="113">
        <v>0</v>
      </c>
      <c r="DN146" s="112"/>
      <c r="DO146" s="67"/>
      <c r="DP146" s="560"/>
      <c r="DQ146" s="569"/>
      <c r="DR146" s="113">
        <v>0</v>
      </c>
      <c r="DS146" s="112"/>
      <c r="DT146" s="67"/>
      <c r="DU146" s="560"/>
      <c r="DV146" s="569"/>
      <c r="DW146" s="113">
        <v>0</v>
      </c>
      <c r="DX146" s="112"/>
      <c r="DY146" s="67"/>
      <c r="DZ146" s="560"/>
      <c r="EA146" s="569"/>
      <c r="EB146" s="113">
        <v>0</v>
      </c>
      <c r="EC146" s="112"/>
      <c r="ED146" s="67"/>
      <c r="EE146" s="560"/>
      <c r="EF146" s="569"/>
      <c r="EG146" s="113">
        <v>0</v>
      </c>
      <c r="EH146" s="112"/>
      <c r="EI146" s="67"/>
      <c r="EJ146" s="560"/>
      <c r="EK146" s="569"/>
      <c r="EL146" s="113">
        <f>SUM(CD146:CI146)</f>
        <v>0</v>
      </c>
      <c r="EM146" s="112"/>
      <c r="EN146" s="67"/>
      <c r="EO146" s="455"/>
      <c r="ER146" s="472"/>
      <c r="ES146" s="472"/>
    </row>
    <row r="147" spans="1:149" ht="12.75" customHeight="1" x14ac:dyDescent="0.2">
      <c r="A147" s="442"/>
      <c r="B147" s="442"/>
      <c r="D147" s="455"/>
      <c r="F147" s="442"/>
      <c r="G147" s="67"/>
      <c r="H147" s="67"/>
      <c r="I147" s="67"/>
      <c r="J147" s="560"/>
      <c r="K147" s="67"/>
      <c r="L147" s="67"/>
      <c r="M147" s="67"/>
      <c r="N147" s="67"/>
      <c r="O147" s="560"/>
      <c r="P147" s="67"/>
      <c r="Q147" s="67"/>
      <c r="R147" s="67"/>
      <c r="S147" s="67"/>
      <c r="T147" s="560"/>
      <c r="U147" s="67"/>
      <c r="V147" s="67"/>
      <c r="W147" s="67"/>
      <c r="X147" s="67"/>
      <c r="Y147" s="560"/>
      <c r="Z147" s="67"/>
      <c r="AA147" s="67"/>
      <c r="AB147" s="67"/>
      <c r="AC147" s="67"/>
      <c r="AD147" s="560"/>
      <c r="AE147" s="67"/>
      <c r="AF147" s="67"/>
      <c r="AG147" s="67"/>
      <c r="AH147" s="67"/>
      <c r="AI147" s="560"/>
      <c r="AJ147" s="67"/>
      <c r="AK147" s="67"/>
      <c r="AL147" s="67"/>
      <c r="AM147" s="67"/>
      <c r="AN147" s="560"/>
      <c r="AO147" s="67"/>
      <c r="AP147" s="67"/>
      <c r="AQ147" s="67"/>
      <c r="AR147" s="67"/>
      <c r="AS147" s="560"/>
      <c r="AT147" s="67"/>
      <c r="AU147" s="67"/>
      <c r="AV147" s="67"/>
      <c r="AW147" s="67"/>
      <c r="AX147" s="560"/>
      <c r="AY147" s="67"/>
      <c r="AZ147" s="67"/>
      <c r="BA147" s="67"/>
      <c r="BB147" s="67"/>
      <c r="BC147" s="560"/>
      <c r="BD147" s="67"/>
      <c r="BE147" s="67"/>
      <c r="BF147" s="67"/>
      <c r="BG147" s="67"/>
      <c r="BH147" s="560"/>
      <c r="BI147" s="67"/>
      <c r="BJ147" s="67"/>
      <c r="BK147" s="67"/>
      <c r="BL147" s="67"/>
      <c r="BM147" s="560"/>
      <c r="BN147" s="67"/>
      <c r="BO147" s="67"/>
      <c r="BP147" s="67"/>
      <c r="BQ147" s="67"/>
      <c r="BR147" s="560"/>
      <c r="BS147" s="67"/>
      <c r="BT147" s="67"/>
      <c r="BU147" s="67"/>
      <c r="BV147" s="67"/>
      <c r="BW147" s="560"/>
      <c r="BX147" s="67"/>
      <c r="BY147" s="67"/>
      <c r="BZ147" s="67"/>
      <c r="CA147" s="67"/>
      <c r="CB147" s="560"/>
      <c r="CC147" s="67"/>
      <c r="CD147" s="67"/>
      <c r="CE147" s="67"/>
      <c r="CF147" s="67"/>
      <c r="CG147" s="560"/>
      <c r="CH147" s="67"/>
      <c r="CI147" s="67"/>
      <c r="CJ147" s="67"/>
      <c r="CK147" s="67"/>
      <c r="CL147" s="560"/>
      <c r="CM147" s="67"/>
      <c r="CN147" s="67"/>
      <c r="CO147" s="67"/>
      <c r="CP147" s="67"/>
      <c r="CQ147" s="560"/>
      <c r="CR147" s="67"/>
      <c r="CS147" s="67"/>
      <c r="CT147" s="67"/>
      <c r="CU147" s="67"/>
      <c r="CV147" s="560"/>
      <c r="CW147" s="67"/>
      <c r="CX147" s="67"/>
      <c r="CY147" s="67"/>
      <c r="CZ147" s="67"/>
      <c r="DA147" s="560"/>
      <c r="DB147" s="67"/>
      <c r="DC147" s="67"/>
      <c r="DD147" s="67"/>
      <c r="DE147" s="67"/>
      <c r="DF147" s="560"/>
      <c r="DG147" s="67"/>
      <c r="DH147" s="67"/>
      <c r="DI147" s="67"/>
      <c r="DJ147" s="67"/>
      <c r="DK147" s="560"/>
      <c r="DL147" s="67"/>
      <c r="DM147" s="67"/>
      <c r="DN147" s="67"/>
      <c r="DO147" s="67"/>
      <c r="DP147" s="560"/>
      <c r="DQ147" s="67"/>
      <c r="DR147" s="67"/>
      <c r="DS147" s="67"/>
      <c r="DT147" s="67"/>
      <c r="DU147" s="560"/>
      <c r="DV147" s="67"/>
      <c r="DW147" s="67"/>
      <c r="DX147" s="67"/>
      <c r="DY147" s="67"/>
      <c r="DZ147" s="560"/>
      <c r="EA147" s="67"/>
      <c r="EB147" s="67"/>
      <c r="EC147" s="67"/>
      <c r="ED147" s="67"/>
      <c r="EE147" s="560"/>
      <c r="EF147" s="67"/>
      <c r="EG147" s="67"/>
      <c r="EH147" s="67"/>
      <c r="EI147" s="67"/>
      <c r="EJ147" s="560"/>
      <c r="EK147" s="67"/>
      <c r="EL147" s="67"/>
      <c r="EM147" s="67"/>
      <c r="EN147" s="67"/>
      <c r="EO147" s="455"/>
      <c r="ER147" s="472"/>
      <c r="ES147" s="472"/>
    </row>
    <row r="148" spans="1:149" ht="12.75" customHeight="1" x14ac:dyDescent="0.2">
      <c r="A148" s="442"/>
      <c r="B148" s="442"/>
      <c r="D148" s="455" t="s">
        <v>369</v>
      </c>
      <c r="F148" s="442"/>
      <c r="G148" s="67">
        <f>SUM(G149:G151)</f>
        <v>0</v>
      </c>
      <c r="H148" s="67"/>
      <c r="I148" s="67"/>
      <c r="J148" s="560"/>
      <c r="K148" s="67"/>
      <c r="L148" s="67">
        <f>SUM(L149:L151)</f>
        <v>0</v>
      </c>
      <c r="M148" s="67"/>
      <c r="N148" s="67"/>
      <c r="O148" s="560"/>
      <c r="P148" s="67"/>
      <c r="Q148" s="67">
        <f>SUM(Q149:Q151)</f>
        <v>0</v>
      </c>
      <c r="R148" s="67"/>
      <c r="S148" s="67"/>
      <c r="T148" s="560"/>
      <c r="U148" s="67"/>
      <c r="V148" s="67">
        <f>SUM(V149:V151)</f>
        <v>0</v>
      </c>
      <c r="W148" s="67"/>
      <c r="X148" s="67"/>
      <c r="Y148" s="560"/>
      <c r="Z148" s="67"/>
      <c r="AA148" s="67">
        <f>SUM(AA149:AA151)</f>
        <v>0</v>
      </c>
      <c r="AB148" s="67"/>
      <c r="AC148" s="67"/>
      <c r="AD148" s="560"/>
      <c r="AE148" s="67"/>
      <c r="AF148" s="67">
        <f>SUM(AF149:AF151)</f>
        <v>0</v>
      </c>
      <c r="AG148" s="67"/>
      <c r="AH148" s="67"/>
      <c r="AI148" s="560"/>
      <c r="AJ148" s="67"/>
      <c r="AK148" s="67">
        <f>SUM(AK149:AK151)</f>
        <v>0</v>
      </c>
      <c r="AL148" s="67"/>
      <c r="AM148" s="67"/>
      <c r="AN148" s="560"/>
      <c r="AO148" s="67"/>
      <c r="AP148" s="67">
        <f>SUM(AP149:AP151)</f>
        <v>0</v>
      </c>
      <c r="AQ148" s="67"/>
      <c r="AR148" s="67"/>
      <c r="AS148" s="560"/>
      <c r="AT148" s="67"/>
      <c r="AU148" s="67">
        <f>SUM(AU149:AU151)</f>
        <v>0</v>
      </c>
      <c r="AV148" s="67"/>
      <c r="AW148" s="67"/>
      <c r="AX148" s="560"/>
      <c r="AY148" s="67"/>
      <c r="AZ148" s="67">
        <f>SUM(AZ149:AZ151)</f>
        <v>0</v>
      </c>
      <c r="BA148" s="67"/>
      <c r="BB148" s="67"/>
      <c r="BC148" s="560"/>
      <c r="BD148" s="67"/>
      <c r="BE148" s="67">
        <f>SUM(BE149:BE151)</f>
        <v>0</v>
      </c>
      <c r="BF148" s="67"/>
      <c r="BG148" s="67"/>
      <c r="BH148" s="560"/>
      <c r="BI148" s="67"/>
      <c r="BJ148" s="67">
        <f>SUM(BJ149:BJ151)</f>
        <v>0</v>
      </c>
      <c r="BK148" s="67"/>
      <c r="BL148" s="67"/>
      <c r="BM148" s="560"/>
      <c r="BN148" s="67"/>
      <c r="BO148" s="67">
        <f>SUM(BO149:BO151)</f>
        <v>0</v>
      </c>
      <c r="BP148" s="67"/>
      <c r="BQ148" s="67"/>
      <c r="BR148" s="560"/>
      <c r="BS148" s="67"/>
      <c r="BT148" s="67">
        <f>SUM(BT149:BT151)</f>
        <v>0</v>
      </c>
      <c r="BU148" s="67"/>
      <c r="BV148" s="67"/>
      <c r="BW148" s="560"/>
      <c r="BX148" s="67"/>
      <c r="BY148" s="67">
        <f>SUM(BY149:BY151)</f>
        <v>1592</v>
      </c>
      <c r="BZ148" s="67"/>
      <c r="CA148" s="67"/>
      <c r="CB148" s="560"/>
      <c r="CC148" s="67"/>
      <c r="CD148" s="67">
        <f>SUM(CD149:CD151)</f>
        <v>0</v>
      </c>
      <c r="CE148" s="67"/>
      <c r="CF148" s="67"/>
      <c r="CG148" s="560"/>
      <c r="CH148" s="67"/>
      <c r="CI148" s="67">
        <f>SUM(CI149:CI151)</f>
        <v>1592</v>
      </c>
      <c r="CJ148" s="67"/>
      <c r="CK148" s="67"/>
      <c r="CL148" s="560"/>
      <c r="CM148" s="67"/>
      <c r="CN148" s="67">
        <f>SUM(CN149:CN151)</f>
        <v>0</v>
      </c>
      <c r="CO148" s="67"/>
      <c r="CP148" s="67"/>
      <c r="CQ148" s="560"/>
      <c r="CR148" s="67"/>
      <c r="CS148" s="67">
        <f>SUM(CS149:CS151)</f>
        <v>0</v>
      </c>
      <c r="CT148" s="67"/>
      <c r="CU148" s="67"/>
      <c r="CV148" s="560"/>
      <c r="CW148" s="67"/>
      <c r="CX148" s="67">
        <f>SUM(CX149:CX151)</f>
        <v>0</v>
      </c>
      <c r="CY148" s="67"/>
      <c r="CZ148" s="67"/>
      <c r="DA148" s="560"/>
      <c r="DB148" s="67"/>
      <c r="DC148" s="67">
        <f>SUM(DC149:DC151)</f>
        <v>0</v>
      </c>
      <c r="DD148" s="67"/>
      <c r="DE148" s="67"/>
      <c r="DF148" s="560"/>
      <c r="DG148" s="67"/>
      <c r="DH148" s="67">
        <f>SUM(DH149:DH151)</f>
        <v>0</v>
      </c>
      <c r="DI148" s="67"/>
      <c r="DJ148" s="67"/>
      <c r="DK148" s="560"/>
      <c r="DL148" s="67"/>
      <c r="DM148" s="67">
        <f>SUM(DM149:DM151)</f>
        <v>0</v>
      </c>
      <c r="DN148" s="67"/>
      <c r="DO148" s="67"/>
      <c r="DP148" s="560"/>
      <c r="DQ148" s="67"/>
      <c r="DR148" s="67">
        <f>SUM(DR149:DR151)</f>
        <v>0</v>
      </c>
      <c r="DS148" s="67"/>
      <c r="DT148" s="67"/>
      <c r="DU148" s="560"/>
      <c r="DV148" s="67"/>
      <c r="DW148" s="67">
        <f>SUM(DW149:DW151)</f>
        <v>0</v>
      </c>
      <c r="DX148" s="67"/>
      <c r="DY148" s="67"/>
      <c r="DZ148" s="560"/>
      <c r="EA148" s="67"/>
      <c r="EB148" s="67">
        <f>SUM(EB149:EB151)</f>
        <v>0</v>
      </c>
      <c r="EC148" s="67"/>
      <c r="ED148" s="67"/>
      <c r="EE148" s="560"/>
      <c r="EF148" s="67"/>
      <c r="EG148" s="67">
        <f>SUM(EG149:EG151)</f>
        <v>0</v>
      </c>
      <c r="EH148" s="67"/>
      <c r="EI148" s="67"/>
      <c r="EJ148" s="560"/>
      <c r="EK148" s="67"/>
      <c r="EL148" s="67">
        <f>SUM(EL149:EL151)</f>
        <v>1592</v>
      </c>
      <c r="EM148" s="67"/>
      <c r="EN148" s="67"/>
      <c r="EO148" s="455"/>
      <c r="ER148" s="472"/>
      <c r="ES148" s="472"/>
    </row>
    <row r="149" spans="1:149" ht="12.75" customHeight="1" x14ac:dyDescent="0.2">
      <c r="A149" s="442"/>
      <c r="B149" s="442"/>
      <c r="D149" s="455" t="s">
        <v>342</v>
      </c>
      <c r="F149" s="473"/>
      <c r="G149" s="558">
        <v>0</v>
      </c>
      <c r="H149" s="559"/>
      <c r="I149" s="67"/>
      <c r="J149" s="560"/>
      <c r="K149" s="561"/>
      <c r="L149" s="558">
        <v>0</v>
      </c>
      <c r="M149" s="559"/>
      <c r="N149" s="67"/>
      <c r="O149" s="560"/>
      <c r="P149" s="561"/>
      <c r="Q149" s="558">
        <v>0</v>
      </c>
      <c r="R149" s="559"/>
      <c r="S149" s="67"/>
      <c r="T149" s="560"/>
      <c r="U149" s="561"/>
      <c r="V149" s="558">
        <v>0</v>
      </c>
      <c r="W149" s="559"/>
      <c r="X149" s="67"/>
      <c r="Y149" s="560"/>
      <c r="Z149" s="561"/>
      <c r="AA149" s="558">
        <v>0</v>
      </c>
      <c r="AB149" s="559"/>
      <c r="AC149" s="67"/>
      <c r="AD149" s="560"/>
      <c r="AE149" s="561"/>
      <c r="AF149" s="558">
        <v>0</v>
      </c>
      <c r="AG149" s="559"/>
      <c r="AH149" s="67"/>
      <c r="AI149" s="560"/>
      <c r="AJ149" s="561"/>
      <c r="AK149" s="558">
        <v>0</v>
      </c>
      <c r="AL149" s="559"/>
      <c r="AM149" s="67"/>
      <c r="AN149" s="560"/>
      <c r="AO149" s="561"/>
      <c r="AP149" s="558">
        <v>0</v>
      </c>
      <c r="AQ149" s="559"/>
      <c r="AR149" s="67"/>
      <c r="AS149" s="560"/>
      <c r="AT149" s="561"/>
      <c r="AU149" s="558">
        <v>0</v>
      </c>
      <c r="AV149" s="559"/>
      <c r="AW149" s="67"/>
      <c r="AX149" s="560"/>
      <c r="AY149" s="561"/>
      <c r="AZ149" s="558">
        <v>0</v>
      </c>
      <c r="BA149" s="559"/>
      <c r="BB149" s="67"/>
      <c r="BC149" s="560"/>
      <c r="BD149" s="561"/>
      <c r="BE149" s="558">
        <v>0</v>
      </c>
      <c r="BF149" s="559"/>
      <c r="BG149" s="67"/>
      <c r="BH149" s="560"/>
      <c r="BI149" s="561"/>
      <c r="BJ149" s="558">
        <v>0</v>
      </c>
      <c r="BK149" s="559"/>
      <c r="BL149" s="67"/>
      <c r="BM149" s="560"/>
      <c r="BN149" s="561"/>
      <c r="BO149" s="558">
        <v>0</v>
      </c>
      <c r="BP149" s="559"/>
      <c r="BQ149" s="67"/>
      <c r="BR149" s="560"/>
      <c r="BS149" s="561"/>
      <c r="BT149" s="558">
        <f>SUM(L149:BO149)</f>
        <v>0</v>
      </c>
      <c r="BU149" s="559"/>
      <c r="BV149" s="67"/>
      <c r="BW149" s="560"/>
      <c r="BX149" s="561"/>
      <c r="BY149" s="558">
        <v>1123</v>
      </c>
      <c r="BZ149" s="559"/>
      <c r="CA149" s="67"/>
      <c r="CB149" s="560"/>
      <c r="CC149" s="561"/>
      <c r="CD149" s="558">
        <v>0</v>
      </c>
      <c r="CE149" s="559"/>
      <c r="CF149" s="67"/>
      <c r="CG149" s="560"/>
      <c r="CH149" s="561"/>
      <c r="CI149" s="558">
        <f>1592-469</f>
        <v>1123</v>
      </c>
      <c r="CJ149" s="559"/>
      <c r="CK149" s="67"/>
      <c r="CL149" s="560"/>
      <c r="CM149" s="561"/>
      <c r="CN149" s="558">
        <v>0</v>
      </c>
      <c r="CO149" s="559"/>
      <c r="CP149" s="67"/>
      <c r="CQ149" s="560"/>
      <c r="CR149" s="561"/>
      <c r="CS149" s="558">
        <v>0</v>
      </c>
      <c r="CT149" s="559"/>
      <c r="CU149" s="67"/>
      <c r="CV149" s="560"/>
      <c r="CW149" s="561"/>
      <c r="CX149" s="558">
        <v>0</v>
      </c>
      <c r="CY149" s="559"/>
      <c r="CZ149" s="67"/>
      <c r="DA149" s="560"/>
      <c r="DB149" s="561"/>
      <c r="DC149" s="558">
        <v>0</v>
      </c>
      <c r="DD149" s="559"/>
      <c r="DE149" s="67"/>
      <c r="DF149" s="560"/>
      <c r="DG149" s="561"/>
      <c r="DH149" s="558">
        <v>0</v>
      </c>
      <c r="DI149" s="559"/>
      <c r="DJ149" s="67"/>
      <c r="DK149" s="560"/>
      <c r="DL149" s="561"/>
      <c r="DM149" s="558">
        <v>0</v>
      </c>
      <c r="DN149" s="559"/>
      <c r="DO149" s="67"/>
      <c r="DP149" s="560"/>
      <c r="DQ149" s="561"/>
      <c r="DR149" s="558">
        <v>0</v>
      </c>
      <c r="DS149" s="559"/>
      <c r="DT149" s="67"/>
      <c r="DU149" s="560"/>
      <c r="DV149" s="561"/>
      <c r="DW149" s="558">
        <v>0</v>
      </c>
      <c r="DX149" s="559"/>
      <c r="DY149" s="67"/>
      <c r="DZ149" s="560"/>
      <c r="EA149" s="561"/>
      <c r="EB149" s="558">
        <v>0</v>
      </c>
      <c r="EC149" s="559"/>
      <c r="ED149" s="67"/>
      <c r="EE149" s="560"/>
      <c r="EF149" s="561"/>
      <c r="EG149" s="558">
        <v>0</v>
      </c>
      <c r="EH149" s="559"/>
      <c r="EI149" s="67"/>
      <c r="EJ149" s="560"/>
      <c r="EK149" s="561"/>
      <c r="EL149" s="558">
        <f>SUM(CD149:CI149)</f>
        <v>1123</v>
      </c>
      <c r="EM149" s="559"/>
      <c r="EN149" s="67"/>
      <c r="EO149" s="455"/>
      <c r="ER149" s="472"/>
      <c r="ES149" s="472"/>
    </row>
    <row r="150" spans="1:149" ht="12.75" customHeight="1" x14ac:dyDescent="0.2">
      <c r="A150" s="442"/>
      <c r="B150" s="442"/>
      <c r="D150" s="455" t="s">
        <v>344</v>
      </c>
      <c r="F150" s="465"/>
      <c r="G150" s="67">
        <v>0</v>
      </c>
      <c r="H150" s="66"/>
      <c r="I150" s="67"/>
      <c r="J150" s="560"/>
      <c r="K150" s="560"/>
      <c r="L150" s="67">
        <v>0</v>
      </c>
      <c r="M150" s="66"/>
      <c r="N150" s="67"/>
      <c r="O150" s="560"/>
      <c r="P150" s="560"/>
      <c r="Q150" s="67">
        <v>0</v>
      </c>
      <c r="R150" s="66"/>
      <c r="S150" s="67"/>
      <c r="T150" s="560"/>
      <c r="U150" s="560"/>
      <c r="V150" s="67">
        <v>0</v>
      </c>
      <c r="W150" s="66"/>
      <c r="X150" s="67"/>
      <c r="Y150" s="560"/>
      <c r="Z150" s="560"/>
      <c r="AA150" s="67">
        <v>0</v>
      </c>
      <c r="AB150" s="66"/>
      <c r="AC150" s="67"/>
      <c r="AD150" s="560"/>
      <c r="AE150" s="560"/>
      <c r="AF150" s="67">
        <v>0</v>
      </c>
      <c r="AG150" s="66"/>
      <c r="AH150" s="67"/>
      <c r="AI150" s="560"/>
      <c r="AJ150" s="560"/>
      <c r="AK150" s="67">
        <v>0</v>
      </c>
      <c r="AL150" s="66"/>
      <c r="AM150" s="67"/>
      <c r="AN150" s="560"/>
      <c r="AO150" s="560"/>
      <c r="AP150" s="67">
        <v>0</v>
      </c>
      <c r="AQ150" s="66"/>
      <c r="AR150" s="67"/>
      <c r="AS150" s="560"/>
      <c r="AT150" s="560"/>
      <c r="AU150" s="67">
        <v>0</v>
      </c>
      <c r="AV150" s="66"/>
      <c r="AW150" s="67"/>
      <c r="AX150" s="560"/>
      <c r="AY150" s="560"/>
      <c r="AZ150" s="67">
        <v>0</v>
      </c>
      <c r="BA150" s="66"/>
      <c r="BB150" s="67"/>
      <c r="BC150" s="560"/>
      <c r="BD150" s="560"/>
      <c r="BE150" s="67">
        <v>0</v>
      </c>
      <c r="BF150" s="66"/>
      <c r="BG150" s="67"/>
      <c r="BH150" s="560"/>
      <c r="BI150" s="560"/>
      <c r="BJ150" s="67">
        <v>0</v>
      </c>
      <c r="BK150" s="66"/>
      <c r="BL150" s="67"/>
      <c r="BM150" s="560"/>
      <c r="BN150" s="560"/>
      <c r="BO150" s="67">
        <v>0</v>
      </c>
      <c r="BP150" s="66"/>
      <c r="BQ150" s="67"/>
      <c r="BR150" s="560"/>
      <c r="BS150" s="560"/>
      <c r="BT150" s="67">
        <f>SUM(L150:BO150)</f>
        <v>0</v>
      </c>
      <c r="BU150" s="66"/>
      <c r="BV150" s="67"/>
      <c r="BW150" s="560"/>
      <c r="BX150" s="560"/>
      <c r="BY150" s="67">
        <v>469</v>
      </c>
      <c r="BZ150" s="66"/>
      <c r="CA150" s="67"/>
      <c r="CB150" s="560"/>
      <c r="CC150" s="560"/>
      <c r="CD150" s="67">
        <v>0</v>
      </c>
      <c r="CE150" s="66"/>
      <c r="CF150" s="67"/>
      <c r="CG150" s="560"/>
      <c r="CH150" s="560"/>
      <c r="CI150" s="67">
        <v>469</v>
      </c>
      <c r="CJ150" s="66"/>
      <c r="CK150" s="67"/>
      <c r="CL150" s="560"/>
      <c r="CM150" s="560"/>
      <c r="CN150" s="67">
        <v>0</v>
      </c>
      <c r="CO150" s="66"/>
      <c r="CP150" s="67"/>
      <c r="CQ150" s="560"/>
      <c r="CR150" s="560"/>
      <c r="CS150" s="67">
        <v>0</v>
      </c>
      <c r="CT150" s="66"/>
      <c r="CU150" s="67"/>
      <c r="CV150" s="560"/>
      <c r="CW150" s="560"/>
      <c r="CX150" s="67">
        <v>0</v>
      </c>
      <c r="CY150" s="66"/>
      <c r="CZ150" s="67"/>
      <c r="DA150" s="560"/>
      <c r="DB150" s="560"/>
      <c r="DC150" s="67">
        <v>0</v>
      </c>
      <c r="DD150" s="66"/>
      <c r="DE150" s="67"/>
      <c r="DF150" s="560"/>
      <c r="DG150" s="560"/>
      <c r="DH150" s="67">
        <v>0</v>
      </c>
      <c r="DI150" s="66"/>
      <c r="DJ150" s="67"/>
      <c r="DK150" s="560"/>
      <c r="DL150" s="560"/>
      <c r="DM150" s="67">
        <v>0</v>
      </c>
      <c r="DN150" s="66"/>
      <c r="DO150" s="67"/>
      <c r="DP150" s="560"/>
      <c r="DQ150" s="560"/>
      <c r="DR150" s="67">
        <v>0</v>
      </c>
      <c r="DS150" s="66"/>
      <c r="DT150" s="67"/>
      <c r="DU150" s="560"/>
      <c r="DV150" s="560"/>
      <c r="DW150" s="67">
        <v>0</v>
      </c>
      <c r="DX150" s="66"/>
      <c r="DY150" s="67"/>
      <c r="DZ150" s="560"/>
      <c r="EA150" s="560"/>
      <c r="EB150" s="67">
        <v>0</v>
      </c>
      <c r="EC150" s="66"/>
      <c r="ED150" s="67"/>
      <c r="EE150" s="560"/>
      <c r="EF150" s="560"/>
      <c r="EG150" s="67">
        <v>0</v>
      </c>
      <c r="EH150" s="66"/>
      <c r="EI150" s="67"/>
      <c r="EJ150" s="560"/>
      <c r="EK150" s="560"/>
      <c r="EL150" s="67">
        <f>SUM(CD150:CI150)</f>
        <v>469</v>
      </c>
      <c r="EM150" s="66"/>
      <c r="EN150" s="67"/>
      <c r="EO150" s="455"/>
      <c r="ER150" s="472"/>
      <c r="ES150" s="472"/>
    </row>
    <row r="151" spans="1:149" ht="12.75" customHeight="1" x14ac:dyDescent="0.2">
      <c r="A151" s="442"/>
      <c r="B151" s="442"/>
      <c r="D151" s="455" t="s">
        <v>345</v>
      </c>
      <c r="F151" s="488"/>
      <c r="G151" s="113">
        <v>0</v>
      </c>
      <c r="H151" s="112"/>
      <c r="I151" s="67"/>
      <c r="J151" s="560"/>
      <c r="K151" s="569"/>
      <c r="L151" s="113">
        <v>0</v>
      </c>
      <c r="M151" s="112"/>
      <c r="N151" s="67"/>
      <c r="O151" s="560"/>
      <c r="P151" s="569"/>
      <c r="Q151" s="113">
        <v>0</v>
      </c>
      <c r="R151" s="112"/>
      <c r="S151" s="67"/>
      <c r="T151" s="560"/>
      <c r="U151" s="569"/>
      <c r="V151" s="113">
        <v>0</v>
      </c>
      <c r="W151" s="112"/>
      <c r="X151" s="67"/>
      <c r="Y151" s="560"/>
      <c r="Z151" s="569"/>
      <c r="AA151" s="113">
        <v>0</v>
      </c>
      <c r="AB151" s="112"/>
      <c r="AC151" s="67"/>
      <c r="AD151" s="560"/>
      <c r="AE151" s="569"/>
      <c r="AF151" s="113">
        <v>0</v>
      </c>
      <c r="AG151" s="112"/>
      <c r="AH151" s="67"/>
      <c r="AI151" s="560"/>
      <c r="AJ151" s="569"/>
      <c r="AK151" s="113">
        <v>0</v>
      </c>
      <c r="AL151" s="112"/>
      <c r="AM151" s="67"/>
      <c r="AN151" s="560"/>
      <c r="AO151" s="569"/>
      <c r="AP151" s="113">
        <v>0</v>
      </c>
      <c r="AQ151" s="112"/>
      <c r="AR151" s="67"/>
      <c r="AS151" s="560"/>
      <c r="AT151" s="569"/>
      <c r="AU151" s="113">
        <v>0</v>
      </c>
      <c r="AV151" s="112"/>
      <c r="AW151" s="67"/>
      <c r="AX151" s="560"/>
      <c r="AY151" s="569"/>
      <c r="AZ151" s="113">
        <v>0</v>
      </c>
      <c r="BA151" s="112"/>
      <c r="BB151" s="67"/>
      <c r="BC151" s="560"/>
      <c r="BD151" s="569"/>
      <c r="BE151" s="113">
        <v>0</v>
      </c>
      <c r="BF151" s="112"/>
      <c r="BG151" s="67"/>
      <c r="BH151" s="560"/>
      <c r="BI151" s="569"/>
      <c r="BJ151" s="113">
        <v>0</v>
      </c>
      <c r="BK151" s="112"/>
      <c r="BL151" s="67"/>
      <c r="BM151" s="560"/>
      <c r="BN151" s="569"/>
      <c r="BO151" s="113">
        <v>0</v>
      </c>
      <c r="BP151" s="112"/>
      <c r="BQ151" s="67"/>
      <c r="BR151" s="560"/>
      <c r="BS151" s="569"/>
      <c r="BT151" s="113">
        <f>SUM(L151:BO151)</f>
        <v>0</v>
      </c>
      <c r="BU151" s="112"/>
      <c r="BV151" s="67"/>
      <c r="BW151" s="560"/>
      <c r="BX151" s="569"/>
      <c r="BY151" s="113">
        <v>0</v>
      </c>
      <c r="BZ151" s="112"/>
      <c r="CA151" s="67"/>
      <c r="CB151" s="560"/>
      <c r="CC151" s="569"/>
      <c r="CD151" s="113">
        <v>0</v>
      </c>
      <c r="CE151" s="112"/>
      <c r="CF151" s="67"/>
      <c r="CG151" s="560"/>
      <c r="CH151" s="569"/>
      <c r="CI151" s="113">
        <v>0</v>
      </c>
      <c r="CJ151" s="112"/>
      <c r="CK151" s="67"/>
      <c r="CL151" s="560"/>
      <c r="CM151" s="569"/>
      <c r="CN151" s="113">
        <v>0</v>
      </c>
      <c r="CO151" s="112"/>
      <c r="CP151" s="67"/>
      <c r="CQ151" s="560"/>
      <c r="CR151" s="569"/>
      <c r="CS151" s="113">
        <v>0</v>
      </c>
      <c r="CT151" s="112"/>
      <c r="CU151" s="67"/>
      <c r="CV151" s="560"/>
      <c r="CW151" s="569"/>
      <c r="CX151" s="113">
        <v>0</v>
      </c>
      <c r="CY151" s="112"/>
      <c r="CZ151" s="67"/>
      <c r="DA151" s="560"/>
      <c r="DB151" s="569"/>
      <c r="DC151" s="113">
        <v>0</v>
      </c>
      <c r="DD151" s="112"/>
      <c r="DE151" s="67"/>
      <c r="DF151" s="560"/>
      <c r="DG151" s="569"/>
      <c r="DH151" s="113">
        <v>0</v>
      </c>
      <c r="DI151" s="112"/>
      <c r="DJ151" s="67"/>
      <c r="DK151" s="560"/>
      <c r="DL151" s="569"/>
      <c r="DM151" s="113">
        <v>0</v>
      </c>
      <c r="DN151" s="112"/>
      <c r="DO151" s="67"/>
      <c r="DP151" s="560"/>
      <c r="DQ151" s="569"/>
      <c r="DR151" s="113">
        <v>0</v>
      </c>
      <c r="DS151" s="112"/>
      <c r="DT151" s="67"/>
      <c r="DU151" s="560"/>
      <c r="DV151" s="569"/>
      <c r="DW151" s="113">
        <v>0</v>
      </c>
      <c r="DX151" s="112"/>
      <c r="DY151" s="67"/>
      <c r="DZ151" s="560"/>
      <c r="EA151" s="569"/>
      <c r="EB151" s="113">
        <v>0</v>
      </c>
      <c r="EC151" s="112"/>
      <c r="ED151" s="67"/>
      <c r="EE151" s="560"/>
      <c r="EF151" s="569"/>
      <c r="EG151" s="113">
        <v>0</v>
      </c>
      <c r="EH151" s="112"/>
      <c r="EI151" s="67"/>
      <c r="EJ151" s="560"/>
      <c r="EK151" s="569"/>
      <c r="EL151" s="113">
        <f>SUM(CD151:CI151)</f>
        <v>0</v>
      </c>
      <c r="EM151" s="112"/>
      <c r="EN151" s="67"/>
      <c r="EO151" s="455"/>
      <c r="ER151" s="472"/>
      <c r="ES151" s="472"/>
    </row>
    <row r="152" spans="1:149" ht="12.75" customHeight="1" x14ac:dyDescent="0.2">
      <c r="A152" s="442"/>
      <c r="B152" s="442"/>
      <c r="D152" s="455"/>
      <c r="F152" s="442"/>
      <c r="G152" s="67"/>
      <c r="H152" s="67"/>
      <c r="I152" s="67"/>
      <c r="J152" s="560"/>
      <c r="K152" s="67"/>
      <c r="L152" s="67"/>
      <c r="M152" s="67"/>
      <c r="N152" s="67"/>
      <c r="O152" s="560"/>
      <c r="P152" s="67"/>
      <c r="Q152" s="67"/>
      <c r="R152" s="67"/>
      <c r="S152" s="67"/>
      <c r="T152" s="560"/>
      <c r="U152" s="67"/>
      <c r="V152" s="67"/>
      <c r="W152" s="67"/>
      <c r="X152" s="67"/>
      <c r="Y152" s="560"/>
      <c r="Z152" s="67"/>
      <c r="AA152" s="67"/>
      <c r="AB152" s="67"/>
      <c r="AC152" s="67"/>
      <c r="AD152" s="560"/>
      <c r="AE152" s="67"/>
      <c r="AF152" s="67"/>
      <c r="AG152" s="67"/>
      <c r="AH152" s="67"/>
      <c r="AI152" s="560"/>
      <c r="AJ152" s="67"/>
      <c r="AK152" s="67"/>
      <c r="AL152" s="67"/>
      <c r="AM152" s="67"/>
      <c r="AN152" s="560"/>
      <c r="AO152" s="67"/>
      <c r="AP152" s="67"/>
      <c r="AQ152" s="67"/>
      <c r="AR152" s="67"/>
      <c r="AS152" s="560"/>
      <c r="AT152" s="67"/>
      <c r="AU152" s="67"/>
      <c r="AV152" s="67"/>
      <c r="AW152" s="67"/>
      <c r="AX152" s="560"/>
      <c r="AY152" s="67"/>
      <c r="AZ152" s="67"/>
      <c r="BA152" s="67"/>
      <c r="BB152" s="67"/>
      <c r="BC152" s="560"/>
      <c r="BD152" s="67"/>
      <c r="BE152" s="67"/>
      <c r="BF152" s="67"/>
      <c r="BG152" s="67"/>
      <c r="BH152" s="560"/>
      <c r="BI152" s="67"/>
      <c r="BJ152" s="67"/>
      <c r="BK152" s="67"/>
      <c r="BL152" s="67"/>
      <c r="BM152" s="560"/>
      <c r="BN152" s="67"/>
      <c r="BO152" s="67"/>
      <c r="BP152" s="67"/>
      <c r="BQ152" s="67"/>
      <c r="BR152" s="560"/>
      <c r="BS152" s="67"/>
      <c r="BT152" s="67"/>
      <c r="BU152" s="67"/>
      <c r="BV152" s="67"/>
      <c r="BW152" s="560"/>
      <c r="BX152" s="67"/>
      <c r="BY152" s="67"/>
      <c r="BZ152" s="67"/>
      <c r="CA152" s="67"/>
      <c r="CB152" s="560"/>
      <c r="CC152" s="67"/>
      <c r="CD152" s="67"/>
      <c r="CE152" s="67"/>
      <c r="CF152" s="67"/>
      <c r="CG152" s="560"/>
      <c r="CH152" s="67"/>
      <c r="CI152" s="67"/>
      <c r="CJ152" s="67"/>
      <c r="CK152" s="67"/>
      <c r="CL152" s="560"/>
      <c r="CM152" s="67"/>
      <c r="CN152" s="67"/>
      <c r="CO152" s="67"/>
      <c r="CP152" s="67"/>
      <c r="CQ152" s="560"/>
      <c r="CR152" s="67"/>
      <c r="CS152" s="67"/>
      <c r="CT152" s="67"/>
      <c r="CU152" s="67"/>
      <c r="CV152" s="560"/>
      <c r="CW152" s="67"/>
      <c r="CX152" s="67"/>
      <c r="CY152" s="67"/>
      <c r="CZ152" s="67"/>
      <c r="DA152" s="560"/>
      <c r="DB152" s="67"/>
      <c r="DC152" s="67"/>
      <c r="DD152" s="67"/>
      <c r="DE152" s="67"/>
      <c r="DF152" s="560"/>
      <c r="DG152" s="67"/>
      <c r="DH152" s="67"/>
      <c r="DI152" s="67"/>
      <c r="DJ152" s="67"/>
      <c r="DK152" s="560"/>
      <c r="DL152" s="67"/>
      <c r="DM152" s="67"/>
      <c r="DN152" s="67"/>
      <c r="DO152" s="67"/>
      <c r="DP152" s="560"/>
      <c r="DQ152" s="67"/>
      <c r="DR152" s="67"/>
      <c r="DS152" s="67"/>
      <c r="DT152" s="67"/>
      <c r="DU152" s="560"/>
      <c r="DV152" s="67"/>
      <c r="DW152" s="67"/>
      <c r="DX152" s="67"/>
      <c r="DY152" s="67"/>
      <c r="DZ152" s="560"/>
      <c r="EA152" s="67"/>
      <c r="EB152" s="67"/>
      <c r="EC152" s="67"/>
      <c r="ED152" s="67"/>
      <c r="EE152" s="560"/>
      <c r="EF152" s="67"/>
      <c r="EG152" s="67"/>
      <c r="EH152" s="67"/>
      <c r="EI152" s="67"/>
      <c r="EJ152" s="560"/>
      <c r="EK152" s="67"/>
      <c r="EL152" s="67"/>
      <c r="EM152" s="67"/>
      <c r="EN152" s="67"/>
      <c r="EO152" s="455"/>
      <c r="ER152" s="472"/>
      <c r="ES152" s="472"/>
    </row>
    <row r="153" spans="1:149" ht="12.75" customHeight="1" x14ac:dyDescent="0.2">
      <c r="A153" s="442"/>
      <c r="B153" s="442"/>
      <c r="D153" s="455" t="s">
        <v>370</v>
      </c>
      <c r="F153" s="442"/>
      <c r="G153" s="67">
        <f>SUM(G154:G156)</f>
        <v>0</v>
      </c>
      <c r="H153" s="67"/>
      <c r="I153" s="67"/>
      <c r="J153" s="560"/>
      <c r="K153" s="67"/>
      <c r="L153" s="67">
        <f>SUM(L154:L156)</f>
        <v>5260000</v>
      </c>
      <c r="M153" s="67"/>
      <c r="N153" s="67"/>
      <c r="O153" s="560"/>
      <c r="P153" s="67"/>
      <c r="Q153" s="67">
        <f>SUM(Q154:Q156)</f>
        <v>6040000</v>
      </c>
      <c r="R153" s="67"/>
      <c r="S153" s="67"/>
      <c r="T153" s="560"/>
      <c r="U153" s="67"/>
      <c r="V153" s="67">
        <f>SUM(V154:V156)</f>
        <v>0</v>
      </c>
      <c r="W153" s="67"/>
      <c r="X153" s="67"/>
      <c r="Y153" s="560"/>
      <c r="Z153" s="67"/>
      <c r="AA153" s="67">
        <f>SUM(AA154:AA156)</f>
        <v>0</v>
      </c>
      <c r="AB153" s="67"/>
      <c r="AC153" s="67"/>
      <c r="AD153" s="560"/>
      <c r="AE153" s="67"/>
      <c r="AF153" s="67">
        <f>SUM(AF154:AF156)</f>
        <v>0</v>
      </c>
      <c r="AG153" s="67"/>
      <c r="AH153" s="67"/>
      <c r="AI153" s="560"/>
      <c r="AJ153" s="67"/>
      <c r="AK153" s="67">
        <f>SUM(AK154:AK156)</f>
        <v>0</v>
      </c>
      <c r="AL153" s="67"/>
      <c r="AM153" s="67"/>
      <c r="AN153" s="560"/>
      <c r="AO153" s="67"/>
      <c r="AP153" s="67">
        <f>SUM(AP154:AP156)</f>
        <v>0</v>
      </c>
      <c r="AQ153" s="67"/>
      <c r="AR153" s="67"/>
      <c r="AS153" s="560"/>
      <c r="AT153" s="67"/>
      <c r="AU153" s="67">
        <f>SUM(AU154:AU156)</f>
        <v>0</v>
      </c>
      <c r="AV153" s="67"/>
      <c r="AW153" s="67"/>
      <c r="AX153" s="560"/>
      <c r="AY153" s="67"/>
      <c r="AZ153" s="67">
        <f>SUM(AZ154:AZ156)</f>
        <v>0</v>
      </c>
      <c r="BA153" s="67"/>
      <c r="BB153" s="67"/>
      <c r="BC153" s="560"/>
      <c r="BD153" s="67"/>
      <c r="BE153" s="67">
        <f>SUM(BE154:BE156)</f>
        <v>0</v>
      </c>
      <c r="BF153" s="67"/>
      <c r="BG153" s="67"/>
      <c r="BH153" s="560"/>
      <c r="BI153" s="67"/>
      <c r="BJ153" s="67">
        <f>SUM(BJ154:BJ156)</f>
        <v>0</v>
      </c>
      <c r="BK153" s="67"/>
      <c r="BL153" s="67"/>
      <c r="BM153" s="560"/>
      <c r="BN153" s="67"/>
      <c r="BO153" s="67">
        <f>SUM(BO154:BO156)</f>
        <v>0</v>
      </c>
      <c r="BP153" s="67"/>
      <c r="BQ153" s="67"/>
      <c r="BR153" s="560"/>
      <c r="BS153" s="67"/>
      <c r="BT153" s="67">
        <f>SUM(BT154:BT156)</f>
        <v>11300000</v>
      </c>
      <c r="BU153" s="67"/>
      <c r="BV153" s="67"/>
      <c r="BW153" s="560"/>
      <c r="BX153" s="67"/>
      <c r="BY153" s="67">
        <f>SUM(BY154:BY156)</f>
        <v>24103092</v>
      </c>
      <c r="BZ153" s="67"/>
      <c r="CA153" s="67"/>
      <c r="CB153" s="560"/>
      <c r="CC153" s="67"/>
      <c r="CD153" s="67">
        <f>SUM(CD154:CD156)</f>
        <v>2541000</v>
      </c>
      <c r="CE153" s="67"/>
      <c r="CF153" s="67"/>
      <c r="CG153" s="560"/>
      <c r="CH153" s="67"/>
      <c r="CI153" s="67">
        <f>SUM(CI154:CI156)</f>
        <v>5976092</v>
      </c>
      <c r="CJ153" s="67"/>
      <c r="CK153" s="67"/>
      <c r="CL153" s="560"/>
      <c r="CM153" s="67"/>
      <c r="CN153" s="67">
        <f>SUM(CN154:CN156)</f>
        <v>496000</v>
      </c>
      <c r="CO153" s="67"/>
      <c r="CP153" s="67"/>
      <c r="CQ153" s="560"/>
      <c r="CR153" s="67"/>
      <c r="CS153" s="67">
        <f>SUM(CS154:CS156)</f>
        <v>1653000</v>
      </c>
      <c r="CT153" s="67"/>
      <c r="CU153" s="67"/>
      <c r="CV153" s="560"/>
      <c r="CW153" s="67"/>
      <c r="CX153" s="67">
        <f>SUM(CX154:CX156)</f>
        <v>0</v>
      </c>
      <c r="CY153" s="67"/>
      <c r="CZ153" s="67"/>
      <c r="DA153" s="560"/>
      <c r="DB153" s="67"/>
      <c r="DC153" s="67">
        <f>SUM(DC154:DC156)</f>
        <v>3238000</v>
      </c>
      <c r="DD153" s="67"/>
      <c r="DE153" s="67"/>
      <c r="DF153" s="560"/>
      <c r="DG153" s="67"/>
      <c r="DH153" s="67">
        <f>SUM(DH154:DH156)</f>
        <v>4911000</v>
      </c>
      <c r="DI153" s="67"/>
      <c r="DJ153" s="67"/>
      <c r="DK153" s="560"/>
      <c r="DL153" s="67"/>
      <c r="DM153" s="67">
        <f>SUM(DM154:DM156)</f>
        <v>1510000</v>
      </c>
      <c r="DN153" s="67"/>
      <c r="DO153" s="67"/>
      <c r="DP153" s="560"/>
      <c r="DQ153" s="67"/>
      <c r="DR153" s="67">
        <f>SUM(DR154:DR156)</f>
        <v>3778000</v>
      </c>
      <c r="DS153" s="67"/>
      <c r="DT153" s="67"/>
      <c r="DU153" s="560"/>
      <c r="DV153" s="67"/>
      <c r="DW153" s="67">
        <f>SUM(DW154:DW156)</f>
        <v>0</v>
      </c>
      <c r="DX153" s="67"/>
      <c r="DY153" s="67"/>
      <c r="DZ153" s="560"/>
      <c r="EA153" s="67"/>
      <c r="EB153" s="67">
        <f>SUM(EB154:EB156)</f>
        <v>0</v>
      </c>
      <c r="EC153" s="67"/>
      <c r="ED153" s="67"/>
      <c r="EE153" s="560"/>
      <c r="EF153" s="67"/>
      <c r="EG153" s="67">
        <f>SUM(EG154:EG156)</f>
        <v>0</v>
      </c>
      <c r="EH153" s="67"/>
      <c r="EI153" s="67"/>
      <c r="EJ153" s="560"/>
      <c r="EK153" s="67"/>
      <c r="EL153" s="67">
        <f>SUM(EL154:EL156)</f>
        <v>8517092</v>
      </c>
      <c r="EM153" s="67"/>
      <c r="EN153" s="67"/>
      <c r="EO153" s="455"/>
      <c r="ER153" s="472"/>
      <c r="ES153" s="472"/>
    </row>
    <row r="154" spans="1:149" ht="12.75" customHeight="1" x14ac:dyDescent="0.2">
      <c r="A154" s="442"/>
      <c r="B154" s="442"/>
      <c r="D154" s="455" t="s">
        <v>342</v>
      </c>
      <c r="F154" s="473"/>
      <c r="G154" s="558">
        <v>0</v>
      </c>
      <c r="H154" s="559"/>
      <c r="I154" s="67"/>
      <c r="J154" s="560"/>
      <c r="K154" s="561"/>
      <c r="L154" s="558">
        <f>5260000+82405</f>
        <v>5342405</v>
      </c>
      <c r="M154" s="559"/>
      <c r="N154" s="67"/>
      <c r="O154" s="560"/>
      <c r="P154" s="561"/>
      <c r="Q154" s="558">
        <f>6040000+364741</f>
        <v>6404741</v>
      </c>
      <c r="R154" s="559"/>
      <c r="S154" s="67"/>
      <c r="T154" s="560"/>
      <c r="U154" s="561"/>
      <c r="V154" s="558">
        <v>0</v>
      </c>
      <c r="W154" s="559"/>
      <c r="X154" s="67"/>
      <c r="Y154" s="560"/>
      <c r="Z154" s="561"/>
      <c r="AA154" s="558">
        <v>0</v>
      </c>
      <c r="AB154" s="559"/>
      <c r="AC154" s="67"/>
      <c r="AD154" s="560"/>
      <c r="AE154" s="561"/>
      <c r="AF154" s="558">
        <v>0</v>
      </c>
      <c r="AG154" s="559"/>
      <c r="AH154" s="67"/>
      <c r="AI154" s="560"/>
      <c r="AJ154" s="561"/>
      <c r="AK154" s="558">
        <v>0</v>
      </c>
      <c r="AL154" s="559"/>
      <c r="AM154" s="67"/>
      <c r="AN154" s="560"/>
      <c r="AO154" s="561"/>
      <c r="AP154" s="558">
        <v>0</v>
      </c>
      <c r="AQ154" s="559"/>
      <c r="AR154" s="67"/>
      <c r="AS154" s="560"/>
      <c r="AT154" s="561"/>
      <c r="AU154" s="558">
        <v>0</v>
      </c>
      <c r="AV154" s="559"/>
      <c r="AW154" s="67"/>
      <c r="AX154" s="560"/>
      <c r="AY154" s="561"/>
      <c r="AZ154" s="558">
        <v>0</v>
      </c>
      <c r="BA154" s="559"/>
      <c r="BB154" s="67"/>
      <c r="BC154" s="560"/>
      <c r="BD154" s="561"/>
      <c r="BE154" s="558">
        <v>0</v>
      </c>
      <c r="BF154" s="559"/>
      <c r="BG154" s="67"/>
      <c r="BH154" s="560"/>
      <c r="BI154" s="561"/>
      <c r="BJ154" s="558">
        <v>0</v>
      </c>
      <c r="BK154" s="559"/>
      <c r="BL154" s="67"/>
      <c r="BM154" s="560"/>
      <c r="BN154" s="561"/>
      <c r="BO154" s="558">
        <v>0</v>
      </c>
      <c r="BP154" s="559"/>
      <c r="BQ154" s="67"/>
      <c r="BR154" s="560"/>
      <c r="BS154" s="561"/>
      <c r="BT154" s="558">
        <f>SUM(L154:BO154)</f>
        <v>11747146</v>
      </c>
      <c r="BU154" s="559"/>
      <c r="BV154" s="67"/>
      <c r="BW154" s="560"/>
      <c r="BX154" s="561"/>
      <c r="BY154" s="558">
        <v>24337729</v>
      </c>
      <c r="BZ154" s="559"/>
      <c r="CA154" s="67"/>
      <c r="CB154" s="560"/>
      <c r="CC154" s="561"/>
      <c r="CD154" s="558">
        <f>2541000+10556</f>
        <v>2551556</v>
      </c>
      <c r="CE154" s="559"/>
      <c r="CF154" s="67"/>
      <c r="CG154" s="560"/>
      <c r="CH154" s="561"/>
      <c r="CI154" s="558">
        <f>5976092-6+24173</f>
        <v>6000259</v>
      </c>
      <c r="CJ154" s="559"/>
      <c r="CK154" s="67"/>
      <c r="CL154" s="560"/>
      <c r="CM154" s="561"/>
      <c r="CN154" s="558">
        <f>496000+3328</f>
        <v>499328</v>
      </c>
      <c r="CO154" s="559"/>
      <c r="CP154" s="67"/>
      <c r="CQ154" s="560"/>
      <c r="CR154" s="561"/>
      <c r="CS154" s="558">
        <f>1676387</f>
        <v>1676387</v>
      </c>
      <c r="CT154" s="559"/>
      <c r="CU154" s="67"/>
      <c r="CV154" s="560"/>
      <c r="CW154" s="561"/>
      <c r="CX154" s="558">
        <v>0</v>
      </c>
      <c r="CY154" s="559"/>
      <c r="CZ154" s="67"/>
      <c r="DA154" s="560"/>
      <c r="DB154" s="561"/>
      <c r="DC154" s="558">
        <f>3238000+44207</f>
        <v>3282207</v>
      </c>
      <c r="DD154" s="559"/>
      <c r="DE154" s="67"/>
      <c r="DF154" s="560"/>
      <c r="DG154" s="561"/>
      <c r="DH154" s="558">
        <f>4911000+54544</f>
        <v>4965544</v>
      </c>
      <c r="DI154" s="559"/>
      <c r="DJ154" s="67"/>
      <c r="DK154" s="560"/>
      <c r="DL154" s="561"/>
      <c r="DM154" s="558">
        <f>1510000+21022</f>
        <v>1531022</v>
      </c>
      <c r="DN154" s="559"/>
      <c r="DO154" s="67"/>
      <c r="DP154" s="560"/>
      <c r="DQ154" s="561"/>
      <c r="DR154" s="558">
        <f>3778000+53426</f>
        <v>3831426</v>
      </c>
      <c r="DS154" s="559"/>
      <c r="DT154" s="67"/>
      <c r="DU154" s="560"/>
      <c r="DV154" s="561"/>
      <c r="DW154" s="558">
        <v>0</v>
      </c>
      <c r="DX154" s="559"/>
      <c r="DY154" s="67"/>
      <c r="DZ154" s="560"/>
      <c r="EA154" s="561"/>
      <c r="EB154" s="558">
        <v>0</v>
      </c>
      <c r="EC154" s="559"/>
      <c r="ED154" s="67"/>
      <c r="EE154" s="560"/>
      <c r="EF154" s="561"/>
      <c r="EG154" s="558">
        <v>0</v>
      </c>
      <c r="EH154" s="559"/>
      <c r="EI154" s="67"/>
      <c r="EJ154" s="560"/>
      <c r="EK154" s="561"/>
      <c r="EL154" s="558">
        <f>SUM(CD154:CI154)</f>
        <v>8551815</v>
      </c>
      <c r="EM154" s="559"/>
      <c r="EN154" s="67"/>
      <c r="EO154" s="455"/>
      <c r="ER154" s="472"/>
      <c r="ES154" s="472"/>
    </row>
    <row r="155" spans="1:149" ht="12.75" customHeight="1" x14ac:dyDescent="0.2">
      <c r="A155" s="442"/>
      <c r="B155" s="442"/>
      <c r="D155" s="455" t="s">
        <v>344</v>
      </c>
      <c r="F155" s="465"/>
      <c r="G155" s="67">
        <v>0</v>
      </c>
      <c r="H155" s="66"/>
      <c r="I155" s="67"/>
      <c r="J155" s="560"/>
      <c r="K155" s="560"/>
      <c r="L155" s="67">
        <v>0</v>
      </c>
      <c r="M155" s="66"/>
      <c r="N155" s="67"/>
      <c r="O155" s="560"/>
      <c r="P155" s="560"/>
      <c r="Q155" s="67">
        <v>0</v>
      </c>
      <c r="R155" s="66"/>
      <c r="S155" s="67"/>
      <c r="T155" s="560"/>
      <c r="U155" s="560"/>
      <c r="V155" s="67">
        <v>0</v>
      </c>
      <c r="W155" s="66"/>
      <c r="X155" s="67"/>
      <c r="Y155" s="560"/>
      <c r="Z155" s="560"/>
      <c r="AA155" s="67">
        <v>0</v>
      </c>
      <c r="AB155" s="66"/>
      <c r="AC155" s="67"/>
      <c r="AD155" s="560"/>
      <c r="AE155" s="560"/>
      <c r="AF155" s="67">
        <v>0</v>
      </c>
      <c r="AG155" s="66"/>
      <c r="AH155" s="67"/>
      <c r="AI155" s="560"/>
      <c r="AJ155" s="560"/>
      <c r="AK155" s="67">
        <v>0</v>
      </c>
      <c r="AL155" s="66"/>
      <c r="AM155" s="67"/>
      <c r="AN155" s="560"/>
      <c r="AO155" s="560"/>
      <c r="AP155" s="67">
        <v>0</v>
      </c>
      <c r="AQ155" s="66"/>
      <c r="AR155" s="67"/>
      <c r="AS155" s="560"/>
      <c r="AT155" s="560"/>
      <c r="AU155" s="67">
        <v>0</v>
      </c>
      <c r="AV155" s="66"/>
      <c r="AW155" s="67"/>
      <c r="AX155" s="560"/>
      <c r="AY155" s="560"/>
      <c r="AZ155" s="67">
        <v>0</v>
      </c>
      <c r="BA155" s="66"/>
      <c r="BB155" s="67"/>
      <c r="BC155" s="560"/>
      <c r="BD155" s="560"/>
      <c r="BE155" s="67">
        <v>0</v>
      </c>
      <c r="BF155" s="66"/>
      <c r="BG155" s="67"/>
      <c r="BH155" s="560"/>
      <c r="BI155" s="560"/>
      <c r="BJ155" s="67">
        <v>0</v>
      </c>
      <c r="BK155" s="66"/>
      <c r="BL155" s="67"/>
      <c r="BM155" s="560"/>
      <c r="BN155" s="560"/>
      <c r="BO155" s="67">
        <v>0</v>
      </c>
      <c r="BP155" s="66"/>
      <c r="BQ155" s="67"/>
      <c r="BR155" s="560"/>
      <c r="BS155" s="560"/>
      <c r="BT155" s="67">
        <f>SUM(L155:BO155)</f>
        <v>0</v>
      </c>
      <c r="BU155" s="66"/>
      <c r="BV155" s="67"/>
      <c r="BW155" s="560"/>
      <c r="BX155" s="560"/>
      <c r="BY155" s="67">
        <v>6</v>
      </c>
      <c r="BZ155" s="66"/>
      <c r="CA155" s="67"/>
      <c r="CB155" s="560"/>
      <c r="CC155" s="560"/>
      <c r="CD155" s="67">
        <v>0</v>
      </c>
      <c r="CE155" s="66"/>
      <c r="CF155" s="67"/>
      <c r="CG155" s="560"/>
      <c r="CH155" s="560"/>
      <c r="CI155" s="67">
        <v>6</v>
      </c>
      <c r="CJ155" s="66"/>
      <c r="CK155" s="67"/>
      <c r="CL155" s="560"/>
      <c r="CM155" s="560"/>
      <c r="CN155" s="67">
        <v>0</v>
      </c>
      <c r="CO155" s="66"/>
      <c r="CP155" s="67"/>
      <c r="CQ155" s="560"/>
      <c r="CR155" s="560"/>
      <c r="CS155" s="67">
        <v>0</v>
      </c>
      <c r="CT155" s="66"/>
      <c r="CU155" s="67"/>
      <c r="CV155" s="560"/>
      <c r="CW155" s="560"/>
      <c r="CX155" s="67">
        <v>0</v>
      </c>
      <c r="CY155" s="66"/>
      <c r="CZ155" s="67"/>
      <c r="DA155" s="560"/>
      <c r="DB155" s="560"/>
      <c r="DC155" s="67">
        <v>0</v>
      </c>
      <c r="DD155" s="66"/>
      <c r="DE155" s="67"/>
      <c r="DF155" s="560"/>
      <c r="DG155" s="560"/>
      <c r="DH155" s="67">
        <v>0</v>
      </c>
      <c r="DI155" s="66"/>
      <c r="DJ155" s="67"/>
      <c r="DK155" s="560"/>
      <c r="DL155" s="560"/>
      <c r="DM155" s="67">
        <v>0</v>
      </c>
      <c r="DN155" s="66"/>
      <c r="DO155" s="67"/>
      <c r="DP155" s="560"/>
      <c r="DQ155" s="560"/>
      <c r="DR155" s="67">
        <v>0</v>
      </c>
      <c r="DS155" s="66"/>
      <c r="DT155" s="67"/>
      <c r="DU155" s="560"/>
      <c r="DV155" s="560"/>
      <c r="DW155" s="67">
        <v>0</v>
      </c>
      <c r="DX155" s="66"/>
      <c r="DY155" s="67"/>
      <c r="DZ155" s="560"/>
      <c r="EA155" s="560"/>
      <c r="EB155" s="67">
        <v>0</v>
      </c>
      <c r="EC155" s="66"/>
      <c r="ED155" s="67"/>
      <c r="EE155" s="560"/>
      <c r="EF155" s="560"/>
      <c r="EG155" s="67">
        <v>0</v>
      </c>
      <c r="EH155" s="66"/>
      <c r="EI155" s="67"/>
      <c r="EJ155" s="560"/>
      <c r="EK155" s="560"/>
      <c r="EL155" s="67">
        <f>SUM(CD155:CI155)</f>
        <v>6</v>
      </c>
      <c r="EM155" s="66"/>
      <c r="EN155" s="67"/>
      <c r="EO155" s="455"/>
      <c r="ER155" s="472"/>
      <c r="ES155" s="472"/>
    </row>
    <row r="156" spans="1:149" ht="12.75" customHeight="1" x14ac:dyDescent="0.2">
      <c r="A156" s="442"/>
      <c r="B156" s="442"/>
      <c r="D156" s="455" t="s">
        <v>345</v>
      </c>
      <c r="F156" s="488"/>
      <c r="G156" s="113">
        <v>0</v>
      </c>
      <c r="H156" s="112"/>
      <c r="I156" s="67"/>
      <c r="J156" s="560"/>
      <c r="K156" s="569"/>
      <c r="L156" s="113">
        <v>-82405</v>
      </c>
      <c r="M156" s="112"/>
      <c r="N156" s="67"/>
      <c r="O156" s="560"/>
      <c r="P156" s="569"/>
      <c r="Q156" s="113">
        <v>-364741</v>
      </c>
      <c r="R156" s="112"/>
      <c r="S156" s="67"/>
      <c r="T156" s="560"/>
      <c r="U156" s="569"/>
      <c r="V156" s="113">
        <v>0</v>
      </c>
      <c r="W156" s="112"/>
      <c r="X156" s="67"/>
      <c r="Y156" s="560"/>
      <c r="Z156" s="569"/>
      <c r="AA156" s="113">
        <v>0</v>
      </c>
      <c r="AB156" s="112"/>
      <c r="AC156" s="67"/>
      <c r="AD156" s="560"/>
      <c r="AE156" s="569"/>
      <c r="AF156" s="113">
        <v>0</v>
      </c>
      <c r="AG156" s="112"/>
      <c r="AH156" s="67"/>
      <c r="AI156" s="560"/>
      <c r="AJ156" s="569"/>
      <c r="AK156" s="113">
        <v>0</v>
      </c>
      <c r="AL156" s="112"/>
      <c r="AM156" s="67"/>
      <c r="AN156" s="560"/>
      <c r="AO156" s="569"/>
      <c r="AP156" s="113">
        <v>0</v>
      </c>
      <c r="AQ156" s="112"/>
      <c r="AR156" s="67"/>
      <c r="AS156" s="560"/>
      <c r="AT156" s="569"/>
      <c r="AU156" s="113">
        <v>0</v>
      </c>
      <c r="AV156" s="112"/>
      <c r="AW156" s="67"/>
      <c r="AX156" s="560"/>
      <c r="AY156" s="569"/>
      <c r="AZ156" s="113">
        <v>0</v>
      </c>
      <c r="BA156" s="112"/>
      <c r="BB156" s="67"/>
      <c r="BC156" s="560"/>
      <c r="BD156" s="569"/>
      <c r="BE156" s="113">
        <v>0</v>
      </c>
      <c r="BF156" s="112"/>
      <c r="BG156" s="67"/>
      <c r="BH156" s="560"/>
      <c r="BI156" s="569"/>
      <c r="BJ156" s="113">
        <v>0</v>
      </c>
      <c r="BK156" s="112"/>
      <c r="BL156" s="67"/>
      <c r="BM156" s="560"/>
      <c r="BN156" s="569"/>
      <c r="BO156" s="113">
        <v>0</v>
      </c>
      <c r="BP156" s="112"/>
      <c r="BQ156" s="67"/>
      <c r="BR156" s="560"/>
      <c r="BS156" s="569"/>
      <c r="BT156" s="113">
        <f>SUM(L156:BO156)</f>
        <v>-447146</v>
      </c>
      <c r="BU156" s="112"/>
      <c r="BV156" s="67"/>
      <c r="BW156" s="560"/>
      <c r="BX156" s="569"/>
      <c r="BY156" s="113">
        <v>-234643</v>
      </c>
      <c r="BZ156" s="112"/>
      <c r="CA156" s="67"/>
      <c r="CB156" s="560"/>
      <c r="CC156" s="569"/>
      <c r="CD156" s="113">
        <v>-10556</v>
      </c>
      <c r="CE156" s="112"/>
      <c r="CF156" s="67"/>
      <c r="CG156" s="560"/>
      <c r="CH156" s="569"/>
      <c r="CI156" s="113">
        <v>-24173</v>
      </c>
      <c r="CJ156" s="112"/>
      <c r="CK156" s="67"/>
      <c r="CL156" s="560"/>
      <c r="CM156" s="569"/>
      <c r="CN156" s="113">
        <v>-3328</v>
      </c>
      <c r="CO156" s="112"/>
      <c r="CP156" s="67"/>
      <c r="CQ156" s="560"/>
      <c r="CR156" s="569"/>
      <c r="CS156" s="113">
        <v>-23387</v>
      </c>
      <c r="CT156" s="112"/>
      <c r="CU156" s="67"/>
      <c r="CV156" s="560"/>
      <c r="CW156" s="569"/>
      <c r="CX156" s="113">
        <v>0</v>
      </c>
      <c r="CY156" s="112"/>
      <c r="CZ156" s="67"/>
      <c r="DA156" s="560"/>
      <c r="DB156" s="569"/>
      <c r="DC156" s="113">
        <v>-44207</v>
      </c>
      <c r="DD156" s="112"/>
      <c r="DE156" s="67"/>
      <c r="DF156" s="560"/>
      <c r="DG156" s="569"/>
      <c r="DH156" s="113">
        <v>-54544</v>
      </c>
      <c r="DI156" s="112"/>
      <c r="DJ156" s="67"/>
      <c r="DK156" s="560"/>
      <c r="DL156" s="569"/>
      <c r="DM156" s="113">
        <v>-21022</v>
      </c>
      <c r="DN156" s="112"/>
      <c r="DO156" s="67"/>
      <c r="DP156" s="560"/>
      <c r="DQ156" s="569"/>
      <c r="DR156" s="113">
        <v>-53426</v>
      </c>
      <c r="DS156" s="112"/>
      <c r="DT156" s="67"/>
      <c r="DU156" s="560"/>
      <c r="DV156" s="569"/>
      <c r="DW156" s="113">
        <v>0</v>
      </c>
      <c r="DX156" s="112"/>
      <c r="DY156" s="67"/>
      <c r="DZ156" s="560"/>
      <c r="EA156" s="569"/>
      <c r="EB156" s="113">
        <v>0</v>
      </c>
      <c r="EC156" s="112"/>
      <c r="ED156" s="67"/>
      <c r="EE156" s="560"/>
      <c r="EF156" s="569"/>
      <c r="EG156" s="113">
        <v>0</v>
      </c>
      <c r="EH156" s="112"/>
      <c r="EI156" s="67"/>
      <c r="EJ156" s="560"/>
      <c r="EK156" s="569"/>
      <c r="EL156" s="113">
        <f>SUM(CD156:CI156)</f>
        <v>-34729</v>
      </c>
      <c r="EM156" s="112"/>
      <c r="EN156" s="67"/>
      <c r="EO156" s="455"/>
      <c r="ER156" s="472"/>
      <c r="ES156" s="472"/>
    </row>
    <row r="157" spans="1:149" ht="12.75" customHeight="1" x14ac:dyDescent="0.2">
      <c r="A157" s="442"/>
      <c r="B157" s="442"/>
      <c r="D157" s="455"/>
      <c r="F157" s="442"/>
      <c r="G157" s="67"/>
      <c r="H157" s="67"/>
      <c r="I157" s="67"/>
      <c r="J157" s="560"/>
      <c r="K157" s="67"/>
      <c r="L157" s="67"/>
      <c r="M157" s="67"/>
      <c r="N157" s="67"/>
      <c r="O157" s="560"/>
      <c r="P157" s="67"/>
      <c r="Q157" s="67"/>
      <c r="R157" s="67"/>
      <c r="S157" s="67"/>
      <c r="T157" s="560"/>
      <c r="U157" s="67"/>
      <c r="V157" s="67"/>
      <c r="W157" s="67"/>
      <c r="X157" s="67"/>
      <c r="Y157" s="560"/>
      <c r="Z157" s="67"/>
      <c r="AA157" s="67"/>
      <c r="AB157" s="67"/>
      <c r="AC157" s="67"/>
      <c r="AD157" s="560"/>
      <c r="AE157" s="67"/>
      <c r="AF157" s="67"/>
      <c r="AG157" s="67"/>
      <c r="AH157" s="67"/>
      <c r="AI157" s="560"/>
      <c r="AJ157" s="67"/>
      <c r="AK157" s="67"/>
      <c r="AL157" s="67"/>
      <c r="AM157" s="67"/>
      <c r="AN157" s="560"/>
      <c r="AO157" s="67"/>
      <c r="AP157" s="67"/>
      <c r="AQ157" s="67"/>
      <c r="AR157" s="67"/>
      <c r="AS157" s="560"/>
      <c r="AT157" s="67"/>
      <c r="AU157" s="67"/>
      <c r="AV157" s="67"/>
      <c r="AW157" s="67"/>
      <c r="AX157" s="560"/>
      <c r="AY157" s="67"/>
      <c r="AZ157" s="67"/>
      <c r="BA157" s="67"/>
      <c r="BB157" s="67"/>
      <c r="BC157" s="560"/>
      <c r="BD157" s="67"/>
      <c r="BE157" s="67"/>
      <c r="BF157" s="67"/>
      <c r="BG157" s="67"/>
      <c r="BH157" s="560"/>
      <c r="BI157" s="67"/>
      <c r="BJ157" s="67"/>
      <c r="BK157" s="67"/>
      <c r="BL157" s="67"/>
      <c r="BM157" s="560"/>
      <c r="BN157" s="67"/>
      <c r="BO157" s="67"/>
      <c r="BP157" s="67"/>
      <c r="BQ157" s="67"/>
      <c r="BR157" s="560"/>
      <c r="BS157" s="67"/>
      <c r="BT157" s="67"/>
      <c r="BU157" s="67"/>
      <c r="BV157" s="67"/>
      <c r="BW157" s="560"/>
      <c r="BX157" s="67"/>
      <c r="BY157" s="67"/>
      <c r="BZ157" s="67"/>
      <c r="CA157" s="67"/>
      <c r="CB157" s="560"/>
      <c r="CC157" s="67"/>
      <c r="CD157" s="67"/>
      <c r="CE157" s="67"/>
      <c r="CF157" s="67"/>
      <c r="CG157" s="560"/>
      <c r="CH157" s="67"/>
      <c r="CI157" s="67"/>
      <c r="CJ157" s="67"/>
      <c r="CK157" s="67"/>
      <c r="CL157" s="560"/>
      <c r="CM157" s="67"/>
      <c r="CN157" s="67"/>
      <c r="CO157" s="67"/>
      <c r="CP157" s="67"/>
      <c r="CQ157" s="560"/>
      <c r="CR157" s="67"/>
      <c r="CS157" s="67"/>
      <c r="CT157" s="67"/>
      <c r="CU157" s="67"/>
      <c r="CV157" s="560"/>
      <c r="CW157" s="67"/>
      <c r="CX157" s="67"/>
      <c r="CY157" s="67"/>
      <c r="CZ157" s="67"/>
      <c r="DA157" s="560"/>
      <c r="DB157" s="67"/>
      <c r="DC157" s="67"/>
      <c r="DD157" s="67"/>
      <c r="DE157" s="67"/>
      <c r="DF157" s="560"/>
      <c r="DG157" s="67"/>
      <c r="DH157" s="67"/>
      <c r="DI157" s="67"/>
      <c r="DJ157" s="67"/>
      <c r="DK157" s="560"/>
      <c r="DL157" s="67"/>
      <c r="DM157" s="67"/>
      <c r="DN157" s="67"/>
      <c r="DO157" s="67"/>
      <c r="DP157" s="560"/>
      <c r="DQ157" s="67"/>
      <c r="DR157" s="67"/>
      <c r="DS157" s="67"/>
      <c r="DT157" s="67"/>
      <c r="DU157" s="560"/>
      <c r="DV157" s="67"/>
      <c r="DW157" s="67"/>
      <c r="DX157" s="67"/>
      <c r="DY157" s="67"/>
      <c r="DZ157" s="560"/>
      <c r="EA157" s="67"/>
      <c r="EB157" s="67"/>
      <c r="EC157" s="67"/>
      <c r="ED157" s="67"/>
      <c r="EE157" s="560"/>
      <c r="EF157" s="67"/>
      <c r="EG157" s="67"/>
      <c r="EH157" s="67"/>
      <c r="EI157" s="67"/>
      <c r="EJ157" s="560"/>
      <c r="EK157" s="67"/>
      <c r="EL157" s="67"/>
      <c r="EM157" s="67"/>
      <c r="EN157" s="67"/>
      <c r="EO157" s="455"/>
      <c r="ER157" s="472"/>
      <c r="ES157" s="472"/>
    </row>
    <row r="158" spans="1:149" ht="12.75" customHeight="1" x14ac:dyDescent="0.2">
      <c r="A158" s="442"/>
      <c r="B158" s="442"/>
      <c r="D158" s="455" t="s">
        <v>371</v>
      </c>
      <c r="F158" s="442"/>
      <c r="G158" s="67">
        <f>SUM(G159:G161)</f>
        <v>0</v>
      </c>
      <c r="H158" s="67"/>
      <c r="I158" s="67"/>
      <c r="J158" s="560"/>
      <c r="K158" s="67"/>
      <c r="L158" s="67">
        <f>SUM(L159:L161)</f>
        <v>6792000</v>
      </c>
      <c r="M158" s="67"/>
      <c r="N158" s="67"/>
      <c r="O158" s="560"/>
      <c r="P158" s="67"/>
      <c r="Q158" s="67">
        <f>SUM(Q159:Q161)</f>
        <v>11547000</v>
      </c>
      <c r="R158" s="67"/>
      <c r="S158" s="67"/>
      <c r="T158" s="560"/>
      <c r="U158" s="67"/>
      <c r="V158" s="67">
        <f>SUM(V159:V161)</f>
        <v>0</v>
      </c>
      <c r="W158" s="67"/>
      <c r="X158" s="67"/>
      <c r="Y158" s="560"/>
      <c r="Z158" s="67"/>
      <c r="AA158" s="67">
        <f>SUM(AA159:AA161)</f>
        <v>0</v>
      </c>
      <c r="AB158" s="67"/>
      <c r="AC158" s="67"/>
      <c r="AD158" s="560"/>
      <c r="AE158" s="67"/>
      <c r="AF158" s="67">
        <f>SUM(AF159:AF161)</f>
        <v>0</v>
      </c>
      <c r="AG158" s="67"/>
      <c r="AH158" s="67"/>
      <c r="AI158" s="560"/>
      <c r="AJ158" s="67"/>
      <c r="AK158" s="67">
        <f>SUM(AK159:AK161)</f>
        <v>0</v>
      </c>
      <c r="AL158" s="67"/>
      <c r="AM158" s="67"/>
      <c r="AN158" s="560"/>
      <c r="AO158" s="67"/>
      <c r="AP158" s="67">
        <f>SUM(AP159:AP161)</f>
        <v>0</v>
      </c>
      <c r="AQ158" s="67"/>
      <c r="AR158" s="67"/>
      <c r="AS158" s="560"/>
      <c r="AT158" s="67"/>
      <c r="AU158" s="67">
        <f>SUM(AU159:AU161)</f>
        <v>0</v>
      </c>
      <c r="AV158" s="67"/>
      <c r="AW158" s="67"/>
      <c r="AX158" s="560"/>
      <c r="AY158" s="67"/>
      <c r="AZ158" s="67">
        <f>SUM(AZ159:AZ161)</f>
        <v>0</v>
      </c>
      <c r="BA158" s="67"/>
      <c r="BB158" s="67"/>
      <c r="BC158" s="560"/>
      <c r="BD158" s="67"/>
      <c r="BE158" s="67">
        <f>SUM(BE159:BE161)</f>
        <v>0</v>
      </c>
      <c r="BF158" s="67"/>
      <c r="BG158" s="67"/>
      <c r="BH158" s="560"/>
      <c r="BI158" s="67"/>
      <c r="BJ158" s="67">
        <f>SUM(BJ159:BJ161)</f>
        <v>0</v>
      </c>
      <c r="BK158" s="67"/>
      <c r="BL158" s="67"/>
      <c r="BM158" s="560"/>
      <c r="BN158" s="67"/>
      <c r="BO158" s="67">
        <f>SUM(BO159:BO161)</f>
        <v>0</v>
      </c>
      <c r="BP158" s="67"/>
      <c r="BQ158" s="67"/>
      <c r="BR158" s="560"/>
      <c r="BS158" s="67"/>
      <c r="BT158" s="67">
        <f>SUM(BT159:BT161)</f>
        <v>18339000</v>
      </c>
      <c r="BU158" s="67"/>
      <c r="BV158" s="67"/>
      <c r="BW158" s="560"/>
      <c r="BX158" s="67"/>
      <c r="BY158" s="67">
        <f>SUM(BY159:BY161)</f>
        <v>56753812</v>
      </c>
      <c r="BZ158" s="67"/>
      <c r="CA158" s="67"/>
      <c r="CB158" s="560"/>
      <c r="CC158" s="67"/>
      <c r="CD158" s="67">
        <f>SUM(CD159:CD161)</f>
        <v>3309000</v>
      </c>
      <c r="CE158" s="67"/>
      <c r="CF158" s="67"/>
      <c r="CG158" s="560"/>
      <c r="CH158" s="67"/>
      <c r="CI158" s="67">
        <f>SUM(CI159:CI161)</f>
        <v>4309812</v>
      </c>
      <c r="CJ158" s="67"/>
      <c r="CK158" s="67"/>
      <c r="CL158" s="560"/>
      <c r="CM158" s="67"/>
      <c r="CN158" s="67">
        <f>SUM(CN159:CN161)</f>
        <v>5250000</v>
      </c>
      <c r="CO158" s="67"/>
      <c r="CP158" s="67"/>
      <c r="CQ158" s="560"/>
      <c r="CR158" s="67"/>
      <c r="CS158" s="67">
        <f>SUM(CS159:CS161)</f>
        <v>6123000</v>
      </c>
      <c r="CT158" s="67"/>
      <c r="CU158" s="67"/>
      <c r="CV158" s="560"/>
      <c r="CW158" s="67"/>
      <c r="CX158" s="67">
        <f>SUM(CX159:CX161)</f>
        <v>6039000</v>
      </c>
      <c r="CY158" s="67"/>
      <c r="CZ158" s="67"/>
      <c r="DA158" s="560"/>
      <c r="DB158" s="67"/>
      <c r="DC158" s="67">
        <f>SUM(DC159:DC161)</f>
        <v>2269000</v>
      </c>
      <c r="DD158" s="67"/>
      <c r="DE158" s="67"/>
      <c r="DF158" s="560"/>
      <c r="DG158" s="67"/>
      <c r="DH158" s="67">
        <f>SUM(DH159:DH161)</f>
        <v>2186000</v>
      </c>
      <c r="DI158" s="67"/>
      <c r="DJ158" s="67"/>
      <c r="DK158" s="560"/>
      <c r="DL158" s="67"/>
      <c r="DM158" s="67">
        <f>SUM(DM159:DM161)</f>
        <v>6046000</v>
      </c>
      <c r="DN158" s="67"/>
      <c r="DO158" s="67"/>
      <c r="DP158" s="560"/>
      <c r="DQ158" s="67"/>
      <c r="DR158" s="67">
        <f>SUM(DR159:DR161)</f>
        <v>6796000</v>
      </c>
      <c r="DS158" s="67"/>
      <c r="DT158" s="67"/>
      <c r="DU158" s="560"/>
      <c r="DV158" s="67"/>
      <c r="DW158" s="67">
        <f>SUM(DW159:DW161)</f>
        <v>1510000</v>
      </c>
      <c r="DX158" s="67"/>
      <c r="DY158" s="67"/>
      <c r="DZ158" s="560"/>
      <c r="EA158" s="67"/>
      <c r="EB158" s="67">
        <f>SUM(EB159:EB161)</f>
        <v>6046000</v>
      </c>
      <c r="EC158" s="67"/>
      <c r="ED158" s="67"/>
      <c r="EE158" s="560"/>
      <c r="EF158" s="67"/>
      <c r="EG158" s="67">
        <f>SUM(EG159:EG161)</f>
        <v>6870000</v>
      </c>
      <c r="EH158" s="67"/>
      <c r="EI158" s="67"/>
      <c r="EJ158" s="560"/>
      <c r="EK158" s="67"/>
      <c r="EL158" s="67">
        <f>SUM(EL159:EL161)</f>
        <v>7618812</v>
      </c>
      <c r="EM158" s="67"/>
      <c r="EN158" s="67"/>
      <c r="EO158" s="455"/>
      <c r="ER158" s="472"/>
      <c r="ES158" s="472"/>
    </row>
    <row r="159" spans="1:149" ht="12.75" customHeight="1" x14ac:dyDescent="0.2">
      <c r="A159" s="442"/>
      <c r="B159" s="442"/>
      <c r="D159" s="455" t="s">
        <v>342</v>
      </c>
      <c r="F159" s="473"/>
      <c r="G159" s="558">
        <v>0</v>
      </c>
      <c r="H159" s="559"/>
      <c r="I159" s="67"/>
      <c r="J159" s="560"/>
      <c r="K159" s="561"/>
      <c r="L159" s="558">
        <f>6792000-1194431</f>
        <v>5597569</v>
      </c>
      <c r="M159" s="559"/>
      <c r="N159" s="67"/>
      <c r="O159" s="560"/>
      <c r="P159" s="561"/>
      <c r="Q159" s="558">
        <f>11547000-1251316</f>
        <v>10295684</v>
      </c>
      <c r="R159" s="559"/>
      <c r="S159" s="67"/>
      <c r="T159" s="560"/>
      <c r="U159" s="561"/>
      <c r="V159" s="558">
        <v>0</v>
      </c>
      <c r="W159" s="559"/>
      <c r="X159" s="67"/>
      <c r="Y159" s="560"/>
      <c r="Z159" s="561"/>
      <c r="AA159" s="558">
        <v>0</v>
      </c>
      <c r="AB159" s="559"/>
      <c r="AC159" s="67"/>
      <c r="AD159" s="560"/>
      <c r="AE159" s="561"/>
      <c r="AF159" s="558">
        <v>0</v>
      </c>
      <c r="AG159" s="559"/>
      <c r="AH159" s="67"/>
      <c r="AI159" s="560"/>
      <c r="AJ159" s="561"/>
      <c r="AK159" s="558">
        <v>0</v>
      </c>
      <c r="AL159" s="559"/>
      <c r="AM159" s="67"/>
      <c r="AN159" s="560"/>
      <c r="AO159" s="561"/>
      <c r="AP159" s="558">
        <v>0</v>
      </c>
      <c r="AQ159" s="559"/>
      <c r="AR159" s="67"/>
      <c r="AS159" s="560"/>
      <c r="AT159" s="561"/>
      <c r="AU159" s="558">
        <v>0</v>
      </c>
      <c r="AV159" s="559"/>
      <c r="AW159" s="67"/>
      <c r="AX159" s="560"/>
      <c r="AY159" s="561"/>
      <c r="AZ159" s="558">
        <v>0</v>
      </c>
      <c r="BA159" s="559"/>
      <c r="BB159" s="67"/>
      <c r="BC159" s="560"/>
      <c r="BD159" s="561"/>
      <c r="BE159" s="558">
        <v>0</v>
      </c>
      <c r="BF159" s="559"/>
      <c r="BG159" s="67"/>
      <c r="BH159" s="560"/>
      <c r="BI159" s="561"/>
      <c r="BJ159" s="558">
        <v>0</v>
      </c>
      <c r="BK159" s="559"/>
      <c r="BL159" s="67"/>
      <c r="BM159" s="560"/>
      <c r="BN159" s="561"/>
      <c r="BO159" s="558">
        <v>0</v>
      </c>
      <c r="BP159" s="559"/>
      <c r="BQ159" s="67"/>
      <c r="BR159" s="560"/>
      <c r="BS159" s="561"/>
      <c r="BT159" s="558">
        <f>SUM(L159:BO159)</f>
        <v>15893253</v>
      </c>
      <c r="BU159" s="559"/>
      <c r="BV159" s="67"/>
      <c r="BW159" s="560"/>
      <c r="BX159" s="561"/>
      <c r="BY159" s="558">
        <v>52436479</v>
      </c>
      <c r="BZ159" s="559"/>
      <c r="CA159" s="67"/>
      <c r="CB159" s="560"/>
      <c r="CC159" s="561"/>
      <c r="CD159" s="558">
        <f>3309000-234758</f>
        <v>3074242</v>
      </c>
      <c r="CE159" s="559"/>
      <c r="CF159" s="67"/>
      <c r="CG159" s="560"/>
      <c r="CH159" s="561"/>
      <c r="CI159" s="558">
        <f>4309812-322734</f>
        <v>3987078</v>
      </c>
      <c r="CJ159" s="559"/>
      <c r="CK159" s="67"/>
      <c r="CL159" s="560"/>
      <c r="CM159" s="561"/>
      <c r="CN159" s="558">
        <f>5250000-363141</f>
        <v>4886859</v>
      </c>
      <c r="CO159" s="559"/>
      <c r="CP159" s="67"/>
      <c r="CQ159" s="560"/>
      <c r="CR159" s="561"/>
      <c r="CS159" s="558">
        <f>6123000-324811</f>
        <v>5798189</v>
      </c>
      <c r="CT159" s="559"/>
      <c r="CU159" s="67"/>
      <c r="CV159" s="560"/>
      <c r="CW159" s="561"/>
      <c r="CX159" s="558">
        <f>6039000-431027</f>
        <v>5607973</v>
      </c>
      <c r="CY159" s="559"/>
      <c r="CZ159" s="67"/>
      <c r="DA159" s="560"/>
      <c r="DB159" s="561"/>
      <c r="DC159" s="558">
        <f>2269000-150922</f>
        <v>2118078</v>
      </c>
      <c r="DD159" s="559"/>
      <c r="DE159" s="67"/>
      <c r="DF159" s="560"/>
      <c r="DG159" s="561"/>
      <c r="DH159" s="558">
        <f>2186000-137762</f>
        <v>2048238</v>
      </c>
      <c r="DI159" s="559"/>
      <c r="DJ159" s="67"/>
      <c r="DK159" s="560"/>
      <c r="DL159" s="561"/>
      <c r="DM159" s="558">
        <f>6046000-410944</f>
        <v>5635056</v>
      </c>
      <c r="DN159" s="559"/>
      <c r="DO159" s="67"/>
      <c r="DP159" s="560"/>
      <c r="DQ159" s="561"/>
      <c r="DR159" s="558">
        <f>6796000-516754</f>
        <v>6279246</v>
      </c>
      <c r="DS159" s="559"/>
      <c r="DT159" s="67"/>
      <c r="DU159" s="560"/>
      <c r="DV159" s="561"/>
      <c r="DW159" s="558">
        <f>1510000-105700</f>
        <v>1404300</v>
      </c>
      <c r="DX159" s="559"/>
      <c r="DY159" s="67"/>
      <c r="DZ159" s="560"/>
      <c r="EA159" s="561"/>
      <c r="EB159" s="558">
        <f>6046000-348463</f>
        <v>5697537</v>
      </c>
      <c r="EC159" s="559"/>
      <c r="ED159" s="67"/>
      <c r="EE159" s="560"/>
      <c r="EF159" s="561"/>
      <c r="EG159" s="558">
        <f>6870000-970317</f>
        <v>5899683</v>
      </c>
      <c r="EH159" s="559"/>
      <c r="EI159" s="67"/>
      <c r="EJ159" s="560"/>
      <c r="EK159" s="561"/>
      <c r="EL159" s="558">
        <f>SUM(CD159:CI159)</f>
        <v>7061320</v>
      </c>
      <c r="EM159" s="559"/>
      <c r="EN159" s="67"/>
      <c r="EO159" s="455"/>
      <c r="ER159" s="472"/>
      <c r="ES159" s="472"/>
    </row>
    <row r="160" spans="1:149" ht="12.75" customHeight="1" x14ac:dyDescent="0.2">
      <c r="A160" s="442"/>
      <c r="B160" s="442"/>
      <c r="D160" s="455" t="s">
        <v>344</v>
      </c>
      <c r="F160" s="465"/>
      <c r="G160" s="67">
        <v>0</v>
      </c>
      <c r="H160" s="66"/>
      <c r="I160" s="67"/>
      <c r="J160" s="560"/>
      <c r="K160" s="560"/>
      <c r="L160" s="67">
        <v>1194431</v>
      </c>
      <c r="M160" s="66"/>
      <c r="N160" s="67"/>
      <c r="O160" s="560"/>
      <c r="P160" s="560"/>
      <c r="Q160" s="67">
        <v>1251316</v>
      </c>
      <c r="R160" s="66"/>
      <c r="S160" s="67"/>
      <c r="T160" s="560"/>
      <c r="U160" s="560"/>
      <c r="V160" s="67">
        <v>0</v>
      </c>
      <c r="W160" s="66"/>
      <c r="X160" s="67"/>
      <c r="Y160" s="560"/>
      <c r="Z160" s="560"/>
      <c r="AA160" s="67">
        <v>0</v>
      </c>
      <c r="AB160" s="66"/>
      <c r="AC160" s="67"/>
      <c r="AD160" s="560"/>
      <c r="AE160" s="560"/>
      <c r="AF160" s="67">
        <v>0</v>
      </c>
      <c r="AG160" s="66"/>
      <c r="AH160" s="67"/>
      <c r="AI160" s="560"/>
      <c r="AJ160" s="560"/>
      <c r="AK160" s="67">
        <v>0</v>
      </c>
      <c r="AL160" s="66"/>
      <c r="AM160" s="67"/>
      <c r="AN160" s="560"/>
      <c r="AO160" s="560"/>
      <c r="AP160" s="67">
        <v>0</v>
      </c>
      <c r="AQ160" s="66"/>
      <c r="AR160" s="67"/>
      <c r="AS160" s="560"/>
      <c r="AT160" s="560"/>
      <c r="AU160" s="67">
        <v>0</v>
      </c>
      <c r="AV160" s="66"/>
      <c r="AW160" s="67"/>
      <c r="AX160" s="560"/>
      <c r="AY160" s="560"/>
      <c r="AZ160" s="67">
        <v>0</v>
      </c>
      <c r="BA160" s="66"/>
      <c r="BB160" s="67"/>
      <c r="BC160" s="560"/>
      <c r="BD160" s="560"/>
      <c r="BE160" s="67">
        <v>0</v>
      </c>
      <c r="BF160" s="66"/>
      <c r="BG160" s="67"/>
      <c r="BH160" s="560"/>
      <c r="BI160" s="560"/>
      <c r="BJ160" s="67">
        <v>0</v>
      </c>
      <c r="BK160" s="66"/>
      <c r="BL160" s="67"/>
      <c r="BM160" s="560"/>
      <c r="BN160" s="560"/>
      <c r="BO160" s="67">
        <v>0</v>
      </c>
      <c r="BP160" s="66"/>
      <c r="BQ160" s="67"/>
      <c r="BR160" s="560"/>
      <c r="BS160" s="560"/>
      <c r="BT160" s="67">
        <f>SUM(L160:BO160)</f>
        <v>2445747</v>
      </c>
      <c r="BU160" s="66"/>
      <c r="BV160" s="67"/>
      <c r="BW160" s="560"/>
      <c r="BX160" s="560"/>
      <c r="BY160" s="67">
        <v>4317333</v>
      </c>
      <c r="BZ160" s="66"/>
      <c r="CA160" s="67"/>
      <c r="CB160" s="560"/>
      <c r="CC160" s="560"/>
      <c r="CD160" s="67">
        <v>234758</v>
      </c>
      <c r="CE160" s="66"/>
      <c r="CF160" s="67"/>
      <c r="CG160" s="560"/>
      <c r="CH160" s="560"/>
      <c r="CI160" s="67">
        <v>322734</v>
      </c>
      <c r="CJ160" s="66"/>
      <c r="CK160" s="67"/>
      <c r="CL160" s="560"/>
      <c r="CM160" s="560"/>
      <c r="CN160" s="67">
        <v>363141</v>
      </c>
      <c r="CO160" s="66"/>
      <c r="CP160" s="67"/>
      <c r="CQ160" s="560"/>
      <c r="CR160" s="560"/>
      <c r="CS160" s="67">
        <v>324811</v>
      </c>
      <c r="CT160" s="66"/>
      <c r="CU160" s="67"/>
      <c r="CV160" s="560"/>
      <c r="CW160" s="560"/>
      <c r="CX160" s="67">
        <v>431027</v>
      </c>
      <c r="CY160" s="66"/>
      <c r="CZ160" s="67"/>
      <c r="DA160" s="560"/>
      <c r="DB160" s="560"/>
      <c r="DC160" s="67">
        <v>150922</v>
      </c>
      <c r="DD160" s="66"/>
      <c r="DE160" s="67"/>
      <c r="DF160" s="560"/>
      <c r="DG160" s="560"/>
      <c r="DH160" s="67">
        <v>137762</v>
      </c>
      <c r="DI160" s="66"/>
      <c r="DJ160" s="67"/>
      <c r="DK160" s="560"/>
      <c r="DL160" s="560"/>
      <c r="DM160" s="67">
        <v>410944</v>
      </c>
      <c r="DN160" s="66"/>
      <c r="DO160" s="67"/>
      <c r="DP160" s="560"/>
      <c r="DQ160" s="560"/>
      <c r="DR160" s="67">
        <v>516754</v>
      </c>
      <c r="DS160" s="66"/>
      <c r="DT160" s="67"/>
      <c r="DU160" s="560"/>
      <c r="DV160" s="560"/>
      <c r="DW160" s="67">
        <v>105700</v>
      </c>
      <c r="DX160" s="66"/>
      <c r="DY160" s="67"/>
      <c r="DZ160" s="560"/>
      <c r="EA160" s="560"/>
      <c r="EB160" s="67">
        <v>348463</v>
      </c>
      <c r="EC160" s="66"/>
      <c r="ED160" s="67"/>
      <c r="EE160" s="560"/>
      <c r="EF160" s="560"/>
      <c r="EG160" s="67">
        <v>970317</v>
      </c>
      <c r="EH160" s="66"/>
      <c r="EI160" s="67"/>
      <c r="EJ160" s="560"/>
      <c r="EK160" s="560"/>
      <c r="EL160" s="67">
        <f>SUM(CD160:CI160)</f>
        <v>557492</v>
      </c>
      <c r="EM160" s="66"/>
      <c r="EN160" s="67"/>
      <c r="EO160" s="455"/>
      <c r="ER160" s="472"/>
      <c r="ES160" s="472"/>
    </row>
    <row r="161" spans="1:149" ht="12.75" customHeight="1" x14ac:dyDescent="0.2">
      <c r="A161" s="442"/>
      <c r="B161" s="442"/>
      <c r="D161" s="455" t="s">
        <v>345</v>
      </c>
      <c r="F161" s="488"/>
      <c r="G161" s="113">
        <v>0</v>
      </c>
      <c r="H161" s="112"/>
      <c r="I161" s="67"/>
      <c r="J161" s="560"/>
      <c r="K161" s="569"/>
      <c r="L161" s="113">
        <v>0</v>
      </c>
      <c r="M161" s="112"/>
      <c r="N161" s="67"/>
      <c r="O161" s="560"/>
      <c r="P161" s="569"/>
      <c r="Q161" s="113">
        <v>0</v>
      </c>
      <c r="R161" s="112"/>
      <c r="S161" s="67"/>
      <c r="T161" s="560"/>
      <c r="U161" s="569"/>
      <c r="V161" s="113">
        <v>0</v>
      </c>
      <c r="W161" s="112"/>
      <c r="X161" s="67"/>
      <c r="Y161" s="560"/>
      <c r="Z161" s="569"/>
      <c r="AA161" s="113">
        <v>0</v>
      </c>
      <c r="AB161" s="112"/>
      <c r="AC161" s="67"/>
      <c r="AD161" s="560"/>
      <c r="AE161" s="569"/>
      <c r="AF161" s="113">
        <v>0</v>
      </c>
      <c r="AG161" s="112"/>
      <c r="AH161" s="67"/>
      <c r="AI161" s="560"/>
      <c r="AJ161" s="569"/>
      <c r="AK161" s="113">
        <v>0</v>
      </c>
      <c r="AL161" s="112"/>
      <c r="AM161" s="67"/>
      <c r="AN161" s="560"/>
      <c r="AO161" s="569"/>
      <c r="AP161" s="113">
        <v>0</v>
      </c>
      <c r="AQ161" s="112"/>
      <c r="AR161" s="67"/>
      <c r="AS161" s="560"/>
      <c r="AT161" s="569"/>
      <c r="AU161" s="113">
        <v>0</v>
      </c>
      <c r="AV161" s="112"/>
      <c r="AW161" s="67"/>
      <c r="AX161" s="560"/>
      <c r="AY161" s="569"/>
      <c r="AZ161" s="113">
        <v>0</v>
      </c>
      <c r="BA161" s="112"/>
      <c r="BB161" s="67"/>
      <c r="BC161" s="560"/>
      <c r="BD161" s="569"/>
      <c r="BE161" s="113">
        <v>0</v>
      </c>
      <c r="BF161" s="112"/>
      <c r="BG161" s="67"/>
      <c r="BH161" s="560"/>
      <c r="BI161" s="569"/>
      <c r="BJ161" s="113">
        <v>0</v>
      </c>
      <c r="BK161" s="112"/>
      <c r="BL161" s="67"/>
      <c r="BM161" s="560"/>
      <c r="BN161" s="569"/>
      <c r="BO161" s="113">
        <v>0</v>
      </c>
      <c r="BP161" s="112"/>
      <c r="BQ161" s="67"/>
      <c r="BR161" s="560"/>
      <c r="BS161" s="569"/>
      <c r="BT161" s="113">
        <f>SUM(L161:BO161)</f>
        <v>0</v>
      </c>
      <c r="BU161" s="112"/>
      <c r="BV161" s="67"/>
      <c r="BW161" s="560"/>
      <c r="BX161" s="569"/>
      <c r="BY161" s="113">
        <v>0</v>
      </c>
      <c r="BZ161" s="112"/>
      <c r="CA161" s="67"/>
      <c r="CB161" s="560"/>
      <c r="CC161" s="569"/>
      <c r="CD161" s="113">
        <v>0</v>
      </c>
      <c r="CE161" s="112"/>
      <c r="CF161" s="67"/>
      <c r="CG161" s="560"/>
      <c r="CH161" s="569"/>
      <c r="CI161" s="113">
        <v>0</v>
      </c>
      <c r="CJ161" s="112"/>
      <c r="CK161" s="67"/>
      <c r="CL161" s="560"/>
      <c r="CM161" s="569"/>
      <c r="CN161" s="113">
        <v>0</v>
      </c>
      <c r="CO161" s="112"/>
      <c r="CP161" s="67"/>
      <c r="CQ161" s="560"/>
      <c r="CR161" s="569"/>
      <c r="CS161" s="113">
        <v>0</v>
      </c>
      <c r="CT161" s="112"/>
      <c r="CU161" s="67"/>
      <c r="CV161" s="560"/>
      <c r="CW161" s="569"/>
      <c r="CX161" s="113">
        <v>0</v>
      </c>
      <c r="CY161" s="112"/>
      <c r="CZ161" s="67"/>
      <c r="DA161" s="560"/>
      <c r="DB161" s="569"/>
      <c r="DC161" s="113">
        <v>0</v>
      </c>
      <c r="DD161" s="112"/>
      <c r="DE161" s="67"/>
      <c r="DF161" s="560"/>
      <c r="DG161" s="569"/>
      <c r="DH161" s="113">
        <v>0</v>
      </c>
      <c r="DI161" s="112"/>
      <c r="DJ161" s="67"/>
      <c r="DK161" s="560"/>
      <c r="DL161" s="569"/>
      <c r="DM161" s="113">
        <v>0</v>
      </c>
      <c r="DN161" s="112"/>
      <c r="DO161" s="67"/>
      <c r="DP161" s="560"/>
      <c r="DQ161" s="569"/>
      <c r="DR161" s="113">
        <v>0</v>
      </c>
      <c r="DS161" s="112"/>
      <c r="DT161" s="67"/>
      <c r="DU161" s="560"/>
      <c r="DV161" s="569"/>
      <c r="DW161" s="113">
        <v>0</v>
      </c>
      <c r="DX161" s="112"/>
      <c r="DY161" s="67"/>
      <c r="DZ161" s="560"/>
      <c r="EA161" s="569"/>
      <c r="EB161" s="113">
        <v>0</v>
      </c>
      <c r="EC161" s="112"/>
      <c r="ED161" s="67"/>
      <c r="EE161" s="560"/>
      <c r="EF161" s="569"/>
      <c r="EG161" s="113">
        <v>0</v>
      </c>
      <c r="EH161" s="112"/>
      <c r="EI161" s="67"/>
      <c r="EJ161" s="560"/>
      <c r="EK161" s="569"/>
      <c r="EL161" s="113">
        <f>SUM(CD161:CI161)</f>
        <v>0</v>
      </c>
      <c r="EM161" s="112"/>
      <c r="EN161" s="67"/>
      <c r="EO161" s="455"/>
      <c r="ER161" s="472"/>
      <c r="ES161" s="472"/>
    </row>
    <row r="162" spans="1:149" ht="12.75" customHeight="1" x14ac:dyDescent="0.2">
      <c r="A162" s="442"/>
      <c r="B162" s="442"/>
      <c r="D162" s="455"/>
      <c r="F162" s="442"/>
      <c r="G162" s="67"/>
      <c r="H162" s="67"/>
      <c r="I162" s="67"/>
      <c r="J162" s="560"/>
      <c r="K162" s="67"/>
      <c r="L162" s="67"/>
      <c r="M162" s="67"/>
      <c r="N162" s="67"/>
      <c r="O162" s="560"/>
      <c r="P162" s="67"/>
      <c r="Q162" s="67"/>
      <c r="R162" s="67"/>
      <c r="S162" s="67"/>
      <c r="T162" s="560"/>
      <c r="U162" s="67"/>
      <c r="V162" s="67"/>
      <c r="W162" s="67"/>
      <c r="X162" s="67"/>
      <c r="Y162" s="560"/>
      <c r="Z162" s="67"/>
      <c r="AA162" s="67"/>
      <c r="AB162" s="67"/>
      <c r="AC162" s="67"/>
      <c r="AD162" s="560"/>
      <c r="AE162" s="67"/>
      <c r="AF162" s="67"/>
      <c r="AG162" s="67"/>
      <c r="AH162" s="67"/>
      <c r="AI162" s="560"/>
      <c r="AJ162" s="67"/>
      <c r="AK162" s="67"/>
      <c r="AL162" s="67"/>
      <c r="AM162" s="67"/>
      <c r="AN162" s="560"/>
      <c r="AO162" s="67"/>
      <c r="AP162" s="67"/>
      <c r="AQ162" s="67"/>
      <c r="AR162" s="67"/>
      <c r="AS162" s="560"/>
      <c r="AT162" s="67"/>
      <c r="AU162" s="67"/>
      <c r="AV162" s="67"/>
      <c r="AW162" s="67"/>
      <c r="AX162" s="560"/>
      <c r="AY162" s="67"/>
      <c r="AZ162" s="67"/>
      <c r="BA162" s="67"/>
      <c r="BB162" s="67"/>
      <c r="BC162" s="560"/>
      <c r="BD162" s="67"/>
      <c r="BE162" s="67"/>
      <c r="BF162" s="67"/>
      <c r="BG162" s="67"/>
      <c r="BH162" s="560"/>
      <c r="BI162" s="67"/>
      <c r="BJ162" s="67"/>
      <c r="BK162" s="67"/>
      <c r="BL162" s="67"/>
      <c r="BM162" s="560"/>
      <c r="BN162" s="67"/>
      <c r="BO162" s="67"/>
      <c r="BP162" s="67"/>
      <c r="BQ162" s="67"/>
      <c r="BR162" s="560"/>
      <c r="BS162" s="67"/>
      <c r="BT162" s="67"/>
      <c r="BU162" s="67"/>
      <c r="BV162" s="67"/>
      <c r="BW162" s="560"/>
      <c r="BX162" s="67"/>
      <c r="BY162" s="67"/>
      <c r="BZ162" s="67"/>
      <c r="CA162" s="67"/>
      <c r="CB162" s="560"/>
      <c r="CC162" s="67"/>
      <c r="CD162" s="67"/>
      <c r="CE162" s="67"/>
      <c r="CF162" s="67"/>
      <c r="CG162" s="560"/>
      <c r="CH162" s="67"/>
      <c r="CI162" s="67"/>
      <c r="CJ162" s="67"/>
      <c r="CK162" s="67"/>
      <c r="CL162" s="560"/>
      <c r="CM162" s="67"/>
      <c r="CN162" s="67"/>
      <c r="CO162" s="67"/>
      <c r="CP162" s="67"/>
      <c r="CQ162" s="560"/>
      <c r="CR162" s="67"/>
      <c r="CS162" s="67"/>
      <c r="CT162" s="67"/>
      <c r="CU162" s="67"/>
      <c r="CV162" s="560"/>
      <c r="CW162" s="67"/>
      <c r="CX162" s="67"/>
      <c r="CY162" s="67"/>
      <c r="CZ162" s="67"/>
      <c r="DA162" s="560"/>
      <c r="DB162" s="67"/>
      <c r="DC162" s="67"/>
      <c r="DD162" s="67"/>
      <c r="DE162" s="67"/>
      <c r="DF162" s="560"/>
      <c r="DG162" s="67"/>
      <c r="DH162" s="67"/>
      <c r="DI162" s="67"/>
      <c r="DJ162" s="67"/>
      <c r="DK162" s="560"/>
      <c r="DL162" s="67"/>
      <c r="DM162" s="67"/>
      <c r="DN162" s="67"/>
      <c r="DO162" s="67"/>
      <c r="DP162" s="560"/>
      <c r="DQ162" s="67"/>
      <c r="DR162" s="67"/>
      <c r="DS162" s="67"/>
      <c r="DT162" s="67"/>
      <c r="DU162" s="560"/>
      <c r="DV162" s="67"/>
      <c r="DW162" s="67"/>
      <c r="DX162" s="67"/>
      <c r="DY162" s="67"/>
      <c r="DZ162" s="560"/>
      <c r="EA162" s="67"/>
      <c r="EB162" s="67"/>
      <c r="EC162" s="67"/>
      <c r="ED162" s="67"/>
      <c r="EE162" s="560"/>
      <c r="EF162" s="67"/>
      <c r="EG162" s="67"/>
      <c r="EH162" s="67"/>
      <c r="EI162" s="67"/>
      <c r="EJ162" s="560"/>
      <c r="EK162" s="67"/>
      <c r="EL162" s="67"/>
      <c r="EM162" s="67"/>
      <c r="EN162" s="67"/>
      <c r="EO162" s="455"/>
      <c r="ER162" s="472"/>
      <c r="ES162" s="472"/>
    </row>
    <row r="163" spans="1:149" ht="12.75" customHeight="1" x14ac:dyDescent="0.2">
      <c r="A163" s="442"/>
      <c r="B163" s="442"/>
      <c r="D163" s="455" t="s">
        <v>372</v>
      </c>
      <c r="F163" s="442"/>
      <c r="G163" s="67">
        <f>SUM(G164:G166)</f>
        <v>0</v>
      </c>
      <c r="H163" s="67"/>
      <c r="I163" s="67"/>
      <c r="J163" s="560"/>
      <c r="K163" s="67"/>
      <c r="L163" s="67">
        <f>SUM(L164:L166)</f>
        <v>6024000</v>
      </c>
      <c r="M163" s="67"/>
      <c r="N163" s="67"/>
      <c r="O163" s="560"/>
      <c r="P163" s="67"/>
      <c r="Q163" s="67">
        <f>SUM(Q164:Q166)</f>
        <v>3019000</v>
      </c>
      <c r="R163" s="67"/>
      <c r="S163" s="67"/>
      <c r="T163" s="560"/>
      <c r="U163" s="67"/>
      <c r="V163" s="67">
        <f>SUM(V164:V166)</f>
        <v>0</v>
      </c>
      <c r="W163" s="67"/>
      <c r="X163" s="67"/>
      <c r="Y163" s="560"/>
      <c r="Z163" s="67"/>
      <c r="AA163" s="67">
        <f>SUM(AA164:AA166)</f>
        <v>0</v>
      </c>
      <c r="AB163" s="67"/>
      <c r="AC163" s="67"/>
      <c r="AD163" s="560"/>
      <c r="AE163" s="67"/>
      <c r="AF163" s="67">
        <f>SUM(AF164:AF166)</f>
        <v>0</v>
      </c>
      <c r="AG163" s="67"/>
      <c r="AH163" s="67"/>
      <c r="AI163" s="560"/>
      <c r="AJ163" s="67"/>
      <c r="AK163" s="67">
        <f>SUM(AK164:AK166)</f>
        <v>0</v>
      </c>
      <c r="AL163" s="67"/>
      <c r="AM163" s="67"/>
      <c r="AN163" s="560"/>
      <c r="AO163" s="67"/>
      <c r="AP163" s="67">
        <f>SUM(AP164:AP166)</f>
        <v>0</v>
      </c>
      <c r="AQ163" s="67"/>
      <c r="AR163" s="67"/>
      <c r="AS163" s="560"/>
      <c r="AT163" s="67"/>
      <c r="AU163" s="67">
        <f>SUM(AU164:AU166)</f>
        <v>0</v>
      </c>
      <c r="AV163" s="67"/>
      <c r="AW163" s="67"/>
      <c r="AX163" s="560"/>
      <c r="AY163" s="67"/>
      <c r="AZ163" s="67">
        <f>SUM(AZ164:AZ166)</f>
        <v>0</v>
      </c>
      <c r="BA163" s="67"/>
      <c r="BB163" s="67"/>
      <c r="BC163" s="560"/>
      <c r="BD163" s="67"/>
      <c r="BE163" s="67">
        <f>SUM(BE164:BE166)</f>
        <v>0</v>
      </c>
      <c r="BF163" s="67"/>
      <c r="BG163" s="67"/>
      <c r="BH163" s="560"/>
      <c r="BI163" s="67"/>
      <c r="BJ163" s="67">
        <f>SUM(BJ164:BJ166)</f>
        <v>0</v>
      </c>
      <c r="BK163" s="67"/>
      <c r="BL163" s="67"/>
      <c r="BM163" s="560"/>
      <c r="BN163" s="67"/>
      <c r="BO163" s="67">
        <f>SUM(BO164:BO166)</f>
        <v>0</v>
      </c>
      <c r="BP163" s="67"/>
      <c r="BQ163" s="67"/>
      <c r="BR163" s="560"/>
      <c r="BS163" s="67"/>
      <c r="BT163" s="67">
        <f>SUM(BT164:BT166)</f>
        <v>9043000</v>
      </c>
      <c r="BU163" s="67"/>
      <c r="BV163" s="67"/>
      <c r="BW163" s="560"/>
      <c r="BX163" s="67"/>
      <c r="BY163" s="67">
        <f>SUM(BY164:BY166)</f>
        <v>23420081</v>
      </c>
      <c r="BZ163" s="67"/>
      <c r="CA163" s="67"/>
      <c r="CB163" s="560"/>
      <c r="CC163" s="67"/>
      <c r="CD163" s="67">
        <f>SUM(CD164:CD166)</f>
        <v>800000</v>
      </c>
      <c r="CE163" s="67"/>
      <c r="CF163" s="67"/>
      <c r="CG163" s="560"/>
      <c r="CH163" s="67"/>
      <c r="CI163" s="67">
        <f>SUM(CI164:CI166)</f>
        <v>2081</v>
      </c>
      <c r="CJ163" s="67"/>
      <c r="CK163" s="67"/>
      <c r="CL163" s="560"/>
      <c r="CM163" s="67"/>
      <c r="CN163" s="67">
        <f>SUM(CN164:CN166)</f>
        <v>1100000</v>
      </c>
      <c r="CO163" s="67"/>
      <c r="CP163" s="67"/>
      <c r="CQ163" s="560"/>
      <c r="CR163" s="67"/>
      <c r="CS163" s="67">
        <f>SUM(CS164:CS166)</f>
        <v>2750000</v>
      </c>
      <c r="CT163" s="67"/>
      <c r="CU163" s="67"/>
      <c r="CV163" s="560"/>
      <c r="CW163" s="67"/>
      <c r="CX163" s="67">
        <f>SUM(CX164:CX166)</f>
        <v>0</v>
      </c>
      <c r="CY163" s="67"/>
      <c r="CZ163" s="67"/>
      <c r="DA163" s="560"/>
      <c r="DB163" s="67"/>
      <c r="DC163" s="67">
        <f>SUM(DC164:DC166)</f>
        <v>4533000</v>
      </c>
      <c r="DD163" s="67"/>
      <c r="DE163" s="67"/>
      <c r="DF163" s="560"/>
      <c r="DG163" s="67"/>
      <c r="DH163" s="67">
        <f>SUM(DH164:DH166)</f>
        <v>3780000</v>
      </c>
      <c r="DI163" s="67"/>
      <c r="DJ163" s="67"/>
      <c r="DK163" s="560"/>
      <c r="DL163" s="67"/>
      <c r="DM163" s="67">
        <f>SUM(DM164:DM166)</f>
        <v>2268000</v>
      </c>
      <c r="DN163" s="67"/>
      <c r="DO163" s="67"/>
      <c r="DP163" s="560"/>
      <c r="DQ163" s="67"/>
      <c r="DR163" s="67">
        <f>SUM(DR164:DR166)</f>
        <v>0</v>
      </c>
      <c r="DS163" s="67"/>
      <c r="DT163" s="67"/>
      <c r="DU163" s="560"/>
      <c r="DV163" s="67"/>
      <c r="DW163" s="67">
        <f>SUM(DW164:DW166)</f>
        <v>4412000</v>
      </c>
      <c r="DX163" s="67"/>
      <c r="DY163" s="67"/>
      <c r="DZ163" s="560"/>
      <c r="EA163" s="67"/>
      <c r="EB163" s="67">
        <f>SUM(EB164:EB166)</f>
        <v>2265000</v>
      </c>
      <c r="EC163" s="67"/>
      <c r="ED163" s="67"/>
      <c r="EE163" s="560"/>
      <c r="EF163" s="67"/>
      <c r="EG163" s="67">
        <f>SUM(EG164:EG166)</f>
        <v>1510000</v>
      </c>
      <c r="EH163" s="67"/>
      <c r="EI163" s="67"/>
      <c r="EJ163" s="560"/>
      <c r="EK163" s="67"/>
      <c r="EL163" s="67">
        <f>SUM(EL164:EL166)</f>
        <v>802081</v>
      </c>
      <c r="EM163" s="67"/>
      <c r="EN163" s="67"/>
      <c r="EO163" s="455"/>
      <c r="ER163" s="472"/>
      <c r="ES163" s="472"/>
    </row>
    <row r="164" spans="1:149" ht="12.75" customHeight="1" x14ac:dyDescent="0.2">
      <c r="A164" s="442"/>
      <c r="B164" s="442"/>
      <c r="D164" s="455" t="s">
        <v>342</v>
      </c>
      <c r="F164" s="473"/>
      <c r="G164" s="558">
        <v>0</v>
      </c>
      <c r="H164" s="559"/>
      <c r="I164" s="67"/>
      <c r="J164" s="560"/>
      <c r="K164" s="561"/>
      <c r="L164" s="558">
        <f>6024000-1184412</f>
        <v>4839588</v>
      </c>
      <c r="M164" s="559"/>
      <c r="N164" s="67"/>
      <c r="O164" s="560"/>
      <c r="P164" s="561"/>
      <c r="Q164" s="558">
        <f>3019000-467659</f>
        <v>2551341</v>
      </c>
      <c r="R164" s="559"/>
      <c r="S164" s="67"/>
      <c r="T164" s="560"/>
      <c r="U164" s="561"/>
      <c r="V164" s="558">
        <v>0</v>
      </c>
      <c r="W164" s="559"/>
      <c r="X164" s="67"/>
      <c r="Y164" s="560"/>
      <c r="Z164" s="561"/>
      <c r="AA164" s="558">
        <v>0</v>
      </c>
      <c r="AB164" s="559"/>
      <c r="AC164" s="67"/>
      <c r="AD164" s="560"/>
      <c r="AE164" s="561"/>
      <c r="AF164" s="558">
        <v>0</v>
      </c>
      <c r="AG164" s="559"/>
      <c r="AH164" s="67"/>
      <c r="AI164" s="560"/>
      <c r="AJ164" s="561"/>
      <c r="AK164" s="558">
        <v>0</v>
      </c>
      <c r="AL164" s="559"/>
      <c r="AM164" s="67"/>
      <c r="AN164" s="560"/>
      <c r="AO164" s="561"/>
      <c r="AP164" s="558">
        <v>0</v>
      </c>
      <c r="AQ164" s="559"/>
      <c r="AR164" s="67"/>
      <c r="AS164" s="560"/>
      <c r="AT164" s="561"/>
      <c r="AU164" s="558">
        <v>0</v>
      </c>
      <c r="AV164" s="559"/>
      <c r="AW164" s="67"/>
      <c r="AX164" s="560"/>
      <c r="AY164" s="561"/>
      <c r="AZ164" s="558">
        <v>0</v>
      </c>
      <c r="BA164" s="559"/>
      <c r="BB164" s="67"/>
      <c r="BC164" s="560"/>
      <c r="BD164" s="561"/>
      <c r="BE164" s="558">
        <v>0</v>
      </c>
      <c r="BF164" s="559"/>
      <c r="BG164" s="67"/>
      <c r="BH164" s="560"/>
      <c r="BI164" s="561"/>
      <c r="BJ164" s="558">
        <v>0</v>
      </c>
      <c r="BK164" s="559"/>
      <c r="BL164" s="67"/>
      <c r="BM164" s="560"/>
      <c r="BN164" s="561"/>
      <c r="BO164" s="558">
        <v>0</v>
      </c>
      <c r="BP164" s="559"/>
      <c r="BQ164" s="67"/>
      <c r="BR164" s="560"/>
      <c r="BS164" s="561"/>
      <c r="BT164" s="558">
        <f>SUM(L164:BO164)</f>
        <v>7390929</v>
      </c>
      <c r="BU164" s="559"/>
      <c r="BV164" s="67"/>
      <c r="BW164" s="560"/>
      <c r="BX164" s="561"/>
      <c r="BY164" s="558">
        <v>21427492</v>
      </c>
      <c r="BZ164" s="559"/>
      <c r="CA164" s="67"/>
      <c r="CB164" s="560"/>
      <c r="CC164" s="561"/>
      <c r="CD164" s="558">
        <f>800000-62541</f>
        <v>737459</v>
      </c>
      <c r="CE164" s="559"/>
      <c r="CF164" s="67"/>
      <c r="CG164" s="560"/>
      <c r="CH164" s="561"/>
      <c r="CI164" s="558">
        <f>2081-179</f>
        <v>1902</v>
      </c>
      <c r="CJ164" s="559"/>
      <c r="CK164" s="67"/>
      <c r="CL164" s="560"/>
      <c r="CM164" s="561"/>
      <c r="CN164" s="558">
        <f>1100000-88807</f>
        <v>1011193</v>
      </c>
      <c r="CO164" s="559"/>
      <c r="CP164" s="67"/>
      <c r="CQ164" s="560"/>
      <c r="CR164" s="561"/>
      <c r="CS164" s="558">
        <f>2750000-179977</f>
        <v>2570023</v>
      </c>
      <c r="CT164" s="559"/>
      <c r="CU164" s="67"/>
      <c r="CV164" s="560"/>
      <c r="CW164" s="561"/>
      <c r="CX164" s="558">
        <v>0</v>
      </c>
      <c r="CY164" s="559"/>
      <c r="CZ164" s="67"/>
      <c r="DA164" s="560"/>
      <c r="DB164" s="561"/>
      <c r="DC164" s="558">
        <f>4533000-338254</f>
        <v>4194746</v>
      </c>
      <c r="DD164" s="559"/>
      <c r="DE164" s="67"/>
      <c r="DF164" s="560"/>
      <c r="DG164" s="561"/>
      <c r="DH164" s="558">
        <f>3780000-278593</f>
        <v>3501407</v>
      </c>
      <c r="DI164" s="559"/>
      <c r="DJ164" s="67"/>
      <c r="DK164" s="560"/>
      <c r="DL164" s="561"/>
      <c r="DM164" s="558">
        <f>2268000-207289</f>
        <v>2060711</v>
      </c>
      <c r="DN164" s="559"/>
      <c r="DO164" s="67"/>
      <c r="DP164" s="560"/>
      <c r="DQ164" s="561"/>
      <c r="DR164" s="558">
        <v>0</v>
      </c>
      <c r="DS164" s="559"/>
      <c r="DT164" s="67"/>
      <c r="DU164" s="560"/>
      <c r="DV164" s="561"/>
      <c r="DW164" s="558">
        <f>4412000-368545</f>
        <v>4043455</v>
      </c>
      <c r="DX164" s="559"/>
      <c r="DY164" s="67"/>
      <c r="DZ164" s="560"/>
      <c r="EA164" s="561"/>
      <c r="EB164" s="558">
        <f>2265000-174247</f>
        <v>2090753</v>
      </c>
      <c r="EC164" s="559"/>
      <c r="ED164" s="67"/>
      <c r="EE164" s="560"/>
      <c r="EF164" s="561"/>
      <c r="EG164" s="558">
        <f>1510000-294157</f>
        <v>1215843</v>
      </c>
      <c r="EH164" s="559"/>
      <c r="EI164" s="67"/>
      <c r="EJ164" s="560"/>
      <c r="EK164" s="561"/>
      <c r="EL164" s="558">
        <f>SUM(CD164:CI164)</f>
        <v>739361</v>
      </c>
      <c r="EM164" s="559"/>
      <c r="EN164" s="67"/>
      <c r="EO164" s="455"/>
      <c r="ER164" s="472"/>
      <c r="ES164" s="472"/>
    </row>
    <row r="165" spans="1:149" ht="12.75" customHeight="1" x14ac:dyDescent="0.2">
      <c r="A165" s="442"/>
      <c r="B165" s="442"/>
      <c r="D165" s="455" t="s">
        <v>344</v>
      </c>
      <c r="F165" s="465"/>
      <c r="G165" s="67">
        <v>0</v>
      </c>
      <c r="H165" s="66"/>
      <c r="I165" s="67"/>
      <c r="J165" s="560"/>
      <c r="K165" s="560"/>
      <c r="L165" s="67">
        <v>1184412</v>
      </c>
      <c r="M165" s="66"/>
      <c r="N165" s="67"/>
      <c r="O165" s="560"/>
      <c r="P165" s="560"/>
      <c r="Q165" s="67">
        <v>467659</v>
      </c>
      <c r="R165" s="66"/>
      <c r="S165" s="67"/>
      <c r="T165" s="560"/>
      <c r="U165" s="560"/>
      <c r="V165" s="67">
        <v>0</v>
      </c>
      <c r="W165" s="66"/>
      <c r="X165" s="67"/>
      <c r="Y165" s="560"/>
      <c r="Z165" s="560"/>
      <c r="AA165" s="67">
        <v>0</v>
      </c>
      <c r="AB165" s="66"/>
      <c r="AC165" s="67"/>
      <c r="AD165" s="560"/>
      <c r="AE165" s="560"/>
      <c r="AF165" s="67">
        <v>0</v>
      </c>
      <c r="AG165" s="66"/>
      <c r="AH165" s="67"/>
      <c r="AI165" s="560"/>
      <c r="AJ165" s="560"/>
      <c r="AK165" s="67">
        <v>0</v>
      </c>
      <c r="AL165" s="66"/>
      <c r="AM165" s="67"/>
      <c r="AN165" s="560"/>
      <c r="AO165" s="560"/>
      <c r="AP165" s="67">
        <v>0</v>
      </c>
      <c r="AQ165" s="66"/>
      <c r="AR165" s="67"/>
      <c r="AS165" s="560"/>
      <c r="AT165" s="560"/>
      <c r="AU165" s="67">
        <v>0</v>
      </c>
      <c r="AV165" s="66"/>
      <c r="AW165" s="67"/>
      <c r="AX165" s="560"/>
      <c r="AY165" s="560"/>
      <c r="AZ165" s="67">
        <v>0</v>
      </c>
      <c r="BA165" s="66"/>
      <c r="BB165" s="67"/>
      <c r="BC165" s="560"/>
      <c r="BD165" s="560"/>
      <c r="BE165" s="67">
        <v>0</v>
      </c>
      <c r="BF165" s="66"/>
      <c r="BG165" s="67"/>
      <c r="BH165" s="560"/>
      <c r="BI165" s="560"/>
      <c r="BJ165" s="67">
        <v>0</v>
      </c>
      <c r="BK165" s="66"/>
      <c r="BL165" s="67"/>
      <c r="BM165" s="560"/>
      <c r="BN165" s="560"/>
      <c r="BO165" s="67">
        <v>0</v>
      </c>
      <c r="BP165" s="66"/>
      <c r="BQ165" s="67"/>
      <c r="BR165" s="560"/>
      <c r="BS165" s="560"/>
      <c r="BT165" s="67">
        <f>SUM(L165:BO165)</f>
        <v>1652071</v>
      </c>
      <c r="BU165" s="66"/>
      <c r="BV165" s="67"/>
      <c r="BW165" s="560"/>
      <c r="BX165" s="560"/>
      <c r="BY165" s="67">
        <v>1992589</v>
      </c>
      <c r="BZ165" s="66"/>
      <c r="CA165" s="67"/>
      <c r="CB165" s="560"/>
      <c r="CC165" s="560"/>
      <c r="CD165" s="67">
        <v>62541</v>
      </c>
      <c r="CE165" s="66"/>
      <c r="CF165" s="67"/>
      <c r="CG165" s="560"/>
      <c r="CH165" s="560"/>
      <c r="CI165" s="67">
        <v>179</v>
      </c>
      <c r="CJ165" s="66"/>
      <c r="CK165" s="67"/>
      <c r="CL165" s="560"/>
      <c r="CM165" s="560"/>
      <c r="CN165" s="67">
        <v>88807</v>
      </c>
      <c r="CO165" s="66"/>
      <c r="CP165" s="67"/>
      <c r="CQ165" s="560"/>
      <c r="CR165" s="560"/>
      <c r="CS165" s="67">
        <v>179977</v>
      </c>
      <c r="CT165" s="66"/>
      <c r="CU165" s="67"/>
      <c r="CV165" s="560"/>
      <c r="CW165" s="560"/>
      <c r="CX165" s="67">
        <v>0</v>
      </c>
      <c r="CY165" s="66"/>
      <c r="CZ165" s="67"/>
      <c r="DA165" s="560"/>
      <c r="DB165" s="560"/>
      <c r="DC165" s="67">
        <v>338254</v>
      </c>
      <c r="DD165" s="66"/>
      <c r="DE165" s="67"/>
      <c r="DF165" s="560"/>
      <c r="DG165" s="560"/>
      <c r="DH165" s="67">
        <v>278593</v>
      </c>
      <c r="DI165" s="66"/>
      <c r="DJ165" s="67"/>
      <c r="DK165" s="560"/>
      <c r="DL165" s="560"/>
      <c r="DM165" s="67">
        <v>207289</v>
      </c>
      <c r="DN165" s="66"/>
      <c r="DO165" s="67"/>
      <c r="DP165" s="560"/>
      <c r="DQ165" s="560"/>
      <c r="DR165" s="67">
        <v>0</v>
      </c>
      <c r="DS165" s="66"/>
      <c r="DT165" s="67"/>
      <c r="DU165" s="560"/>
      <c r="DV165" s="560"/>
      <c r="DW165" s="67">
        <v>368545</v>
      </c>
      <c r="DX165" s="66"/>
      <c r="DY165" s="67"/>
      <c r="DZ165" s="560"/>
      <c r="EA165" s="560"/>
      <c r="EB165" s="67">
        <v>174247</v>
      </c>
      <c r="EC165" s="66"/>
      <c r="ED165" s="67"/>
      <c r="EE165" s="560"/>
      <c r="EF165" s="560"/>
      <c r="EG165" s="67">
        <v>294157</v>
      </c>
      <c r="EH165" s="66"/>
      <c r="EI165" s="67"/>
      <c r="EJ165" s="560"/>
      <c r="EK165" s="560"/>
      <c r="EL165" s="67">
        <f>SUM(CD165:CI165)</f>
        <v>62720</v>
      </c>
      <c r="EM165" s="66"/>
      <c r="EN165" s="67"/>
      <c r="EO165" s="455"/>
      <c r="ER165" s="472"/>
      <c r="ES165" s="472"/>
    </row>
    <row r="166" spans="1:149" ht="12.75" customHeight="1" x14ac:dyDescent="0.2">
      <c r="A166" s="442"/>
      <c r="B166" s="442"/>
      <c r="D166" s="455" t="s">
        <v>345</v>
      </c>
      <c r="F166" s="488"/>
      <c r="G166" s="113">
        <v>0</v>
      </c>
      <c r="H166" s="112"/>
      <c r="I166" s="67"/>
      <c r="J166" s="560"/>
      <c r="K166" s="569"/>
      <c r="L166" s="113">
        <v>0</v>
      </c>
      <c r="M166" s="112"/>
      <c r="N166" s="67"/>
      <c r="O166" s="560"/>
      <c r="P166" s="569"/>
      <c r="Q166" s="113">
        <v>0</v>
      </c>
      <c r="R166" s="112"/>
      <c r="S166" s="67"/>
      <c r="T166" s="560"/>
      <c r="U166" s="569"/>
      <c r="V166" s="113">
        <v>0</v>
      </c>
      <c r="W166" s="112"/>
      <c r="X166" s="67"/>
      <c r="Y166" s="560"/>
      <c r="Z166" s="569"/>
      <c r="AA166" s="113">
        <v>0</v>
      </c>
      <c r="AB166" s="112"/>
      <c r="AC166" s="67"/>
      <c r="AD166" s="560"/>
      <c r="AE166" s="569"/>
      <c r="AF166" s="113">
        <v>0</v>
      </c>
      <c r="AG166" s="112"/>
      <c r="AH166" s="67"/>
      <c r="AI166" s="560"/>
      <c r="AJ166" s="569"/>
      <c r="AK166" s="113">
        <v>0</v>
      </c>
      <c r="AL166" s="112"/>
      <c r="AM166" s="67"/>
      <c r="AN166" s="560"/>
      <c r="AO166" s="569"/>
      <c r="AP166" s="113">
        <v>0</v>
      </c>
      <c r="AQ166" s="112"/>
      <c r="AR166" s="67"/>
      <c r="AS166" s="560"/>
      <c r="AT166" s="569"/>
      <c r="AU166" s="113">
        <v>0</v>
      </c>
      <c r="AV166" s="112"/>
      <c r="AW166" s="67"/>
      <c r="AX166" s="560"/>
      <c r="AY166" s="569"/>
      <c r="AZ166" s="113">
        <v>0</v>
      </c>
      <c r="BA166" s="112"/>
      <c r="BB166" s="67"/>
      <c r="BC166" s="560"/>
      <c r="BD166" s="569"/>
      <c r="BE166" s="113">
        <v>0</v>
      </c>
      <c r="BF166" s="112"/>
      <c r="BG166" s="67"/>
      <c r="BH166" s="560"/>
      <c r="BI166" s="569"/>
      <c r="BJ166" s="113">
        <v>0</v>
      </c>
      <c r="BK166" s="112"/>
      <c r="BL166" s="67"/>
      <c r="BM166" s="560"/>
      <c r="BN166" s="569"/>
      <c r="BO166" s="113">
        <v>0</v>
      </c>
      <c r="BP166" s="112"/>
      <c r="BQ166" s="67"/>
      <c r="BR166" s="560"/>
      <c r="BS166" s="569"/>
      <c r="BT166" s="113">
        <f>SUM(L166:BO166)</f>
        <v>0</v>
      </c>
      <c r="BU166" s="112"/>
      <c r="BV166" s="67"/>
      <c r="BW166" s="560"/>
      <c r="BX166" s="569"/>
      <c r="BY166" s="113">
        <v>0</v>
      </c>
      <c r="BZ166" s="112"/>
      <c r="CA166" s="67"/>
      <c r="CB166" s="560"/>
      <c r="CC166" s="569"/>
      <c r="CD166" s="113">
        <v>0</v>
      </c>
      <c r="CE166" s="112"/>
      <c r="CF166" s="67"/>
      <c r="CG166" s="560"/>
      <c r="CH166" s="569"/>
      <c r="CI166" s="113">
        <v>0</v>
      </c>
      <c r="CJ166" s="112"/>
      <c r="CK166" s="67"/>
      <c r="CL166" s="560"/>
      <c r="CM166" s="569"/>
      <c r="CN166" s="113">
        <v>0</v>
      </c>
      <c r="CO166" s="112"/>
      <c r="CP166" s="67"/>
      <c r="CQ166" s="560"/>
      <c r="CR166" s="569"/>
      <c r="CS166" s="113">
        <v>0</v>
      </c>
      <c r="CT166" s="112"/>
      <c r="CU166" s="67"/>
      <c r="CV166" s="560"/>
      <c r="CW166" s="569"/>
      <c r="CX166" s="113">
        <v>0</v>
      </c>
      <c r="CY166" s="112"/>
      <c r="CZ166" s="67"/>
      <c r="DA166" s="560"/>
      <c r="DB166" s="569"/>
      <c r="DC166" s="113">
        <v>0</v>
      </c>
      <c r="DD166" s="112"/>
      <c r="DE166" s="67"/>
      <c r="DF166" s="560"/>
      <c r="DG166" s="569"/>
      <c r="DH166" s="113">
        <v>0</v>
      </c>
      <c r="DI166" s="112"/>
      <c r="DJ166" s="67"/>
      <c r="DK166" s="560"/>
      <c r="DL166" s="569"/>
      <c r="DM166" s="113">
        <v>0</v>
      </c>
      <c r="DN166" s="112"/>
      <c r="DO166" s="67"/>
      <c r="DP166" s="560"/>
      <c r="DQ166" s="569"/>
      <c r="DR166" s="113">
        <v>0</v>
      </c>
      <c r="DS166" s="112"/>
      <c r="DT166" s="67"/>
      <c r="DU166" s="560"/>
      <c r="DV166" s="569"/>
      <c r="DW166" s="113">
        <v>0</v>
      </c>
      <c r="DX166" s="112"/>
      <c r="DY166" s="67"/>
      <c r="DZ166" s="560"/>
      <c r="EA166" s="569"/>
      <c r="EB166" s="113">
        <v>0</v>
      </c>
      <c r="EC166" s="112"/>
      <c r="ED166" s="67"/>
      <c r="EE166" s="560"/>
      <c r="EF166" s="569"/>
      <c r="EG166" s="113">
        <v>0</v>
      </c>
      <c r="EH166" s="112"/>
      <c r="EI166" s="67"/>
      <c r="EJ166" s="560"/>
      <c r="EK166" s="569"/>
      <c r="EL166" s="113">
        <f>SUM(CD166:CI166)</f>
        <v>0</v>
      </c>
      <c r="EM166" s="112"/>
      <c r="EN166" s="67"/>
      <c r="EO166" s="455"/>
      <c r="ER166" s="472"/>
      <c r="ES166" s="472"/>
    </row>
    <row r="167" spans="1:149" ht="12.75" customHeight="1" x14ac:dyDescent="0.2">
      <c r="A167" s="442"/>
      <c r="B167" s="442"/>
      <c r="D167" s="455"/>
      <c r="F167" s="442"/>
      <c r="G167" s="67"/>
      <c r="H167" s="67"/>
      <c r="I167" s="67"/>
      <c r="J167" s="560"/>
      <c r="K167" s="67"/>
      <c r="L167" s="67"/>
      <c r="M167" s="67"/>
      <c r="N167" s="67"/>
      <c r="O167" s="560"/>
      <c r="P167" s="67"/>
      <c r="Q167" s="67"/>
      <c r="R167" s="67"/>
      <c r="S167" s="67"/>
      <c r="T167" s="560"/>
      <c r="U167" s="67"/>
      <c r="V167" s="67"/>
      <c r="W167" s="67"/>
      <c r="X167" s="67"/>
      <c r="Y167" s="560"/>
      <c r="Z167" s="67"/>
      <c r="AA167" s="67"/>
      <c r="AB167" s="67"/>
      <c r="AC167" s="67"/>
      <c r="AD167" s="560"/>
      <c r="AE167" s="67"/>
      <c r="AF167" s="67"/>
      <c r="AG167" s="67"/>
      <c r="AH167" s="67"/>
      <c r="AI167" s="560"/>
      <c r="AJ167" s="67"/>
      <c r="AK167" s="67"/>
      <c r="AL167" s="67"/>
      <c r="AM167" s="67"/>
      <c r="AN167" s="560"/>
      <c r="AO167" s="67"/>
      <c r="AP167" s="67"/>
      <c r="AQ167" s="67"/>
      <c r="AR167" s="67"/>
      <c r="AS167" s="560"/>
      <c r="AT167" s="67"/>
      <c r="AU167" s="67"/>
      <c r="AV167" s="67"/>
      <c r="AW167" s="67"/>
      <c r="AX167" s="560"/>
      <c r="AY167" s="67"/>
      <c r="AZ167" s="67"/>
      <c r="BA167" s="67"/>
      <c r="BB167" s="67"/>
      <c r="BC167" s="560"/>
      <c r="BD167" s="67"/>
      <c r="BE167" s="67"/>
      <c r="BF167" s="67"/>
      <c r="BG167" s="67"/>
      <c r="BH167" s="560"/>
      <c r="BI167" s="67"/>
      <c r="BJ167" s="67"/>
      <c r="BK167" s="67"/>
      <c r="BL167" s="67"/>
      <c r="BM167" s="560"/>
      <c r="BN167" s="67"/>
      <c r="BO167" s="67"/>
      <c r="BP167" s="67"/>
      <c r="BQ167" s="67"/>
      <c r="BR167" s="560"/>
      <c r="BS167" s="67"/>
      <c r="BT167" s="67"/>
      <c r="BU167" s="67"/>
      <c r="BV167" s="67"/>
      <c r="BW167" s="560"/>
      <c r="BX167" s="67"/>
      <c r="BY167" s="67"/>
      <c r="BZ167" s="67"/>
      <c r="CA167" s="67"/>
      <c r="CB167" s="560"/>
      <c r="CC167" s="67"/>
      <c r="CD167" s="67"/>
      <c r="CE167" s="67"/>
      <c r="CF167" s="67"/>
      <c r="CG167" s="560"/>
      <c r="CH167" s="67"/>
      <c r="CI167" s="67"/>
      <c r="CJ167" s="67"/>
      <c r="CK167" s="67"/>
      <c r="CL167" s="560"/>
      <c r="CM167" s="67"/>
      <c r="CN167" s="67"/>
      <c r="CO167" s="67"/>
      <c r="CP167" s="67"/>
      <c r="CQ167" s="560"/>
      <c r="CR167" s="67"/>
      <c r="CS167" s="67"/>
      <c r="CT167" s="67"/>
      <c r="CU167" s="67"/>
      <c r="CV167" s="560"/>
      <c r="CW167" s="67"/>
      <c r="CX167" s="67"/>
      <c r="CY167" s="67"/>
      <c r="CZ167" s="67"/>
      <c r="DA167" s="560"/>
      <c r="DB167" s="67"/>
      <c r="DC167" s="67"/>
      <c r="DD167" s="67"/>
      <c r="DE167" s="67"/>
      <c r="DF167" s="560"/>
      <c r="DG167" s="67"/>
      <c r="DH167" s="67"/>
      <c r="DI167" s="67"/>
      <c r="DJ167" s="67"/>
      <c r="DK167" s="560"/>
      <c r="DL167" s="67"/>
      <c r="DM167" s="67"/>
      <c r="DN167" s="67"/>
      <c r="DO167" s="67"/>
      <c r="DP167" s="560"/>
      <c r="DQ167" s="67"/>
      <c r="DR167" s="67"/>
      <c r="DS167" s="67"/>
      <c r="DT167" s="67"/>
      <c r="DU167" s="560"/>
      <c r="DV167" s="67"/>
      <c r="DW167" s="67"/>
      <c r="DX167" s="67"/>
      <c r="DY167" s="67"/>
      <c r="DZ167" s="560"/>
      <c r="EA167" s="67"/>
      <c r="EB167" s="67"/>
      <c r="EC167" s="67"/>
      <c r="ED167" s="67"/>
      <c r="EE167" s="560"/>
      <c r="EF167" s="67"/>
      <c r="EG167" s="67"/>
      <c r="EH167" s="67"/>
      <c r="EI167" s="67"/>
      <c r="EJ167" s="560"/>
      <c r="EK167" s="67"/>
      <c r="EL167" s="67"/>
      <c r="EM167" s="67"/>
      <c r="EN167" s="67"/>
      <c r="EO167" s="455"/>
      <c r="ER167" s="472"/>
      <c r="ES167" s="472"/>
    </row>
    <row r="168" spans="1:149" ht="12.75" customHeight="1" x14ac:dyDescent="0.2">
      <c r="A168" s="442"/>
      <c r="B168" s="442"/>
      <c r="D168" s="455" t="s">
        <v>373</v>
      </c>
      <c r="F168" s="442"/>
      <c r="G168" s="67">
        <f>SUM(G169:G171)</f>
        <v>0</v>
      </c>
      <c r="H168" s="67"/>
      <c r="I168" s="67"/>
      <c r="J168" s="560"/>
      <c r="K168" s="67"/>
      <c r="L168" s="67">
        <f>SUM(L169:L171)</f>
        <v>3019000</v>
      </c>
      <c r="M168" s="67"/>
      <c r="N168" s="67"/>
      <c r="O168" s="560"/>
      <c r="P168" s="67"/>
      <c r="Q168" s="67">
        <f>SUM(Q169:Q171)</f>
        <v>0</v>
      </c>
      <c r="R168" s="67"/>
      <c r="S168" s="67"/>
      <c r="T168" s="560"/>
      <c r="U168" s="67"/>
      <c r="V168" s="67">
        <f>SUM(V169:V171)</f>
        <v>0</v>
      </c>
      <c r="W168" s="67"/>
      <c r="X168" s="67"/>
      <c r="Y168" s="560"/>
      <c r="Z168" s="67"/>
      <c r="AA168" s="67">
        <f>SUM(AA169:AA171)</f>
        <v>0</v>
      </c>
      <c r="AB168" s="67"/>
      <c r="AC168" s="67"/>
      <c r="AD168" s="560"/>
      <c r="AE168" s="67"/>
      <c r="AF168" s="67">
        <f>SUM(AF169:AF171)</f>
        <v>0</v>
      </c>
      <c r="AG168" s="67"/>
      <c r="AH168" s="67"/>
      <c r="AI168" s="560"/>
      <c r="AJ168" s="67"/>
      <c r="AK168" s="67">
        <f>SUM(AK169:AK171)</f>
        <v>0</v>
      </c>
      <c r="AL168" s="67"/>
      <c r="AM168" s="67"/>
      <c r="AN168" s="560"/>
      <c r="AO168" s="67"/>
      <c r="AP168" s="67">
        <f>SUM(AP169:AP171)</f>
        <v>0</v>
      </c>
      <c r="AQ168" s="67"/>
      <c r="AR168" s="67"/>
      <c r="AS168" s="560"/>
      <c r="AT168" s="67"/>
      <c r="AU168" s="67">
        <f>SUM(AU169:AU171)</f>
        <v>0</v>
      </c>
      <c r="AV168" s="67"/>
      <c r="AW168" s="67"/>
      <c r="AX168" s="560"/>
      <c r="AY168" s="67"/>
      <c r="AZ168" s="67">
        <f>SUM(AZ169:AZ171)</f>
        <v>0</v>
      </c>
      <c r="BA168" s="67"/>
      <c r="BB168" s="67"/>
      <c r="BC168" s="560"/>
      <c r="BD168" s="67"/>
      <c r="BE168" s="67">
        <f>SUM(BE169:BE171)</f>
        <v>0</v>
      </c>
      <c r="BF168" s="67"/>
      <c r="BG168" s="67"/>
      <c r="BH168" s="560"/>
      <c r="BI168" s="67"/>
      <c r="BJ168" s="67">
        <f>SUM(BJ169:BJ171)</f>
        <v>0</v>
      </c>
      <c r="BK168" s="67"/>
      <c r="BL168" s="67"/>
      <c r="BM168" s="560"/>
      <c r="BN168" s="67"/>
      <c r="BO168" s="67">
        <f>SUM(BO169:BO171)</f>
        <v>0</v>
      </c>
      <c r="BP168" s="67"/>
      <c r="BQ168" s="67"/>
      <c r="BR168" s="560"/>
      <c r="BS168" s="67"/>
      <c r="BT168" s="67">
        <f>SUM(BT169:BT171)</f>
        <v>3019000</v>
      </c>
      <c r="BU168" s="67"/>
      <c r="BV168" s="67"/>
      <c r="BW168" s="560"/>
      <c r="BX168" s="67"/>
      <c r="BY168" s="67">
        <f>SUM(BY169:BY171)</f>
        <v>29152468</v>
      </c>
      <c r="BZ168" s="67"/>
      <c r="CA168" s="67"/>
      <c r="CB168" s="560"/>
      <c r="CC168" s="67"/>
      <c r="CD168" s="67">
        <f>SUM(CD169:CD171)</f>
        <v>800000</v>
      </c>
      <c r="CE168" s="67"/>
      <c r="CF168" s="67"/>
      <c r="CG168" s="560"/>
      <c r="CH168" s="67"/>
      <c r="CI168" s="67">
        <f>SUM(CI169:CI171)</f>
        <v>1648468</v>
      </c>
      <c r="CJ168" s="67"/>
      <c r="CK168" s="67"/>
      <c r="CL168" s="560"/>
      <c r="CM168" s="67"/>
      <c r="CN168" s="67">
        <f>SUM(CN169:CN171)</f>
        <v>0</v>
      </c>
      <c r="CO168" s="67"/>
      <c r="CP168" s="67"/>
      <c r="CQ168" s="560"/>
      <c r="CR168" s="67"/>
      <c r="CS168" s="67">
        <f>SUM(CS169:CS171)</f>
        <v>3292000</v>
      </c>
      <c r="CT168" s="67"/>
      <c r="CU168" s="67"/>
      <c r="CV168" s="560"/>
      <c r="CW168" s="67"/>
      <c r="CX168" s="67">
        <f>SUM(CX169:CX171)</f>
        <v>2823000</v>
      </c>
      <c r="CY168" s="67"/>
      <c r="CZ168" s="67"/>
      <c r="DA168" s="560"/>
      <c r="DB168" s="67"/>
      <c r="DC168" s="67">
        <f>SUM(DC169:DC171)</f>
        <v>1510000</v>
      </c>
      <c r="DD168" s="67"/>
      <c r="DE168" s="67"/>
      <c r="DF168" s="560"/>
      <c r="DG168" s="67"/>
      <c r="DH168" s="67">
        <f>SUM(DH169:DH171)</f>
        <v>1910000</v>
      </c>
      <c r="DI168" s="67"/>
      <c r="DJ168" s="67"/>
      <c r="DK168" s="560"/>
      <c r="DL168" s="67"/>
      <c r="DM168" s="67">
        <f>SUM(DM169:DM171)</f>
        <v>3528000</v>
      </c>
      <c r="DN168" s="67"/>
      <c r="DO168" s="67"/>
      <c r="DP168" s="560"/>
      <c r="DQ168" s="67"/>
      <c r="DR168" s="67">
        <f>SUM(DR169:DR171)</f>
        <v>755000</v>
      </c>
      <c r="DS168" s="67"/>
      <c r="DT168" s="67"/>
      <c r="DU168" s="560"/>
      <c r="DV168" s="67"/>
      <c r="DW168" s="67">
        <f>SUM(DW169:DW171)</f>
        <v>3760000</v>
      </c>
      <c r="DX168" s="67"/>
      <c r="DY168" s="67"/>
      <c r="DZ168" s="560"/>
      <c r="EA168" s="67"/>
      <c r="EB168" s="67">
        <f>SUM(EB169:EB171)</f>
        <v>2264000</v>
      </c>
      <c r="EC168" s="67"/>
      <c r="ED168" s="67"/>
      <c r="EE168" s="560"/>
      <c r="EF168" s="67"/>
      <c r="EG168" s="67">
        <f>SUM(EG169:EG171)</f>
        <v>6862000</v>
      </c>
      <c r="EH168" s="67"/>
      <c r="EI168" s="67"/>
      <c r="EJ168" s="560"/>
      <c r="EK168" s="67"/>
      <c r="EL168" s="67">
        <f>SUM(EL169:EL171)</f>
        <v>2448468</v>
      </c>
      <c r="EM168" s="67"/>
      <c r="EN168" s="67"/>
      <c r="EO168" s="455"/>
      <c r="ER168" s="472"/>
      <c r="ES168" s="472"/>
    </row>
    <row r="169" spans="1:149" ht="12.75" customHeight="1" x14ac:dyDescent="0.2">
      <c r="A169" s="442"/>
      <c r="B169" s="442"/>
      <c r="D169" s="455" t="s">
        <v>342</v>
      </c>
      <c r="F169" s="473"/>
      <c r="G169" s="558">
        <v>0</v>
      </c>
      <c r="H169" s="559"/>
      <c r="I169" s="67"/>
      <c r="J169" s="560"/>
      <c r="K169" s="561"/>
      <c r="L169" s="558">
        <f>3019000-705765</f>
        <v>2313235</v>
      </c>
      <c r="M169" s="559"/>
      <c r="N169" s="67"/>
      <c r="O169" s="560"/>
      <c r="P169" s="561"/>
      <c r="Q169" s="558">
        <v>0</v>
      </c>
      <c r="R169" s="559"/>
      <c r="S169" s="67"/>
      <c r="T169" s="560"/>
      <c r="U169" s="561"/>
      <c r="V169" s="558">
        <v>0</v>
      </c>
      <c r="W169" s="559"/>
      <c r="X169" s="67"/>
      <c r="Y169" s="560"/>
      <c r="Z169" s="561"/>
      <c r="AA169" s="558">
        <v>0</v>
      </c>
      <c r="AB169" s="559"/>
      <c r="AC169" s="67"/>
      <c r="AD169" s="560"/>
      <c r="AE169" s="561"/>
      <c r="AF169" s="558">
        <v>0</v>
      </c>
      <c r="AG169" s="559"/>
      <c r="AH169" s="67"/>
      <c r="AI169" s="560"/>
      <c r="AJ169" s="561"/>
      <c r="AK169" s="558">
        <v>0</v>
      </c>
      <c r="AL169" s="559"/>
      <c r="AM169" s="67"/>
      <c r="AN169" s="560"/>
      <c r="AO169" s="561"/>
      <c r="AP169" s="558">
        <v>0</v>
      </c>
      <c r="AQ169" s="559"/>
      <c r="AR169" s="67"/>
      <c r="AS169" s="560"/>
      <c r="AT169" s="561"/>
      <c r="AU169" s="558">
        <v>0</v>
      </c>
      <c r="AV169" s="559"/>
      <c r="AW169" s="67"/>
      <c r="AX169" s="560"/>
      <c r="AY169" s="561"/>
      <c r="AZ169" s="558">
        <v>0</v>
      </c>
      <c r="BA169" s="559"/>
      <c r="BB169" s="67"/>
      <c r="BC169" s="560"/>
      <c r="BD169" s="561"/>
      <c r="BE169" s="558">
        <v>0</v>
      </c>
      <c r="BF169" s="559"/>
      <c r="BG169" s="67"/>
      <c r="BH169" s="560"/>
      <c r="BI169" s="561"/>
      <c r="BJ169" s="558">
        <v>0</v>
      </c>
      <c r="BK169" s="559"/>
      <c r="BL169" s="67"/>
      <c r="BM169" s="560"/>
      <c r="BN169" s="561"/>
      <c r="BO169" s="558">
        <v>0</v>
      </c>
      <c r="BP169" s="559"/>
      <c r="BQ169" s="67"/>
      <c r="BR169" s="560"/>
      <c r="BS169" s="561"/>
      <c r="BT169" s="558">
        <f>SUM(L169:BO169)</f>
        <v>2313235</v>
      </c>
      <c r="BU169" s="559"/>
      <c r="BV169" s="67"/>
      <c r="BW169" s="560"/>
      <c r="BX169" s="561"/>
      <c r="BY169" s="558">
        <v>25378456</v>
      </c>
      <c r="BZ169" s="559"/>
      <c r="CA169" s="67"/>
      <c r="CB169" s="560"/>
      <c r="CC169" s="561"/>
      <c r="CD169" s="558">
        <f>800000-75033</f>
        <v>724967</v>
      </c>
      <c r="CE169" s="559"/>
      <c r="CF169" s="67"/>
      <c r="CG169" s="560"/>
      <c r="CH169" s="561"/>
      <c r="CI169" s="558">
        <f>1648468-165869</f>
        <v>1482599</v>
      </c>
      <c r="CJ169" s="559"/>
      <c r="CK169" s="67"/>
      <c r="CL169" s="560"/>
      <c r="CM169" s="561"/>
      <c r="CN169" s="558">
        <v>0</v>
      </c>
      <c r="CO169" s="559"/>
      <c r="CP169" s="67"/>
      <c r="CQ169" s="560"/>
      <c r="CR169" s="561"/>
      <c r="CS169" s="558">
        <f>3292000-271930</f>
        <v>3020070</v>
      </c>
      <c r="CT169" s="559"/>
      <c r="CU169" s="67"/>
      <c r="CV169" s="560"/>
      <c r="CW169" s="561"/>
      <c r="CX169" s="558">
        <f>2823000-313566</f>
        <v>2509434</v>
      </c>
      <c r="CY169" s="559"/>
      <c r="CZ169" s="67"/>
      <c r="DA169" s="560"/>
      <c r="DB169" s="561"/>
      <c r="DC169" s="558">
        <f>1510000-156930</f>
        <v>1353070</v>
      </c>
      <c r="DD169" s="559"/>
      <c r="DE169" s="67"/>
      <c r="DF169" s="560"/>
      <c r="DG169" s="561"/>
      <c r="DH169" s="558">
        <f>1910000-180384</f>
        <v>1729616</v>
      </c>
      <c r="DI169" s="559"/>
      <c r="DJ169" s="67"/>
      <c r="DK169" s="560"/>
      <c r="DL169" s="561"/>
      <c r="DM169" s="558">
        <f>3528000-413024</f>
        <v>3114976</v>
      </c>
      <c r="DN169" s="559"/>
      <c r="DO169" s="67"/>
      <c r="DP169" s="560"/>
      <c r="DQ169" s="561"/>
      <c r="DR169" s="558">
        <f>755000-96806</f>
        <v>658194</v>
      </c>
      <c r="DS169" s="559"/>
      <c r="DT169" s="67"/>
      <c r="DU169" s="560"/>
      <c r="DV169" s="561"/>
      <c r="DW169" s="558">
        <f>3760000-462363</f>
        <v>3297637</v>
      </c>
      <c r="DX169" s="559"/>
      <c r="DY169" s="67"/>
      <c r="DZ169" s="560"/>
      <c r="EA169" s="561"/>
      <c r="EB169" s="558">
        <f>2264000-253083</f>
        <v>2010917</v>
      </c>
      <c r="EC169" s="559"/>
      <c r="ED169" s="67"/>
      <c r="EE169" s="560"/>
      <c r="EF169" s="561"/>
      <c r="EG169" s="558">
        <f>6862000-1385024</f>
        <v>5476976</v>
      </c>
      <c r="EH169" s="559"/>
      <c r="EI169" s="67"/>
      <c r="EJ169" s="560"/>
      <c r="EK169" s="561"/>
      <c r="EL169" s="558">
        <f>SUM(CD169:CI169)</f>
        <v>2207566</v>
      </c>
      <c r="EM169" s="559"/>
      <c r="EN169" s="67"/>
      <c r="EO169" s="455"/>
      <c r="ER169" s="472"/>
      <c r="ES169" s="472"/>
    </row>
    <row r="170" spans="1:149" ht="12.75" customHeight="1" x14ac:dyDescent="0.2">
      <c r="A170" s="442"/>
      <c r="B170" s="442"/>
      <c r="D170" s="455" t="s">
        <v>344</v>
      </c>
      <c r="F170" s="465"/>
      <c r="G170" s="67">
        <v>0</v>
      </c>
      <c r="H170" s="66"/>
      <c r="I170" s="67"/>
      <c r="J170" s="560"/>
      <c r="K170" s="560"/>
      <c r="L170" s="67">
        <v>705765</v>
      </c>
      <c r="M170" s="66"/>
      <c r="N170" s="67"/>
      <c r="O170" s="560"/>
      <c r="P170" s="560"/>
      <c r="Q170" s="67">
        <v>0</v>
      </c>
      <c r="R170" s="66"/>
      <c r="S170" s="67"/>
      <c r="T170" s="560"/>
      <c r="U170" s="560"/>
      <c r="V170" s="67">
        <v>0</v>
      </c>
      <c r="W170" s="66"/>
      <c r="X170" s="67"/>
      <c r="Y170" s="560"/>
      <c r="Z170" s="560"/>
      <c r="AA170" s="67">
        <v>0</v>
      </c>
      <c r="AB170" s="66"/>
      <c r="AC170" s="67"/>
      <c r="AD170" s="560"/>
      <c r="AE170" s="560"/>
      <c r="AF170" s="67">
        <v>0</v>
      </c>
      <c r="AG170" s="66"/>
      <c r="AH170" s="67"/>
      <c r="AI170" s="560"/>
      <c r="AJ170" s="560"/>
      <c r="AK170" s="67">
        <v>0</v>
      </c>
      <c r="AL170" s="66"/>
      <c r="AM170" s="67"/>
      <c r="AN170" s="560"/>
      <c r="AO170" s="560"/>
      <c r="AP170" s="67">
        <v>0</v>
      </c>
      <c r="AQ170" s="66"/>
      <c r="AR170" s="67"/>
      <c r="AS170" s="560"/>
      <c r="AT170" s="560"/>
      <c r="AU170" s="67">
        <v>0</v>
      </c>
      <c r="AV170" s="66"/>
      <c r="AW170" s="67"/>
      <c r="AX170" s="560"/>
      <c r="AY170" s="560"/>
      <c r="AZ170" s="67">
        <v>0</v>
      </c>
      <c r="BA170" s="66"/>
      <c r="BB170" s="67"/>
      <c r="BC170" s="560"/>
      <c r="BD170" s="560"/>
      <c r="BE170" s="67">
        <v>0</v>
      </c>
      <c r="BF170" s="66"/>
      <c r="BG170" s="67"/>
      <c r="BH170" s="560"/>
      <c r="BI170" s="560"/>
      <c r="BJ170" s="67">
        <v>0</v>
      </c>
      <c r="BK170" s="66"/>
      <c r="BL170" s="67"/>
      <c r="BM170" s="560"/>
      <c r="BN170" s="560"/>
      <c r="BO170" s="67">
        <v>0</v>
      </c>
      <c r="BP170" s="66"/>
      <c r="BQ170" s="67"/>
      <c r="BR170" s="560"/>
      <c r="BS170" s="560"/>
      <c r="BT170" s="67">
        <f>SUM(L170:BO170)</f>
        <v>705765</v>
      </c>
      <c r="BU170" s="66"/>
      <c r="BV170" s="67"/>
      <c r="BW170" s="560"/>
      <c r="BX170" s="560"/>
      <c r="BY170" s="67">
        <v>3774012</v>
      </c>
      <c r="BZ170" s="66"/>
      <c r="CA170" s="67"/>
      <c r="CB170" s="560"/>
      <c r="CC170" s="560"/>
      <c r="CD170" s="67">
        <v>75033</v>
      </c>
      <c r="CE170" s="66"/>
      <c r="CF170" s="67"/>
      <c r="CG170" s="560"/>
      <c r="CH170" s="560"/>
      <c r="CI170" s="67">
        <v>165869</v>
      </c>
      <c r="CJ170" s="66"/>
      <c r="CK170" s="67"/>
      <c r="CL170" s="560"/>
      <c r="CM170" s="560"/>
      <c r="CN170" s="67">
        <v>0</v>
      </c>
      <c r="CO170" s="66"/>
      <c r="CP170" s="67"/>
      <c r="CQ170" s="560"/>
      <c r="CR170" s="560"/>
      <c r="CS170" s="67">
        <v>271930</v>
      </c>
      <c r="CT170" s="66"/>
      <c r="CU170" s="67"/>
      <c r="CV170" s="560"/>
      <c r="CW170" s="560"/>
      <c r="CX170" s="67">
        <v>313566</v>
      </c>
      <c r="CY170" s="66"/>
      <c r="CZ170" s="67"/>
      <c r="DA170" s="560"/>
      <c r="DB170" s="560"/>
      <c r="DC170" s="67">
        <v>156930</v>
      </c>
      <c r="DD170" s="66"/>
      <c r="DE170" s="67"/>
      <c r="DF170" s="560"/>
      <c r="DG170" s="560"/>
      <c r="DH170" s="67">
        <v>180384</v>
      </c>
      <c r="DI170" s="66"/>
      <c r="DJ170" s="67"/>
      <c r="DK170" s="560"/>
      <c r="DL170" s="560"/>
      <c r="DM170" s="67">
        <v>413024</v>
      </c>
      <c r="DN170" s="66"/>
      <c r="DO170" s="67"/>
      <c r="DP170" s="560"/>
      <c r="DQ170" s="560"/>
      <c r="DR170" s="67">
        <v>96806</v>
      </c>
      <c r="DS170" s="66"/>
      <c r="DT170" s="67"/>
      <c r="DU170" s="560"/>
      <c r="DV170" s="560"/>
      <c r="DW170" s="67">
        <v>462363</v>
      </c>
      <c r="DX170" s="66"/>
      <c r="DY170" s="67"/>
      <c r="DZ170" s="560"/>
      <c r="EA170" s="560"/>
      <c r="EB170" s="67">
        <v>253083</v>
      </c>
      <c r="EC170" s="66"/>
      <c r="ED170" s="67"/>
      <c r="EE170" s="560"/>
      <c r="EF170" s="560"/>
      <c r="EG170" s="67">
        <v>1385024</v>
      </c>
      <c r="EH170" s="66"/>
      <c r="EI170" s="67"/>
      <c r="EJ170" s="560"/>
      <c r="EK170" s="560"/>
      <c r="EL170" s="67">
        <f>SUM(CD170:CI170)</f>
        <v>240902</v>
      </c>
      <c r="EM170" s="66"/>
      <c r="EN170" s="67"/>
      <c r="EO170" s="455"/>
      <c r="ER170" s="472"/>
      <c r="ES170" s="472"/>
    </row>
    <row r="171" spans="1:149" ht="12.75" customHeight="1" x14ac:dyDescent="0.2">
      <c r="A171" s="442"/>
      <c r="B171" s="442"/>
      <c r="D171" s="455" t="s">
        <v>345</v>
      </c>
      <c r="F171" s="488"/>
      <c r="G171" s="113">
        <v>0</v>
      </c>
      <c r="H171" s="112"/>
      <c r="I171" s="67"/>
      <c r="J171" s="560"/>
      <c r="K171" s="569"/>
      <c r="L171" s="113">
        <v>0</v>
      </c>
      <c r="M171" s="112"/>
      <c r="N171" s="67"/>
      <c r="O171" s="560"/>
      <c r="P171" s="569"/>
      <c r="Q171" s="113">
        <v>0</v>
      </c>
      <c r="R171" s="112"/>
      <c r="S171" s="67"/>
      <c r="T171" s="560"/>
      <c r="U171" s="569"/>
      <c r="V171" s="113">
        <v>0</v>
      </c>
      <c r="W171" s="112"/>
      <c r="X171" s="67"/>
      <c r="Y171" s="560"/>
      <c r="Z171" s="569"/>
      <c r="AA171" s="113">
        <v>0</v>
      </c>
      <c r="AB171" s="112"/>
      <c r="AC171" s="67"/>
      <c r="AD171" s="560"/>
      <c r="AE171" s="569"/>
      <c r="AF171" s="113">
        <v>0</v>
      </c>
      <c r="AG171" s="112"/>
      <c r="AH171" s="67"/>
      <c r="AI171" s="560"/>
      <c r="AJ171" s="569"/>
      <c r="AK171" s="113">
        <v>0</v>
      </c>
      <c r="AL171" s="112"/>
      <c r="AM171" s="67"/>
      <c r="AN171" s="560"/>
      <c r="AO171" s="569"/>
      <c r="AP171" s="113">
        <v>0</v>
      </c>
      <c r="AQ171" s="112"/>
      <c r="AR171" s="67"/>
      <c r="AS171" s="560"/>
      <c r="AT171" s="569"/>
      <c r="AU171" s="113">
        <v>0</v>
      </c>
      <c r="AV171" s="112"/>
      <c r="AW171" s="67"/>
      <c r="AX171" s="560"/>
      <c r="AY171" s="569"/>
      <c r="AZ171" s="113">
        <v>0</v>
      </c>
      <c r="BA171" s="112"/>
      <c r="BB171" s="67"/>
      <c r="BC171" s="560"/>
      <c r="BD171" s="569"/>
      <c r="BE171" s="113">
        <v>0</v>
      </c>
      <c r="BF171" s="112"/>
      <c r="BG171" s="67"/>
      <c r="BH171" s="560"/>
      <c r="BI171" s="569"/>
      <c r="BJ171" s="113">
        <v>0</v>
      </c>
      <c r="BK171" s="112"/>
      <c r="BL171" s="67"/>
      <c r="BM171" s="560"/>
      <c r="BN171" s="569"/>
      <c r="BO171" s="113">
        <v>0</v>
      </c>
      <c r="BP171" s="112"/>
      <c r="BQ171" s="67"/>
      <c r="BR171" s="560"/>
      <c r="BS171" s="569"/>
      <c r="BT171" s="113">
        <f>SUM(L171:BO171)</f>
        <v>0</v>
      </c>
      <c r="BU171" s="112"/>
      <c r="BV171" s="67"/>
      <c r="BW171" s="560"/>
      <c r="BX171" s="569"/>
      <c r="BY171" s="113">
        <v>0</v>
      </c>
      <c r="BZ171" s="112"/>
      <c r="CA171" s="67"/>
      <c r="CB171" s="560"/>
      <c r="CC171" s="569"/>
      <c r="CD171" s="113">
        <v>0</v>
      </c>
      <c r="CE171" s="112"/>
      <c r="CF171" s="67"/>
      <c r="CG171" s="560"/>
      <c r="CH171" s="569"/>
      <c r="CI171" s="113">
        <v>0</v>
      </c>
      <c r="CJ171" s="112"/>
      <c r="CK171" s="67"/>
      <c r="CL171" s="560"/>
      <c r="CM171" s="569"/>
      <c r="CN171" s="113">
        <v>0</v>
      </c>
      <c r="CO171" s="112"/>
      <c r="CP171" s="67"/>
      <c r="CQ171" s="560"/>
      <c r="CR171" s="569"/>
      <c r="CS171" s="113">
        <v>0</v>
      </c>
      <c r="CT171" s="112"/>
      <c r="CU171" s="67"/>
      <c r="CV171" s="560"/>
      <c r="CW171" s="569"/>
      <c r="CX171" s="113">
        <v>0</v>
      </c>
      <c r="CY171" s="112"/>
      <c r="CZ171" s="67"/>
      <c r="DA171" s="560"/>
      <c r="DB171" s="569"/>
      <c r="DC171" s="113">
        <v>0</v>
      </c>
      <c r="DD171" s="112"/>
      <c r="DE171" s="67"/>
      <c r="DF171" s="560"/>
      <c r="DG171" s="569"/>
      <c r="DH171" s="113">
        <v>0</v>
      </c>
      <c r="DI171" s="112"/>
      <c r="DJ171" s="67"/>
      <c r="DK171" s="560"/>
      <c r="DL171" s="569"/>
      <c r="DM171" s="113">
        <v>0</v>
      </c>
      <c r="DN171" s="112"/>
      <c r="DO171" s="67"/>
      <c r="DP171" s="560"/>
      <c r="DQ171" s="569"/>
      <c r="DR171" s="113">
        <v>0</v>
      </c>
      <c r="DS171" s="112"/>
      <c r="DT171" s="67"/>
      <c r="DU171" s="560"/>
      <c r="DV171" s="569"/>
      <c r="DW171" s="113">
        <v>0</v>
      </c>
      <c r="DX171" s="112"/>
      <c r="DY171" s="67"/>
      <c r="DZ171" s="560"/>
      <c r="EA171" s="569"/>
      <c r="EB171" s="113">
        <v>0</v>
      </c>
      <c r="EC171" s="112"/>
      <c r="ED171" s="67"/>
      <c r="EE171" s="560"/>
      <c r="EF171" s="569"/>
      <c r="EG171" s="113">
        <v>0</v>
      </c>
      <c r="EH171" s="112"/>
      <c r="EI171" s="67"/>
      <c r="EJ171" s="560"/>
      <c r="EK171" s="569"/>
      <c r="EL171" s="113">
        <f>SUM(CD171:CI171)</f>
        <v>0</v>
      </c>
      <c r="EM171" s="112"/>
      <c r="EN171" s="67"/>
      <c r="EO171" s="455"/>
      <c r="ER171" s="472"/>
      <c r="ES171" s="472"/>
    </row>
    <row r="172" spans="1:149" ht="12.75" customHeight="1" x14ac:dyDescent="0.2">
      <c r="A172" s="442"/>
      <c r="B172" s="442"/>
      <c r="D172" s="455"/>
      <c r="F172" s="442"/>
      <c r="G172" s="67"/>
      <c r="H172" s="67"/>
      <c r="I172" s="67"/>
      <c r="J172" s="560"/>
      <c r="K172" s="67"/>
      <c r="L172" s="67"/>
      <c r="M172" s="67"/>
      <c r="N172" s="67"/>
      <c r="O172" s="560"/>
      <c r="P172" s="67"/>
      <c r="Q172" s="67"/>
      <c r="R172" s="67"/>
      <c r="S172" s="67"/>
      <c r="T172" s="560"/>
      <c r="U172" s="67"/>
      <c r="V172" s="67"/>
      <c r="W172" s="67"/>
      <c r="X172" s="67"/>
      <c r="Y172" s="560"/>
      <c r="Z172" s="67"/>
      <c r="AA172" s="67"/>
      <c r="AB172" s="67"/>
      <c r="AC172" s="67"/>
      <c r="AD172" s="560"/>
      <c r="AE172" s="67"/>
      <c r="AF172" s="67"/>
      <c r="AG172" s="67"/>
      <c r="AH172" s="67"/>
      <c r="AI172" s="560"/>
      <c r="AJ172" s="67"/>
      <c r="AK172" s="67"/>
      <c r="AL172" s="67"/>
      <c r="AM172" s="67"/>
      <c r="AN172" s="560"/>
      <c r="AO172" s="67"/>
      <c r="AP172" s="67"/>
      <c r="AQ172" s="67"/>
      <c r="AR172" s="67"/>
      <c r="AS172" s="560"/>
      <c r="AT172" s="67"/>
      <c r="AU172" s="67"/>
      <c r="AV172" s="67"/>
      <c r="AW172" s="67"/>
      <c r="AX172" s="560"/>
      <c r="AY172" s="67"/>
      <c r="AZ172" s="67"/>
      <c r="BA172" s="67"/>
      <c r="BB172" s="67"/>
      <c r="BC172" s="560"/>
      <c r="BD172" s="67"/>
      <c r="BE172" s="67"/>
      <c r="BF172" s="67"/>
      <c r="BG172" s="67"/>
      <c r="BH172" s="560"/>
      <c r="BI172" s="67"/>
      <c r="BJ172" s="67"/>
      <c r="BK172" s="67"/>
      <c r="BL172" s="67"/>
      <c r="BM172" s="560"/>
      <c r="BN172" s="67"/>
      <c r="BO172" s="67"/>
      <c r="BP172" s="67"/>
      <c r="BQ172" s="67"/>
      <c r="BR172" s="560"/>
      <c r="BS172" s="67"/>
      <c r="BT172" s="67"/>
      <c r="BU172" s="67"/>
      <c r="BV172" s="67"/>
      <c r="BW172" s="560"/>
      <c r="BX172" s="67"/>
      <c r="BY172" s="67"/>
      <c r="BZ172" s="67"/>
      <c r="CA172" s="67"/>
      <c r="CB172" s="560"/>
      <c r="CC172" s="67"/>
      <c r="CD172" s="67"/>
      <c r="CE172" s="67"/>
      <c r="CF172" s="67"/>
      <c r="CG172" s="560"/>
      <c r="CH172" s="67"/>
      <c r="CI172" s="67"/>
      <c r="CJ172" s="67"/>
      <c r="CK172" s="67"/>
      <c r="CL172" s="560"/>
      <c r="CM172" s="67"/>
      <c r="CN172" s="67"/>
      <c r="CO172" s="67"/>
      <c r="CP172" s="67"/>
      <c r="CQ172" s="560"/>
      <c r="CR172" s="67"/>
      <c r="CS172" s="67"/>
      <c r="CT172" s="67"/>
      <c r="CU172" s="67"/>
      <c r="CV172" s="560"/>
      <c r="CW172" s="67"/>
      <c r="CX172" s="67"/>
      <c r="CY172" s="67"/>
      <c r="CZ172" s="67"/>
      <c r="DA172" s="560"/>
      <c r="DB172" s="67"/>
      <c r="DC172" s="67"/>
      <c r="DD172" s="67"/>
      <c r="DE172" s="67"/>
      <c r="DF172" s="560"/>
      <c r="DG172" s="67"/>
      <c r="DH172" s="67"/>
      <c r="DI172" s="67"/>
      <c r="DJ172" s="67"/>
      <c r="DK172" s="560"/>
      <c r="DL172" s="67"/>
      <c r="DM172" s="67"/>
      <c r="DN172" s="67"/>
      <c r="DO172" s="67"/>
      <c r="DP172" s="560"/>
      <c r="DQ172" s="67"/>
      <c r="DR172" s="67"/>
      <c r="DS172" s="67"/>
      <c r="DT172" s="67"/>
      <c r="DU172" s="560"/>
      <c r="DV172" s="67"/>
      <c r="DW172" s="67"/>
      <c r="DX172" s="67"/>
      <c r="DY172" s="67"/>
      <c r="DZ172" s="560"/>
      <c r="EA172" s="67"/>
      <c r="EB172" s="67"/>
      <c r="EC172" s="67"/>
      <c r="ED172" s="67"/>
      <c r="EE172" s="560"/>
      <c r="EF172" s="67"/>
      <c r="EG172" s="67"/>
      <c r="EH172" s="67"/>
      <c r="EI172" s="67"/>
      <c r="EJ172" s="560"/>
      <c r="EK172" s="67"/>
      <c r="EL172" s="67"/>
      <c r="EM172" s="67"/>
      <c r="EN172" s="67"/>
      <c r="EO172" s="455"/>
      <c r="ER172" s="472"/>
      <c r="ES172" s="472"/>
    </row>
    <row r="173" spans="1:149" ht="12.75" customHeight="1" x14ac:dyDescent="0.2">
      <c r="A173" s="442"/>
      <c r="B173" s="442"/>
      <c r="D173" s="455" t="s">
        <v>374</v>
      </c>
      <c r="F173" s="442"/>
      <c r="G173" s="67">
        <f>SUM(G174:G176)</f>
        <v>0</v>
      </c>
      <c r="H173" s="67"/>
      <c r="I173" s="67"/>
      <c r="J173" s="560"/>
      <c r="K173" s="67"/>
      <c r="L173" s="67">
        <f>SUM(L174:L176)</f>
        <v>0</v>
      </c>
      <c r="M173" s="67"/>
      <c r="N173" s="67"/>
      <c r="O173" s="560"/>
      <c r="P173" s="67"/>
      <c r="Q173" s="67">
        <f>SUM(Q174:Q176)</f>
        <v>0</v>
      </c>
      <c r="R173" s="67"/>
      <c r="S173" s="67"/>
      <c r="T173" s="560"/>
      <c r="U173" s="67"/>
      <c r="V173" s="67">
        <f>SUM(V174:V176)</f>
        <v>0</v>
      </c>
      <c r="W173" s="67"/>
      <c r="X173" s="67"/>
      <c r="Y173" s="560"/>
      <c r="Z173" s="67"/>
      <c r="AA173" s="67">
        <f>SUM(AA174:AA176)</f>
        <v>0</v>
      </c>
      <c r="AB173" s="67"/>
      <c r="AC173" s="67"/>
      <c r="AD173" s="560"/>
      <c r="AE173" s="67"/>
      <c r="AF173" s="67">
        <f>SUM(AF174:AF176)</f>
        <v>0</v>
      </c>
      <c r="AG173" s="67"/>
      <c r="AH173" s="67"/>
      <c r="AI173" s="560"/>
      <c r="AJ173" s="67"/>
      <c r="AK173" s="67">
        <f>SUM(AK174:AK176)</f>
        <v>0</v>
      </c>
      <c r="AL173" s="67"/>
      <c r="AM173" s="67"/>
      <c r="AN173" s="560"/>
      <c r="AO173" s="67"/>
      <c r="AP173" s="67">
        <f>SUM(AP174:AP176)</f>
        <v>0</v>
      </c>
      <c r="AQ173" s="67"/>
      <c r="AR173" s="67"/>
      <c r="AS173" s="560"/>
      <c r="AT173" s="67"/>
      <c r="AU173" s="67">
        <f>SUM(AU174:AU176)</f>
        <v>0</v>
      </c>
      <c r="AV173" s="67"/>
      <c r="AW173" s="67"/>
      <c r="AX173" s="560"/>
      <c r="AY173" s="67"/>
      <c r="AZ173" s="67">
        <f>SUM(AZ174:AZ176)</f>
        <v>0</v>
      </c>
      <c r="BA173" s="67"/>
      <c r="BB173" s="67"/>
      <c r="BC173" s="560"/>
      <c r="BD173" s="67"/>
      <c r="BE173" s="67">
        <f>SUM(BE174:BE176)</f>
        <v>0</v>
      </c>
      <c r="BF173" s="67"/>
      <c r="BG173" s="67"/>
      <c r="BH173" s="560"/>
      <c r="BI173" s="67"/>
      <c r="BJ173" s="67">
        <f>SUM(BJ174:BJ176)</f>
        <v>0</v>
      </c>
      <c r="BK173" s="67"/>
      <c r="BL173" s="67"/>
      <c r="BM173" s="560"/>
      <c r="BN173" s="67"/>
      <c r="BO173" s="67">
        <f>SUM(BO174:BO176)</f>
        <v>0</v>
      </c>
      <c r="BP173" s="67"/>
      <c r="BQ173" s="67"/>
      <c r="BR173" s="560"/>
      <c r="BS173" s="67"/>
      <c r="BT173" s="67">
        <f>SUM(BT174:BT176)</f>
        <v>0</v>
      </c>
      <c r="BU173" s="67"/>
      <c r="BV173" s="67"/>
      <c r="BW173" s="560"/>
      <c r="BX173" s="67"/>
      <c r="BY173" s="67">
        <f>SUM(BY174:BY176)</f>
        <v>16284676</v>
      </c>
      <c r="BZ173" s="67"/>
      <c r="CA173" s="67"/>
      <c r="CB173" s="560"/>
      <c r="CC173" s="67"/>
      <c r="CD173" s="67">
        <f>SUM(CD174:CD176)</f>
        <v>1647000</v>
      </c>
      <c r="CE173" s="67"/>
      <c r="CF173" s="67"/>
      <c r="CG173" s="560"/>
      <c r="CH173" s="67"/>
      <c r="CI173" s="67">
        <f>SUM(CI174:CI176)</f>
        <v>1138676</v>
      </c>
      <c r="CJ173" s="67"/>
      <c r="CK173" s="67"/>
      <c r="CL173" s="560"/>
      <c r="CM173" s="67"/>
      <c r="CN173" s="67">
        <f>SUM(CN174:CN176)</f>
        <v>0</v>
      </c>
      <c r="CO173" s="67"/>
      <c r="CP173" s="67"/>
      <c r="CQ173" s="560"/>
      <c r="CR173" s="67"/>
      <c r="CS173" s="67">
        <f>SUM(CS174:CS176)</f>
        <v>0</v>
      </c>
      <c r="CT173" s="67"/>
      <c r="CU173" s="67"/>
      <c r="CV173" s="560"/>
      <c r="CW173" s="67"/>
      <c r="CX173" s="67">
        <f>SUM(CX174:CX176)</f>
        <v>2262000</v>
      </c>
      <c r="CY173" s="67"/>
      <c r="CZ173" s="67"/>
      <c r="DA173" s="560"/>
      <c r="DB173" s="67"/>
      <c r="DC173" s="67">
        <f>SUM(DC174:DC176)</f>
        <v>0</v>
      </c>
      <c r="DD173" s="67"/>
      <c r="DE173" s="67"/>
      <c r="DF173" s="560"/>
      <c r="DG173" s="67"/>
      <c r="DH173" s="67">
        <f>SUM(DH174:DH176)</f>
        <v>0</v>
      </c>
      <c r="DI173" s="67"/>
      <c r="DJ173" s="67"/>
      <c r="DK173" s="560"/>
      <c r="DL173" s="67"/>
      <c r="DM173" s="67">
        <f>SUM(DM174:DM176)</f>
        <v>3773000</v>
      </c>
      <c r="DN173" s="67"/>
      <c r="DO173" s="67"/>
      <c r="DP173" s="560"/>
      <c r="DQ173" s="67"/>
      <c r="DR173" s="67">
        <f>SUM(DR174:DR176)</f>
        <v>752000</v>
      </c>
      <c r="DS173" s="67"/>
      <c r="DT173" s="67"/>
      <c r="DU173" s="560"/>
      <c r="DV173" s="67"/>
      <c r="DW173" s="67">
        <f>SUM(DW174:DW176)</f>
        <v>3698000</v>
      </c>
      <c r="DX173" s="67"/>
      <c r="DY173" s="67"/>
      <c r="DZ173" s="560"/>
      <c r="EA173" s="67"/>
      <c r="EB173" s="67">
        <f>SUM(EB174:EB176)</f>
        <v>3014000</v>
      </c>
      <c r="EC173" s="67"/>
      <c r="ED173" s="67"/>
      <c r="EE173" s="560"/>
      <c r="EF173" s="67"/>
      <c r="EG173" s="67">
        <f>SUM(EG174:EG176)</f>
        <v>0</v>
      </c>
      <c r="EH173" s="67"/>
      <c r="EI173" s="67"/>
      <c r="EJ173" s="560"/>
      <c r="EK173" s="67"/>
      <c r="EL173" s="67">
        <f>SUM(EL174:EL176)</f>
        <v>2785676</v>
      </c>
      <c r="EM173" s="67"/>
      <c r="EN173" s="67"/>
      <c r="EO173" s="455"/>
      <c r="ER173" s="472"/>
      <c r="ES173" s="472"/>
    </row>
    <row r="174" spans="1:149" ht="12.75" customHeight="1" x14ac:dyDescent="0.2">
      <c r="A174" s="442"/>
      <c r="B174" s="442"/>
      <c r="D174" s="455" t="s">
        <v>342</v>
      </c>
      <c r="F174" s="473"/>
      <c r="G174" s="558">
        <v>0</v>
      </c>
      <c r="H174" s="559"/>
      <c r="I174" s="67"/>
      <c r="J174" s="560"/>
      <c r="K174" s="561"/>
      <c r="L174" s="558">
        <v>0</v>
      </c>
      <c r="M174" s="559"/>
      <c r="N174" s="67"/>
      <c r="O174" s="560"/>
      <c r="P174" s="561"/>
      <c r="Q174" s="558">
        <v>0</v>
      </c>
      <c r="R174" s="559"/>
      <c r="S174" s="67"/>
      <c r="T174" s="560"/>
      <c r="U174" s="561"/>
      <c r="V174" s="558">
        <v>0</v>
      </c>
      <c r="W174" s="559"/>
      <c r="X174" s="67"/>
      <c r="Y174" s="560"/>
      <c r="Z174" s="561"/>
      <c r="AA174" s="558">
        <v>0</v>
      </c>
      <c r="AB174" s="559"/>
      <c r="AC174" s="67"/>
      <c r="AD174" s="560"/>
      <c r="AE174" s="561"/>
      <c r="AF174" s="558">
        <v>0</v>
      </c>
      <c r="AG174" s="559"/>
      <c r="AH174" s="67"/>
      <c r="AI174" s="560"/>
      <c r="AJ174" s="561"/>
      <c r="AK174" s="558">
        <v>0</v>
      </c>
      <c r="AL174" s="559"/>
      <c r="AM174" s="67"/>
      <c r="AN174" s="560"/>
      <c r="AO174" s="561"/>
      <c r="AP174" s="558">
        <v>0</v>
      </c>
      <c r="AQ174" s="559"/>
      <c r="AR174" s="67"/>
      <c r="AS174" s="560"/>
      <c r="AT174" s="561"/>
      <c r="AU174" s="558">
        <v>0</v>
      </c>
      <c r="AV174" s="559"/>
      <c r="AW174" s="67"/>
      <c r="AX174" s="560"/>
      <c r="AY174" s="561"/>
      <c r="AZ174" s="558">
        <v>0</v>
      </c>
      <c r="BA174" s="559"/>
      <c r="BB174" s="67"/>
      <c r="BC174" s="560"/>
      <c r="BD174" s="561"/>
      <c r="BE174" s="558">
        <v>0</v>
      </c>
      <c r="BF174" s="559"/>
      <c r="BG174" s="67"/>
      <c r="BH174" s="560"/>
      <c r="BI174" s="561"/>
      <c r="BJ174" s="558">
        <v>0</v>
      </c>
      <c r="BK174" s="559"/>
      <c r="BL174" s="67"/>
      <c r="BM174" s="560"/>
      <c r="BN174" s="561"/>
      <c r="BO174" s="558">
        <v>0</v>
      </c>
      <c r="BP174" s="559"/>
      <c r="BQ174" s="67"/>
      <c r="BR174" s="560"/>
      <c r="BS174" s="561"/>
      <c r="BT174" s="558">
        <f>SUM(L174:BO174)</f>
        <v>0</v>
      </c>
      <c r="BU174" s="559"/>
      <c r="BV174" s="67"/>
      <c r="BW174" s="560"/>
      <c r="BX174" s="561"/>
      <c r="BY174" s="558">
        <v>14295666</v>
      </c>
      <c r="BZ174" s="559"/>
      <c r="CA174" s="67"/>
      <c r="CB174" s="560"/>
      <c r="CC174" s="561"/>
      <c r="CD174" s="558">
        <f>1647000-140372</f>
        <v>1506628</v>
      </c>
      <c r="CE174" s="559"/>
      <c r="CF174" s="67"/>
      <c r="CG174" s="560"/>
      <c r="CH174" s="561"/>
      <c r="CI174" s="558">
        <f>1138676-110643</f>
        <v>1028033</v>
      </c>
      <c r="CJ174" s="559"/>
      <c r="CK174" s="67"/>
      <c r="CL174" s="560"/>
      <c r="CM174" s="561"/>
      <c r="CN174" s="558">
        <v>0</v>
      </c>
      <c r="CO174" s="559"/>
      <c r="CP174" s="67"/>
      <c r="CQ174" s="560"/>
      <c r="CR174" s="561"/>
      <c r="CS174" s="558">
        <v>0</v>
      </c>
      <c r="CT174" s="559"/>
      <c r="CU174" s="67"/>
      <c r="CV174" s="560"/>
      <c r="CW174" s="561"/>
      <c r="CX174" s="558">
        <f>2262000-273679</f>
        <v>1988321</v>
      </c>
      <c r="CY174" s="559"/>
      <c r="CZ174" s="67"/>
      <c r="DA174" s="560"/>
      <c r="DB174" s="561"/>
      <c r="DC174" s="558">
        <v>0</v>
      </c>
      <c r="DD174" s="559"/>
      <c r="DE174" s="67"/>
      <c r="DF174" s="560"/>
      <c r="DG174" s="561"/>
      <c r="DH174" s="558">
        <v>0</v>
      </c>
      <c r="DI174" s="559"/>
      <c r="DJ174" s="67"/>
      <c r="DK174" s="560"/>
      <c r="DL174" s="561"/>
      <c r="DM174" s="558">
        <f>3773000-492118</f>
        <v>3280882</v>
      </c>
      <c r="DN174" s="559"/>
      <c r="DO174" s="67"/>
      <c r="DP174" s="560"/>
      <c r="DQ174" s="561"/>
      <c r="DR174" s="558">
        <f>752000-103238</f>
        <v>648762</v>
      </c>
      <c r="DS174" s="559"/>
      <c r="DT174" s="67"/>
      <c r="DU174" s="560"/>
      <c r="DV174" s="561"/>
      <c r="DW174" s="558">
        <f>3698000-482202</f>
        <v>3215798</v>
      </c>
      <c r="DX174" s="559"/>
      <c r="DY174" s="67"/>
      <c r="DZ174" s="560"/>
      <c r="EA174" s="561"/>
      <c r="EB174" s="558">
        <f>3014000-386758</f>
        <v>2627242</v>
      </c>
      <c r="EC174" s="559"/>
      <c r="ED174" s="67"/>
      <c r="EE174" s="560"/>
      <c r="EF174" s="561"/>
      <c r="EG174" s="558">
        <v>0</v>
      </c>
      <c r="EH174" s="559"/>
      <c r="EI174" s="67"/>
      <c r="EJ174" s="560"/>
      <c r="EK174" s="561"/>
      <c r="EL174" s="558">
        <f>SUM(CD174:CI174)</f>
        <v>2534661</v>
      </c>
      <c r="EM174" s="559"/>
      <c r="EN174" s="67"/>
      <c r="EO174" s="455"/>
      <c r="ER174" s="472"/>
      <c r="ES174" s="472"/>
    </row>
    <row r="175" spans="1:149" ht="12.75" customHeight="1" x14ac:dyDescent="0.2">
      <c r="A175" s="442"/>
      <c r="B175" s="442"/>
      <c r="D175" s="455" t="s">
        <v>344</v>
      </c>
      <c r="F175" s="465"/>
      <c r="G175" s="67">
        <v>0</v>
      </c>
      <c r="H175" s="66"/>
      <c r="I175" s="67"/>
      <c r="J175" s="560"/>
      <c r="K175" s="560"/>
      <c r="L175" s="67">
        <v>0</v>
      </c>
      <c r="M175" s="66"/>
      <c r="N175" s="67"/>
      <c r="O175" s="560"/>
      <c r="P175" s="560"/>
      <c r="Q175" s="67">
        <v>0</v>
      </c>
      <c r="R175" s="66"/>
      <c r="S175" s="67"/>
      <c r="T175" s="560"/>
      <c r="U175" s="560"/>
      <c r="V175" s="67">
        <v>0</v>
      </c>
      <c r="W175" s="66"/>
      <c r="X175" s="67"/>
      <c r="Y175" s="560"/>
      <c r="Z175" s="560"/>
      <c r="AA175" s="67">
        <v>0</v>
      </c>
      <c r="AB175" s="66"/>
      <c r="AC175" s="67"/>
      <c r="AD175" s="560"/>
      <c r="AE175" s="560"/>
      <c r="AF175" s="67">
        <v>0</v>
      </c>
      <c r="AG175" s="66"/>
      <c r="AH175" s="67"/>
      <c r="AI175" s="560"/>
      <c r="AJ175" s="560"/>
      <c r="AK175" s="67">
        <v>0</v>
      </c>
      <c r="AL175" s="66"/>
      <c r="AM175" s="67"/>
      <c r="AN175" s="560"/>
      <c r="AO175" s="560"/>
      <c r="AP175" s="67">
        <v>0</v>
      </c>
      <c r="AQ175" s="66"/>
      <c r="AR175" s="67"/>
      <c r="AS175" s="560"/>
      <c r="AT175" s="560"/>
      <c r="AU175" s="67">
        <v>0</v>
      </c>
      <c r="AV175" s="66"/>
      <c r="AW175" s="67"/>
      <c r="AX175" s="560"/>
      <c r="AY175" s="560"/>
      <c r="AZ175" s="67">
        <v>0</v>
      </c>
      <c r="BA175" s="66"/>
      <c r="BB175" s="67"/>
      <c r="BC175" s="560"/>
      <c r="BD175" s="560"/>
      <c r="BE175" s="67">
        <v>0</v>
      </c>
      <c r="BF175" s="66"/>
      <c r="BG175" s="67"/>
      <c r="BH175" s="560"/>
      <c r="BI175" s="560"/>
      <c r="BJ175" s="67">
        <v>0</v>
      </c>
      <c r="BK175" s="66"/>
      <c r="BL175" s="67"/>
      <c r="BM175" s="560"/>
      <c r="BN175" s="560"/>
      <c r="BO175" s="67">
        <v>0</v>
      </c>
      <c r="BP175" s="66"/>
      <c r="BQ175" s="67"/>
      <c r="BR175" s="560"/>
      <c r="BS175" s="560"/>
      <c r="BT175" s="67">
        <f>SUM(L175:BO175)</f>
        <v>0</v>
      </c>
      <c r="BU175" s="66"/>
      <c r="BV175" s="67"/>
      <c r="BW175" s="560"/>
      <c r="BX175" s="560"/>
      <c r="BY175" s="67">
        <v>1989010</v>
      </c>
      <c r="BZ175" s="66"/>
      <c r="CA175" s="67"/>
      <c r="CB175" s="560"/>
      <c r="CC175" s="560"/>
      <c r="CD175" s="67">
        <v>140372</v>
      </c>
      <c r="CE175" s="66"/>
      <c r="CF175" s="67"/>
      <c r="CG175" s="560"/>
      <c r="CH175" s="560"/>
      <c r="CI175" s="67">
        <v>110643</v>
      </c>
      <c r="CJ175" s="66"/>
      <c r="CK175" s="67"/>
      <c r="CL175" s="560"/>
      <c r="CM175" s="560"/>
      <c r="CN175" s="67">
        <v>0</v>
      </c>
      <c r="CO175" s="66"/>
      <c r="CP175" s="67"/>
      <c r="CQ175" s="560"/>
      <c r="CR175" s="560"/>
      <c r="CS175" s="67">
        <v>0</v>
      </c>
      <c r="CT175" s="66"/>
      <c r="CU175" s="67"/>
      <c r="CV175" s="560"/>
      <c r="CW175" s="560"/>
      <c r="CX175" s="67">
        <v>273679</v>
      </c>
      <c r="CY175" s="66"/>
      <c r="CZ175" s="67"/>
      <c r="DA175" s="560"/>
      <c r="DB175" s="560"/>
      <c r="DC175" s="67">
        <v>0</v>
      </c>
      <c r="DD175" s="66"/>
      <c r="DE175" s="67"/>
      <c r="DF175" s="560"/>
      <c r="DG175" s="560"/>
      <c r="DH175" s="67">
        <v>0</v>
      </c>
      <c r="DI175" s="66"/>
      <c r="DJ175" s="67"/>
      <c r="DK175" s="560"/>
      <c r="DL175" s="560"/>
      <c r="DM175" s="67">
        <v>492118</v>
      </c>
      <c r="DN175" s="66"/>
      <c r="DO175" s="67"/>
      <c r="DP175" s="560"/>
      <c r="DQ175" s="560"/>
      <c r="DR175" s="67">
        <v>103238</v>
      </c>
      <c r="DS175" s="66"/>
      <c r="DT175" s="67"/>
      <c r="DU175" s="560"/>
      <c r="DV175" s="560"/>
      <c r="DW175" s="67">
        <v>482202</v>
      </c>
      <c r="DX175" s="66"/>
      <c r="DY175" s="67"/>
      <c r="DZ175" s="560"/>
      <c r="EA175" s="560"/>
      <c r="EB175" s="67">
        <v>386758</v>
      </c>
      <c r="EC175" s="66"/>
      <c r="ED175" s="67"/>
      <c r="EE175" s="560"/>
      <c r="EF175" s="560"/>
      <c r="EG175" s="67">
        <v>0</v>
      </c>
      <c r="EH175" s="66"/>
      <c r="EI175" s="67"/>
      <c r="EJ175" s="560"/>
      <c r="EK175" s="560"/>
      <c r="EL175" s="67">
        <f>SUM(CD175:CI175)</f>
        <v>251015</v>
      </c>
      <c r="EM175" s="66"/>
      <c r="EN175" s="67"/>
      <c r="EO175" s="455"/>
      <c r="ER175" s="472"/>
      <c r="ES175" s="472"/>
    </row>
    <row r="176" spans="1:149" ht="12.75" customHeight="1" x14ac:dyDescent="0.2">
      <c r="A176" s="442"/>
      <c r="B176" s="442"/>
      <c r="D176" s="455" t="s">
        <v>345</v>
      </c>
      <c r="F176" s="488"/>
      <c r="G176" s="113">
        <v>0</v>
      </c>
      <c r="H176" s="112"/>
      <c r="I176" s="67"/>
      <c r="J176" s="560"/>
      <c r="K176" s="569"/>
      <c r="L176" s="113">
        <v>0</v>
      </c>
      <c r="M176" s="112"/>
      <c r="N176" s="67"/>
      <c r="O176" s="560"/>
      <c r="P176" s="569"/>
      <c r="Q176" s="113">
        <v>0</v>
      </c>
      <c r="R176" s="112"/>
      <c r="S176" s="67"/>
      <c r="T176" s="560"/>
      <c r="U176" s="569"/>
      <c r="V176" s="113">
        <v>0</v>
      </c>
      <c r="W176" s="112"/>
      <c r="X176" s="67"/>
      <c r="Y176" s="560"/>
      <c r="Z176" s="569"/>
      <c r="AA176" s="113">
        <v>0</v>
      </c>
      <c r="AB176" s="112"/>
      <c r="AC176" s="67"/>
      <c r="AD176" s="560"/>
      <c r="AE176" s="569"/>
      <c r="AF176" s="113">
        <v>0</v>
      </c>
      <c r="AG176" s="112"/>
      <c r="AH176" s="67"/>
      <c r="AI176" s="560"/>
      <c r="AJ176" s="569"/>
      <c r="AK176" s="113">
        <v>0</v>
      </c>
      <c r="AL176" s="112"/>
      <c r="AM176" s="67"/>
      <c r="AN176" s="560"/>
      <c r="AO176" s="569"/>
      <c r="AP176" s="113">
        <v>0</v>
      </c>
      <c r="AQ176" s="112"/>
      <c r="AR176" s="67"/>
      <c r="AS176" s="560"/>
      <c r="AT176" s="569"/>
      <c r="AU176" s="113">
        <v>0</v>
      </c>
      <c r="AV176" s="112"/>
      <c r="AW176" s="67"/>
      <c r="AX176" s="560"/>
      <c r="AY176" s="569"/>
      <c r="AZ176" s="113">
        <v>0</v>
      </c>
      <c r="BA176" s="112"/>
      <c r="BB176" s="67"/>
      <c r="BC176" s="560"/>
      <c r="BD176" s="569"/>
      <c r="BE176" s="113">
        <v>0</v>
      </c>
      <c r="BF176" s="112"/>
      <c r="BG176" s="67"/>
      <c r="BH176" s="560"/>
      <c r="BI176" s="569"/>
      <c r="BJ176" s="113">
        <v>0</v>
      </c>
      <c r="BK176" s="112"/>
      <c r="BL176" s="67"/>
      <c r="BM176" s="560"/>
      <c r="BN176" s="569"/>
      <c r="BO176" s="113">
        <v>0</v>
      </c>
      <c r="BP176" s="112"/>
      <c r="BQ176" s="67"/>
      <c r="BR176" s="560"/>
      <c r="BS176" s="569"/>
      <c r="BT176" s="113">
        <f>SUM(L176:BO176)</f>
        <v>0</v>
      </c>
      <c r="BU176" s="112"/>
      <c r="BV176" s="67"/>
      <c r="BW176" s="560"/>
      <c r="BX176" s="569"/>
      <c r="BY176" s="113">
        <v>0</v>
      </c>
      <c r="BZ176" s="112"/>
      <c r="CA176" s="67"/>
      <c r="CB176" s="560"/>
      <c r="CC176" s="569"/>
      <c r="CD176" s="113">
        <v>0</v>
      </c>
      <c r="CE176" s="112"/>
      <c r="CF176" s="67"/>
      <c r="CG176" s="560"/>
      <c r="CH176" s="569"/>
      <c r="CI176" s="113">
        <v>0</v>
      </c>
      <c r="CJ176" s="112"/>
      <c r="CK176" s="67"/>
      <c r="CL176" s="560"/>
      <c r="CM176" s="569"/>
      <c r="CN176" s="113">
        <v>0</v>
      </c>
      <c r="CO176" s="112"/>
      <c r="CP176" s="67"/>
      <c r="CQ176" s="560"/>
      <c r="CR176" s="569"/>
      <c r="CS176" s="113">
        <v>0</v>
      </c>
      <c r="CT176" s="112"/>
      <c r="CU176" s="67"/>
      <c r="CV176" s="560"/>
      <c r="CW176" s="569"/>
      <c r="CX176" s="113">
        <v>0</v>
      </c>
      <c r="CY176" s="112"/>
      <c r="CZ176" s="67"/>
      <c r="DA176" s="560"/>
      <c r="DB176" s="569"/>
      <c r="DC176" s="113">
        <v>0</v>
      </c>
      <c r="DD176" s="112"/>
      <c r="DE176" s="67"/>
      <c r="DF176" s="560"/>
      <c r="DG176" s="569"/>
      <c r="DH176" s="113">
        <v>0</v>
      </c>
      <c r="DI176" s="112"/>
      <c r="DJ176" s="67"/>
      <c r="DK176" s="560"/>
      <c r="DL176" s="569"/>
      <c r="DM176" s="113">
        <v>0</v>
      </c>
      <c r="DN176" s="112"/>
      <c r="DO176" s="67"/>
      <c r="DP176" s="560"/>
      <c r="DQ176" s="569"/>
      <c r="DR176" s="113">
        <v>0</v>
      </c>
      <c r="DS176" s="112"/>
      <c r="DT176" s="67"/>
      <c r="DU176" s="560"/>
      <c r="DV176" s="569"/>
      <c r="DW176" s="113">
        <v>0</v>
      </c>
      <c r="DX176" s="112"/>
      <c r="DY176" s="67"/>
      <c r="DZ176" s="560"/>
      <c r="EA176" s="569"/>
      <c r="EB176" s="113">
        <v>0</v>
      </c>
      <c r="EC176" s="112"/>
      <c r="ED176" s="67"/>
      <c r="EE176" s="560"/>
      <c r="EF176" s="569"/>
      <c r="EG176" s="113">
        <v>0</v>
      </c>
      <c r="EH176" s="112"/>
      <c r="EI176" s="67"/>
      <c r="EJ176" s="560"/>
      <c r="EK176" s="569"/>
      <c r="EL176" s="113">
        <f>SUM(CD176:CI176)</f>
        <v>0</v>
      </c>
      <c r="EM176" s="112"/>
      <c r="EN176" s="67"/>
      <c r="EO176" s="455"/>
      <c r="ER176" s="472"/>
      <c r="ES176" s="472"/>
    </row>
    <row r="177" spans="1:149" ht="12.75" customHeight="1" x14ac:dyDescent="0.2">
      <c r="A177" s="442"/>
      <c r="B177" s="442"/>
      <c r="D177" s="455"/>
      <c r="F177" s="442"/>
      <c r="G177" s="67"/>
      <c r="H177" s="67"/>
      <c r="I177" s="67"/>
      <c r="J177" s="560"/>
      <c r="K177" s="67"/>
      <c r="L177" s="67"/>
      <c r="M177" s="67"/>
      <c r="N177" s="67"/>
      <c r="O177" s="560"/>
      <c r="P177" s="67"/>
      <c r="Q177" s="67"/>
      <c r="R177" s="67"/>
      <c r="S177" s="67"/>
      <c r="T177" s="560"/>
      <c r="U177" s="67"/>
      <c r="V177" s="67"/>
      <c r="W177" s="67"/>
      <c r="X177" s="67"/>
      <c r="Y177" s="560"/>
      <c r="Z177" s="67"/>
      <c r="AA177" s="67"/>
      <c r="AB177" s="67"/>
      <c r="AC177" s="67"/>
      <c r="AD177" s="560"/>
      <c r="AE177" s="67"/>
      <c r="AF177" s="67"/>
      <c r="AG177" s="67"/>
      <c r="AH177" s="67"/>
      <c r="AI177" s="560"/>
      <c r="AJ177" s="67"/>
      <c r="AK177" s="67"/>
      <c r="AL177" s="67"/>
      <c r="AM177" s="67"/>
      <c r="AN177" s="560"/>
      <c r="AO177" s="67"/>
      <c r="AP177" s="67"/>
      <c r="AQ177" s="67"/>
      <c r="AR177" s="67"/>
      <c r="AS177" s="560"/>
      <c r="AT177" s="67"/>
      <c r="AU177" s="67"/>
      <c r="AV177" s="67"/>
      <c r="AW177" s="67"/>
      <c r="AX177" s="560"/>
      <c r="AY177" s="67"/>
      <c r="AZ177" s="67"/>
      <c r="BA177" s="67"/>
      <c r="BB177" s="67"/>
      <c r="BC177" s="560"/>
      <c r="BD177" s="67"/>
      <c r="BE177" s="67"/>
      <c r="BF177" s="67"/>
      <c r="BG177" s="67"/>
      <c r="BH177" s="560"/>
      <c r="BI177" s="67"/>
      <c r="BJ177" s="67"/>
      <c r="BK177" s="67"/>
      <c r="BL177" s="67"/>
      <c r="BM177" s="560"/>
      <c r="BN177" s="67"/>
      <c r="BO177" s="67"/>
      <c r="BP177" s="67"/>
      <c r="BQ177" s="67"/>
      <c r="BR177" s="560"/>
      <c r="BS177" s="67"/>
      <c r="BT177" s="67"/>
      <c r="BU177" s="67"/>
      <c r="BV177" s="67"/>
      <c r="BW177" s="560"/>
      <c r="BX177" s="67"/>
      <c r="BY177" s="67"/>
      <c r="BZ177" s="67"/>
      <c r="CA177" s="67"/>
      <c r="CB177" s="560"/>
      <c r="CC177" s="67"/>
      <c r="CD177" s="67"/>
      <c r="CE177" s="67"/>
      <c r="CF177" s="67"/>
      <c r="CG177" s="560"/>
      <c r="CH177" s="67"/>
      <c r="CI177" s="67"/>
      <c r="CJ177" s="67"/>
      <c r="CK177" s="67"/>
      <c r="CL177" s="560"/>
      <c r="CM177" s="67"/>
      <c r="CN177" s="67"/>
      <c r="CO177" s="67"/>
      <c r="CP177" s="67"/>
      <c r="CQ177" s="560"/>
      <c r="CR177" s="67"/>
      <c r="CS177" s="67"/>
      <c r="CT177" s="67"/>
      <c r="CU177" s="67"/>
      <c r="CV177" s="560"/>
      <c r="CW177" s="67"/>
      <c r="CX177" s="67"/>
      <c r="CY177" s="67"/>
      <c r="CZ177" s="67"/>
      <c r="DA177" s="560"/>
      <c r="DB177" s="67"/>
      <c r="DC177" s="67"/>
      <c r="DD177" s="67"/>
      <c r="DE177" s="67"/>
      <c r="DF177" s="560"/>
      <c r="DG177" s="67"/>
      <c r="DH177" s="67"/>
      <c r="DI177" s="67"/>
      <c r="DJ177" s="67"/>
      <c r="DK177" s="560"/>
      <c r="DL177" s="67"/>
      <c r="DM177" s="67"/>
      <c r="DN177" s="67"/>
      <c r="DO177" s="67"/>
      <c r="DP177" s="560"/>
      <c r="DQ177" s="67"/>
      <c r="DR177" s="67"/>
      <c r="DS177" s="67"/>
      <c r="DT177" s="67"/>
      <c r="DU177" s="560"/>
      <c r="DV177" s="67"/>
      <c r="DW177" s="67"/>
      <c r="DX177" s="67"/>
      <c r="DY177" s="67"/>
      <c r="DZ177" s="560"/>
      <c r="EA177" s="67"/>
      <c r="EB177" s="67"/>
      <c r="EC177" s="67"/>
      <c r="ED177" s="67"/>
      <c r="EE177" s="560"/>
      <c r="EF177" s="67"/>
      <c r="EG177" s="67"/>
      <c r="EH177" s="67"/>
      <c r="EI177" s="67"/>
      <c r="EJ177" s="560"/>
      <c r="EK177" s="67"/>
      <c r="EL177" s="67"/>
      <c r="EM177" s="67"/>
      <c r="EN177" s="67"/>
      <c r="EO177" s="455"/>
      <c r="ER177" s="472"/>
      <c r="ES177" s="472"/>
    </row>
    <row r="178" spans="1:149" ht="12.75" customHeight="1" x14ac:dyDescent="0.2">
      <c r="A178" s="442"/>
      <c r="B178" s="442"/>
      <c r="D178" s="455" t="s">
        <v>375</v>
      </c>
      <c r="F178" s="442"/>
      <c r="G178" s="67">
        <f>SUM(G179:G181)</f>
        <v>0</v>
      </c>
      <c r="H178" s="67"/>
      <c r="I178" s="67"/>
      <c r="J178" s="560"/>
      <c r="K178" s="67"/>
      <c r="L178" s="67">
        <f>SUM(L179:L181)</f>
        <v>0</v>
      </c>
      <c r="M178" s="67"/>
      <c r="N178" s="67"/>
      <c r="O178" s="560"/>
      <c r="P178" s="67"/>
      <c r="Q178" s="67">
        <f>SUM(Q179:Q181)</f>
        <v>0</v>
      </c>
      <c r="R178" s="67"/>
      <c r="S178" s="67"/>
      <c r="T178" s="560"/>
      <c r="U178" s="67"/>
      <c r="V178" s="67">
        <f>SUM(V179:V181)</f>
        <v>0</v>
      </c>
      <c r="W178" s="67"/>
      <c r="X178" s="67"/>
      <c r="Y178" s="560"/>
      <c r="Z178" s="67"/>
      <c r="AA178" s="67">
        <f>SUM(AA179:AA181)</f>
        <v>0</v>
      </c>
      <c r="AB178" s="67"/>
      <c r="AC178" s="67"/>
      <c r="AD178" s="560"/>
      <c r="AE178" s="67"/>
      <c r="AF178" s="67">
        <f>SUM(AF179:AF181)</f>
        <v>0</v>
      </c>
      <c r="AG178" s="67"/>
      <c r="AH178" s="67"/>
      <c r="AI178" s="560"/>
      <c r="AJ178" s="67"/>
      <c r="AK178" s="67">
        <f>SUM(AK179:AK181)</f>
        <v>0</v>
      </c>
      <c r="AL178" s="67"/>
      <c r="AM178" s="67"/>
      <c r="AN178" s="560"/>
      <c r="AO178" s="67"/>
      <c r="AP178" s="67">
        <f>SUM(AP179:AP181)</f>
        <v>0</v>
      </c>
      <c r="AQ178" s="67"/>
      <c r="AR178" s="67"/>
      <c r="AS178" s="560"/>
      <c r="AT178" s="67"/>
      <c r="AU178" s="67">
        <f>SUM(AU179:AU181)</f>
        <v>0</v>
      </c>
      <c r="AV178" s="67"/>
      <c r="AW178" s="67"/>
      <c r="AX178" s="560"/>
      <c r="AY178" s="67"/>
      <c r="AZ178" s="67">
        <f>SUM(AZ179:AZ181)</f>
        <v>0</v>
      </c>
      <c r="BA178" s="67"/>
      <c r="BB178" s="67"/>
      <c r="BC178" s="560"/>
      <c r="BD178" s="67"/>
      <c r="BE178" s="67">
        <f>SUM(BE179:BE181)</f>
        <v>0</v>
      </c>
      <c r="BF178" s="67"/>
      <c r="BG178" s="67"/>
      <c r="BH178" s="560"/>
      <c r="BI178" s="67"/>
      <c r="BJ178" s="67">
        <f>SUM(BJ179:BJ181)</f>
        <v>0</v>
      </c>
      <c r="BK178" s="67"/>
      <c r="BL178" s="67"/>
      <c r="BM178" s="560"/>
      <c r="BN178" s="67"/>
      <c r="BO178" s="67">
        <f>SUM(BO179:BO181)</f>
        <v>0</v>
      </c>
      <c r="BP178" s="67"/>
      <c r="BQ178" s="67"/>
      <c r="BR178" s="560"/>
      <c r="BS178" s="67"/>
      <c r="BT178" s="67">
        <f>SUM(BT179:BT181)</f>
        <v>0</v>
      </c>
      <c r="BU178" s="67"/>
      <c r="BV178" s="67"/>
      <c r="BW178" s="560"/>
      <c r="BX178" s="67"/>
      <c r="BY178" s="67">
        <f>SUM(BY179:BY181)</f>
        <v>27655634</v>
      </c>
      <c r="BZ178" s="67"/>
      <c r="CA178" s="67"/>
      <c r="CB178" s="560"/>
      <c r="CC178" s="67"/>
      <c r="CD178" s="67">
        <f>SUM(CD179:CD181)</f>
        <v>906000</v>
      </c>
      <c r="CE178" s="67"/>
      <c r="CF178" s="67"/>
      <c r="CG178" s="560"/>
      <c r="CH178" s="67"/>
      <c r="CI178" s="67">
        <f>SUM(CI179:CI181)</f>
        <v>1651634</v>
      </c>
      <c r="CJ178" s="67"/>
      <c r="CK178" s="67"/>
      <c r="CL178" s="560"/>
      <c r="CM178" s="67"/>
      <c r="CN178" s="67">
        <f>SUM(CN179:CN181)</f>
        <v>1649000</v>
      </c>
      <c r="CO178" s="67"/>
      <c r="CP178" s="67"/>
      <c r="CQ178" s="560"/>
      <c r="CR178" s="67"/>
      <c r="CS178" s="67">
        <f>SUM(CS179:CS181)</f>
        <v>0</v>
      </c>
      <c r="CT178" s="67"/>
      <c r="CU178" s="67"/>
      <c r="CV178" s="560"/>
      <c r="CW178" s="67"/>
      <c r="CX178" s="67">
        <f>SUM(CX179:CX181)</f>
        <v>1510000</v>
      </c>
      <c r="CY178" s="67"/>
      <c r="CZ178" s="67"/>
      <c r="DA178" s="560"/>
      <c r="DB178" s="67"/>
      <c r="DC178" s="67">
        <f>SUM(DC179:DC181)</f>
        <v>5279000</v>
      </c>
      <c r="DD178" s="67"/>
      <c r="DE178" s="67"/>
      <c r="DF178" s="560"/>
      <c r="DG178" s="67"/>
      <c r="DH178" s="67">
        <f>SUM(DH179:DH181)</f>
        <v>6784000</v>
      </c>
      <c r="DI178" s="67"/>
      <c r="DJ178" s="67"/>
      <c r="DK178" s="560"/>
      <c r="DL178" s="67"/>
      <c r="DM178" s="67">
        <f>SUM(DM179:DM181)</f>
        <v>3899000</v>
      </c>
      <c r="DN178" s="67"/>
      <c r="DO178" s="67"/>
      <c r="DP178" s="560"/>
      <c r="DQ178" s="67"/>
      <c r="DR178" s="67">
        <f>SUM(DR179:DR181)</f>
        <v>0</v>
      </c>
      <c r="DS178" s="67"/>
      <c r="DT178" s="67"/>
      <c r="DU178" s="560"/>
      <c r="DV178" s="67"/>
      <c r="DW178" s="67">
        <f>SUM(DW179:DW181)</f>
        <v>0</v>
      </c>
      <c r="DX178" s="67"/>
      <c r="DY178" s="67"/>
      <c r="DZ178" s="560"/>
      <c r="EA178" s="67"/>
      <c r="EB178" s="67">
        <f>SUM(EB179:EB181)</f>
        <v>2205000</v>
      </c>
      <c r="EC178" s="67"/>
      <c r="ED178" s="67"/>
      <c r="EE178" s="560"/>
      <c r="EF178" s="67"/>
      <c r="EG178" s="67">
        <f>SUM(EG179:EG181)</f>
        <v>3772000</v>
      </c>
      <c r="EH178" s="67"/>
      <c r="EI178" s="67"/>
      <c r="EJ178" s="560"/>
      <c r="EK178" s="67"/>
      <c r="EL178" s="67">
        <f>SUM(EL179:EL181)</f>
        <v>2557634</v>
      </c>
      <c r="EM178" s="67"/>
      <c r="EN178" s="67"/>
      <c r="EO178" s="455"/>
      <c r="ER178" s="472"/>
      <c r="ES178" s="472"/>
    </row>
    <row r="179" spans="1:149" ht="12.75" customHeight="1" x14ac:dyDescent="0.2">
      <c r="A179" s="442"/>
      <c r="B179" s="442"/>
      <c r="D179" s="455" t="s">
        <v>342</v>
      </c>
      <c r="F179" s="473"/>
      <c r="G179" s="558">
        <v>0</v>
      </c>
      <c r="H179" s="559"/>
      <c r="I179" s="67"/>
      <c r="J179" s="560"/>
      <c r="K179" s="561"/>
      <c r="L179" s="558">
        <v>0</v>
      </c>
      <c r="M179" s="559"/>
      <c r="N179" s="67"/>
      <c r="O179" s="560"/>
      <c r="P179" s="561"/>
      <c r="Q179" s="558">
        <v>0</v>
      </c>
      <c r="R179" s="559"/>
      <c r="S179" s="67"/>
      <c r="T179" s="560"/>
      <c r="U179" s="561"/>
      <c r="V179" s="558">
        <v>0</v>
      </c>
      <c r="W179" s="559"/>
      <c r="X179" s="67"/>
      <c r="Y179" s="560"/>
      <c r="Z179" s="561"/>
      <c r="AA179" s="558">
        <v>0</v>
      </c>
      <c r="AB179" s="559"/>
      <c r="AC179" s="67"/>
      <c r="AD179" s="560"/>
      <c r="AE179" s="561"/>
      <c r="AF179" s="558">
        <v>0</v>
      </c>
      <c r="AG179" s="559"/>
      <c r="AH179" s="67"/>
      <c r="AI179" s="560"/>
      <c r="AJ179" s="561"/>
      <c r="AK179" s="558">
        <v>0</v>
      </c>
      <c r="AL179" s="559"/>
      <c r="AM179" s="67"/>
      <c r="AN179" s="560"/>
      <c r="AO179" s="561"/>
      <c r="AP179" s="558">
        <v>0</v>
      </c>
      <c r="AQ179" s="559"/>
      <c r="AR179" s="67"/>
      <c r="AS179" s="560"/>
      <c r="AT179" s="561"/>
      <c r="AU179" s="558">
        <v>0</v>
      </c>
      <c r="AV179" s="559"/>
      <c r="AW179" s="67"/>
      <c r="AX179" s="560"/>
      <c r="AY179" s="561"/>
      <c r="AZ179" s="558">
        <v>0</v>
      </c>
      <c r="BA179" s="559"/>
      <c r="BB179" s="67"/>
      <c r="BC179" s="560"/>
      <c r="BD179" s="561"/>
      <c r="BE179" s="558">
        <v>0</v>
      </c>
      <c r="BF179" s="559"/>
      <c r="BG179" s="67"/>
      <c r="BH179" s="560"/>
      <c r="BI179" s="561"/>
      <c r="BJ179" s="558">
        <v>0</v>
      </c>
      <c r="BK179" s="559"/>
      <c r="BL179" s="67"/>
      <c r="BM179" s="560"/>
      <c r="BN179" s="561"/>
      <c r="BO179" s="558">
        <v>0</v>
      </c>
      <c r="BP179" s="559"/>
      <c r="BQ179" s="67"/>
      <c r="BR179" s="560"/>
      <c r="BS179" s="561"/>
      <c r="BT179" s="558">
        <f>SUM(L179:BO179)</f>
        <v>0</v>
      </c>
      <c r="BU179" s="559"/>
      <c r="BV179" s="67"/>
      <c r="BW179" s="560"/>
      <c r="BX179" s="561"/>
      <c r="BY179" s="558">
        <v>24355280</v>
      </c>
      <c r="BZ179" s="559"/>
      <c r="CA179" s="67"/>
      <c r="CB179" s="560"/>
      <c r="CC179" s="561"/>
      <c r="CD179" s="558">
        <f>906000-71396</f>
        <v>834604</v>
      </c>
      <c r="CE179" s="559"/>
      <c r="CF179" s="67"/>
      <c r="CG179" s="560"/>
      <c r="CH179" s="561"/>
      <c r="CI179" s="558">
        <f>1651634-162031</f>
        <v>1489603</v>
      </c>
      <c r="CJ179" s="559"/>
      <c r="CK179" s="67"/>
      <c r="CL179" s="560"/>
      <c r="CM179" s="561"/>
      <c r="CN179" s="558">
        <f>1649000-176102</f>
        <v>1472898</v>
      </c>
      <c r="CO179" s="559"/>
      <c r="CP179" s="67"/>
      <c r="CQ179" s="560"/>
      <c r="CR179" s="561"/>
      <c r="CS179" s="558">
        <v>0</v>
      </c>
      <c r="CT179" s="559"/>
      <c r="CU179" s="67"/>
      <c r="CV179" s="560"/>
      <c r="CW179" s="561"/>
      <c r="CX179" s="558">
        <f>1510000-163579</f>
        <v>1346421</v>
      </c>
      <c r="CY179" s="559"/>
      <c r="CZ179" s="67"/>
      <c r="DA179" s="560"/>
      <c r="DB179" s="561"/>
      <c r="DC179" s="558">
        <f>5279000-555456</f>
        <v>4723544</v>
      </c>
      <c r="DD179" s="559"/>
      <c r="DE179" s="67"/>
      <c r="DF179" s="560"/>
      <c r="DG179" s="561"/>
      <c r="DH179" s="558">
        <f>6784000-732119</f>
        <v>6051881</v>
      </c>
      <c r="DI179" s="559"/>
      <c r="DJ179" s="67"/>
      <c r="DK179" s="560"/>
      <c r="DL179" s="561"/>
      <c r="DM179" s="558">
        <f>3899000-474905</f>
        <v>3424095</v>
      </c>
      <c r="DN179" s="559"/>
      <c r="DO179" s="67"/>
      <c r="DP179" s="560"/>
      <c r="DQ179" s="561"/>
      <c r="DR179" s="558">
        <v>0</v>
      </c>
      <c r="DS179" s="559"/>
      <c r="DT179" s="67"/>
      <c r="DU179" s="560"/>
      <c r="DV179" s="561"/>
      <c r="DW179" s="558">
        <v>0</v>
      </c>
      <c r="DX179" s="559"/>
      <c r="DY179" s="67"/>
      <c r="DZ179" s="560"/>
      <c r="EA179" s="561"/>
      <c r="EB179" s="558">
        <f>2205000-284776</f>
        <v>1920224</v>
      </c>
      <c r="EC179" s="559"/>
      <c r="ED179" s="67"/>
      <c r="EE179" s="560"/>
      <c r="EF179" s="561"/>
      <c r="EG179" s="558">
        <f>3772000-679990</f>
        <v>3092010</v>
      </c>
      <c r="EH179" s="559"/>
      <c r="EI179" s="67"/>
      <c r="EJ179" s="560"/>
      <c r="EK179" s="561"/>
      <c r="EL179" s="558">
        <f>SUM(CD179:CI179)</f>
        <v>2324207</v>
      </c>
      <c r="EM179" s="559"/>
      <c r="EN179" s="67"/>
      <c r="EO179" s="455"/>
      <c r="ER179" s="472"/>
      <c r="ES179" s="472"/>
    </row>
    <row r="180" spans="1:149" ht="12.75" customHeight="1" x14ac:dyDescent="0.2">
      <c r="A180" s="442"/>
      <c r="B180" s="442"/>
      <c r="D180" s="455" t="s">
        <v>344</v>
      </c>
      <c r="F180" s="465"/>
      <c r="G180" s="67">
        <v>0</v>
      </c>
      <c r="H180" s="66"/>
      <c r="I180" s="67"/>
      <c r="J180" s="560"/>
      <c r="K180" s="560"/>
      <c r="L180" s="67">
        <v>0</v>
      </c>
      <c r="M180" s="66"/>
      <c r="N180" s="67"/>
      <c r="O180" s="560"/>
      <c r="P180" s="560"/>
      <c r="Q180" s="67">
        <v>0</v>
      </c>
      <c r="R180" s="66"/>
      <c r="S180" s="67"/>
      <c r="T180" s="560"/>
      <c r="U180" s="560"/>
      <c r="V180" s="67">
        <v>0</v>
      </c>
      <c r="W180" s="66"/>
      <c r="X180" s="67"/>
      <c r="Y180" s="560"/>
      <c r="Z180" s="560"/>
      <c r="AA180" s="67">
        <v>0</v>
      </c>
      <c r="AB180" s="66"/>
      <c r="AC180" s="67"/>
      <c r="AD180" s="560"/>
      <c r="AE180" s="560"/>
      <c r="AF180" s="67">
        <v>0</v>
      </c>
      <c r="AG180" s="66"/>
      <c r="AH180" s="67"/>
      <c r="AI180" s="560"/>
      <c r="AJ180" s="560"/>
      <c r="AK180" s="67">
        <v>0</v>
      </c>
      <c r="AL180" s="66"/>
      <c r="AM180" s="67"/>
      <c r="AN180" s="560"/>
      <c r="AO180" s="560"/>
      <c r="AP180" s="67">
        <v>0</v>
      </c>
      <c r="AQ180" s="66"/>
      <c r="AR180" s="67"/>
      <c r="AS180" s="560"/>
      <c r="AT180" s="560"/>
      <c r="AU180" s="67">
        <v>0</v>
      </c>
      <c r="AV180" s="66"/>
      <c r="AW180" s="67"/>
      <c r="AX180" s="560"/>
      <c r="AY180" s="560"/>
      <c r="AZ180" s="67">
        <v>0</v>
      </c>
      <c r="BA180" s="66"/>
      <c r="BB180" s="67"/>
      <c r="BC180" s="560"/>
      <c r="BD180" s="560"/>
      <c r="BE180" s="67">
        <v>0</v>
      </c>
      <c r="BF180" s="66"/>
      <c r="BG180" s="67"/>
      <c r="BH180" s="560"/>
      <c r="BI180" s="560"/>
      <c r="BJ180" s="67">
        <v>0</v>
      </c>
      <c r="BK180" s="66"/>
      <c r="BL180" s="67"/>
      <c r="BM180" s="560"/>
      <c r="BN180" s="560"/>
      <c r="BO180" s="67">
        <v>0</v>
      </c>
      <c r="BP180" s="66"/>
      <c r="BQ180" s="67"/>
      <c r="BR180" s="560"/>
      <c r="BS180" s="560"/>
      <c r="BT180" s="67">
        <f>SUM(L180:BO180)</f>
        <v>0</v>
      </c>
      <c r="BU180" s="66"/>
      <c r="BV180" s="67"/>
      <c r="BW180" s="560"/>
      <c r="BX180" s="560"/>
      <c r="BY180" s="67">
        <v>3300354</v>
      </c>
      <c r="BZ180" s="66"/>
      <c r="CA180" s="67"/>
      <c r="CB180" s="560"/>
      <c r="CC180" s="560"/>
      <c r="CD180" s="67">
        <v>71396</v>
      </c>
      <c r="CE180" s="66"/>
      <c r="CF180" s="67"/>
      <c r="CG180" s="560"/>
      <c r="CH180" s="560"/>
      <c r="CI180" s="67">
        <v>162031</v>
      </c>
      <c r="CJ180" s="66"/>
      <c r="CK180" s="67"/>
      <c r="CL180" s="560"/>
      <c r="CM180" s="560"/>
      <c r="CN180" s="67">
        <v>176102</v>
      </c>
      <c r="CO180" s="66"/>
      <c r="CP180" s="67"/>
      <c r="CQ180" s="560"/>
      <c r="CR180" s="560"/>
      <c r="CS180" s="67">
        <v>0</v>
      </c>
      <c r="CT180" s="66"/>
      <c r="CU180" s="67"/>
      <c r="CV180" s="560"/>
      <c r="CW180" s="560"/>
      <c r="CX180" s="67">
        <v>163579</v>
      </c>
      <c r="CY180" s="66"/>
      <c r="CZ180" s="67"/>
      <c r="DA180" s="560"/>
      <c r="DB180" s="560"/>
      <c r="DC180" s="67">
        <v>555456</v>
      </c>
      <c r="DD180" s="66"/>
      <c r="DE180" s="67"/>
      <c r="DF180" s="560"/>
      <c r="DG180" s="560"/>
      <c r="DH180" s="67">
        <v>732119</v>
      </c>
      <c r="DI180" s="66"/>
      <c r="DJ180" s="67"/>
      <c r="DK180" s="560"/>
      <c r="DL180" s="560"/>
      <c r="DM180" s="67">
        <v>474905</v>
      </c>
      <c r="DN180" s="66"/>
      <c r="DO180" s="67"/>
      <c r="DP180" s="560"/>
      <c r="DQ180" s="560"/>
      <c r="DR180" s="67">
        <v>0</v>
      </c>
      <c r="DS180" s="66"/>
      <c r="DT180" s="67"/>
      <c r="DU180" s="560"/>
      <c r="DV180" s="560"/>
      <c r="DW180" s="67">
        <v>0</v>
      </c>
      <c r="DX180" s="66"/>
      <c r="DY180" s="67"/>
      <c r="DZ180" s="560"/>
      <c r="EA180" s="560"/>
      <c r="EB180" s="67">
        <v>284776</v>
      </c>
      <c r="EC180" s="66"/>
      <c r="ED180" s="67"/>
      <c r="EE180" s="560"/>
      <c r="EF180" s="560"/>
      <c r="EG180" s="67">
        <v>679990</v>
      </c>
      <c r="EH180" s="66"/>
      <c r="EI180" s="67"/>
      <c r="EJ180" s="560"/>
      <c r="EK180" s="560"/>
      <c r="EL180" s="67">
        <f>SUM(CD180:CI180)</f>
        <v>233427</v>
      </c>
      <c r="EM180" s="66"/>
      <c r="EN180" s="67"/>
      <c r="EO180" s="455"/>
      <c r="ER180" s="472"/>
      <c r="ES180" s="472"/>
    </row>
    <row r="181" spans="1:149" ht="12.75" customHeight="1" x14ac:dyDescent="0.2">
      <c r="A181" s="442"/>
      <c r="B181" s="442"/>
      <c r="D181" s="455" t="s">
        <v>345</v>
      </c>
      <c r="F181" s="488"/>
      <c r="G181" s="113">
        <v>0</v>
      </c>
      <c r="H181" s="112"/>
      <c r="I181" s="67"/>
      <c r="J181" s="560"/>
      <c r="K181" s="569"/>
      <c r="L181" s="113">
        <v>0</v>
      </c>
      <c r="M181" s="112"/>
      <c r="N181" s="67"/>
      <c r="O181" s="560"/>
      <c r="P181" s="569"/>
      <c r="Q181" s="113">
        <v>0</v>
      </c>
      <c r="R181" s="112"/>
      <c r="S181" s="67"/>
      <c r="T181" s="560"/>
      <c r="U181" s="569"/>
      <c r="V181" s="113">
        <v>0</v>
      </c>
      <c r="W181" s="112"/>
      <c r="X181" s="67"/>
      <c r="Y181" s="560"/>
      <c r="Z181" s="569"/>
      <c r="AA181" s="113">
        <v>0</v>
      </c>
      <c r="AB181" s="112"/>
      <c r="AC181" s="67"/>
      <c r="AD181" s="560"/>
      <c r="AE181" s="569"/>
      <c r="AF181" s="113">
        <v>0</v>
      </c>
      <c r="AG181" s="112"/>
      <c r="AH181" s="67"/>
      <c r="AI181" s="560"/>
      <c r="AJ181" s="569"/>
      <c r="AK181" s="113">
        <v>0</v>
      </c>
      <c r="AL181" s="112"/>
      <c r="AM181" s="67"/>
      <c r="AN181" s="560"/>
      <c r="AO181" s="569"/>
      <c r="AP181" s="113">
        <v>0</v>
      </c>
      <c r="AQ181" s="112"/>
      <c r="AR181" s="67"/>
      <c r="AS181" s="560"/>
      <c r="AT181" s="569"/>
      <c r="AU181" s="113">
        <v>0</v>
      </c>
      <c r="AV181" s="112"/>
      <c r="AW181" s="67"/>
      <c r="AX181" s="560"/>
      <c r="AY181" s="569"/>
      <c r="AZ181" s="113">
        <v>0</v>
      </c>
      <c r="BA181" s="112"/>
      <c r="BB181" s="67"/>
      <c r="BC181" s="560"/>
      <c r="BD181" s="569"/>
      <c r="BE181" s="113">
        <v>0</v>
      </c>
      <c r="BF181" s="112"/>
      <c r="BG181" s="67"/>
      <c r="BH181" s="560"/>
      <c r="BI181" s="569"/>
      <c r="BJ181" s="113">
        <v>0</v>
      </c>
      <c r="BK181" s="112"/>
      <c r="BL181" s="67"/>
      <c r="BM181" s="560"/>
      <c r="BN181" s="569"/>
      <c r="BO181" s="113">
        <v>0</v>
      </c>
      <c r="BP181" s="112"/>
      <c r="BQ181" s="67"/>
      <c r="BR181" s="560"/>
      <c r="BS181" s="569"/>
      <c r="BT181" s="113">
        <f>SUM(L181:BO181)</f>
        <v>0</v>
      </c>
      <c r="BU181" s="112"/>
      <c r="BV181" s="67"/>
      <c r="BW181" s="560"/>
      <c r="BX181" s="569"/>
      <c r="BY181" s="113">
        <v>0</v>
      </c>
      <c r="BZ181" s="112"/>
      <c r="CA181" s="67"/>
      <c r="CB181" s="560"/>
      <c r="CC181" s="569"/>
      <c r="CD181" s="113">
        <v>0</v>
      </c>
      <c r="CE181" s="112"/>
      <c r="CF181" s="67"/>
      <c r="CG181" s="560"/>
      <c r="CH181" s="569"/>
      <c r="CI181" s="113">
        <v>0</v>
      </c>
      <c r="CJ181" s="112"/>
      <c r="CK181" s="67"/>
      <c r="CL181" s="560"/>
      <c r="CM181" s="569"/>
      <c r="CN181" s="113">
        <v>0</v>
      </c>
      <c r="CO181" s="112"/>
      <c r="CP181" s="67"/>
      <c r="CQ181" s="560"/>
      <c r="CR181" s="569"/>
      <c r="CS181" s="113">
        <v>0</v>
      </c>
      <c r="CT181" s="112"/>
      <c r="CU181" s="67"/>
      <c r="CV181" s="560"/>
      <c r="CW181" s="569"/>
      <c r="CX181" s="113">
        <v>0</v>
      </c>
      <c r="CY181" s="112"/>
      <c r="CZ181" s="67"/>
      <c r="DA181" s="560"/>
      <c r="DB181" s="569"/>
      <c r="DC181" s="113">
        <v>0</v>
      </c>
      <c r="DD181" s="112"/>
      <c r="DE181" s="67"/>
      <c r="DF181" s="560"/>
      <c r="DG181" s="569"/>
      <c r="DH181" s="113">
        <v>0</v>
      </c>
      <c r="DI181" s="112"/>
      <c r="DJ181" s="67"/>
      <c r="DK181" s="560"/>
      <c r="DL181" s="569"/>
      <c r="DM181" s="113">
        <v>0</v>
      </c>
      <c r="DN181" s="112"/>
      <c r="DO181" s="67"/>
      <c r="DP181" s="560"/>
      <c r="DQ181" s="569"/>
      <c r="DR181" s="113">
        <v>0</v>
      </c>
      <c r="DS181" s="112"/>
      <c r="DT181" s="67"/>
      <c r="DU181" s="560"/>
      <c r="DV181" s="569"/>
      <c r="DW181" s="113">
        <v>0</v>
      </c>
      <c r="DX181" s="112"/>
      <c r="DY181" s="67"/>
      <c r="DZ181" s="560"/>
      <c r="EA181" s="569"/>
      <c r="EB181" s="113">
        <v>0</v>
      </c>
      <c r="EC181" s="112"/>
      <c r="ED181" s="67"/>
      <c r="EE181" s="560"/>
      <c r="EF181" s="569"/>
      <c r="EG181" s="113">
        <v>0</v>
      </c>
      <c r="EH181" s="112"/>
      <c r="EI181" s="67"/>
      <c r="EJ181" s="560"/>
      <c r="EK181" s="569"/>
      <c r="EL181" s="113">
        <f>SUM(CD181:CI181)</f>
        <v>0</v>
      </c>
      <c r="EM181" s="112"/>
      <c r="EN181" s="67"/>
      <c r="EO181" s="455"/>
      <c r="ER181" s="472"/>
      <c r="ES181" s="472"/>
    </row>
    <row r="182" spans="1:149" ht="14.25" customHeight="1" x14ac:dyDescent="0.2">
      <c r="A182" s="442"/>
      <c r="B182" s="442"/>
      <c r="C182" s="442"/>
      <c r="D182" s="574"/>
      <c r="E182" s="575"/>
      <c r="F182" s="445"/>
      <c r="G182" s="125"/>
      <c r="H182" s="125"/>
      <c r="I182" s="125"/>
      <c r="J182" s="576"/>
      <c r="K182" s="125"/>
      <c r="L182" s="125"/>
      <c r="M182" s="125"/>
      <c r="N182" s="125"/>
      <c r="O182" s="576"/>
      <c r="P182" s="125"/>
      <c r="Q182" s="125"/>
      <c r="R182" s="125"/>
      <c r="S182" s="125"/>
      <c r="T182" s="576"/>
      <c r="U182" s="125"/>
      <c r="V182" s="125"/>
      <c r="W182" s="125"/>
      <c r="X182" s="125"/>
      <c r="Y182" s="576"/>
      <c r="Z182" s="125"/>
      <c r="AA182" s="125"/>
      <c r="AB182" s="125"/>
      <c r="AC182" s="125"/>
      <c r="AD182" s="576"/>
      <c r="AE182" s="125"/>
      <c r="AF182" s="125"/>
      <c r="AG182" s="125"/>
      <c r="AH182" s="125"/>
      <c r="AI182" s="576"/>
      <c r="AJ182" s="125"/>
      <c r="AK182" s="125"/>
      <c r="AL182" s="125"/>
      <c r="AM182" s="125"/>
      <c r="AN182" s="576"/>
      <c r="AO182" s="125"/>
      <c r="AP182" s="125"/>
      <c r="AQ182" s="125"/>
      <c r="AR182" s="125"/>
      <c r="AS182" s="576"/>
      <c r="AT182" s="125"/>
      <c r="AU182" s="125"/>
      <c r="AV182" s="125"/>
      <c r="AW182" s="125"/>
      <c r="AX182" s="576"/>
      <c r="AY182" s="125"/>
      <c r="AZ182" s="125"/>
      <c r="BA182" s="125"/>
      <c r="BB182" s="125"/>
      <c r="BC182" s="576"/>
      <c r="BD182" s="125"/>
      <c r="BE182" s="125"/>
      <c r="BF182" s="125"/>
      <c r="BG182" s="125"/>
      <c r="BH182" s="576"/>
      <c r="BI182" s="125"/>
      <c r="BJ182" s="125"/>
      <c r="BK182" s="125"/>
      <c r="BL182" s="125"/>
      <c r="BM182" s="576"/>
      <c r="BN182" s="125"/>
      <c r="BO182" s="125"/>
      <c r="BP182" s="125"/>
      <c r="BQ182" s="125"/>
      <c r="BR182" s="576"/>
      <c r="BS182" s="125"/>
      <c r="BT182" s="125"/>
      <c r="BU182" s="125"/>
      <c r="BV182" s="125"/>
      <c r="BW182" s="576"/>
      <c r="BX182" s="125"/>
      <c r="BY182" s="125"/>
      <c r="BZ182" s="125"/>
      <c r="CA182" s="125"/>
      <c r="CB182" s="576"/>
      <c r="CC182" s="125"/>
      <c r="CD182" s="125"/>
      <c r="CE182" s="125"/>
      <c r="CF182" s="125"/>
      <c r="CG182" s="576"/>
      <c r="CH182" s="125"/>
      <c r="CI182" s="125"/>
      <c r="CJ182" s="125"/>
      <c r="CK182" s="125"/>
      <c r="CL182" s="576"/>
      <c r="CM182" s="125"/>
      <c r="CN182" s="125"/>
      <c r="CO182" s="125"/>
      <c r="CP182" s="125"/>
      <c r="CQ182" s="576"/>
      <c r="CR182" s="125"/>
      <c r="CS182" s="125"/>
      <c r="CT182" s="125"/>
      <c r="CU182" s="125"/>
      <c r="CV182" s="576"/>
      <c r="CW182" s="125"/>
      <c r="CX182" s="125"/>
      <c r="CY182" s="125"/>
      <c r="CZ182" s="125"/>
      <c r="DA182" s="576"/>
      <c r="DB182" s="125"/>
      <c r="DC182" s="125"/>
      <c r="DD182" s="125"/>
      <c r="DE182" s="125"/>
      <c r="DF182" s="576"/>
      <c r="DG182" s="125"/>
      <c r="DH182" s="125"/>
      <c r="DI182" s="125"/>
      <c r="DJ182" s="125"/>
      <c r="DK182" s="576"/>
      <c r="DL182" s="125"/>
      <c r="DM182" s="125"/>
      <c r="DN182" s="125"/>
      <c r="DO182" s="125"/>
      <c r="DP182" s="576"/>
      <c r="DQ182" s="125"/>
      <c r="DR182" s="125"/>
      <c r="DS182" s="125"/>
      <c r="DT182" s="125"/>
      <c r="DU182" s="576"/>
      <c r="DV182" s="125"/>
      <c r="DW182" s="125"/>
      <c r="DX182" s="125"/>
      <c r="DY182" s="125"/>
      <c r="DZ182" s="576"/>
      <c r="EA182" s="125"/>
      <c r="EB182" s="125"/>
      <c r="EC182" s="125"/>
      <c r="ED182" s="125"/>
      <c r="EE182" s="576"/>
      <c r="EF182" s="125"/>
      <c r="EG182" s="125"/>
      <c r="EH182" s="125"/>
      <c r="EI182" s="125"/>
      <c r="EJ182" s="576"/>
      <c r="EK182" s="125"/>
      <c r="EL182" s="125"/>
      <c r="EM182" s="125"/>
      <c r="EN182" s="126"/>
      <c r="EO182" s="455"/>
      <c r="ER182" s="472"/>
      <c r="ES182" s="472"/>
    </row>
    <row r="183" spans="1:149" ht="7.5" customHeight="1" x14ac:dyDescent="0.2">
      <c r="A183" s="442"/>
      <c r="B183" s="442"/>
      <c r="C183" s="442"/>
      <c r="D183" s="442"/>
      <c r="E183" s="442"/>
      <c r="F183" s="442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442"/>
      <c r="BX183" s="442"/>
      <c r="BY183" s="442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442"/>
      <c r="ER183" s="472"/>
      <c r="ES183" s="472"/>
    </row>
    <row r="184" spans="1:149" ht="12" customHeight="1" x14ac:dyDescent="0.2">
      <c r="A184" s="442"/>
      <c r="B184" s="442"/>
      <c r="C184" s="67"/>
      <c r="D184" s="577"/>
      <c r="E184" s="442"/>
      <c r="F184" s="442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577"/>
      <c r="BX184" s="442"/>
      <c r="BY184" s="442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442"/>
      <c r="EP184" s="442"/>
      <c r="ER184" s="472"/>
      <c r="ES184" s="472"/>
    </row>
    <row r="185" spans="1:149" ht="12" customHeight="1" x14ac:dyDescent="0.2">
      <c r="A185" s="442"/>
      <c r="B185" s="442"/>
      <c r="C185" s="67"/>
      <c r="D185" s="67"/>
      <c r="E185" s="442"/>
      <c r="F185" s="442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442"/>
      <c r="BY185" s="442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442"/>
      <c r="EP185" s="442"/>
      <c r="ER185" s="472"/>
      <c r="ES185" s="472"/>
    </row>
    <row r="186" spans="1:149" x14ac:dyDescent="0.2">
      <c r="A186" s="442"/>
      <c r="B186" s="442"/>
      <c r="C186" s="442"/>
      <c r="D186" s="442"/>
      <c r="E186" s="578"/>
      <c r="F186" s="578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CZ186" s="67"/>
      <c r="DA186" s="67"/>
      <c r="DB186" s="67"/>
      <c r="DC186" s="67"/>
      <c r="DD186" s="67"/>
      <c r="DE186" s="67"/>
      <c r="DF186" s="67"/>
      <c r="DG186" s="67"/>
      <c r="DH186" s="67"/>
      <c r="DI186" s="67"/>
      <c r="DJ186" s="67"/>
      <c r="DK186" s="67"/>
      <c r="DL186" s="67"/>
      <c r="DM186" s="67"/>
      <c r="DN186" s="67"/>
      <c r="DO186" s="67"/>
      <c r="DP186" s="67"/>
      <c r="DQ186" s="67"/>
      <c r="DR186" s="67"/>
      <c r="DS186" s="67"/>
      <c r="DT186" s="67"/>
      <c r="DU186" s="67"/>
      <c r="DV186" s="67"/>
      <c r="DW186" s="67"/>
      <c r="DX186" s="67"/>
      <c r="DY186" s="67"/>
      <c r="DZ186" s="67"/>
      <c r="EA186" s="67"/>
      <c r="EB186" s="67"/>
      <c r="EC186" s="67"/>
      <c r="ED186" s="67"/>
      <c r="EE186" s="67"/>
      <c r="EF186" s="67"/>
      <c r="EG186" s="67"/>
      <c r="EH186" s="67"/>
      <c r="EI186" s="67"/>
      <c r="EJ186" s="67"/>
      <c r="EK186" s="67"/>
      <c r="EL186" s="67"/>
      <c r="EM186" s="67"/>
      <c r="EN186" s="67"/>
      <c r="EO186" s="442"/>
      <c r="ER186" s="472"/>
      <c r="ES186" s="472"/>
    </row>
    <row r="187" spans="1:149" ht="15.75" x14ac:dyDescent="0.25">
      <c r="A187" s="442"/>
      <c r="B187" s="442"/>
      <c r="C187" s="442"/>
      <c r="D187" s="532" t="s">
        <v>376</v>
      </c>
      <c r="E187" s="532"/>
      <c r="F187" s="532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442"/>
      <c r="ER187" s="472"/>
      <c r="ES187" s="472"/>
    </row>
    <row r="188" spans="1:149" ht="15" customHeight="1" x14ac:dyDescent="0.2">
      <c r="A188" s="442"/>
      <c r="B188" s="442"/>
      <c r="D188" s="579"/>
      <c r="E188" s="488"/>
      <c r="F188" s="491"/>
      <c r="G188" s="144" t="str">
        <f>G8</f>
        <v>2020/21</v>
      </c>
      <c r="H188" s="537"/>
      <c r="I188" s="537"/>
      <c r="J188" s="537"/>
      <c r="K188" s="537"/>
      <c r="L188" s="537"/>
      <c r="M188" s="537"/>
      <c r="N188" s="537"/>
      <c r="O188" s="537"/>
      <c r="P188" s="537"/>
      <c r="Q188" s="537"/>
      <c r="R188" s="537"/>
      <c r="S188" s="537"/>
      <c r="T188" s="537"/>
      <c r="U188" s="537"/>
      <c r="V188" s="537"/>
      <c r="W188" s="537"/>
      <c r="X188" s="537"/>
      <c r="Y188" s="537"/>
      <c r="Z188" s="537"/>
      <c r="AA188" s="537"/>
      <c r="AB188" s="537"/>
      <c r="AC188" s="537"/>
      <c r="AD188" s="537"/>
      <c r="AE188" s="537"/>
      <c r="AF188" s="537"/>
      <c r="AG188" s="537"/>
      <c r="AH188" s="537"/>
      <c r="AI188" s="537"/>
      <c r="AJ188" s="537"/>
      <c r="AK188" s="537"/>
      <c r="AL188" s="537"/>
      <c r="AM188" s="537"/>
      <c r="AN188" s="537"/>
      <c r="AO188" s="537"/>
      <c r="AP188" s="537"/>
      <c r="AQ188" s="537"/>
      <c r="AR188" s="537"/>
      <c r="AS188" s="537"/>
      <c r="AT188" s="537"/>
      <c r="AU188" s="537"/>
      <c r="AV188" s="537"/>
      <c r="AW188" s="537"/>
      <c r="AX188" s="537"/>
      <c r="AY188" s="537"/>
      <c r="AZ188" s="537"/>
      <c r="BA188" s="537"/>
      <c r="BB188" s="537"/>
      <c r="BC188" s="537"/>
      <c r="BD188" s="537"/>
      <c r="BE188" s="537"/>
      <c r="BF188" s="537"/>
      <c r="BG188" s="537"/>
      <c r="BH188" s="537"/>
      <c r="BI188" s="537"/>
      <c r="BJ188" s="537"/>
      <c r="BK188" s="537"/>
      <c r="BL188" s="537"/>
      <c r="BM188" s="537"/>
      <c r="BN188" s="537"/>
      <c r="BO188" s="537"/>
      <c r="BP188" s="537"/>
      <c r="BQ188" s="537"/>
      <c r="BR188" s="537"/>
      <c r="BS188" s="537"/>
      <c r="BT188" s="537"/>
      <c r="BU188" s="580"/>
      <c r="BV188" s="580"/>
      <c r="BW188" s="38"/>
      <c r="BX188" s="580"/>
      <c r="BY188" s="537" t="str">
        <f>BY8</f>
        <v>2019/20</v>
      </c>
      <c r="BZ188" s="537"/>
      <c r="CA188" s="537"/>
      <c r="CB188" s="537"/>
      <c r="CC188" s="537"/>
      <c r="CD188" s="537"/>
      <c r="CE188" s="537"/>
      <c r="CF188" s="537"/>
      <c r="CG188" s="537"/>
      <c r="CH188" s="537"/>
      <c r="CI188" s="537"/>
      <c r="CJ188" s="537"/>
      <c r="CK188" s="537"/>
      <c r="CL188" s="537"/>
      <c r="CM188" s="537"/>
      <c r="CN188" s="537"/>
      <c r="CO188" s="537"/>
      <c r="CP188" s="537"/>
      <c r="CQ188" s="537"/>
      <c r="CR188" s="537"/>
      <c r="CS188" s="537"/>
      <c r="CT188" s="537"/>
      <c r="CU188" s="537"/>
      <c r="CV188" s="537"/>
      <c r="CW188" s="537"/>
      <c r="CX188" s="537"/>
      <c r="CY188" s="537"/>
      <c r="CZ188" s="537"/>
      <c r="DA188" s="537"/>
      <c r="DB188" s="537"/>
      <c r="DC188" s="537"/>
      <c r="DD188" s="537"/>
      <c r="DE188" s="537"/>
      <c r="DF188" s="537"/>
      <c r="DG188" s="537"/>
      <c r="DH188" s="537"/>
      <c r="DI188" s="537"/>
      <c r="DJ188" s="537"/>
      <c r="DK188" s="537"/>
      <c r="DL188" s="537"/>
      <c r="DM188" s="537"/>
      <c r="DN188" s="537"/>
      <c r="DO188" s="537"/>
      <c r="DP188" s="537"/>
      <c r="DQ188" s="537"/>
      <c r="DR188" s="537"/>
      <c r="DS188" s="537"/>
      <c r="DT188" s="537"/>
      <c r="DU188" s="537"/>
      <c r="DV188" s="537"/>
      <c r="DW188" s="537"/>
      <c r="DX188" s="537"/>
      <c r="DY188" s="537"/>
      <c r="DZ188" s="537"/>
      <c r="EA188" s="537"/>
      <c r="EB188" s="537"/>
      <c r="EC188" s="537"/>
      <c r="ED188" s="537"/>
      <c r="EE188" s="537"/>
      <c r="EF188" s="537"/>
      <c r="EG188" s="537"/>
      <c r="EH188" s="537"/>
      <c r="EI188" s="537"/>
      <c r="EJ188" s="537"/>
      <c r="EK188" s="537"/>
      <c r="EL188" s="537"/>
      <c r="EM188" s="580"/>
      <c r="EN188" s="581"/>
      <c r="EO188" s="455"/>
      <c r="ER188" s="472"/>
      <c r="ES188" s="472"/>
    </row>
    <row r="189" spans="1:149" ht="18" customHeight="1" x14ac:dyDescent="0.2">
      <c r="A189" s="442"/>
      <c r="B189" s="442"/>
      <c r="D189" s="184"/>
      <c r="F189" s="442"/>
      <c r="G189" s="176" t="str">
        <f>G9</f>
        <v>Budget</v>
      </c>
      <c r="H189" s="158"/>
      <c r="I189" s="158"/>
      <c r="J189" s="177"/>
      <c r="K189" s="158"/>
      <c r="L189" s="158" t="s">
        <v>6</v>
      </c>
      <c r="M189" s="158"/>
      <c r="N189" s="158"/>
      <c r="O189" s="177"/>
      <c r="P189" s="158"/>
      <c r="Q189" s="158" t="s">
        <v>7</v>
      </c>
      <c r="R189" s="158"/>
      <c r="S189" s="158"/>
      <c r="T189" s="177"/>
      <c r="U189" s="158"/>
      <c r="V189" s="158" t="s">
        <v>8</v>
      </c>
      <c r="W189" s="158"/>
      <c r="X189" s="158"/>
      <c r="Y189" s="177"/>
      <c r="Z189" s="158"/>
      <c r="AA189" s="158" t="s">
        <v>9</v>
      </c>
      <c r="AB189" s="158"/>
      <c r="AC189" s="158"/>
      <c r="AD189" s="177"/>
      <c r="AE189" s="158"/>
      <c r="AF189" s="158" t="s">
        <v>10</v>
      </c>
      <c r="AG189" s="158"/>
      <c r="AH189" s="158"/>
      <c r="AI189" s="177"/>
      <c r="AJ189" s="158"/>
      <c r="AK189" s="158" t="s">
        <v>11</v>
      </c>
      <c r="AL189" s="158"/>
      <c r="AM189" s="158"/>
      <c r="AN189" s="177"/>
      <c r="AO189" s="158"/>
      <c r="AP189" s="158" t="s">
        <v>12</v>
      </c>
      <c r="AQ189" s="158"/>
      <c r="AR189" s="158"/>
      <c r="AS189" s="177"/>
      <c r="AT189" s="158"/>
      <c r="AU189" s="158" t="s">
        <v>13</v>
      </c>
      <c r="AV189" s="158"/>
      <c r="AW189" s="158"/>
      <c r="AX189" s="177"/>
      <c r="AY189" s="158"/>
      <c r="AZ189" s="158" t="s">
        <v>14</v>
      </c>
      <c r="BA189" s="158"/>
      <c r="BB189" s="158"/>
      <c r="BC189" s="177"/>
      <c r="BD189" s="158"/>
      <c r="BE189" s="158" t="s">
        <v>15</v>
      </c>
      <c r="BF189" s="158"/>
      <c r="BG189" s="158"/>
      <c r="BH189" s="177"/>
      <c r="BI189" s="176"/>
      <c r="BJ189" s="176" t="s">
        <v>16</v>
      </c>
      <c r="BK189" s="176"/>
      <c r="BL189" s="152"/>
      <c r="BM189" s="177"/>
      <c r="BN189" s="176"/>
      <c r="BO189" s="176" t="s">
        <v>17</v>
      </c>
      <c r="BP189" s="176"/>
      <c r="BQ189" s="152"/>
      <c r="BR189" s="177"/>
      <c r="BS189" s="176"/>
      <c r="BT189" s="158" t="s">
        <v>18</v>
      </c>
      <c r="BU189" s="158"/>
      <c r="BV189" s="158"/>
      <c r="BW189" s="201"/>
      <c r="BX189" s="158"/>
      <c r="BY189" s="176" t="str">
        <f>BY9</f>
        <v>Preliminary</v>
      </c>
      <c r="BZ189" s="158"/>
      <c r="CA189" s="158"/>
      <c r="CB189" s="177"/>
      <c r="CC189" s="158"/>
      <c r="CD189" s="158" t="s">
        <v>6</v>
      </c>
      <c r="CE189" s="158"/>
      <c r="CF189" s="158"/>
      <c r="CG189" s="177"/>
      <c r="CH189" s="158"/>
      <c r="CI189" s="158" t="s">
        <v>7</v>
      </c>
      <c r="CJ189" s="158"/>
      <c r="CK189" s="158"/>
      <c r="CL189" s="177"/>
      <c r="CM189" s="158"/>
      <c r="CN189" s="158" t="s">
        <v>8</v>
      </c>
      <c r="CO189" s="158"/>
      <c r="CP189" s="158"/>
      <c r="CQ189" s="177"/>
      <c r="CR189" s="158"/>
      <c r="CS189" s="158" t="s">
        <v>9</v>
      </c>
      <c r="CT189" s="158"/>
      <c r="CU189" s="158"/>
      <c r="CV189" s="177"/>
      <c r="CW189" s="158"/>
      <c r="CX189" s="158" t="s">
        <v>10</v>
      </c>
      <c r="CY189" s="158"/>
      <c r="CZ189" s="158"/>
      <c r="DA189" s="177"/>
      <c r="DB189" s="158"/>
      <c r="DC189" s="158" t="s">
        <v>11</v>
      </c>
      <c r="DD189" s="158"/>
      <c r="DE189" s="158"/>
      <c r="DF189" s="177"/>
      <c r="DG189" s="158"/>
      <c r="DH189" s="158" t="s">
        <v>12</v>
      </c>
      <c r="DI189" s="158"/>
      <c r="DJ189" s="158"/>
      <c r="DK189" s="177"/>
      <c r="DL189" s="158"/>
      <c r="DM189" s="158" t="s">
        <v>13</v>
      </c>
      <c r="DN189" s="158"/>
      <c r="DO189" s="158"/>
      <c r="DP189" s="177"/>
      <c r="DQ189" s="158"/>
      <c r="DR189" s="158" t="s">
        <v>14</v>
      </c>
      <c r="DS189" s="158"/>
      <c r="DT189" s="158"/>
      <c r="DU189" s="177"/>
      <c r="DV189" s="158"/>
      <c r="DW189" s="158" t="s">
        <v>15</v>
      </c>
      <c r="DX189" s="158"/>
      <c r="DY189" s="158"/>
      <c r="DZ189" s="177"/>
      <c r="EA189" s="158"/>
      <c r="EB189" s="158" t="s">
        <v>16</v>
      </c>
      <c r="EC189" s="158"/>
      <c r="ED189" s="158"/>
      <c r="EE189" s="177"/>
      <c r="EF189" s="176"/>
      <c r="EG189" s="176" t="s">
        <v>17</v>
      </c>
      <c r="EH189" s="176"/>
      <c r="EI189" s="176"/>
      <c r="EJ189" s="177"/>
      <c r="EK189" s="176"/>
      <c r="EL189" s="158" t="s">
        <v>18</v>
      </c>
      <c r="EM189" s="158"/>
      <c r="EN189" s="158"/>
      <c r="EO189" s="455"/>
      <c r="ER189" s="472"/>
      <c r="ES189" s="472"/>
    </row>
    <row r="190" spans="1:149" x14ac:dyDescent="0.2">
      <c r="A190" s="442"/>
      <c r="B190" s="442"/>
      <c r="D190" s="458" t="s">
        <v>20</v>
      </c>
      <c r="E190" s="540"/>
      <c r="F190" s="541"/>
      <c r="G190" s="242" t="s">
        <v>22</v>
      </c>
      <c r="H190" s="242"/>
      <c r="I190" s="161"/>
      <c r="J190" s="460"/>
      <c r="K190" s="242"/>
      <c r="L190" s="242"/>
      <c r="M190" s="242"/>
      <c r="N190" s="242"/>
      <c r="O190" s="460"/>
      <c r="P190" s="242"/>
      <c r="Q190" s="242"/>
      <c r="R190" s="242"/>
      <c r="S190" s="242"/>
      <c r="T190" s="460"/>
      <c r="U190" s="242"/>
      <c r="V190" s="242"/>
      <c r="W190" s="242"/>
      <c r="X190" s="242"/>
      <c r="Y190" s="460"/>
      <c r="Z190" s="242"/>
      <c r="AA190" s="242"/>
      <c r="AB190" s="242"/>
      <c r="AC190" s="242"/>
      <c r="AD190" s="460"/>
      <c r="AE190" s="242"/>
      <c r="AF190" s="242"/>
      <c r="AG190" s="242"/>
      <c r="AH190" s="242"/>
      <c r="AI190" s="460"/>
      <c r="AJ190" s="242"/>
      <c r="AK190" s="242"/>
      <c r="AL190" s="242"/>
      <c r="AM190" s="242"/>
      <c r="AN190" s="460"/>
      <c r="AO190" s="242"/>
      <c r="AP190" s="242"/>
      <c r="AQ190" s="242"/>
      <c r="AR190" s="242"/>
      <c r="AS190" s="460"/>
      <c r="AT190" s="242"/>
      <c r="AU190" s="242"/>
      <c r="AV190" s="242"/>
      <c r="AW190" s="242"/>
      <c r="AX190" s="460"/>
      <c r="AY190" s="242"/>
      <c r="AZ190" s="242"/>
      <c r="BA190" s="242"/>
      <c r="BB190" s="242"/>
      <c r="BC190" s="460"/>
      <c r="BD190" s="242"/>
      <c r="BE190" s="242"/>
      <c r="BF190" s="242"/>
      <c r="BG190" s="242"/>
      <c r="BH190" s="460"/>
      <c r="BI190" s="242"/>
      <c r="BJ190" s="242"/>
      <c r="BK190" s="242"/>
      <c r="BL190" s="161"/>
      <c r="BM190" s="460"/>
      <c r="BN190" s="242"/>
      <c r="BO190" s="242"/>
      <c r="BP190" s="242"/>
      <c r="BQ190" s="161"/>
      <c r="BR190" s="460"/>
      <c r="BS190" s="242"/>
      <c r="BT190" s="242"/>
      <c r="BU190" s="242"/>
      <c r="BV190" s="161"/>
      <c r="BW190" s="460"/>
      <c r="BX190" s="242"/>
      <c r="BY190" s="242" t="s">
        <v>23</v>
      </c>
      <c r="BZ190" s="242"/>
      <c r="CA190" s="242"/>
      <c r="CB190" s="460"/>
      <c r="CC190" s="242"/>
      <c r="CD190" s="242"/>
      <c r="CE190" s="242"/>
      <c r="CF190" s="242"/>
      <c r="CG190" s="460"/>
      <c r="CH190" s="242"/>
      <c r="CI190" s="242"/>
      <c r="CJ190" s="242"/>
      <c r="CK190" s="242"/>
      <c r="CL190" s="460"/>
      <c r="CM190" s="242"/>
      <c r="CN190" s="242"/>
      <c r="CO190" s="242"/>
      <c r="CP190" s="242"/>
      <c r="CQ190" s="460"/>
      <c r="CR190" s="242"/>
      <c r="CS190" s="242"/>
      <c r="CT190" s="242"/>
      <c r="CU190" s="242"/>
      <c r="CV190" s="460"/>
      <c r="CW190" s="242"/>
      <c r="CX190" s="242"/>
      <c r="CY190" s="242"/>
      <c r="CZ190" s="242"/>
      <c r="DA190" s="460"/>
      <c r="DB190" s="242"/>
      <c r="DC190" s="242"/>
      <c r="DD190" s="242"/>
      <c r="DE190" s="161"/>
      <c r="DF190" s="460"/>
      <c r="DG190" s="242"/>
      <c r="DH190" s="242"/>
      <c r="DI190" s="242"/>
      <c r="DJ190" s="242"/>
      <c r="DK190" s="460"/>
      <c r="DL190" s="242"/>
      <c r="DM190" s="242"/>
      <c r="DN190" s="242"/>
      <c r="DO190" s="242"/>
      <c r="DP190" s="460"/>
      <c r="DQ190" s="242"/>
      <c r="DR190" s="242"/>
      <c r="DS190" s="242"/>
      <c r="DT190" s="242"/>
      <c r="DU190" s="460"/>
      <c r="DV190" s="242"/>
      <c r="DW190" s="242"/>
      <c r="DX190" s="242"/>
      <c r="DY190" s="242"/>
      <c r="DZ190" s="460"/>
      <c r="EA190" s="242"/>
      <c r="EB190" s="242"/>
      <c r="EC190" s="242"/>
      <c r="ED190" s="242"/>
      <c r="EE190" s="460"/>
      <c r="EF190" s="242"/>
      <c r="EG190" s="242"/>
      <c r="EH190" s="242"/>
      <c r="EI190" s="242"/>
      <c r="EJ190" s="460"/>
      <c r="EK190" s="242"/>
      <c r="EL190" s="242"/>
      <c r="EM190" s="242"/>
      <c r="EN190" s="463"/>
      <c r="EO190" s="455"/>
      <c r="ER190" s="472"/>
      <c r="ES190" s="472"/>
    </row>
    <row r="191" spans="1:149" x14ac:dyDescent="0.2">
      <c r="A191" s="442"/>
      <c r="B191" s="442"/>
      <c r="D191" s="455"/>
      <c r="E191" s="582"/>
      <c r="F191" s="320"/>
      <c r="G191" s="67"/>
      <c r="H191" s="67"/>
      <c r="I191" s="67"/>
      <c r="J191" s="560"/>
      <c r="K191" s="320"/>
      <c r="L191" s="67"/>
      <c r="M191" s="67"/>
      <c r="N191" s="67"/>
      <c r="O191" s="560"/>
      <c r="P191" s="320"/>
      <c r="Q191" s="67"/>
      <c r="R191" s="67"/>
      <c r="S191" s="67"/>
      <c r="T191" s="560"/>
      <c r="U191" s="320"/>
      <c r="V191" s="67"/>
      <c r="W191" s="67"/>
      <c r="X191" s="67"/>
      <c r="Y191" s="560"/>
      <c r="Z191" s="320"/>
      <c r="AA191" s="67"/>
      <c r="AB191" s="67"/>
      <c r="AC191" s="67"/>
      <c r="AD191" s="560"/>
      <c r="AE191" s="320"/>
      <c r="AF191" s="67"/>
      <c r="AG191" s="67"/>
      <c r="AH191" s="67"/>
      <c r="AI191" s="560"/>
      <c r="AJ191" s="320"/>
      <c r="AK191" s="67"/>
      <c r="AL191" s="67"/>
      <c r="AM191" s="67"/>
      <c r="AN191" s="560"/>
      <c r="AO191" s="320"/>
      <c r="AP191" s="67"/>
      <c r="AQ191" s="67"/>
      <c r="AR191" s="67"/>
      <c r="AS191" s="560"/>
      <c r="AT191" s="320"/>
      <c r="AU191" s="67"/>
      <c r="AV191" s="67"/>
      <c r="AW191" s="67"/>
      <c r="AX191" s="560"/>
      <c r="AY191" s="320"/>
      <c r="AZ191" s="67"/>
      <c r="BA191" s="67"/>
      <c r="BB191" s="67"/>
      <c r="BC191" s="560"/>
      <c r="BD191" s="320"/>
      <c r="BE191" s="67"/>
      <c r="BF191" s="67"/>
      <c r="BG191" s="67"/>
      <c r="BH191" s="560"/>
      <c r="BI191" s="320"/>
      <c r="BJ191" s="67"/>
      <c r="BK191" s="67"/>
      <c r="BL191" s="67"/>
      <c r="BM191" s="560"/>
      <c r="BN191" s="320"/>
      <c r="BO191" s="67"/>
      <c r="BP191" s="67"/>
      <c r="BQ191" s="67"/>
      <c r="BR191" s="560"/>
      <c r="BS191" s="320"/>
      <c r="BT191" s="67"/>
      <c r="BU191" s="67"/>
      <c r="BV191" s="67"/>
      <c r="BW191" s="560"/>
      <c r="BX191" s="320"/>
      <c r="BY191" s="67"/>
      <c r="BZ191" s="67"/>
      <c r="CA191" s="67"/>
      <c r="CB191" s="560"/>
      <c r="CC191" s="320"/>
      <c r="CD191" s="67"/>
      <c r="CE191" s="67"/>
      <c r="CF191" s="67"/>
      <c r="CG191" s="560"/>
      <c r="CH191" s="320"/>
      <c r="CI191" s="67"/>
      <c r="CJ191" s="67"/>
      <c r="CK191" s="67"/>
      <c r="CL191" s="560"/>
      <c r="CM191" s="320"/>
      <c r="CN191" s="67"/>
      <c r="CO191" s="67"/>
      <c r="CP191" s="67"/>
      <c r="CQ191" s="560"/>
      <c r="CR191" s="320"/>
      <c r="CS191" s="67"/>
      <c r="CT191" s="67"/>
      <c r="CU191" s="67"/>
      <c r="CV191" s="560"/>
      <c r="CW191" s="320"/>
      <c r="CX191" s="67"/>
      <c r="CY191" s="67"/>
      <c r="CZ191" s="67"/>
      <c r="DA191" s="560"/>
      <c r="DB191" s="320"/>
      <c r="DC191" s="67"/>
      <c r="DD191" s="67"/>
      <c r="DE191" s="66"/>
      <c r="DF191" s="560"/>
      <c r="DG191" s="320"/>
      <c r="DH191" s="67"/>
      <c r="DI191" s="67"/>
      <c r="DJ191" s="67"/>
      <c r="DK191" s="560"/>
      <c r="DL191" s="320"/>
      <c r="DM191" s="67"/>
      <c r="DN191" s="67"/>
      <c r="DO191" s="67"/>
      <c r="DP191" s="560"/>
      <c r="DQ191" s="320"/>
      <c r="DR191" s="67"/>
      <c r="DS191" s="67"/>
      <c r="DT191" s="67"/>
      <c r="DU191" s="560"/>
      <c r="DV191" s="320"/>
      <c r="DW191" s="67"/>
      <c r="DX191" s="67"/>
      <c r="DY191" s="67"/>
      <c r="DZ191" s="560"/>
      <c r="EA191" s="320"/>
      <c r="EB191" s="67"/>
      <c r="EC191" s="67"/>
      <c r="ED191" s="67"/>
      <c r="EE191" s="560"/>
      <c r="EF191" s="320"/>
      <c r="EG191" s="67"/>
      <c r="EH191" s="67"/>
      <c r="EI191" s="67"/>
      <c r="EJ191" s="560"/>
      <c r="EK191" s="320"/>
      <c r="EL191" s="67"/>
      <c r="EM191" s="67"/>
      <c r="EN191" s="67"/>
      <c r="EO191" s="455"/>
      <c r="ER191" s="472"/>
      <c r="ES191" s="472"/>
    </row>
    <row r="192" spans="1:149" x14ac:dyDescent="0.2">
      <c r="A192" s="442"/>
      <c r="B192" s="442"/>
      <c r="D192" s="455" t="s">
        <v>377</v>
      </c>
      <c r="F192" s="491"/>
      <c r="G192" s="113">
        <v>0</v>
      </c>
      <c r="H192" s="113"/>
      <c r="I192" s="67"/>
      <c r="J192" s="560"/>
      <c r="K192" s="491"/>
      <c r="L192" s="113">
        <f>SUM(L193:L204)</f>
        <v>0</v>
      </c>
      <c r="M192" s="113"/>
      <c r="N192" s="67"/>
      <c r="O192" s="560"/>
      <c r="P192" s="491"/>
      <c r="Q192" s="113">
        <f>SUM(Q193:Q204)</f>
        <v>0</v>
      </c>
      <c r="R192" s="113"/>
      <c r="S192" s="67"/>
      <c r="T192" s="560"/>
      <c r="U192" s="491"/>
      <c r="V192" s="113">
        <f>SUM(V193:V204)</f>
        <v>0</v>
      </c>
      <c r="W192" s="113"/>
      <c r="X192" s="67"/>
      <c r="Y192" s="560"/>
      <c r="Z192" s="491"/>
      <c r="AA192" s="113">
        <f>SUM(AA193:AA204)</f>
        <v>0</v>
      </c>
      <c r="AB192" s="113"/>
      <c r="AC192" s="67"/>
      <c r="AD192" s="560"/>
      <c r="AE192" s="491"/>
      <c r="AF192" s="113">
        <f>SUM(AF193:AF204)</f>
        <v>0</v>
      </c>
      <c r="AG192" s="113"/>
      <c r="AH192" s="67"/>
      <c r="AI192" s="560"/>
      <c r="AJ192" s="491"/>
      <c r="AK192" s="113">
        <f>SUM(AK193:AK204)</f>
        <v>0</v>
      </c>
      <c r="AL192" s="113"/>
      <c r="AM192" s="67"/>
      <c r="AN192" s="560"/>
      <c r="AO192" s="491"/>
      <c r="AP192" s="113">
        <f>SUM(AP193:AP204)</f>
        <v>0</v>
      </c>
      <c r="AQ192" s="113"/>
      <c r="AR192" s="67"/>
      <c r="AS192" s="560"/>
      <c r="AT192" s="491"/>
      <c r="AU192" s="113">
        <f>SUM(AU193:AU204)</f>
        <v>0</v>
      </c>
      <c r="AV192" s="113"/>
      <c r="AW192" s="67"/>
      <c r="AX192" s="560"/>
      <c r="AY192" s="491"/>
      <c r="AZ192" s="113">
        <f>SUM(AZ193:AZ204)</f>
        <v>0</v>
      </c>
      <c r="BA192" s="113"/>
      <c r="BB192" s="67"/>
      <c r="BC192" s="560"/>
      <c r="BD192" s="491"/>
      <c r="BE192" s="113">
        <f>SUM(BE193:BE204)</f>
        <v>0</v>
      </c>
      <c r="BF192" s="113"/>
      <c r="BG192" s="67"/>
      <c r="BH192" s="560"/>
      <c r="BI192" s="491"/>
      <c r="BJ192" s="113">
        <f>SUM(BJ193:BJ204)</f>
        <v>0</v>
      </c>
      <c r="BK192" s="113"/>
      <c r="BL192" s="67"/>
      <c r="BM192" s="560"/>
      <c r="BN192" s="491"/>
      <c r="BO192" s="113">
        <f>SUM(BO193:BO204)</f>
        <v>0</v>
      </c>
      <c r="BP192" s="113"/>
      <c r="BQ192" s="67"/>
      <c r="BR192" s="560"/>
      <c r="BS192" s="491"/>
      <c r="BT192" s="113">
        <f>SUM(BT193:BT204)</f>
        <v>0</v>
      </c>
      <c r="BU192" s="113"/>
      <c r="BV192" s="67"/>
      <c r="BW192" s="560"/>
      <c r="BX192" s="491"/>
      <c r="BY192" s="113">
        <f>SUM(BY193:BY204)</f>
        <v>10627</v>
      </c>
      <c r="BZ192" s="113"/>
      <c r="CA192" s="67"/>
      <c r="CB192" s="560"/>
      <c r="CC192" s="491"/>
      <c r="CD192" s="113">
        <f>SUM(CD193:CD204)</f>
        <v>0</v>
      </c>
      <c r="CE192" s="113"/>
      <c r="CF192" s="67"/>
      <c r="CG192" s="560"/>
      <c r="CH192" s="491"/>
      <c r="CI192" s="113">
        <f>SUM(CI193:CI204)</f>
        <v>0</v>
      </c>
      <c r="CJ192" s="113"/>
      <c r="CK192" s="67"/>
      <c r="CL192" s="560"/>
      <c r="CM192" s="491"/>
      <c r="CN192" s="113">
        <f>SUM(CN193:CN204)</f>
        <v>0</v>
      </c>
      <c r="CO192" s="113"/>
      <c r="CP192" s="67"/>
      <c r="CQ192" s="560"/>
      <c r="CR192" s="491"/>
      <c r="CS192" s="113">
        <f>SUM(CS193:CS204)</f>
        <v>0</v>
      </c>
      <c r="CT192" s="113"/>
      <c r="CU192" s="67"/>
      <c r="CV192" s="560"/>
      <c r="CW192" s="491"/>
      <c r="CX192" s="113">
        <f>SUM(CX193:CX204)</f>
        <v>0</v>
      </c>
      <c r="CY192" s="113"/>
      <c r="CZ192" s="67"/>
      <c r="DA192" s="560"/>
      <c r="DB192" s="491"/>
      <c r="DC192" s="113">
        <f>SUM(DC193:DC204)</f>
        <v>10627</v>
      </c>
      <c r="DD192" s="113"/>
      <c r="DE192" s="67"/>
      <c r="DF192" s="560"/>
      <c r="DG192" s="491"/>
      <c r="DH192" s="113">
        <f>SUM(DH193:DH204)</f>
        <v>0</v>
      </c>
      <c r="DI192" s="113"/>
      <c r="DJ192" s="67"/>
      <c r="DK192" s="560"/>
      <c r="DL192" s="491"/>
      <c r="DM192" s="113">
        <f>SUM(DM193:DM204)</f>
        <v>0</v>
      </c>
      <c r="DN192" s="113"/>
      <c r="DO192" s="67"/>
      <c r="DP192" s="560"/>
      <c r="DQ192" s="491"/>
      <c r="DR192" s="113">
        <f>SUM(DR193:DR204)</f>
        <v>0</v>
      </c>
      <c r="DS192" s="113"/>
      <c r="DT192" s="67"/>
      <c r="DU192" s="560"/>
      <c r="DV192" s="491"/>
      <c r="DW192" s="113">
        <f>SUM(DW193:DW204)</f>
        <v>0</v>
      </c>
      <c r="DX192" s="113"/>
      <c r="DY192" s="67"/>
      <c r="DZ192" s="560"/>
      <c r="EA192" s="491"/>
      <c r="EB192" s="113">
        <f>SUM(EB193:EB204)</f>
        <v>0</v>
      </c>
      <c r="EC192" s="113"/>
      <c r="ED192" s="67"/>
      <c r="EE192" s="560"/>
      <c r="EF192" s="491"/>
      <c r="EG192" s="113">
        <f>SUM(EG193:EG204)</f>
        <v>0</v>
      </c>
      <c r="EH192" s="113"/>
      <c r="EI192" s="67"/>
      <c r="EJ192" s="560"/>
      <c r="EK192" s="491"/>
      <c r="EL192" s="113">
        <f>SUM(EL193:EL204)</f>
        <v>0</v>
      </c>
      <c r="EM192" s="113"/>
      <c r="EN192" s="67"/>
      <c r="EO192" s="455"/>
      <c r="ER192" s="472"/>
      <c r="ES192" s="472"/>
    </row>
    <row r="193" spans="1:149" hidden="1" x14ac:dyDescent="0.2">
      <c r="A193" s="442"/>
      <c r="B193" s="442"/>
      <c r="D193" s="455" t="s">
        <v>378</v>
      </c>
      <c r="F193" s="473"/>
      <c r="G193" s="558">
        <v>0</v>
      </c>
      <c r="H193" s="559"/>
      <c r="I193" s="67"/>
      <c r="J193" s="560"/>
      <c r="K193" s="473"/>
      <c r="L193" s="558">
        <v>0</v>
      </c>
      <c r="M193" s="559"/>
      <c r="N193" s="67"/>
      <c r="O193" s="560"/>
      <c r="P193" s="473"/>
      <c r="Q193" s="558">
        <v>0</v>
      </c>
      <c r="R193" s="559"/>
      <c r="S193" s="67"/>
      <c r="T193" s="560"/>
      <c r="U193" s="491"/>
      <c r="V193" s="558">
        <v>0</v>
      </c>
      <c r="W193" s="113"/>
      <c r="X193" s="67"/>
      <c r="Y193" s="560"/>
      <c r="Z193" s="473"/>
      <c r="AA193" s="558">
        <v>0</v>
      </c>
      <c r="AB193" s="559"/>
      <c r="AC193" s="67"/>
      <c r="AD193" s="560"/>
      <c r="AE193" s="473"/>
      <c r="AF193" s="558">
        <v>0</v>
      </c>
      <c r="AG193" s="559"/>
      <c r="AH193" s="67"/>
      <c r="AI193" s="560"/>
      <c r="AJ193" s="473"/>
      <c r="AK193" s="558">
        <v>0</v>
      </c>
      <c r="AL193" s="559"/>
      <c r="AM193" s="67"/>
      <c r="AN193" s="560"/>
      <c r="AO193" s="473"/>
      <c r="AP193" s="558">
        <v>0</v>
      </c>
      <c r="AQ193" s="559"/>
      <c r="AR193" s="67"/>
      <c r="AS193" s="560"/>
      <c r="AT193" s="473"/>
      <c r="AU193" s="558">
        <v>0</v>
      </c>
      <c r="AV193" s="559"/>
      <c r="AW193" s="67"/>
      <c r="AX193" s="560"/>
      <c r="AY193" s="473"/>
      <c r="AZ193" s="558">
        <v>0</v>
      </c>
      <c r="BA193" s="559"/>
      <c r="BB193" s="67"/>
      <c r="BC193" s="560"/>
      <c r="BD193" s="473"/>
      <c r="BE193" s="558">
        <v>0</v>
      </c>
      <c r="BF193" s="559"/>
      <c r="BG193" s="67"/>
      <c r="BH193" s="560"/>
      <c r="BI193" s="473"/>
      <c r="BJ193" s="558">
        <v>0</v>
      </c>
      <c r="BK193" s="559"/>
      <c r="BL193" s="67"/>
      <c r="BM193" s="560"/>
      <c r="BN193" s="473"/>
      <c r="BO193" s="558">
        <v>0</v>
      </c>
      <c r="BP193" s="559"/>
      <c r="BQ193" s="67"/>
      <c r="BR193" s="560"/>
      <c r="BS193" s="473"/>
      <c r="BT193" s="558">
        <f t="shared" ref="BT193:BT204" si="0">SUM(L193:BO193)</f>
        <v>0</v>
      </c>
      <c r="BU193" s="559"/>
      <c r="BV193" s="67"/>
      <c r="BW193" s="560"/>
      <c r="BX193" s="561"/>
      <c r="BY193" s="558">
        <f>SUM(Q193:BT193)</f>
        <v>0</v>
      </c>
      <c r="BZ193" s="559"/>
      <c r="CA193" s="67"/>
      <c r="CB193" s="560"/>
      <c r="CC193" s="473"/>
      <c r="CD193" s="558">
        <v>0</v>
      </c>
      <c r="CE193" s="559"/>
      <c r="CF193" s="67"/>
      <c r="CG193" s="560"/>
      <c r="CH193" s="473"/>
      <c r="CI193" s="558">
        <v>0</v>
      </c>
      <c r="CJ193" s="559"/>
      <c r="CK193" s="67"/>
      <c r="CL193" s="560"/>
      <c r="CM193" s="491"/>
      <c r="CN193" s="558">
        <v>0</v>
      </c>
      <c r="CO193" s="113"/>
      <c r="CP193" s="67"/>
      <c r="CQ193" s="560"/>
      <c r="CR193" s="473"/>
      <c r="CS193" s="558">
        <v>0</v>
      </c>
      <c r="CT193" s="559"/>
      <c r="CU193" s="67"/>
      <c r="CV193" s="560"/>
      <c r="CW193" s="473"/>
      <c r="CX193" s="558">
        <v>0</v>
      </c>
      <c r="CY193" s="559"/>
      <c r="CZ193" s="67"/>
      <c r="DA193" s="560"/>
      <c r="DB193" s="473"/>
      <c r="DC193" s="558">
        <v>0</v>
      </c>
      <c r="DD193" s="559"/>
      <c r="DE193" s="67"/>
      <c r="DF193" s="560"/>
      <c r="DG193" s="473"/>
      <c r="DH193" s="558">
        <v>0</v>
      </c>
      <c r="DI193" s="559"/>
      <c r="DJ193" s="67"/>
      <c r="DK193" s="560"/>
      <c r="DL193" s="473"/>
      <c r="DM193" s="558">
        <v>0</v>
      </c>
      <c r="DN193" s="559"/>
      <c r="DO193" s="67"/>
      <c r="DP193" s="560"/>
      <c r="DQ193" s="473"/>
      <c r="DR193" s="558">
        <v>0</v>
      </c>
      <c r="DS193" s="559"/>
      <c r="DT193" s="67"/>
      <c r="DU193" s="560"/>
      <c r="DV193" s="473"/>
      <c r="DW193" s="558">
        <v>0</v>
      </c>
      <c r="DX193" s="559"/>
      <c r="DY193" s="67"/>
      <c r="DZ193" s="560"/>
      <c r="EA193" s="473"/>
      <c r="EB193" s="558">
        <v>0</v>
      </c>
      <c r="EC193" s="559"/>
      <c r="ED193" s="67"/>
      <c r="EE193" s="560"/>
      <c r="EF193" s="473"/>
      <c r="EG193" s="558">
        <v>0</v>
      </c>
      <c r="EH193" s="559"/>
      <c r="EI193" s="67"/>
      <c r="EJ193" s="560"/>
      <c r="EK193" s="473"/>
      <c r="EL193" s="558">
        <f t="shared" ref="EL193:EL204" si="1">SUM(CD193:EG193)</f>
        <v>0</v>
      </c>
      <c r="EM193" s="559"/>
      <c r="EN193" s="67"/>
      <c r="EO193" s="455"/>
      <c r="ER193" s="472"/>
      <c r="ES193" s="472"/>
    </row>
    <row r="194" spans="1:149" hidden="1" x14ac:dyDescent="0.2">
      <c r="A194" s="442"/>
      <c r="B194" s="442"/>
      <c r="D194" s="455" t="s">
        <v>379</v>
      </c>
      <c r="F194" s="465"/>
      <c r="G194" s="67">
        <v>0</v>
      </c>
      <c r="H194" s="66"/>
      <c r="I194" s="67"/>
      <c r="J194" s="560"/>
      <c r="K194" s="465"/>
      <c r="L194" s="67">
        <v>0</v>
      </c>
      <c r="M194" s="66"/>
      <c r="N194" s="67"/>
      <c r="O194" s="560"/>
      <c r="P194" s="465"/>
      <c r="Q194" s="67">
        <v>0</v>
      </c>
      <c r="R194" s="66"/>
      <c r="S194" s="67"/>
      <c r="T194" s="560"/>
      <c r="U194" s="465"/>
      <c r="V194" s="67">
        <v>0</v>
      </c>
      <c r="W194" s="66"/>
      <c r="X194" s="67"/>
      <c r="Y194" s="560"/>
      <c r="Z194" s="465"/>
      <c r="AA194" s="67">
        <v>0</v>
      </c>
      <c r="AB194" s="66"/>
      <c r="AC194" s="67"/>
      <c r="AD194" s="560"/>
      <c r="AE194" s="465"/>
      <c r="AF194" s="67">
        <v>0</v>
      </c>
      <c r="AG194" s="66"/>
      <c r="AH194" s="67"/>
      <c r="AI194" s="560"/>
      <c r="AJ194" s="465"/>
      <c r="AK194" s="67">
        <v>0</v>
      </c>
      <c r="AL194" s="66"/>
      <c r="AM194" s="67"/>
      <c r="AN194" s="560"/>
      <c r="AO194" s="465"/>
      <c r="AP194" s="67">
        <v>0</v>
      </c>
      <c r="AQ194" s="66"/>
      <c r="AR194" s="67"/>
      <c r="AS194" s="560"/>
      <c r="AT194" s="465"/>
      <c r="AU194" s="67">
        <v>0</v>
      </c>
      <c r="AV194" s="66"/>
      <c r="AW194" s="67"/>
      <c r="AX194" s="560"/>
      <c r="AY194" s="465"/>
      <c r="AZ194" s="67">
        <v>0</v>
      </c>
      <c r="BA194" s="66"/>
      <c r="BB194" s="67"/>
      <c r="BC194" s="560"/>
      <c r="BD194" s="465"/>
      <c r="BE194" s="67">
        <v>0</v>
      </c>
      <c r="BF194" s="66"/>
      <c r="BG194" s="67"/>
      <c r="BH194" s="560"/>
      <c r="BI194" s="465"/>
      <c r="BJ194" s="67">
        <v>0</v>
      </c>
      <c r="BK194" s="66"/>
      <c r="BL194" s="67"/>
      <c r="BM194" s="560"/>
      <c r="BN194" s="465"/>
      <c r="BO194" s="67">
        <v>0</v>
      </c>
      <c r="BP194" s="66"/>
      <c r="BQ194" s="67"/>
      <c r="BR194" s="560"/>
      <c r="BS194" s="465"/>
      <c r="BT194" s="67">
        <f t="shared" si="0"/>
        <v>0</v>
      </c>
      <c r="BU194" s="66"/>
      <c r="BV194" s="67"/>
      <c r="BW194" s="560"/>
      <c r="BX194" s="560"/>
      <c r="BY194" s="67">
        <f>SUM(Q194:BT194)</f>
        <v>0</v>
      </c>
      <c r="BZ194" s="66"/>
      <c r="CA194" s="67"/>
      <c r="CB194" s="560"/>
      <c r="CC194" s="465"/>
      <c r="CD194" s="67">
        <v>0</v>
      </c>
      <c r="CE194" s="66"/>
      <c r="CF194" s="67"/>
      <c r="CG194" s="560"/>
      <c r="CH194" s="465"/>
      <c r="CI194" s="67">
        <v>0</v>
      </c>
      <c r="CJ194" s="66"/>
      <c r="CK194" s="67"/>
      <c r="CL194" s="560"/>
      <c r="CM194" s="465"/>
      <c r="CN194" s="67">
        <v>0</v>
      </c>
      <c r="CO194" s="66"/>
      <c r="CP194" s="67"/>
      <c r="CQ194" s="560"/>
      <c r="CR194" s="465"/>
      <c r="CS194" s="67">
        <v>0</v>
      </c>
      <c r="CT194" s="66"/>
      <c r="CU194" s="67"/>
      <c r="CV194" s="560"/>
      <c r="CW194" s="465"/>
      <c r="CX194" s="67">
        <v>0</v>
      </c>
      <c r="CY194" s="66"/>
      <c r="CZ194" s="67"/>
      <c r="DA194" s="560"/>
      <c r="DB194" s="465"/>
      <c r="DC194" s="67">
        <v>0</v>
      </c>
      <c r="DD194" s="66"/>
      <c r="DE194" s="67"/>
      <c r="DF194" s="560"/>
      <c r="DG194" s="465"/>
      <c r="DH194" s="67">
        <v>0</v>
      </c>
      <c r="DI194" s="66"/>
      <c r="DJ194" s="67"/>
      <c r="DK194" s="560"/>
      <c r="DL194" s="465"/>
      <c r="DM194" s="67">
        <v>0</v>
      </c>
      <c r="DN194" s="66"/>
      <c r="DO194" s="67"/>
      <c r="DP194" s="560"/>
      <c r="DQ194" s="465"/>
      <c r="DR194" s="67">
        <v>0</v>
      </c>
      <c r="DS194" s="66"/>
      <c r="DT194" s="67"/>
      <c r="DU194" s="560"/>
      <c r="DV194" s="465"/>
      <c r="DW194" s="67">
        <v>0</v>
      </c>
      <c r="DX194" s="66"/>
      <c r="DY194" s="67"/>
      <c r="DZ194" s="560"/>
      <c r="EA194" s="465"/>
      <c r="EB194" s="67">
        <v>0</v>
      </c>
      <c r="EC194" s="66"/>
      <c r="ED194" s="67"/>
      <c r="EE194" s="560"/>
      <c r="EF194" s="465"/>
      <c r="EG194" s="67">
        <v>0</v>
      </c>
      <c r="EH194" s="66"/>
      <c r="EI194" s="67"/>
      <c r="EJ194" s="560"/>
      <c r="EK194" s="465"/>
      <c r="EL194" s="67">
        <f t="shared" si="1"/>
        <v>0</v>
      </c>
      <c r="EM194" s="66"/>
      <c r="EN194" s="67"/>
      <c r="EO194" s="455"/>
      <c r="ER194" s="472"/>
      <c r="ES194" s="472"/>
    </row>
    <row r="195" spans="1:149" hidden="1" x14ac:dyDescent="0.2">
      <c r="A195" s="442"/>
      <c r="B195" s="442"/>
      <c r="D195" s="455" t="s">
        <v>380</v>
      </c>
      <c r="F195" s="465"/>
      <c r="G195" s="67">
        <v>0</v>
      </c>
      <c r="H195" s="66"/>
      <c r="I195" s="67"/>
      <c r="J195" s="560"/>
      <c r="K195" s="465"/>
      <c r="L195" s="67">
        <v>0</v>
      </c>
      <c r="M195" s="66"/>
      <c r="N195" s="67"/>
      <c r="O195" s="560"/>
      <c r="P195" s="465"/>
      <c r="Q195" s="67">
        <v>0</v>
      </c>
      <c r="R195" s="66"/>
      <c r="S195" s="67"/>
      <c r="T195" s="560"/>
      <c r="U195" s="465"/>
      <c r="V195" s="67">
        <v>0</v>
      </c>
      <c r="W195" s="66"/>
      <c r="X195" s="67"/>
      <c r="Y195" s="560"/>
      <c r="Z195" s="465"/>
      <c r="AA195" s="67">
        <v>0</v>
      </c>
      <c r="AB195" s="66"/>
      <c r="AC195" s="67"/>
      <c r="AD195" s="560"/>
      <c r="AE195" s="465"/>
      <c r="AF195" s="67">
        <v>0</v>
      </c>
      <c r="AG195" s="66"/>
      <c r="AH195" s="67"/>
      <c r="AI195" s="560"/>
      <c r="AJ195" s="465"/>
      <c r="AK195" s="67">
        <v>0</v>
      </c>
      <c r="AL195" s="66"/>
      <c r="AM195" s="67"/>
      <c r="AN195" s="560"/>
      <c r="AO195" s="465"/>
      <c r="AP195" s="67">
        <v>0</v>
      </c>
      <c r="AQ195" s="66"/>
      <c r="AR195" s="67"/>
      <c r="AS195" s="560"/>
      <c r="AT195" s="465"/>
      <c r="AU195" s="67">
        <v>0</v>
      </c>
      <c r="AV195" s="66"/>
      <c r="AW195" s="67"/>
      <c r="AX195" s="560"/>
      <c r="AY195" s="465"/>
      <c r="AZ195" s="67">
        <v>0</v>
      </c>
      <c r="BA195" s="66"/>
      <c r="BB195" s="67"/>
      <c r="BC195" s="560"/>
      <c r="BD195" s="465"/>
      <c r="BE195" s="67">
        <v>0</v>
      </c>
      <c r="BF195" s="66"/>
      <c r="BG195" s="67"/>
      <c r="BH195" s="560"/>
      <c r="BI195" s="465"/>
      <c r="BJ195" s="67">
        <v>0</v>
      </c>
      <c r="BK195" s="66"/>
      <c r="BL195" s="67"/>
      <c r="BM195" s="560"/>
      <c r="BN195" s="465"/>
      <c r="BO195" s="67">
        <v>0</v>
      </c>
      <c r="BP195" s="66"/>
      <c r="BQ195" s="67"/>
      <c r="BR195" s="560"/>
      <c r="BS195" s="465"/>
      <c r="BT195" s="67">
        <f>SUM(L195:BO195)</f>
        <v>0</v>
      </c>
      <c r="BU195" s="66"/>
      <c r="BV195" s="67"/>
      <c r="BW195" s="560"/>
      <c r="BX195" s="560"/>
      <c r="BY195" s="67">
        <v>0</v>
      </c>
      <c r="BZ195" s="66"/>
      <c r="CA195" s="67"/>
      <c r="CB195" s="560"/>
      <c r="CC195" s="465"/>
      <c r="CD195" s="67">
        <v>0</v>
      </c>
      <c r="CE195" s="66"/>
      <c r="CF195" s="67"/>
      <c r="CG195" s="560"/>
      <c r="CH195" s="465"/>
      <c r="CI195" s="67">
        <v>0</v>
      </c>
      <c r="CJ195" s="66"/>
      <c r="CK195" s="67"/>
      <c r="CL195" s="560"/>
      <c r="CM195" s="465"/>
      <c r="CN195" s="67">
        <v>0</v>
      </c>
      <c r="CO195" s="66"/>
      <c r="CP195" s="67"/>
      <c r="CQ195" s="560"/>
      <c r="CR195" s="465"/>
      <c r="CS195" s="67">
        <v>0</v>
      </c>
      <c r="CT195" s="66"/>
      <c r="CU195" s="67"/>
      <c r="CV195" s="560"/>
      <c r="CW195" s="465"/>
      <c r="CX195" s="67">
        <v>0</v>
      </c>
      <c r="CY195" s="66"/>
      <c r="CZ195" s="67"/>
      <c r="DA195" s="560"/>
      <c r="DB195" s="465"/>
      <c r="DC195" s="67">
        <v>0</v>
      </c>
      <c r="DD195" s="66"/>
      <c r="DE195" s="67"/>
      <c r="DF195" s="560"/>
      <c r="DG195" s="465"/>
      <c r="DH195" s="67">
        <v>0</v>
      </c>
      <c r="DI195" s="66"/>
      <c r="DJ195" s="67"/>
      <c r="DK195" s="560"/>
      <c r="DL195" s="465"/>
      <c r="DM195" s="67">
        <v>0</v>
      </c>
      <c r="DN195" s="66"/>
      <c r="DO195" s="67"/>
      <c r="DP195" s="560"/>
      <c r="DQ195" s="465"/>
      <c r="DR195" s="67">
        <v>0</v>
      </c>
      <c r="DS195" s="66"/>
      <c r="DT195" s="67"/>
      <c r="DU195" s="560"/>
      <c r="DV195" s="465"/>
      <c r="DW195" s="67">
        <v>0</v>
      </c>
      <c r="DX195" s="66"/>
      <c r="DY195" s="67"/>
      <c r="DZ195" s="560"/>
      <c r="EA195" s="465"/>
      <c r="EB195" s="67">
        <v>0</v>
      </c>
      <c r="EC195" s="66"/>
      <c r="ED195" s="67"/>
      <c r="EE195" s="560"/>
      <c r="EF195" s="465"/>
      <c r="EG195" s="67">
        <v>0</v>
      </c>
      <c r="EH195" s="66"/>
      <c r="EI195" s="67"/>
      <c r="EJ195" s="560"/>
      <c r="EK195" s="465"/>
      <c r="EL195" s="67">
        <f>SUM(CD195:EG195)</f>
        <v>0</v>
      </c>
      <c r="EM195" s="66"/>
      <c r="EN195" s="67"/>
      <c r="EO195" s="455"/>
      <c r="ER195" s="472"/>
      <c r="ES195" s="472"/>
    </row>
    <row r="196" spans="1:149" hidden="1" x14ac:dyDescent="0.2">
      <c r="A196" s="442"/>
      <c r="B196" s="442"/>
      <c r="D196" s="455" t="s">
        <v>381</v>
      </c>
      <c r="F196" s="465"/>
      <c r="G196" s="67">
        <v>0</v>
      </c>
      <c r="H196" s="66"/>
      <c r="I196" s="67"/>
      <c r="J196" s="560"/>
      <c r="K196" s="465"/>
      <c r="L196" s="67">
        <v>0</v>
      </c>
      <c r="M196" s="66"/>
      <c r="N196" s="67"/>
      <c r="O196" s="560"/>
      <c r="P196" s="465"/>
      <c r="Q196" s="67">
        <v>0</v>
      </c>
      <c r="R196" s="66"/>
      <c r="S196" s="67"/>
      <c r="T196" s="560"/>
      <c r="U196" s="465"/>
      <c r="V196" s="67">
        <v>0</v>
      </c>
      <c r="W196" s="66"/>
      <c r="X196" s="67"/>
      <c r="Y196" s="560"/>
      <c r="Z196" s="465"/>
      <c r="AA196" s="67">
        <v>0</v>
      </c>
      <c r="AB196" s="66"/>
      <c r="AC196" s="67"/>
      <c r="AD196" s="560"/>
      <c r="AE196" s="465"/>
      <c r="AF196" s="67">
        <v>0</v>
      </c>
      <c r="AG196" s="66"/>
      <c r="AH196" s="67"/>
      <c r="AI196" s="560"/>
      <c r="AJ196" s="465"/>
      <c r="AK196" s="67">
        <v>0</v>
      </c>
      <c r="AL196" s="66"/>
      <c r="AM196" s="67"/>
      <c r="AN196" s="560"/>
      <c r="AO196" s="465"/>
      <c r="AP196" s="67">
        <v>0</v>
      </c>
      <c r="AQ196" s="66"/>
      <c r="AR196" s="67"/>
      <c r="AS196" s="560"/>
      <c r="AT196" s="465"/>
      <c r="AU196" s="67">
        <v>0</v>
      </c>
      <c r="AV196" s="66"/>
      <c r="AW196" s="67"/>
      <c r="AX196" s="560"/>
      <c r="AY196" s="465"/>
      <c r="AZ196" s="67">
        <v>0</v>
      </c>
      <c r="BA196" s="66"/>
      <c r="BB196" s="67"/>
      <c r="BC196" s="560"/>
      <c r="BD196" s="465"/>
      <c r="BE196" s="67">
        <v>0</v>
      </c>
      <c r="BF196" s="66"/>
      <c r="BG196" s="67"/>
      <c r="BH196" s="560"/>
      <c r="BI196" s="465"/>
      <c r="BJ196" s="67">
        <v>0</v>
      </c>
      <c r="BK196" s="66"/>
      <c r="BL196" s="67"/>
      <c r="BM196" s="560"/>
      <c r="BN196" s="465"/>
      <c r="BO196" s="67">
        <v>0</v>
      </c>
      <c r="BP196" s="66"/>
      <c r="BQ196" s="67"/>
      <c r="BR196" s="560"/>
      <c r="BS196" s="465"/>
      <c r="BT196" s="67">
        <f t="shared" si="0"/>
        <v>0</v>
      </c>
      <c r="BU196" s="66"/>
      <c r="BV196" s="67"/>
      <c r="BW196" s="560"/>
      <c r="BX196" s="560"/>
      <c r="BY196" s="67">
        <v>0</v>
      </c>
      <c r="BZ196" s="66"/>
      <c r="CA196" s="67"/>
      <c r="CB196" s="560"/>
      <c r="CC196" s="465"/>
      <c r="CD196" s="67">
        <v>0</v>
      </c>
      <c r="CE196" s="66"/>
      <c r="CF196" s="67"/>
      <c r="CG196" s="560"/>
      <c r="CH196" s="465"/>
      <c r="CI196" s="67">
        <v>0</v>
      </c>
      <c r="CJ196" s="66"/>
      <c r="CK196" s="67"/>
      <c r="CL196" s="560"/>
      <c r="CM196" s="465"/>
      <c r="CN196" s="67">
        <v>0</v>
      </c>
      <c r="CO196" s="66"/>
      <c r="CP196" s="67"/>
      <c r="CQ196" s="560"/>
      <c r="CR196" s="465"/>
      <c r="CS196" s="67">
        <v>0</v>
      </c>
      <c r="CT196" s="66"/>
      <c r="CU196" s="67"/>
      <c r="CV196" s="560"/>
      <c r="CW196" s="465"/>
      <c r="CX196" s="67">
        <v>0</v>
      </c>
      <c r="CY196" s="66"/>
      <c r="CZ196" s="67"/>
      <c r="DA196" s="560"/>
      <c r="DB196" s="465"/>
      <c r="DC196" s="67">
        <v>0</v>
      </c>
      <c r="DD196" s="66"/>
      <c r="DE196" s="67"/>
      <c r="DF196" s="560"/>
      <c r="DG196" s="465"/>
      <c r="DH196" s="67">
        <v>0</v>
      </c>
      <c r="DI196" s="66"/>
      <c r="DJ196" s="67"/>
      <c r="DK196" s="560"/>
      <c r="DL196" s="465"/>
      <c r="DM196" s="67">
        <v>0</v>
      </c>
      <c r="DN196" s="66"/>
      <c r="DO196" s="67"/>
      <c r="DP196" s="560"/>
      <c r="DQ196" s="465"/>
      <c r="DR196" s="67">
        <v>0</v>
      </c>
      <c r="DS196" s="66"/>
      <c r="DT196" s="67"/>
      <c r="DU196" s="560"/>
      <c r="DV196" s="465"/>
      <c r="DW196" s="67">
        <v>0</v>
      </c>
      <c r="DX196" s="66"/>
      <c r="DY196" s="67"/>
      <c r="DZ196" s="560"/>
      <c r="EA196" s="465"/>
      <c r="EB196" s="67">
        <v>0</v>
      </c>
      <c r="EC196" s="66"/>
      <c r="ED196" s="67"/>
      <c r="EE196" s="560"/>
      <c r="EF196" s="465"/>
      <c r="EG196" s="67">
        <v>0</v>
      </c>
      <c r="EH196" s="66"/>
      <c r="EI196" s="67"/>
      <c r="EJ196" s="560"/>
      <c r="EK196" s="465"/>
      <c r="EL196" s="67">
        <f t="shared" si="1"/>
        <v>0</v>
      </c>
      <c r="EM196" s="66"/>
      <c r="EN196" s="67"/>
      <c r="EO196" s="455"/>
      <c r="ER196" s="472"/>
      <c r="ES196" s="472"/>
    </row>
    <row r="197" spans="1:149" hidden="1" x14ac:dyDescent="0.2">
      <c r="A197" s="442"/>
      <c r="B197" s="442"/>
      <c r="D197" s="455" t="s">
        <v>382</v>
      </c>
      <c r="F197" s="465"/>
      <c r="G197" s="67">
        <v>0</v>
      </c>
      <c r="H197" s="66"/>
      <c r="I197" s="67"/>
      <c r="J197" s="560"/>
      <c r="K197" s="465"/>
      <c r="L197" s="67">
        <v>0</v>
      </c>
      <c r="M197" s="66"/>
      <c r="N197" s="67"/>
      <c r="O197" s="560"/>
      <c r="P197" s="465"/>
      <c r="Q197" s="67">
        <v>0</v>
      </c>
      <c r="R197" s="66"/>
      <c r="S197" s="67"/>
      <c r="T197" s="560"/>
      <c r="U197" s="465"/>
      <c r="V197" s="67">
        <v>0</v>
      </c>
      <c r="W197" s="66"/>
      <c r="X197" s="67"/>
      <c r="Y197" s="560"/>
      <c r="Z197" s="465"/>
      <c r="AA197" s="67">
        <v>0</v>
      </c>
      <c r="AB197" s="66"/>
      <c r="AC197" s="67"/>
      <c r="AD197" s="560"/>
      <c r="AE197" s="465"/>
      <c r="AF197" s="67">
        <v>0</v>
      </c>
      <c r="AG197" s="66"/>
      <c r="AH197" s="67"/>
      <c r="AI197" s="560"/>
      <c r="AJ197" s="465"/>
      <c r="AK197" s="67">
        <v>0</v>
      </c>
      <c r="AL197" s="66"/>
      <c r="AM197" s="67"/>
      <c r="AN197" s="560"/>
      <c r="AO197" s="465"/>
      <c r="AP197" s="67">
        <v>0</v>
      </c>
      <c r="AQ197" s="66"/>
      <c r="AR197" s="67"/>
      <c r="AS197" s="560"/>
      <c r="AT197" s="465"/>
      <c r="AU197" s="67">
        <v>0</v>
      </c>
      <c r="AV197" s="66"/>
      <c r="AW197" s="67"/>
      <c r="AX197" s="560"/>
      <c r="AY197" s="465"/>
      <c r="AZ197" s="67">
        <v>0</v>
      </c>
      <c r="BA197" s="66"/>
      <c r="BB197" s="67"/>
      <c r="BC197" s="560"/>
      <c r="BD197" s="465"/>
      <c r="BE197" s="67">
        <v>0</v>
      </c>
      <c r="BF197" s="66"/>
      <c r="BG197" s="67"/>
      <c r="BH197" s="560"/>
      <c r="BI197" s="465"/>
      <c r="BJ197" s="67">
        <v>0</v>
      </c>
      <c r="BK197" s="66"/>
      <c r="BL197" s="67"/>
      <c r="BM197" s="560"/>
      <c r="BN197" s="465"/>
      <c r="BO197" s="67">
        <v>0</v>
      </c>
      <c r="BP197" s="66"/>
      <c r="BQ197" s="67"/>
      <c r="BR197" s="560"/>
      <c r="BS197" s="465"/>
      <c r="BT197" s="67">
        <f t="shared" si="0"/>
        <v>0</v>
      </c>
      <c r="BU197" s="66"/>
      <c r="BV197" s="67"/>
      <c r="BW197" s="560"/>
      <c r="BX197" s="560"/>
      <c r="BY197" s="67">
        <v>0</v>
      </c>
      <c r="BZ197" s="66"/>
      <c r="CA197" s="67"/>
      <c r="CB197" s="560"/>
      <c r="CC197" s="465"/>
      <c r="CD197" s="67">
        <v>0</v>
      </c>
      <c r="CE197" s="66"/>
      <c r="CF197" s="67"/>
      <c r="CG197" s="560"/>
      <c r="CH197" s="465"/>
      <c r="CI197" s="67">
        <v>0</v>
      </c>
      <c r="CJ197" s="66"/>
      <c r="CK197" s="67"/>
      <c r="CL197" s="560"/>
      <c r="CM197" s="465"/>
      <c r="CN197" s="67">
        <v>0</v>
      </c>
      <c r="CO197" s="66"/>
      <c r="CP197" s="67"/>
      <c r="CQ197" s="560"/>
      <c r="CR197" s="465"/>
      <c r="CS197" s="67">
        <v>0</v>
      </c>
      <c r="CT197" s="66"/>
      <c r="CU197" s="67"/>
      <c r="CV197" s="560"/>
      <c r="CW197" s="465"/>
      <c r="CX197" s="67">
        <v>0</v>
      </c>
      <c r="CY197" s="66"/>
      <c r="CZ197" s="67"/>
      <c r="DA197" s="560"/>
      <c r="DB197" s="465"/>
      <c r="DC197" s="67">
        <v>0</v>
      </c>
      <c r="DD197" s="66"/>
      <c r="DE197" s="67"/>
      <c r="DF197" s="560"/>
      <c r="DG197" s="465"/>
      <c r="DH197" s="67">
        <v>0</v>
      </c>
      <c r="DI197" s="66"/>
      <c r="DJ197" s="67"/>
      <c r="DK197" s="560"/>
      <c r="DL197" s="465"/>
      <c r="DM197" s="67">
        <v>0</v>
      </c>
      <c r="DN197" s="66"/>
      <c r="DO197" s="67"/>
      <c r="DP197" s="560"/>
      <c r="DQ197" s="465"/>
      <c r="DR197" s="67">
        <v>0</v>
      </c>
      <c r="DS197" s="66"/>
      <c r="DT197" s="67"/>
      <c r="DU197" s="560"/>
      <c r="DV197" s="465"/>
      <c r="DW197" s="67">
        <v>0</v>
      </c>
      <c r="DX197" s="66"/>
      <c r="DY197" s="67"/>
      <c r="DZ197" s="560"/>
      <c r="EA197" s="465"/>
      <c r="EB197" s="67">
        <v>0</v>
      </c>
      <c r="EC197" s="66"/>
      <c r="ED197" s="67"/>
      <c r="EE197" s="560"/>
      <c r="EF197" s="465"/>
      <c r="EG197" s="67">
        <v>0</v>
      </c>
      <c r="EH197" s="66"/>
      <c r="EI197" s="67"/>
      <c r="EJ197" s="560"/>
      <c r="EK197" s="465"/>
      <c r="EL197" s="67">
        <f t="shared" si="1"/>
        <v>0</v>
      </c>
      <c r="EM197" s="66"/>
      <c r="EN197" s="67"/>
      <c r="EO197" s="455"/>
      <c r="ER197" s="472"/>
      <c r="ES197" s="472"/>
    </row>
    <row r="198" spans="1:149" hidden="1" x14ac:dyDescent="0.2">
      <c r="A198" s="442"/>
      <c r="B198" s="442"/>
      <c r="D198" s="455" t="s">
        <v>383</v>
      </c>
      <c r="F198" s="465"/>
      <c r="G198" s="67">
        <v>0</v>
      </c>
      <c r="H198" s="66"/>
      <c r="I198" s="67"/>
      <c r="J198" s="560"/>
      <c r="K198" s="465"/>
      <c r="L198" s="67">
        <v>0</v>
      </c>
      <c r="M198" s="66"/>
      <c r="N198" s="67"/>
      <c r="O198" s="560"/>
      <c r="P198" s="465"/>
      <c r="Q198" s="67">
        <v>0</v>
      </c>
      <c r="R198" s="66"/>
      <c r="S198" s="67"/>
      <c r="T198" s="560"/>
      <c r="U198" s="465"/>
      <c r="V198" s="67">
        <v>0</v>
      </c>
      <c r="W198" s="66"/>
      <c r="X198" s="67"/>
      <c r="Y198" s="560"/>
      <c r="Z198" s="465"/>
      <c r="AA198" s="67">
        <v>0</v>
      </c>
      <c r="AB198" s="66"/>
      <c r="AC198" s="67"/>
      <c r="AD198" s="560"/>
      <c r="AE198" s="465"/>
      <c r="AF198" s="67">
        <v>0</v>
      </c>
      <c r="AG198" s="66"/>
      <c r="AH198" s="67"/>
      <c r="AI198" s="560"/>
      <c r="AJ198" s="465"/>
      <c r="AK198" s="67">
        <v>0</v>
      </c>
      <c r="AL198" s="66"/>
      <c r="AM198" s="67"/>
      <c r="AN198" s="560"/>
      <c r="AO198" s="465"/>
      <c r="AP198" s="67">
        <v>0</v>
      </c>
      <c r="AQ198" s="66"/>
      <c r="AR198" s="67"/>
      <c r="AS198" s="560"/>
      <c r="AT198" s="465"/>
      <c r="AU198" s="67">
        <v>0</v>
      </c>
      <c r="AV198" s="66"/>
      <c r="AW198" s="67"/>
      <c r="AX198" s="560"/>
      <c r="AY198" s="465"/>
      <c r="AZ198" s="67">
        <v>0</v>
      </c>
      <c r="BA198" s="66"/>
      <c r="BB198" s="67"/>
      <c r="BC198" s="560"/>
      <c r="BD198" s="465"/>
      <c r="BE198" s="67">
        <v>0</v>
      </c>
      <c r="BF198" s="66"/>
      <c r="BG198" s="67"/>
      <c r="BH198" s="560"/>
      <c r="BI198" s="465"/>
      <c r="BJ198" s="67">
        <v>0</v>
      </c>
      <c r="BK198" s="66"/>
      <c r="BL198" s="67"/>
      <c r="BM198" s="560"/>
      <c r="BN198" s="465"/>
      <c r="BO198" s="67">
        <v>0</v>
      </c>
      <c r="BP198" s="66"/>
      <c r="BQ198" s="67"/>
      <c r="BR198" s="560"/>
      <c r="BS198" s="465"/>
      <c r="BT198" s="67">
        <f t="shared" si="0"/>
        <v>0</v>
      </c>
      <c r="BU198" s="66"/>
      <c r="BV198" s="67"/>
      <c r="BW198" s="560"/>
      <c r="BX198" s="560"/>
      <c r="BY198" s="67">
        <v>0</v>
      </c>
      <c r="BZ198" s="66"/>
      <c r="CA198" s="67"/>
      <c r="CB198" s="560"/>
      <c r="CC198" s="465"/>
      <c r="CD198" s="67">
        <v>0</v>
      </c>
      <c r="CE198" s="66"/>
      <c r="CF198" s="67"/>
      <c r="CG198" s="560"/>
      <c r="CH198" s="465"/>
      <c r="CI198" s="67">
        <v>0</v>
      </c>
      <c r="CJ198" s="66"/>
      <c r="CK198" s="67"/>
      <c r="CL198" s="560"/>
      <c r="CM198" s="465"/>
      <c r="CN198" s="67">
        <v>0</v>
      </c>
      <c r="CO198" s="66"/>
      <c r="CP198" s="67"/>
      <c r="CQ198" s="560"/>
      <c r="CR198" s="465"/>
      <c r="CS198" s="67">
        <v>0</v>
      </c>
      <c r="CT198" s="66"/>
      <c r="CU198" s="67"/>
      <c r="CV198" s="560"/>
      <c r="CW198" s="465"/>
      <c r="CX198" s="67">
        <v>0</v>
      </c>
      <c r="CY198" s="66"/>
      <c r="CZ198" s="67"/>
      <c r="DA198" s="560"/>
      <c r="DB198" s="465"/>
      <c r="DC198" s="67">
        <v>0</v>
      </c>
      <c r="DD198" s="66"/>
      <c r="DE198" s="67"/>
      <c r="DF198" s="560"/>
      <c r="DG198" s="465"/>
      <c r="DH198" s="67">
        <v>0</v>
      </c>
      <c r="DI198" s="66"/>
      <c r="DJ198" s="67"/>
      <c r="DK198" s="560"/>
      <c r="DL198" s="465"/>
      <c r="DM198" s="67">
        <v>0</v>
      </c>
      <c r="DN198" s="66"/>
      <c r="DO198" s="67"/>
      <c r="DP198" s="560"/>
      <c r="DQ198" s="465"/>
      <c r="DR198" s="67">
        <v>0</v>
      </c>
      <c r="DS198" s="66"/>
      <c r="DT198" s="67"/>
      <c r="DU198" s="560"/>
      <c r="DV198" s="465"/>
      <c r="DW198" s="67">
        <v>0</v>
      </c>
      <c r="DX198" s="66"/>
      <c r="DY198" s="67"/>
      <c r="DZ198" s="560"/>
      <c r="EA198" s="465"/>
      <c r="EB198" s="67">
        <v>0</v>
      </c>
      <c r="EC198" s="66"/>
      <c r="ED198" s="67"/>
      <c r="EE198" s="560"/>
      <c r="EF198" s="465"/>
      <c r="EG198" s="67">
        <v>0</v>
      </c>
      <c r="EH198" s="66"/>
      <c r="EI198" s="67"/>
      <c r="EJ198" s="560"/>
      <c r="EK198" s="465"/>
      <c r="EL198" s="67">
        <f t="shared" si="1"/>
        <v>0</v>
      </c>
      <c r="EM198" s="66"/>
      <c r="EN198" s="67"/>
      <c r="EO198" s="455"/>
      <c r="ER198" s="472"/>
      <c r="ES198" s="472"/>
    </row>
    <row r="199" spans="1:149" hidden="1" x14ac:dyDescent="0.2">
      <c r="A199" s="442"/>
      <c r="B199" s="442"/>
      <c r="D199" s="455" t="s">
        <v>384</v>
      </c>
      <c r="F199" s="465"/>
      <c r="G199" s="67">
        <v>0</v>
      </c>
      <c r="H199" s="66"/>
      <c r="I199" s="67"/>
      <c r="J199" s="560"/>
      <c r="K199" s="465"/>
      <c r="L199" s="67">
        <v>0</v>
      </c>
      <c r="M199" s="66"/>
      <c r="N199" s="67"/>
      <c r="O199" s="560"/>
      <c r="P199" s="465"/>
      <c r="Q199" s="67">
        <v>0</v>
      </c>
      <c r="R199" s="66"/>
      <c r="S199" s="67"/>
      <c r="T199" s="560"/>
      <c r="U199" s="465"/>
      <c r="V199" s="67">
        <v>0</v>
      </c>
      <c r="W199" s="66"/>
      <c r="X199" s="67"/>
      <c r="Y199" s="560"/>
      <c r="Z199" s="465"/>
      <c r="AA199" s="67">
        <v>0</v>
      </c>
      <c r="AB199" s="66"/>
      <c r="AC199" s="67"/>
      <c r="AD199" s="560"/>
      <c r="AE199" s="465"/>
      <c r="AF199" s="67">
        <v>0</v>
      </c>
      <c r="AG199" s="66"/>
      <c r="AH199" s="67"/>
      <c r="AI199" s="560"/>
      <c r="AJ199" s="465"/>
      <c r="AK199" s="67">
        <v>0</v>
      </c>
      <c r="AL199" s="66"/>
      <c r="AM199" s="67"/>
      <c r="AN199" s="560"/>
      <c r="AO199" s="465"/>
      <c r="AP199" s="67">
        <v>0</v>
      </c>
      <c r="AQ199" s="66"/>
      <c r="AR199" s="67"/>
      <c r="AS199" s="560"/>
      <c r="AT199" s="465"/>
      <c r="AU199" s="67">
        <v>0</v>
      </c>
      <c r="AV199" s="66"/>
      <c r="AW199" s="67"/>
      <c r="AX199" s="560"/>
      <c r="AY199" s="465"/>
      <c r="AZ199" s="67">
        <v>0</v>
      </c>
      <c r="BA199" s="66"/>
      <c r="BB199" s="67"/>
      <c r="BC199" s="560"/>
      <c r="BD199" s="465"/>
      <c r="BE199" s="67">
        <v>0</v>
      </c>
      <c r="BF199" s="66"/>
      <c r="BG199" s="67"/>
      <c r="BH199" s="560"/>
      <c r="BI199" s="465"/>
      <c r="BJ199" s="67">
        <v>0</v>
      </c>
      <c r="BK199" s="66"/>
      <c r="BL199" s="67"/>
      <c r="BM199" s="560"/>
      <c r="BN199" s="465"/>
      <c r="BO199" s="67">
        <v>0</v>
      </c>
      <c r="BP199" s="66"/>
      <c r="BQ199" s="67"/>
      <c r="BR199" s="560"/>
      <c r="BS199" s="465"/>
      <c r="BT199" s="67">
        <f t="shared" si="0"/>
        <v>0</v>
      </c>
      <c r="BU199" s="66"/>
      <c r="BV199" s="67"/>
      <c r="BW199" s="560"/>
      <c r="BX199" s="560"/>
      <c r="BY199" s="67">
        <v>0</v>
      </c>
      <c r="BZ199" s="66"/>
      <c r="CA199" s="67"/>
      <c r="CB199" s="560"/>
      <c r="CC199" s="465"/>
      <c r="CD199" s="67">
        <v>0</v>
      </c>
      <c r="CE199" s="66"/>
      <c r="CF199" s="67"/>
      <c r="CG199" s="560"/>
      <c r="CH199" s="465"/>
      <c r="CI199" s="67">
        <v>0</v>
      </c>
      <c r="CJ199" s="66"/>
      <c r="CK199" s="67"/>
      <c r="CL199" s="560"/>
      <c r="CM199" s="465"/>
      <c r="CN199" s="67">
        <v>0</v>
      </c>
      <c r="CO199" s="66"/>
      <c r="CP199" s="67"/>
      <c r="CQ199" s="560"/>
      <c r="CR199" s="465"/>
      <c r="CS199" s="67">
        <v>0</v>
      </c>
      <c r="CT199" s="66"/>
      <c r="CU199" s="67"/>
      <c r="CV199" s="560"/>
      <c r="CW199" s="465"/>
      <c r="CX199" s="67">
        <v>0</v>
      </c>
      <c r="CY199" s="66"/>
      <c r="CZ199" s="67"/>
      <c r="DA199" s="560"/>
      <c r="DB199" s="465"/>
      <c r="DC199" s="67">
        <v>0</v>
      </c>
      <c r="DD199" s="66"/>
      <c r="DE199" s="67"/>
      <c r="DF199" s="560"/>
      <c r="DG199" s="465"/>
      <c r="DH199" s="67">
        <v>0</v>
      </c>
      <c r="DI199" s="66"/>
      <c r="DJ199" s="67"/>
      <c r="DK199" s="560"/>
      <c r="DL199" s="465"/>
      <c r="DM199" s="67">
        <v>0</v>
      </c>
      <c r="DN199" s="66"/>
      <c r="DO199" s="67"/>
      <c r="DP199" s="560"/>
      <c r="DQ199" s="465"/>
      <c r="DR199" s="67">
        <v>0</v>
      </c>
      <c r="DS199" s="66"/>
      <c r="DT199" s="67"/>
      <c r="DU199" s="560"/>
      <c r="DV199" s="465"/>
      <c r="DW199" s="67">
        <v>0</v>
      </c>
      <c r="DX199" s="66"/>
      <c r="DY199" s="67"/>
      <c r="DZ199" s="560"/>
      <c r="EA199" s="465"/>
      <c r="EB199" s="67">
        <v>0</v>
      </c>
      <c r="EC199" s="66"/>
      <c r="ED199" s="67"/>
      <c r="EE199" s="560"/>
      <c r="EF199" s="465"/>
      <c r="EG199" s="67">
        <v>0</v>
      </c>
      <c r="EH199" s="66"/>
      <c r="EI199" s="67"/>
      <c r="EJ199" s="560"/>
      <c r="EK199" s="465"/>
      <c r="EL199" s="67">
        <f t="shared" si="1"/>
        <v>0</v>
      </c>
      <c r="EM199" s="66"/>
      <c r="EN199" s="67"/>
      <c r="EO199" s="455"/>
      <c r="ER199" s="472"/>
      <c r="ES199" s="472"/>
    </row>
    <row r="200" spans="1:149" hidden="1" x14ac:dyDescent="0.2">
      <c r="A200" s="442"/>
      <c r="B200" s="442"/>
      <c r="D200" s="455" t="s">
        <v>385</v>
      </c>
      <c r="F200" s="465"/>
      <c r="G200" s="67">
        <v>0</v>
      </c>
      <c r="H200" s="66"/>
      <c r="I200" s="67"/>
      <c r="J200" s="560"/>
      <c r="K200" s="465"/>
      <c r="L200" s="67">
        <v>0</v>
      </c>
      <c r="M200" s="66"/>
      <c r="N200" s="67"/>
      <c r="O200" s="560"/>
      <c r="P200" s="465"/>
      <c r="Q200" s="67">
        <v>0</v>
      </c>
      <c r="R200" s="66"/>
      <c r="S200" s="67"/>
      <c r="T200" s="560"/>
      <c r="U200" s="465"/>
      <c r="V200" s="67">
        <v>0</v>
      </c>
      <c r="W200" s="66"/>
      <c r="X200" s="67"/>
      <c r="Y200" s="560"/>
      <c r="Z200" s="465"/>
      <c r="AA200" s="67">
        <v>0</v>
      </c>
      <c r="AB200" s="66"/>
      <c r="AC200" s="67"/>
      <c r="AD200" s="560"/>
      <c r="AE200" s="465"/>
      <c r="AF200" s="67">
        <v>0</v>
      </c>
      <c r="AG200" s="66"/>
      <c r="AH200" s="67"/>
      <c r="AI200" s="560"/>
      <c r="AJ200" s="465"/>
      <c r="AK200" s="67">
        <v>0</v>
      </c>
      <c r="AL200" s="66"/>
      <c r="AM200" s="67"/>
      <c r="AN200" s="560"/>
      <c r="AO200" s="465"/>
      <c r="AP200" s="67">
        <v>0</v>
      </c>
      <c r="AQ200" s="66"/>
      <c r="AR200" s="67"/>
      <c r="AS200" s="560"/>
      <c r="AT200" s="465"/>
      <c r="AU200" s="67">
        <v>0</v>
      </c>
      <c r="AV200" s="66"/>
      <c r="AW200" s="67"/>
      <c r="AX200" s="560"/>
      <c r="AY200" s="465"/>
      <c r="AZ200" s="67">
        <v>0</v>
      </c>
      <c r="BA200" s="66"/>
      <c r="BB200" s="67"/>
      <c r="BC200" s="560"/>
      <c r="BD200" s="465"/>
      <c r="BE200" s="67">
        <v>0</v>
      </c>
      <c r="BF200" s="66"/>
      <c r="BG200" s="67"/>
      <c r="BH200" s="560"/>
      <c r="BI200" s="465"/>
      <c r="BJ200" s="67">
        <v>0</v>
      </c>
      <c r="BK200" s="66"/>
      <c r="BL200" s="67"/>
      <c r="BM200" s="560"/>
      <c r="BN200" s="465"/>
      <c r="BO200" s="67">
        <v>0</v>
      </c>
      <c r="BP200" s="66"/>
      <c r="BQ200" s="67"/>
      <c r="BR200" s="560"/>
      <c r="BS200" s="465"/>
      <c r="BT200" s="67">
        <f t="shared" si="0"/>
        <v>0</v>
      </c>
      <c r="BU200" s="66"/>
      <c r="BV200" s="67"/>
      <c r="BW200" s="560"/>
      <c r="BX200" s="560"/>
      <c r="BY200" s="67">
        <v>0</v>
      </c>
      <c r="BZ200" s="66"/>
      <c r="CA200" s="67"/>
      <c r="CB200" s="560"/>
      <c r="CC200" s="465"/>
      <c r="CD200" s="67">
        <v>0</v>
      </c>
      <c r="CE200" s="66"/>
      <c r="CF200" s="67"/>
      <c r="CG200" s="560"/>
      <c r="CH200" s="465"/>
      <c r="CI200" s="67">
        <v>0</v>
      </c>
      <c r="CJ200" s="66"/>
      <c r="CK200" s="67"/>
      <c r="CL200" s="560"/>
      <c r="CM200" s="465"/>
      <c r="CN200" s="67">
        <v>0</v>
      </c>
      <c r="CO200" s="66"/>
      <c r="CP200" s="67"/>
      <c r="CQ200" s="560"/>
      <c r="CR200" s="465"/>
      <c r="CS200" s="67">
        <v>0</v>
      </c>
      <c r="CT200" s="66"/>
      <c r="CU200" s="67"/>
      <c r="CV200" s="560"/>
      <c r="CW200" s="465"/>
      <c r="CX200" s="67">
        <v>0</v>
      </c>
      <c r="CY200" s="66"/>
      <c r="CZ200" s="67"/>
      <c r="DA200" s="560"/>
      <c r="DB200" s="465"/>
      <c r="DC200" s="67">
        <v>0</v>
      </c>
      <c r="DD200" s="66"/>
      <c r="DE200" s="67"/>
      <c r="DF200" s="560"/>
      <c r="DG200" s="465"/>
      <c r="DH200" s="67">
        <v>0</v>
      </c>
      <c r="DI200" s="66"/>
      <c r="DJ200" s="67"/>
      <c r="DK200" s="560"/>
      <c r="DL200" s="465"/>
      <c r="DM200" s="67">
        <v>0</v>
      </c>
      <c r="DN200" s="66"/>
      <c r="DO200" s="67"/>
      <c r="DP200" s="560"/>
      <c r="DQ200" s="465"/>
      <c r="DR200" s="67">
        <v>0</v>
      </c>
      <c r="DS200" s="66"/>
      <c r="DT200" s="67"/>
      <c r="DU200" s="560"/>
      <c r="DV200" s="465"/>
      <c r="DW200" s="67">
        <v>0</v>
      </c>
      <c r="DX200" s="66"/>
      <c r="DY200" s="67"/>
      <c r="DZ200" s="560"/>
      <c r="EA200" s="465"/>
      <c r="EB200" s="67">
        <v>0</v>
      </c>
      <c r="EC200" s="66"/>
      <c r="ED200" s="67"/>
      <c r="EE200" s="560"/>
      <c r="EF200" s="465"/>
      <c r="EG200" s="67">
        <v>0</v>
      </c>
      <c r="EH200" s="66"/>
      <c r="EI200" s="67"/>
      <c r="EJ200" s="560"/>
      <c r="EK200" s="465"/>
      <c r="EL200" s="67">
        <f t="shared" si="1"/>
        <v>0</v>
      </c>
      <c r="EM200" s="66"/>
      <c r="EN200" s="67"/>
      <c r="EO200" s="455"/>
      <c r="ER200" s="472"/>
      <c r="ES200" s="472"/>
    </row>
    <row r="201" spans="1:149" hidden="1" x14ac:dyDescent="0.2">
      <c r="A201" s="442"/>
      <c r="B201" s="442"/>
      <c r="D201" s="455" t="s">
        <v>386</v>
      </c>
      <c r="F201" s="465"/>
      <c r="G201" s="67">
        <v>0</v>
      </c>
      <c r="H201" s="66"/>
      <c r="I201" s="67"/>
      <c r="J201" s="560"/>
      <c r="K201" s="465"/>
      <c r="L201" s="67">
        <v>0</v>
      </c>
      <c r="M201" s="66"/>
      <c r="N201" s="67"/>
      <c r="O201" s="560"/>
      <c r="P201" s="465"/>
      <c r="Q201" s="67">
        <v>0</v>
      </c>
      <c r="R201" s="66"/>
      <c r="S201" s="67"/>
      <c r="T201" s="560"/>
      <c r="U201" s="465"/>
      <c r="V201" s="67">
        <v>0</v>
      </c>
      <c r="W201" s="66"/>
      <c r="X201" s="67"/>
      <c r="Y201" s="560"/>
      <c r="Z201" s="465"/>
      <c r="AA201" s="67">
        <v>0</v>
      </c>
      <c r="AB201" s="66"/>
      <c r="AC201" s="67"/>
      <c r="AD201" s="560"/>
      <c r="AE201" s="465"/>
      <c r="AF201" s="67">
        <v>0</v>
      </c>
      <c r="AG201" s="66"/>
      <c r="AH201" s="67"/>
      <c r="AI201" s="560"/>
      <c r="AJ201" s="465"/>
      <c r="AK201" s="67">
        <v>0</v>
      </c>
      <c r="AL201" s="66"/>
      <c r="AM201" s="67"/>
      <c r="AN201" s="560"/>
      <c r="AO201" s="465"/>
      <c r="AP201" s="67">
        <v>0</v>
      </c>
      <c r="AQ201" s="66"/>
      <c r="AR201" s="67"/>
      <c r="AS201" s="560"/>
      <c r="AT201" s="465"/>
      <c r="AU201" s="67">
        <v>0</v>
      </c>
      <c r="AV201" s="66"/>
      <c r="AW201" s="67"/>
      <c r="AX201" s="560"/>
      <c r="AY201" s="465"/>
      <c r="AZ201" s="67">
        <v>0</v>
      </c>
      <c r="BA201" s="66"/>
      <c r="BB201" s="67"/>
      <c r="BC201" s="560"/>
      <c r="BD201" s="465"/>
      <c r="BE201" s="67">
        <v>0</v>
      </c>
      <c r="BF201" s="66"/>
      <c r="BG201" s="67"/>
      <c r="BH201" s="560"/>
      <c r="BI201" s="465"/>
      <c r="BJ201" s="67">
        <v>0</v>
      </c>
      <c r="BK201" s="66"/>
      <c r="BL201" s="67"/>
      <c r="BM201" s="560"/>
      <c r="BN201" s="465"/>
      <c r="BO201" s="67">
        <v>0</v>
      </c>
      <c r="BP201" s="66"/>
      <c r="BQ201" s="67"/>
      <c r="BR201" s="560"/>
      <c r="BS201" s="465"/>
      <c r="BT201" s="67">
        <f t="shared" si="0"/>
        <v>0</v>
      </c>
      <c r="BU201" s="66"/>
      <c r="BV201" s="67"/>
      <c r="BW201" s="560"/>
      <c r="BX201" s="560"/>
      <c r="BY201" s="67">
        <v>0</v>
      </c>
      <c r="BZ201" s="66"/>
      <c r="CA201" s="67"/>
      <c r="CB201" s="560"/>
      <c r="CC201" s="465"/>
      <c r="CD201" s="67">
        <v>0</v>
      </c>
      <c r="CE201" s="66"/>
      <c r="CF201" s="67"/>
      <c r="CG201" s="560"/>
      <c r="CH201" s="465"/>
      <c r="CI201" s="67">
        <v>0</v>
      </c>
      <c r="CJ201" s="66"/>
      <c r="CK201" s="67"/>
      <c r="CL201" s="560"/>
      <c r="CM201" s="465"/>
      <c r="CN201" s="67">
        <v>0</v>
      </c>
      <c r="CO201" s="66"/>
      <c r="CP201" s="67"/>
      <c r="CQ201" s="560"/>
      <c r="CR201" s="465"/>
      <c r="CS201" s="67">
        <v>0</v>
      </c>
      <c r="CT201" s="66"/>
      <c r="CU201" s="67"/>
      <c r="CV201" s="560"/>
      <c r="CW201" s="465"/>
      <c r="CX201" s="67">
        <v>0</v>
      </c>
      <c r="CY201" s="66"/>
      <c r="CZ201" s="67"/>
      <c r="DA201" s="560"/>
      <c r="DB201" s="465"/>
      <c r="DC201" s="67">
        <v>0</v>
      </c>
      <c r="DD201" s="66"/>
      <c r="DE201" s="67"/>
      <c r="DF201" s="560"/>
      <c r="DG201" s="465"/>
      <c r="DH201" s="67">
        <v>0</v>
      </c>
      <c r="DI201" s="66"/>
      <c r="DJ201" s="67"/>
      <c r="DK201" s="560"/>
      <c r="DL201" s="465"/>
      <c r="DM201" s="67">
        <v>0</v>
      </c>
      <c r="DN201" s="66"/>
      <c r="DO201" s="67"/>
      <c r="DP201" s="560"/>
      <c r="DQ201" s="465"/>
      <c r="DR201" s="67">
        <v>0</v>
      </c>
      <c r="DS201" s="66"/>
      <c r="DT201" s="67"/>
      <c r="DU201" s="560"/>
      <c r="DV201" s="465"/>
      <c r="DW201" s="67">
        <v>0</v>
      </c>
      <c r="DX201" s="66"/>
      <c r="DY201" s="67"/>
      <c r="DZ201" s="560"/>
      <c r="EA201" s="465"/>
      <c r="EB201" s="67">
        <v>0</v>
      </c>
      <c r="EC201" s="66"/>
      <c r="ED201" s="67"/>
      <c r="EE201" s="560"/>
      <c r="EF201" s="465"/>
      <c r="EG201" s="67">
        <v>0</v>
      </c>
      <c r="EH201" s="66"/>
      <c r="EI201" s="67"/>
      <c r="EJ201" s="560"/>
      <c r="EK201" s="465"/>
      <c r="EL201" s="67">
        <f t="shared" si="1"/>
        <v>0</v>
      </c>
      <c r="EM201" s="66"/>
      <c r="EN201" s="67"/>
      <c r="EO201" s="455"/>
      <c r="ER201" s="472"/>
      <c r="ES201" s="472"/>
    </row>
    <row r="202" spans="1:149" x14ac:dyDescent="0.2">
      <c r="A202" s="442"/>
      <c r="B202" s="442"/>
      <c r="D202" s="455" t="s">
        <v>387</v>
      </c>
      <c r="F202" s="488"/>
      <c r="G202" s="113">
        <v>0</v>
      </c>
      <c r="H202" s="112"/>
      <c r="I202" s="67"/>
      <c r="J202" s="560"/>
      <c r="K202" s="488"/>
      <c r="L202" s="113">
        <v>0</v>
      </c>
      <c r="M202" s="112"/>
      <c r="N202" s="67"/>
      <c r="O202" s="560"/>
      <c r="P202" s="488"/>
      <c r="Q202" s="113">
        <v>0</v>
      </c>
      <c r="R202" s="112"/>
      <c r="S202" s="67"/>
      <c r="T202" s="560"/>
      <c r="U202" s="488"/>
      <c r="V202" s="113">
        <v>0</v>
      </c>
      <c r="W202" s="112"/>
      <c r="X202" s="67"/>
      <c r="Y202" s="560"/>
      <c r="Z202" s="488"/>
      <c r="AA202" s="113">
        <v>0</v>
      </c>
      <c r="AB202" s="112"/>
      <c r="AC202" s="67"/>
      <c r="AD202" s="560"/>
      <c r="AE202" s="488"/>
      <c r="AF202" s="113">
        <v>0</v>
      </c>
      <c r="AG202" s="112"/>
      <c r="AH202" s="67"/>
      <c r="AI202" s="560"/>
      <c r="AJ202" s="488"/>
      <c r="AK202" s="113">
        <v>0</v>
      </c>
      <c r="AL202" s="112"/>
      <c r="AM202" s="67"/>
      <c r="AN202" s="560"/>
      <c r="AO202" s="488"/>
      <c r="AP202" s="113">
        <v>0</v>
      </c>
      <c r="AQ202" s="112"/>
      <c r="AR202" s="67"/>
      <c r="AS202" s="560"/>
      <c r="AT202" s="569"/>
      <c r="AU202" s="113">
        <v>0</v>
      </c>
      <c r="AV202" s="112"/>
      <c r="AW202" s="67"/>
      <c r="AX202" s="560"/>
      <c r="AY202" s="569"/>
      <c r="AZ202" s="113">
        <v>0</v>
      </c>
      <c r="BA202" s="112"/>
      <c r="BB202" s="67"/>
      <c r="BC202" s="560"/>
      <c r="BD202" s="488"/>
      <c r="BE202" s="113">
        <v>0</v>
      </c>
      <c r="BF202" s="112"/>
      <c r="BG202" s="67"/>
      <c r="BH202" s="560"/>
      <c r="BI202" s="569"/>
      <c r="BJ202" s="113">
        <v>0</v>
      </c>
      <c r="BK202" s="112"/>
      <c r="BL202" s="67"/>
      <c r="BM202" s="560"/>
      <c r="BN202" s="569"/>
      <c r="BO202" s="113">
        <v>0</v>
      </c>
      <c r="BP202" s="112"/>
      <c r="BQ202" s="67"/>
      <c r="BR202" s="560"/>
      <c r="BS202" s="488"/>
      <c r="BT202" s="113">
        <f>SUM(L202:BO202)</f>
        <v>0</v>
      </c>
      <c r="BU202" s="112"/>
      <c r="BV202" s="67"/>
      <c r="BW202" s="560"/>
      <c r="BX202" s="488"/>
      <c r="BY202" s="113">
        <v>10627</v>
      </c>
      <c r="BZ202" s="112"/>
      <c r="CA202" s="67"/>
      <c r="CB202" s="560"/>
      <c r="CC202" s="488"/>
      <c r="CD202" s="113">
        <v>0</v>
      </c>
      <c r="CE202" s="112"/>
      <c r="CF202" s="67"/>
      <c r="CG202" s="560"/>
      <c r="CH202" s="488"/>
      <c r="CI202" s="113">
        <v>0</v>
      </c>
      <c r="CJ202" s="112"/>
      <c r="CK202" s="67"/>
      <c r="CL202" s="560"/>
      <c r="CM202" s="488"/>
      <c r="CN202" s="113">
        <v>0</v>
      </c>
      <c r="CO202" s="112"/>
      <c r="CP202" s="67"/>
      <c r="CQ202" s="560"/>
      <c r="CR202" s="488"/>
      <c r="CS202" s="113">
        <v>0</v>
      </c>
      <c r="CT202" s="112"/>
      <c r="CU202" s="67"/>
      <c r="CV202" s="560"/>
      <c r="CW202" s="488"/>
      <c r="CX202" s="113">
        <v>0</v>
      </c>
      <c r="CY202" s="112"/>
      <c r="CZ202" s="67"/>
      <c r="DA202" s="560"/>
      <c r="DB202" s="488"/>
      <c r="DC202" s="113">
        <v>10627</v>
      </c>
      <c r="DD202" s="112"/>
      <c r="DE202" s="67"/>
      <c r="DF202" s="560"/>
      <c r="DG202" s="488"/>
      <c r="DH202" s="113">
        <v>0</v>
      </c>
      <c r="DI202" s="112"/>
      <c r="DJ202" s="67"/>
      <c r="DK202" s="560"/>
      <c r="DL202" s="569"/>
      <c r="DM202" s="113">
        <v>0</v>
      </c>
      <c r="DN202" s="112"/>
      <c r="DO202" s="67"/>
      <c r="DP202" s="560"/>
      <c r="DQ202" s="569"/>
      <c r="DR202" s="113">
        <v>0</v>
      </c>
      <c r="DS202" s="112"/>
      <c r="DT202" s="67"/>
      <c r="DU202" s="560"/>
      <c r="DV202" s="488"/>
      <c r="DW202" s="113">
        <v>0</v>
      </c>
      <c r="DX202" s="112"/>
      <c r="DY202" s="67"/>
      <c r="DZ202" s="560"/>
      <c r="EA202" s="569"/>
      <c r="EB202" s="113">
        <v>0</v>
      </c>
      <c r="EC202" s="112"/>
      <c r="ED202" s="67"/>
      <c r="EE202" s="560"/>
      <c r="EF202" s="569"/>
      <c r="EG202" s="113">
        <v>0</v>
      </c>
      <c r="EH202" s="112"/>
      <c r="EI202" s="67"/>
      <c r="EJ202" s="560"/>
      <c r="EK202" s="488"/>
      <c r="EL202" s="113">
        <f>SUM(CD202:CI202)</f>
        <v>0</v>
      </c>
      <c r="EM202" s="112"/>
      <c r="EN202" s="67"/>
      <c r="EO202" s="455"/>
      <c r="ER202" s="472"/>
      <c r="ES202" s="472"/>
    </row>
    <row r="203" spans="1:149" ht="12.75" hidden="1" customHeight="1" x14ac:dyDescent="0.2">
      <c r="A203" s="442"/>
      <c r="B203" s="442"/>
      <c r="D203" s="455" t="s">
        <v>388</v>
      </c>
      <c r="F203" s="465"/>
      <c r="G203" s="67">
        <v>0</v>
      </c>
      <c r="H203" s="66"/>
      <c r="I203" s="67"/>
      <c r="J203" s="560"/>
      <c r="K203" s="465"/>
      <c r="L203" s="67">
        <v>0</v>
      </c>
      <c r="M203" s="66"/>
      <c r="N203" s="67"/>
      <c r="O203" s="560"/>
      <c r="P203" s="465"/>
      <c r="Q203" s="67">
        <v>0</v>
      </c>
      <c r="R203" s="66"/>
      <c r="S203" s="67"/>
      <c r="T203" s="560"/>
      <c r="U203" s="465"/>
      <c r="V203" s="67">
        <v>0</v>
      </c>
      <c r="W203" s="66"/>
      <c r="X203" s="67"/>
      <c r="Y203" s="560"/>
      <c r="Z203" s="465"/>
      <c r="AA203" s="67">
        <v>0</v>
      </c>
      <c r="AB203" s="66"/>
      <c r="AC203" s="67"/>
      <c r="AD203" s="560"/>
      <c r="AE203" s="465"/>
      <c r="AF203" s="67">
        <v>0</v>
      </c>
      <c r="AG203" s="66"/>
      <c r="AH203" s="67"/>
      <c r="AI203" s="560"/>
      <c r="AJ203" s="465"/>
      <c r="AK203" s="67">
        <v>0</v>
      </c>
      <c r="AL203" s="66"/>
      <c r="AM203" s="67"/>
      <c r="AN203" s="560"/>
      <c r="AO203" s="465"/>
      <c r="AP203" s="67">
        <v>0</v>
      </c>
      <c r="AQ203" s="66"/>
      <c r="AR203" s="67"/>
      <c r="AS203" s="560"/>
      <c r="AT203" s="465"/>
      <c r="AU203" s="67">
        <v>0</v>
      </c>
      <c r="AV203" s="66"/>
      <c r="AW203" s="67"/>
      <c r="AX203" s="560"/>
      <c r="AY203" s="465"/>
      <c r="AZ203" s="67">
        <v>0</v>
      </c>
      <c r="BA203" s="66"/>
      <c r="BB203" s="67"/>
      <c r="BC203" s="560"/>
      <c r="BD203" s="465"/>
      <c r="BE203" s="67">
        <v>0</v>
      </c>
      <c r="BF203" s="66"/>
      <c r="BG203" s="67"/>
      <c r="BH203" s="560"/>
      <c r="BI203" s="465"/>
      <c r="BJ203" s="67">
        <v>0</v>
      </c>
      <c r="BK203" s="66"/>
      <c r="BL203" s="67"/>
      <c r="BM203" s="560"/>
      <c r="BN203" s="465"/>
      <c r="BO203" s="67">
        <v>0</v>
      </c>
      <c r="BP203" s="66"/>
      <c r="BQ203" s="67"/>
      <c r="BR203" s="560"/>
      <c r="BS203" s="560"/>
      <c r="BT203" s="67">
        <f t="shared" si="0"/>
        <v>0</v>
      </c>
      <c r="BU203" s="66"/>
      <c r="BV203" s="67"/>
      <c r="BW203" s="560"/>
      <c r="BX203" s="560"/>
      <c r="BY203" s="67">
        <f>SUM(Q203:BT203)</f>
        <v>0</v>
      </c>
      <c r="BZ203" s="66"/>
      <c r="CA203" s="67"/>
      <c r="CB203" s="560"/>
      <c r="CC203" s="465"/>
      <c r="CD203" s="67">
        <v>0</v>
      </c>
      <c r="CE203" s="66"/>
      <c r="CF203" s="67"/>
      <c r="CG203" s="560"/>
      <c r="CH203" s="465"/>
      <c r="CI203" s="67">
        <v>0</v>
      </c>
      <c r="CJ203" s="66"/>
      <c r="CK203" s="67"/>
      <c r="CL203" s="560"/>
      <c r="CM203" s="465"/>
      <c r="CN203" s="67">
        <v>0</v>
      </c>
      <c r="CO203" s="66"/>
      <c r="CP203" s="67"/>
      <c r="CQ203" s="560"/>
      <c r="CR203" s="465"/>
      <c r="CS203" s="67">
        <v>0</v>
      </c>
      <c r="CT203" s="66"/>
      <c r="CU203" s="67"/>
      <c r="CV203" s="560"/>
      <c r="CW203" s="465"/>
      <c r="CX203" s="67">
        <v>0</v>
      </c>
      <c r="CY203" s="66"/>
      <c r="CZ203" s="67"/>
      <c r="DA203" s="560"/>
      <c r="DB203" s="465"/>
      <c r="DC203" s="67">
        <v>0</v>
      </c>
      <c r="DD203" s="66"/>
      <c r="DE203" s="67"/>
      <c r="DF203" s="560"/>
      <c r="DG203" s="465"/>
      <c r="DH203" s="67">
        <v>0</v>
      </c>
      <c r="DI203" s="66"/>
      <c r="DJ203" s="67"/>
      <c r="DK203" s="560"/>
      <c r="DL203" s="465"/>
      <c r="DM203" s="67">
        <v>0</v>
      </c>
      <c r="DN203" s="66"/>
      <c r="DO203" s="67"/>
      <c r="DP203" s="560"/>
      <c r="DQ203" s="465"/>
      <c r="DR203" s="67">
        <v>0</v>
      </c>
      <c r="DS203" s="66"/>
      <c r="DT203" s="67"/>
      <c r="DU203" s="560"/>
      <c r="DV203" s="465"/>
      <c r="DW203" s="67">
        <v>0</v>
      </c>
      <c r="DX203" s="66"/>
      <c r="DY203" s="67"/>
      <c r="DZ203" s="560"/>
      <c r="EA203" s="465"/>
      <c r="EB203" s="67">
        <v>0</v>
      </c>
      <c r="EC203" s="66"/>
      <c r="ED203" s="67"/>
      <c r="EE203" s="560"/>
      <c r="EF203" s="465"/>
      <c r="EG203" s="67">
        <v>0</v>
      </c>
      <c r="EH203" s="66"/>
      <c r="EI203" s="67"/>
      <c r="EJ203" s="560"/>
      <c r="EK203" s="560"/>
      <c r="EL203" s="67">
        <f t="shared" si="1"/>
        <v>0</v>
      </c>
      <c r="EM203" s="66"/>
      <c r="EN203" s="67"/>
      <c r="EO203" s="455"/>
      <c r="ER203" s="472"/>
      <c r="ES203" s="472"/>
    </row>
    <row r="204" spans="1:149" ht="12.75" hidden="1" customHeight="1" x14ac:dyDescent="0.2">
      <c r="A204" s="442"/>
      <c r="B204" s="442"/>
      <c r="D204" s="455" t="s">
        <v>389</v>
      </c>
      <c r="F204" s="488"/>
      <c r="G204" s="113">
        <v>0</v>
      </c>
      <c r="H204" s="112"/>
      <c r="I204" s="67"/>
      <c r="J204" s="560"/>
      <c r="K204" s="488"/>
      <c r="L204" s="113">
        <v>0</v>
      </c>
      <c r="M204" s="112"/>
      <c r="N204" s="67"/>
      <c r="O204" s="560"/>
      <c r="P204" s="488"/>
      <c r="Q204" s="113">
        <v>0</v>
      </c>
      <c r="R204" s="112"/>
      <c r="S204" s="67"/>
      <c r="T204" s="560"/>
      <c r="U204" s="488"/>
      <c r="V204" s="113">
        <v>0</v>
      </c>
      <c r="W204" s="112"/>
      <c r="X204" s="67"/>
      <c r="Y204" s="560"/>
      <c r="Z204" s="488"/>
      <c r="AA204" s="113">
        <v>0</v>
      </c>
      <c r="AB204" s="112"/>
      <c r="AC204" s="67"/>
      <c r="AD204" s="560"/>
      <c r="AE204" s="488"/>
      <c r="AF204" s="113">
        <v>0</v>
      </c>
      <c r="AG204" s="112"/>
      <c r="AH204" s="67"/>
      <c r="AI204" s="560"/>
      <c r="AJ204" s="569"/>
      <c r="AK204" s="113">
        <v>0</v>
      </c>
      <c r="AL204" s="112"/>
      <c r="AM204" s="67"/>
      <c r="AN204" s="560"/>
      <c r="AO204" s="569"/>
      <c r="AP204" s="113">
        <v>0</v>
      </c>
      <c r="AQ204" s="112"/>
      <c r="AR204" s="67"/>
      <c r="AS204" s="560"/>
      <c r="AT204" s="569"/>
      <c r="AU204" s="113">
        <v>0</v>
      </c>
      <c r="AV204" s="112"/>
      <c r="AW204" s="67"/>
      <c r="AX204" s="560"/>
      <c r="AY204" s="569"/>
      <c r="AZ204" s="113">
        <v>0</v>
      </c>
      <c r="BA204" s="112"/>
      <c r="BB204" s="67"/>
      <c r="BC204" s="560"/>
      <c r="BD204" s="569"/>
      <c r="BE204" s="113">
        <v>0</v>
      </c>
      <c r="BF204" s="112"/>
      <c r="BG204" s="67"/>
      <c r="BH204" s="560"/>
      <c r="BI204" s="569"/>
      <c r="BJ204" s="113">
        <v>0</v>
      </c>
      <c r="BK204" s="112"/>
      <c r="BL204" s="67"/>
      <c r="BM204" s="560"/>
      <c r="BN204" s="569"/>
      <c r="BO204" s="113">
        <v>0</v>
      </c>
      <c r="BP204" s="112"/>
      <c r="BQ204" s="67"/>
      <c r="BR204" s="560"/>
      <c r="BS204" s="569"/>
      <c r="BT204" s="113">
        <f t="shared" si="0"/>
        <v>0</v>
      </c>
      <c r="BU204" s="112"/>
      <c r="BV204" s="67"/>
      <c r="BW204" s="560"/>
      <c r="BX204" s="569"/>
      <c r="BY204" s="113">
        <f>SUM(Q204:BT204)</f>
        <v>0</v>
      </c>
      <c r="BZ204" s="112"/>
      <c r="CA204" s="67"/>
      <c r="CB204" s="560"/>
      <c r="CC204" s="488"/>
      <c r="CD204" s="113">
        <v>0</v>
      </c>
      <c r="CE204" s="112"/>
      <c r="CF204" s="67"/>
      <c r="CG204" s="560"/>
      <c r="CH204" s="488"/>
      <c r="CI204" s="113">
        <v>0</v>
      </c>
      <c r="CJ204" s="112"/>
      <c r="CK204" s="67"/>
      <c r="CL204" s="560"/>
      <c r="CM204" s="488"/>
      <c r="CN204" s="113">
        <v>0</v>
      </c>
      <c r="CO204" s="112"/>
      <c r="CP204" s="67"/>
      <c r="CQ204" s="560"/>
      <c r="CR204" s="488"/>
      <c r="CS204" s="113">
        <v>0</v>
      </c>
      <c r="CT204" s="112"/>
      <c r="CU204" s="67"/>
      <c r="CV204" s="560"/>
      <c r="CW204" s="488"/>
      <c r="CX204" s="113">
        <v>0</v>
      </c>
      <c r="CY204" s="112"/>
      <c r="CZ204" s="67"/>
      <c r="DA204" s="560"/>
      <c r="DB204" s="569"/>
      <c r="DC204" s="113">
        <v>0</v>
      </c>
      <c r="DD204" s="112"/>
      <c r="DE204" s="67"/>
      <c r="DF204" s="560"/>
      <c r="DG204" s="569"/>
      <c r="DH204" s="113">
        <v>0</v>
      </c>
      <c r="DI204" s="112"/>
      <c r="DJ204" s="67"/>
      <c r="DK204" s="560"/>
      <c r="DL204" s="569"/>
      <c r="DM204" s="113">
        <v>0</v>
      </c>
      <c r="DN204" s="112"/>
      <c r="DO204" s="67"/>
      <c r="DP204" s="560"/>
      <c r="DQ204" s="569"/>
      <c r="DR204" s="113">
        <v>0</v>
      </c>
      <c r="DS204" s="112"/>
      <c r="DT204" s="67"/>
      <c r="DU204" s="560"/>
      <c r="DV204" s="569"/>
      <c r="DW204" s="113">
        <v>0</v>
      </c>
      <c r="DX204" s="112"/>
      <c r="DY204" s="67"/>
      <c r="DZ204" s="560"/>
      <c r="EA204" s="569"/>
      <c r="EB204" s="113">
        <v>0</v>
      </c>
      <c r="EC204" s="112"/>
      <c r="ED204" s="67"/>
      <c r="EE204" s="560"/>
      <c r="EF204" s="569"/>
      <c r="EG204" s="113">
        <v>0</v>
      </c>
      <c r="EH204" s="112"/>
      <c r="EI204" s="67"/>
      <c r="EJ204" s="560"/>
      <c r="EK204" s="569"/>
      <c r="EL204" s="113">
        <f t="shared" si="1"/>
        <v>0</v>
      </c>
      <c r="EM204" s="112"/>
      <c r="EN204" s="67"/>
      <c r="EO204" s="455"/>
      <c r="ER204" s="472"/>
      <c r="ES204" s="472"/>
    </row>
    <row r="205" spans="1:149" x14ac:dyDescent="0.2">
      <c r="A205" s="442"/>
      <c r="B205" s="442"/>
      <c r="D205" s="455"/>
      <c r="F205" s="442"/>
      <c r="G205" s="67"/>
      <c r="H205" s="67"/>
      <c r="I205" s="67"/>
      <c r="J205" s="560"/>
      <c r="K205" s="67"/>
      <c r="L205" s="67"/>
      <c r="M205" s="67"/>
      <c r="N205" s="67"/>
      <c r="O205" s="560"/>
      <c r="P205" s="67"/>
      <c r="Q205" s="67"/>
      <c r="R205" s="67"/>
      <c r="S205" s="67"/>
      <c r="T205" s="560"/>
      <c r="U205" s="67"/>
      <c r="V205" s="67"/>
      <c r="W205" s="67"/>
      <c r="X205" s="67"/>
      <c r="Y205" s="560"/>
      <c r="Z205" s="67"/>
      <c r="AA205" s="67"/>
      <c r="AB205" s="67"/>
      <c r="AC205" s="67"/>
      <c r="AD205" s="560"/>
      <c r="AE205" s="67"/>
      <c r="AF205" s="67"/>
      <c r="AG205" s="67"/>
      <c r="AH205" s="67"/>
      <c r="AI205" s="560"/>
      <c r="AJ205" s="67"/>
      <c r="AK205" s="67"/>
      <c r="AL205" s="67"/>
      <c r="AM205" s="67"/>
      <c r="AN205" s="560"/>
      <c r="AO205" s="67"/>
      <c r="AP205" s="67"/>
      <c r="AQ205" s="67"/>
      <c r="AR205" s="67"/>
      <c r="AS205" s="560"/>
      <c r="AT205" s="67"/>
      <c r="AU205" s="67"/>
      <c r="AV205" s="67"/>
      <c r="AW205" s="67"/>
      <c r="AX205" s="560"/>
      <c r="AY205" s="67"/>
      <c r="AZ205" s="67"/>
      <c r="BA205" s="67"/>
      <c r="BB205" s="67"/>
      <c r="BC205" s="560"/>
      <c r="BD205" s="67"/>
      <c r="BE205" s="67"/>
      <c r="BF205" s="67"/>
      <c r="BG205" s="67"/>
      <c r="BH205" s="560"/>
      <c r="BI205" s="67"/>
      <c r="BJ205" s="67"/>
      <c r="BK205" s="67"/>
      <c r="BL205" s="67"/>
      <c r="BM205" s="560"/>
      <c r="BN205" s="67"/>
      <c r="BO205" s="67"/>
      <c r="BP205" s="67"/>
      <c r="BQ205" s="67"/>
      <c r="BR205" s="560"/>
      <c r="BS205" s="67"/>
      <c r="BT205" s="67"/>
      <c r="BU205" s="67"/>
      <c r="BV205" s="67"/>
      <c r="BW205" s="560"/>
      <c r="BX205" s="67"/>
      <c r="BY205" s="67"/>
      <c r="BZ205" s="67"/>
      <c r="CA205" s="67"/>
      <c r="CB205" s="560"/>
      <c r="CC205" s="67"/>
      <c r="CD205" s="67"/>
      <c r="CE205" s="67"/>
      <c r="CF205" s="67"/>
      <c r="CG205" s="560"/>
      <c r="CH205" s="67"/>
      <c r="CI205" s="67"/>
      <c r="CJ205" s="67"/>
      <c r="CK205" s="67"/>
      <c r="CL205" s="560"/>
      <c r="CM205" s="67"/>
      <c r="CN205" s="67"/>
      <c r="CO205" s="67"/>
      <c r="CP205" s="67"/>
      <c r="CQ205" s="560"/>
      <c r="CR205" s="67"/>
      <c r="CS205" s="67"/>
      <c r="CT205" s="67"/>
      <c r="CU205" s="67"/>
      <c r="CV205" s="560"/>
      <c r="CW205" s="67"/>
      <c r="CX205" s="67"/>
      <c r="CY205" s="67"/>
      <c r="CZ205" s="67"/>
      <c r="DA205" s="560"/>
      <c r="DB205" s="67"/>
      <c r="DC205" s="67"/>
      <c r="DD205" s="67"/>
      <c r="DE205" s="67"/>
      <c r="DF205" s="560"/>
      <c r="DG205" s="67"/>
      <c r="DH205" s="67"/>
      <c r="DI205" s="67"/>
      <c r="DJ205" s="67"/>
      <c r="DK205" s="560"/>
      <c r="DL205" s="67"/>
      <c r="DM205" s="67"/>
      <c r="DN205" s="67"/>
      <c r="DO205" s="67"/>
      <c r="DP205" s="560"/>
      <c r="DQ205" s="67"/>
      <c r="DR205" s="67"/>
      <c r="DS205" s="67"/>
      <c r="DT205" s="67"/>
      <c r="DU205" s="560"/>
      <c r="DV205" s="67"/>
      <c r="DW205" s="67"/>
      <c r="DX205" s="67"/>
      <c r="DY205" s="67"/>
      <c r="DZ205" s="560"/>
      <c r="EA205" s="67"/>
      <c r="EB205" s="67"/>
      <c r="EC205" s="67"/>
      <c r="ED205" s="67"/>
      <c r="EE205" s="560"/>
      <c r="EF205" s="67"/>
      <c r="EG205" s="67"/>
      <c r="EH205" s="67"/>
      <c r="EI205" s="67"/>
      <c r="EJ205" s="560"/>
      <c r="EK205" s="67"/>
      <c r="EL205" s="67"/>
      <c r="EM205" s="67"/>
      <c r="EN205" s="67"/>
      <c r="EO205" s="455"/>
      <c r="ER205" s="472"/>
      <c r="ES205" s="472"/>
    </row>
    <row r="206" spans="1:149" x14ac:dyDescent="0.2">
      <c r="A206" s="442"/>
      <c r="B206" s="442"/>
      <c r="D206" s="455" t="s">
        <v>390</v>
      </c>
      <c r="F206" s="442"/>
      <c r="G206" s="67">
        <f>SUM(G207:G213)</f>
        <v>0</v>
      </c>
      <c r="H206" s="67"/>
      <c r="I206" s="67"/>
      <c r="J206" s="560"/>
      <c r="K206" s="442"/>
      <c r="L206" s="67">
        <f>SUM(L207:L213)</f>
        <v>0</v>
      </c>
      <c r="M206" s="67"/>
      <c r="N206" s="67"/>
      <c r="O206" s="560"/>
      <c r="P206" s="442"/>
      <c r="Q206" s="67">
        <f>SUM(Q207:Q213)</f>
        <v>0</v>
      </c>
      <c r="R206" s="67"/>
      <c r="S206" s="67"/>
      <c r="T206" s="560"/>
      <c r="U206" s="442"/>
      <c r="V206" s="67">
        <f>SUM(V207:V213)</f>
        <v>0</v>
      </c>
      <c r="W206" s="67"/>
      <c r="X206" s="67"/>
      <c r="Y206" s="560"/>
      <c r="Z206" s="442"/>
      <c r="AA206" s="67">
        <f>SUM(AA207:AA213)</f>
        <v>0</v>
      </c>
      <c r="AB206" s="67"/>
      <c r="AC206" s="67"/>
      <c r="AD206" s="560"/>
      <c r="AE206" s="442"/>
      <c r="AF206" s="67">
        <f>SUM(AF207:AF213)</f>
        <v>0</v>
      </c>
      <c r="AG206" s="67"/>
      <c r="AH206" s="67"/>
      <c r="AI206" s="560"/>
      <c r="AJ206" s="442"/>
      <c r="AK206" s="67">
        <f>SUM(AK207:AK213)</f>
        <v>0</v>
      </c>
      <c r="AL206" s="67"/>
      <c r="AM206" s="67"/>
      <c r="AN206" s="560"/>
      <c r="AO206" s="442"/>
      <c r="AP206" s="67">
        <f>SUM(AP207:AP213)</f>
        <v>0</v>
      </c>
      <c r="AQ206" s="67"/>
      <c r="AR206" s="67"/>
      <c r="AS206" s="560"/>
      <c r="AT206" s="442"/>
      <c r="AU206" s="67">
        <f>SUM(AU207:AU213)</f>
        <v>0</v>
      </c>
      <c r="AV206" s="67"/>
      <c r="AW206" s="67"/>
      <c r="AX206" s="560"/>
      <c r="AY206" s="442"/>
      <c r="AZ206" s="67">
        <f>SUM(AZ207:AZ213)</f>
        <v>0</v>
      </c>
      <c r="BA206" s="67"/>
      <c r="BB206" s="67"/>
      <c r="BC206" s="560"/>
      <c r="BD206" s="442"/>
      <c r="BE206" s="67">
        <f>SUM(BE207:BE213)</f>
        <v>0</v>
      </c>
      <c r="BF206" s="67"/>
      <c r="BG206" s="67"/>
      <c r="BH206" s="560"/>
      <c r="BI206" s="442"/>
      <c r="BJ206" s="67">
        <f>SUM(BJ207:BJ213)</f>
        <v>0</v>
      </c>
      <c r="BK206" s="67"/>
      <c r="BL206" s="67"/>
      <c r="BM206" s="560"/>
      <c r="BN206" s="442"/>
      <c r="BO206" s="67">
        <f>SUM(BO207:BO213)</f>
        <v>0</v>
      </c>
      <c r="BP206" s="67"/>
      <c r="BQ206" s="67"/>
      <c r="BR206" s="560"/>
      <c r="BS206" s="442"/>
      <c r="BT206" s="67">
        <f>SUM(BT207:BT213)</f>
        <v>0</v>
      </c>
      <c r="BU206" s="67"/>
      <c r="BV206" s="67"/>
      <c r="BW206" s="560"/>
      <c r="BX206" s="442"/>
      <c r="BY206" s="67">
        <f>SUM(BY207:BY213)</f>
        <v>0</v>
      </c>
      <c r="BZ206" s="67"/>
      <c r="CA206" s="67"/>
      <c r="CB206" s="560"/>
      <c r="CC206" s="442"/>
      <c r="CD206" s="67">
        <f>SUM(CD207:CD213)</f>
        <v>0</v>
      </c>
      <c r="CE206" s="67"/>
      <c r="CF206" s="67"/>
      <c r="CG206" s="560"/>
      <c r="CH206" s="442"/>
      <c r="CI206" s="67">
        <f>SUM(CI207:CI213)</f>
        <v>0</v>
      </c>
      <c r="CJ206" s="67"/>
      <c r="CK206" s="67"/>
      <c r="CL206" s="560"/>
      <c r="CM206" s="442"/>
      <c r="CN206" s="67">
        <f>SUM(CN207:CN213)</f>
        <v>0</v>
      </c>
      <c r="CO206" s="67"/>
      <c r="CP206" s="67"/>
      <c r="CQ206" s="560"/>
      <c r="CR206" s="442"/>
      <c r="CS206" s="67">
        <f>SUM(CS207:CS213)</f>
        <v>0</v>
      </c>
      <c r="CT206" s="67"/>
      <c r="CU206" s="67"/>
      <c r="CV206" s="560"/>
      <c r="CW206" s="442"/>
      <c r="CX206" s="67">
        <f>SUM(CX207:CX213)</f>
        <v>0</v>
      </c>
      <c r="CY206" s="67"/>
      <c r="CZ206" s="67"/>
      <c r="DA206" s="560"/>
      <c r="DB206" s="442"/>
      <c r="DC206" s="67">
        <f>SUM(DC207:DC213)</f>
        <v>0</v>
      </c>
      <c r="DD206" s="67"/>
      <c r="DE206" s="67"/>
      <c r="DF206" s="560"/>
      <c r="DG206" s="442"/>
      <c r="DH206" s="67">
        <f>SUM(DH207:DH213)</f>
        <v>0</v>
      </c>
      <c r="DI206" s="67"/>
      <c r="DJ206" s="67"/>
      <c r="DK206" s="560"/>
      <c r="DL206" s="442"/>
      <c r="DM206" s="67">
        <f>SUM(DM207:DM213)</f>
        <v>0</v>
      </c>
      <c r="DN206" s="67"/>
      <c r="DO206" s="67"/>
      <c r="DP206" s="560"/>
      <c r="DQ206" s="442"/>
      <c r="DR206" s="67">
        <f>SUM(DR207:DR213)</f>
        <v>0</v>
      </c>
      <c r="DS206" s="67"/>
      <c r="DT206" s="67"/>
      <c r="DU206" s="560"/>
      <c r="DV206" s="442"/>
      <c r="DW206" s="67">
        <f>SUM(DW207:DW213)</f>
        <v>0</v>
      </c>
      <c r="DX206" s="67"/>
      <c r="DY206" s="67"/>
      <c r="DZ206" s="560"/>
      <c r="EA206" s="442"/>
      <c r="EB206" s="67">
        <f>SUM(EB207:EB213)</f>
        <v>0</v>
      </c>
      <c r="EC206" s="67"/>
      <c r="ED206" s="67"/>
      <c r="EE206" s="560"/>
      <c r="EF206" s="442"/>
      <c r="EG206" s="67">
        <f>SUM(EG207:EG213)</f>
        <v>0</v>
      </c>
      <c r="EH206" s="67"/>
      <c r="EI206" s="67"/>
      <c r="EJ206" s="560"/>
      <c r="EK206" s="442"/>
      <c r="EL206" s="67">
        <f>SUM(EL207:EL213)</f>
        <v>0</v>
      </c>
      <c r="EM206" s="67"/>
      <c r="EN206" s="67"/>
      <c r="EO206" s="455"/>
      <c r="ER206" s="472"/>
      <c r="ES206" s="472"/>
    </row>
    <row r="207" spans="1:149" x14ac:dyDescent="0.2">
      <c r="A207" s="442"/>
      <c r="B207" s="442"/>
      <c r="D207" s="455" t="s">
        <v>391</v>
      </c>
      <c r="F207" s="583"/>
      <c r="G207" s="558">
        <v>0</v>
      </c>
      <c r="H207" s="559"/>
      <c r="I207" s="67"/>
      <c r="J207" s="560"/>
      <c r="K207" s="583"/>
      <c r="L207" s="558">
        <v>0</v>
      </c>
      <c r="M207" s="559"/>
      <c r="N207" s="67"/>
      <c r="O207" s="560"/>
      <c r="P207" s="583"/>
      <c r="Q207" s="558">
        <v>0</v>
      </c>
      <c r="R207" s="559"/>
      <c r="S207" s="67"/>
      <c r="T207" s="560"/>
      <c r="U207" s="583"/>
      <c r="V207" s="558">
        <v>0</v>
      </c>
      <c r="W207" s="559"/>
      <c r="X207" s="67"/>
      <c r="Y207" s="560"/>
      <c r="Z207" s="583"/>
      <c r="AA207" s="558">
        <v>0</v>
      </c>
      <c r="AB207" s="559"/>
      <c r="AC207" s="67"/>
      <c r="AD207" s="560"/>
      <c r="AE207" s="473"/>
      <c r="AF207" s="584">
        <v>0</v>
      </c>
      <c r="AG207" s="559"/>
      <c r="AH207" s="67"/>
      <c r="AI207" s="560"/>
      <c r="AJ207" s="583"/>
      <c r="AK207" s="558">
        <v>0</v>
      </c>
      <c r="AL207" s="559"/>
      <c r="AM207" s="67"/>
      <c r="AN207" s="560"/>
      <c r="AO207" s="583"/>
      <c r="AP207" s="558">
        <v>0</v>
      </c>
      <c r="AQ207" s="559"/>
      <c r="AR207" s="67"/>
      <c r="AS207" s="560"/>
      <c r="AT207" s="583"/>
      <c r="AU207" s="558">
        <v>0</v>
      </c>
      <c r="AV207" s="559"/>
      <c r="AW207" s="67"/>
      <c r="AX207" s="560"/>
      <c r="AY207" s="583"/>
      <c r="AZ207" s="558">
        <v>0</v>
      </c>
      <c r="BA207" s="559"/>
      <c r="BB207" s="67"/>
      <c r="BC207" s="560"/>
      <c r="BD207" s="583"/>
      <c r="BE207" s="558">
        <v>0</v>
      </c>
      <c r="BF207" s="559"/>
      <c r="BG207" s="67"/>
      <c r="BH207" s="560"/>
      <c r="BI207" s="583"/>
      <c r="BJ207" s="558">
        <v>0</v>
      </c>
      <c r="BK207" s="559"/>
      <c r="BL207" s="67"/>
      <c r="BM207" s="560"/>
      <c r="BN207" s="583"/>
      <c r="BO207" s="558">
        <v>0</v>
      </c>
      <c r="BP207" s="559"/>
      <c r="BQ207" s="67"/>
      <c r="BR207" s="560"/>
      <c r="BS207" s="583"/>
      <c r="BT207" s="558">
        <f>SUM(L207:BO207)</f>
        <v>0</v>
      </c>
      <c r="BU207" s="559"/>
      <c r="BV207" s="67"/>
      <c r="BW207" s="560"/>
      <c r="BX207" s="583"/>
      <c r="BY207" s="558">
        <v>0</v>
      </c>
      <c r="BZ207" s="559"/>
      <c r="CA207" s="67"/>
      <c r="CB207" s="560"/>
      <c r="CC207" s="583"/>
      <c r="CD207" s="558">
        <v>0</v>
      </c>
      <c r="CE207" s="559"/>
      <c r="CF207" s="67"/>
      <c r="CG207" s="560"/>
      <c r="CH207" s="583"/>
      <c r="CI207" s="558">
        <v>0</v>
      </c>
      <c r="CJ207" s="559"/>
      <c r="CK207" s="67"/>
      <c r="CL207" s="560"/>
      <c r="CM207" s="583"/>
      <c r="CN207" s="558">
        <v>0</v>
      </c>
      <c r="CO207" s="559"/>
      <c r="CP207" s="67"/>
      <c r="CQ207" s="560"/>
      <c r="CR207" s="583"/>
      <c r="CS207" s="558">
        <v>0</v>
      </c>
      <c r="CT207" s="559"/>
      <c r="CU207" s="67"/>
      <c r="CV207" s="560"/>
      <c r="CW207" s="473"/>
      <c r="CX207" s="584">
        <v>0</v>
      </c>
      <c r="CY207" s="559"/>
      <c r="CZ207" s="67"/>
      <c r="DA207" s="560"/>
      <c r="DB207" s="583"/>
      <c r="DC207" s="558">
        <v>0</v>
      </c>
      <c r="DD207" s="559"/>
      <c r="DE207" s="67"/>
      <c r="DF207" s="560"/>
      <c r="DG207" s="583"/>
      <c r="DH207" s="558">
        <v>0</v>
      </c>
      <c r="DI207" s="559"/>
      <c r="DJ207" s="67"/>
      <c r="DK207" s="560"/>
      <c r="DL207" s="583"/>
      <c r="DM207" s="558">
        <v>0</v>
      </c>
      <c r="DN207" s="559"/>
      <c r="DO207" s="67"/>
      <c r="DP207" s="560"/>
      <c r="DQ207" s="583"/>
      <c r="DR207" s="558">
        <v>0</v>
      </c>
      <c r="DS207" s="559"/>
      <c r="DT207" s="67"/>
      <c r="DU207" s="560"/>
      <c r="DV207" s="583"/>
      <c r="DW207" s="558">
        <v>0</v>
      </c>
      <c r="DX207" s="559"/>
      <c r="DY207" s="67"/>
      <c r="DZ207" s="560"/>
      <c r="EA207" s="583"/>
      <c r="EB207" s="558">
        <v>0</v>
      </c>
      <c r="EC207" s="559"/>
      <c r="ED207" s="67"/>
      <c r="EE207" s="560"/>
      <c r="EF207" s="583"/>
      <c r="EG207" s="558">
        <v>0</v>
      </c>
      <c r="EH207" s="559"/>
      <c r="EI207" s="67"/>
      <c r="EJ207" s="560"/>
      <c r="EK207" s="583"/>
      <c r="EL207" s="558">
        <f>SUM(CD207:CI207)</f>
        <v>0</v>
      </c>
      <c r="EM207" s="559"/>
      <c r="EN207" s="67"/>
      <c r="EO207" s="455"/>
      <c r="ER207" s="472"/>
      <c r="ES207" s="472"/>
    </row>
    <row r="208" spans="1:149" x14ac:dyDescent="0.2">
      <c r="A208" s="442"/>
      <c r="B208" s="442"/>
      <c r="D208" s="455" t="s">
        <v>392</v>
      </c>
      <c r="F208" s="554"/>
      <c r="G208" s="67">
        <v>0</v>
      </c>
      <c r="H208" s="66"/>
      <c r="I208" s="67"/>
      <c r="J208" s="560"/>
      <c r="K208" s="554"/>
      <c r="L208" s="67">
        <v>0</v>
      </c>
      <c r="M208" s="66"/>
      <c r="N208" s="67"/>
      <c r="O208" s="560"/>
      <c r="P208" s="554"/>
      <c r="Q208" s="67">
        <v>0</v>
      </c>
      <c r="R208" s="66"/>
      <c r="S208" s="67"/>
      <c r="T208" s="560"/>
      <c r="U208" s="554"/>
      <c r="V208" s="67">
        <v>0</v>
      </c>
      <c r="W208" s="66"/>
      <c r="X208" s="67"/>
      <c r="Y208" s="560"/>
      <c r="Z208" s="554"/>
      <c r="AA208" s="67">
        <v>0</v>
      </c>
      <c r="AB208" s="66"/>
      <c r="AC208" s="67"/>
      <c r="AD208" s="560"/>
      <c r="AE208" s="465"/>
      <c r="AF208" s="266">
        <v>0</v>
      </c>
      <c r="AG208" s="66"/>
      <c r="AH208" s="67"/>
      <c r="AI208" s="560"/>
      <c r="AJ208" s="554"/>
      <c r="AK208" s="67">
        <v>0</v>
      </c>
      <c r="AL208" s="66"/>
      <c r="AM208" s="67"/>
      <c r="AN208" s="560"/>
      <c r="AO208" s="554"/>
      <c r="AP208" s="67">
        <v>0</v>
      </c>
      <c r="AQ208" s="66"/>
      <c r="AR208" s="67"/>
      <c r="AS208" s="560"/>
      <c r="AT208" s="554"/>
      <c r="AU208" s="67">
        <v>0</v>
      </c>
      <c r="AV208" s="66"/>
      <c r="AW208" s="67"/>
      <c r="AX208" s="560"/>
      <c r="AY208" s="554"/>
      <c r="AZ208" s="67">
        <v>0</v>
      </c>
      <c r="BA208" s="66"/>
      <c r="BB208" s="67"/>
      <c r="BC208" s="560"/>
      <c r="BD208" s="554"/>
      <c r="BE208" s="67">
        <v>0</v>
      </c>
      <c r="BF208" s="66"/>
      <c r="BG208" s="67"/>
      <c r="BH208" s="560"/>
      <c r="BI208" s="554"/>
      <c r="BJ208" s="67">
        <v>0</v>
      </c>
      <c r="BK208" s="66"/>
      <c r="BL208" s="67"/>
      <c r="BM208" s="560"/>
      <c r="BN208" s="554"/>
      <c r="BO208" s="67">
        <v>0</v>
      </c>
      <c r="BP208" s="66"/>
      <c r="BQ208" s="67"/>
      <c r="BR208" s="560"/>
      <c r="BS208" s="554"/>
      <c r="BT208" s="67">
        <f t="shared" ref="BT208:BT213" si="2">SUM(L208:BO208)</f>
        <v>0</v>
      </c>
      <c r="BU208" s="66"/>
      <c r="BV208" s="67"/>
      <c r="BW208" s="560"/>
      <c r="BX208" s="554"/>
      <c r="BY208" s="67">
        <v>0</v>
      </c>
      <c r="BZ208" s="66"/>
      <c r="CA208" s="67"/>
      <c r="CB208" s="560"/>
      <c r="CC208" s="554"/>
      <c r="CD208" s="67">
        <v>0</v>
      </c>
      <c r="CE208" s="66"/>
      <c r="CF208" s="67"/>
      <c r="CG208" s="560"/>
      <c r="CH208" s="554"/>
      <c r="CI208" s="67">
        <v>0</v>
      </c>
      <c r="CJ208" s="66"/>
      <c r="CK208" s="67"/>
      <c r="CL208" s="560"/>
      <c r="CM208" s="554"/>
      <c r="CN208" s="67">
        <v>0</v>
      </c>
      <c r="CO208" s="66"/>
      <c r="CP208" s="67"/>
      <c r="CQ208" s="560"/>
      <c r="CR208" s="554"/>
      <c r="CS208" s="67">
        <v>0</v>
      </c>
      <c r="CT208" s="66"/>
      <c r="CU208" s="67"/>
      <c r="CV208" s="560"/>
      <c r="CW208" s="465"/>
      <c r="CX208" s="266">
        <v>0</v>
      </c>
      <c r="CY208" s="66"/>
      <c r="CZ208" s="67"/>
      <c r="DA208" s="560"/>
      <c r="DB208" s="554"/>
      <c r="DC208" s="67">
        <v>0</v>
      </c>
      <c r="DD208" s="66"/>
      <c r="DE208" s="67"/>
      <c r="DF208" s="560"/>
      <c r="DG208" s="554"/>
      <c r="DH208" s="67">
        <v>0</v>
      </c>
      <c r="DI208" s="66"/>
      <c r="DJ208" s="67"/>
      <c r="DK208" s="560"/>
      <c r="DL208" s="554"/>
      <c r="DM208" s="67">
        <v>0</v>
      </c>
      <c r="DN208" s="66"/>
      <c r="DO208" s="67"/>
      <c r="DP208" s="560"/>
      <c r="DQ208" s="554"/>
      <c r="DR208" s="67">
        <v>0</v>
      </c>
      <c r="DS208" s="66"/>
      <c r="DT208" s="67"/>
      <c r="DU208" s="560"/>
      <c r="DV208" s="554"/>
      <c r="DW208" s="67">
        <v>0</v>
      </c>
      <c r="DX208" s="66"/>
      <c r="DY208" s="67"/>
      <c r="DZ208" s="560"/>
      <c r="EA208" s="554"/>
      <c r="EB208" s="67">
        <v>0</v>
      </c>
      <c r="EC208" s="66"/>
      <c r="ED208" s="67"/>
      <c r="EE208" s="560"/>
      <c r="EF208" s="554"/>
      <c r="EG208" s="67">
        <v>0</v>
      </c>
      <c r="EH208" s="66"/>
      <c r="EI208" s="67"/>
      <c r="EJ208" s="560"/>
      <c r="EK208" s="554"/>
      <c r="EL208" s="67">
        <f>SUM(CD208:CI208)</f>
        <v>0</v>
      </c>
      <c r="EM208" s="66"/>
      <c r="EN208" s="67"/>
      <c r="EO208" s="455"/>
      <c r="ER208" s="472"/>
      <c r="ES208" s="472"/>
    </row>
    <row r="209" spans="1:149" x14ac:dyDescent="0.2">
      <c r="A209" s="442"/>
      <c r="B209" s="442"/>
      <c r="D209" s="455" t="s">
        <v>393</v>
      </c>
      <c r="F209" s="554"/>
      <c r="G209" s="67">
        <v>0</v>
      </c>
      <c r="H209" s="66"/>
      <c r="I209" s="67"/>
      <c r="J209" s="560"/>
      <c r="K209" s="554"/>
      <c r="L209" s="67">
        <v>0</v>
      </c>
      <c r="M209" s="66"/>
      <c r="N209" s="67"/>
      <c r="O209" s="560"/>
      <c r="P209" s="554"/>
      <c r="Q209" s="67">
        <v>0</v>
      </c>
      <c r="R209" s="66"/>
      <c r="S209" s="67"/>
      <c r="T209" s="560"/>
      <c r="U209" s="554"/>
      <c r="V209" s="67">
        <v>0</v>
      </c>
      <c r="W209" s="66"/>
      <c r="X209" s="67"/>
      <c r="Y209" s="560"/>
      <c r="Z209" s="554"/>
      <c r="AA209" s="67">
        <v>0</v>
      </c>
      <c r="AB209" s="66"/>
      <c r="AC209" s="67"/>
      <c r="AD209" s="560"/>
      <c r="AE209" s="465"/>
      <c r="AF209" s="266">
        <v>0</v>
      </c>
      <c r="AG209" s="66"/>
      <c r="AH209" s="67"/>
      <c r="AI209" s="560"/>
      <c r="AJ209" s="554"/>
      <c r="AK209" s="67">
        <v>0</v>
      </c>
      <c r="AL209" s="66"/>
      <c r="AM209" s="67"/>
      <c r="AN209" s="560"/>
      <c r="AO209" s="554"/>
      <c r="AP209" s="67">
        <v>0</v>
      </c>
      <c r="AQ209" s="66"/>
      <c r="AR209" s="67"/>
      <c r="AS209" s="560"/>
      <c r="AT209" s="554"/>
      <c r="AU209" s="67">
        <v>0</v>
      </c>
      <c r="AV209" s="66"/>
      <c r="AW209" s="67"/>
      <c r="AX209" s="560"/>
      <c r="AY209" s="554"/>
      <c r="AZ209" s="67">
        <v>0</v>
      </c>
      <c r="BA209" s="66"/>
      <c r="BB209" s="67"/>
      <c r="BC209" s="560"/>
      <c r="BD209" s="554"/>
      <c r="BE209" s="67">
        <v>0</v>
      </c>
      <c r="BF209" s="66"/>
      <c r="BG209" s="67"/>
      <c r="BH209" s="560"/>
      <c r="BI209" s="554"/>
      <c r="BJ209" s="67">
        <v>0</v>
      </c>
      <c r="BK209" s="66"/>
      <c r="BL209" s="67"/>
      <c r="BM209" s="560"/>
      <c r="BN209" s="554"/>
      <c r="BO209" s="67">
        <v>0</v>
      </c>
      <c r="BP209" s="66"/>
      <c r="BQ209" s="67"/>
      <c r="BR209" s="560"/>
      <c r="BS209" s="554"/>
      <c r="BT209" s="67">
        <f>SUM(L209:BO209)</f>
        <v>0</v>
      </c>
      <c r="BU209" s="66"/>
      <c r="BV209" s="67"/>
      <c r="BW209" s="560"/>
      <c r="BX209" s="554"/>
      <c r="BY209" s="67">
        <v>0</v>
      </c>
      <c r="BZ209" s="66"/>
      <c r="CA209" s="67"/>
      <c r="CB209" s="560"/>
      <c r="CC209" s="554"/>
      <c r="CD209" s="67">
        <v>0</v>
      </c>
      <c r="CE209" s="66"/>
      <c r="CF209" s="67"/>
      <c r="CG209" s="560"/>
      <c r="CH209" s="554"/>
      <c r="CI209" s="67">
        <v>0</v>
      </c>
      <c r="CJ209" s="66"/>
      <c r="CK209" s="67"/>
      <c r="CL209" s="560"/>
      <c r="CM209" s="554"/>
      <c r="CN209" s="67">
        <v>0</v>
      </c>
      <c r="CO209" s="66"/>
      <c r="CP209" s="67"/>
      <c r="CQ209" s="560"/>
      <c r="CR209" s="554"/>
      <c r="CS209" s="67">
        <v>0</v>
      </c>
      <c r="CT209" s="66"/>
      <c r="CU209" s="67"/>
      <c r="CV209" s="560"/>
      <c r="CW209" s="465"/>
      <c r="CX209" s="266">
        <v>0</v>
      </c>
      <c r="CY209" s="66"/>
      <c r="CZ209" s="67"/>
      <c r="DA209" s="560"/>
      <c r="DB209" s="554"/>
      <c r="DC209" s="67">
        <v>0</v>
      </c>
      <c r="DD209" s="66"/>
      <c r="DE209" s="67"/>
      <c r="DF209" s="560"/>
      <c r="DG209" s="554"/>
      <c r="DH209" s="67">
        <v>0</v>
      </c>
      <c r="DI209" s="66"/>
      <c r="DJ209" s="67"/>
      <c r="DK209" s="560"/>
      <c r="DL209" s="554"/>
      <c r="DM209" s="67">
        <v>0</v>
      </c>
      <c r="DN209" s="66"/>
      <c r="DO209" s="67"/>
      <c r="DP209" s="560"/>
      <c r="DQ209" s="554"/>
      <c r="DR209" s="67">
        <v>0</v>
      </c>
      <c r="DS209" s="66"/>
      <c r="DT209" s="67"/>
      <c r="DU209" s="560"/>
      <c r="DV209" s="554"/>
      <c r="DW209" s="67">
        <v>0</v>
      </c>
      <c r="DX209" s="66"/>
      <c r="DY209" s="67"/>
      <c r="DZ209" s="560"/>
      <c r="EA209" s="554"/>
      <c r="EB209" s="67">
        <v>0</v>
      </c>
      <c r="EC209" s="66"/>
      <c r="ED209" s="67"/>
      <c r="EE209" s="560"/>
      <c r="EF209" s="554"/>
      <c r="EG209" s="67">
        <v>0</v>
      </c>
      <c r="EH209" s="66"/>
      <c r="EI209" s="67"/>
      <c r="EJ209" s="560"/>
      <c r="EK209" s="554"/>
      <c r="EL209" s="67">
        <f>SUM(CD209:CI209)</f>
        <v>0</v>
      </c>
      <c r="EM209" s="66"/>
      <c r="EN209" s="67"/>
      <c r="EO209" s="455"/>
      <c r="ER209" s="472"/>
      <c r="ES209" s="472"/>
    </row>
    <row r="210" spans="1:149" x14ac:dyDescent="0.2">
      <c r="A210" s="442"/>
      <c r="B210" s="442"/>
      <c r="D210" s="455" t="s">
        <v>394</v>
      </c>
      <c r="F210" s="585"/>
      <c r="G210" s="113">
        <v>0</v>
      </c>
      <c r="H210" s="112"/>
      <c r="I210" s="67"/>
      <c r="J210" s="560"/>
      <c r="K210" s="585"/>
      <c r="L210" s="113">
        <v>0</v>
      </c>
      <c r="M210" s="112"/>
      <c r="N210" s="67"/>
      <c r="O210" s="560"/>
      <c r="P210" s="585"/>
      <c r="Q210" s="113">
        <v>0</v>
      </c>
      <c r="R210" s="112"/>
      <c r="S210" s="67"/>
      <c r="T210" s="560"/>
      <c r="U210" s="585"/>
      <c r="V210" s="113">
        <v>0</v>
      </c>
      <c r="W210" s="112"/>
      <c r="X210" s="67"/>
      <c r="Y210" s="560"/>
      <c r="Z210" s="585"/>
      <c r="AA210" s="113">
        <v>0</v>
      </c>
      <c r="AB210" s="112"/>
      <c r="AC210" s="67"/>
      <c r="AD210" s="560"/>
      <c r="AE210" s="488"/>
      <c r="AF210" s="586">
        <v>0</v>
      </c>
      <c r="AG210" s="112"/>
      <c r="AH210" s="67"/>
      <c r="AI210" s="560"/>
      <c r="AJ210" s="585"/>
      <c r="AK210" s="113">
        <v>0</v>
      </c>
      <c r="AL210" s="112"/>
      <c r="AM210" s="67"/>
      <c r="AN210" s="560"/>
      <c r="AO210" s="585"/>
      <c r="AP210" s="113">
        <v>0</v>
      </c>
      <c r="AQ210" s="112"/>
      <c r="AR210" s="67"/>
      <c r="AS210" s="560"/>
      <c r="AT210" s="585"/>
      <c r="AU210" s="113">
        <v>0</v>
      </c>
      <c r="AV210" s="112"/>
      <c r="AW210" s="67"/>
      <c r="AX210" s="560"/>
      <c r="AY210" s="585"/>
      <c r="AZ210" s="113">
        <v>0</v>
      </c>
      <c r="BA210" s="112"/>
      <c r="BB210" s="67"/>
      <c r="BC210" s="560"/>
      <c r="BD210" s="585"/>
      <c r="BE210" s="113">
        <v>0</v>
      </c>
      <c r="BF210" s="112"/>
      <c r="BG210" s="67"/>
      <c r="BH210" s="560"/>
      <c r="BI210" s="585"/>
      <c r="BJ210" s="113">
        <v>0</v>
      </c>
      <c r="BK210" s="112"/>
      <c r="BL210" s="67"/>
      <c r="BM210" s="560"/>
      <c r="BN210" s="585"/>
      <c r="BO210" s="113">
        <v>0</v>
      </c>
      <c r="BP210" s="112"/>
      <c r="BQ210" s="67"/>
      <c r="BR210" s="560"/>
      <c r="BS210" s="585"/>
      <c r="BT210" s="113">
        <f t="shared" si="2"/>
        <v>0</v>
      </c>
      <c r="BU210" s="112"/>
      <c r="BV210" s="67"/>
      <c r="BW210" s="560"/>
      <c r="BX210" s="585"/>
      <c r="BY210" s="113">
        <v>0</v>
      </c>
      <c r="BZ210" s="112"/>
      <c r="CA210" s="67"/>
      <c r="CB210" s="560"/>
      <c r="CC210" s="585"/>
      <c r="CD210" s="113">
        <v>0</v>
      </c>
      <c r="CE210" s="112"/>
      <c r="CF210" s="67"/>
      <c r="CG210" s="560"/>
      <c r="CH210" s="585"/>
      <c r="CI210" s="113">
        <v>0</v>
      </c>
      <c r="CJ210" s="112"/>
      <c r="CK210" s="67"/>
      <c r="CL210" s="560"/>
      <c r="CM210" s="585"/>
      <c r="CN210" s="113">
        <v>0</v>
      </c>
      <c r="CO210" s="112"/>
      <c r="CP210" s="67"/>
      <c r="CQ210" s="560"/>
      <c r="CR210" s="585"/>
      <c r="CS210" s="113">
        <v>0</v>
      </c>
      <c r="CT210" s="112"/>
      <c r="CU210" s="67"/>
      <c r="CV210" s="560"/>
      <c r="CW210" s="488"/>
      <c r="CX210" s="586">
        <v>0</v>
      </c>
      <c r="CY210" s="112"/>
      <c r="CZ210" s="67"/>
      <c r="DA210" s="560"/>
      <c r="DB210" s="585"/>
      <c r="DC210" s="113">
        <v>0</v>
      </c>
      <c r="DD210" s="112"/>
      <c r="DE210" s="67"/>
      <c r="DF210" s="560"/>
      <c r="DG210" s="585"/>
      <c r="DH210" s="113">
        <v>0</v>
      </c>
      <c r="DI210" s="112"/>
      <c r="DJ210" s="67"/>
      <c r="DK210" s="560"/>
      <c r="DL210" s="585"/>
      <c r="DM210" s="113">
        <v>0</v>
      </c>
      <c r="DN210" s="112"/>
      <c r="DO210" s="67"/>
      <c r="DP210" s="560"/>
      <c r="DQ210" s="585"/>
      <c r="DR210" s="113">
        <v>0</v>
      </c>
      <c r="DS210" s="112"/>
      <c r="DT210" s="67"/>
      <c r="DU210" s="560"/>
      <c r="DV210" s="585"/>
      <c r="DW210" s="113">
        <v>0</v>
      </c>
      <c r="DX210" s="112"/>
      <c r="DY210" s="67"/>
      <c r="DZ210" s="560"/>
      <c r="EA210" s="585"/>
      <c r="EB210" s="113">
        <v>0</v>
      </c>
      <c r="EC210" s="112"/>
      <c r="ED210" s="67"/>
      <c r="EE210" s="560"/>
      <c r="EF210" s="585"/>
      <c r="EG210" s="113">
        <v>0</v>
      </c>
      <c r="EH210" s="112"/>
      <c r="EI210" s="67"/>
      <c r="EJ210" s="560"/>
      <c r="EK210" s="585"/>
      <c r="EL210" s="113">
        <f>SUM(CD210:CI210)</f>
        <v>0</v>
      </c>
      <c r="EM210" s="112"/>
      <c r="EN210" s="67"/>
      <c r="EO210" s="455"/>
      <c r="ER210" s="472"/>
      <c r="ES210" s="472"/>
    </row>
    <row r="211" spans="1:149" hidden="1" x14ac:dyDescent="0.2">
      <c r="A211" s="442"/>
      <c r="B211" s="442"/>
      <c r="D211" s="455" t="s">
        <v>395</v>
      </c>
      <c r="F211" s="465"/>
      <c r="G211" s="67">
        <v>0</v>
      </c>
      <c r="H211" s="66"/>
      <c r="I211" s="67"/>
      <c r="J211" s="560"/>
      <c r="K211" s="465"/>
      <c r="L211" s="67"/>
      <c r="M211" s="66"/>
      <c r="N211" s="67"/>
      <c r="O211" s="560"/>
      <c r="P211" s="465"/>
      <c r="Q211" s="67"/>
      <c r="R211" s="66"/>
      <c r="S211" s="67"/>
      <c r="T211" s="560"/>
      <c r="U211" s="465"/>
      <c r="V211" s="67"/>
      <c r="W211" s="66"/>
      <c r="X211" s="67"/>
      <c r="Y211" s="560"/>
      <c r="Z211" s="465"/>
      <c r="AA211" s="67"/>
      <c r="AB211" s="66"/>
      <c r="AC211" s="67"/>
      <c r="AD211" s="560"/>
      <c r="AE211" s="465"/>
      <c r="AF211" s="67"/>
      <c r="AG211" s="66"/>
      <c r="AH211" s="67"/>
      <c r="AI211" s="560"/>
      <c r="AJ211" s="465"/>
      <c r="AK211" s="67"/>
      <c r="AL211" s="66"/>
      <c r="AM211" s="67"/>
      <c r="AN211" s="560"/>
      <c r="AO211" s="465"/>
      <c r="AP211" s="67"/>
      <c r="AQ211" s="66"/>
      <c r="AR211" s="67"/>
      <c r="AS211" s="560"/>
      <c r="AT211" s="465"/>
      <c r="AU211" s="67"/>
      <c r="AV211" s="66"/>
      <c r="AW211" s="67"/>
      <c r="AX211" s="560"/>
      <c r="AY211" s="465"/>
      <c r="AZ211" s="67"/>
      <c r="BA211" s="66"/>
      <c r="BB211" s="67"/>
      <c r="BC211" s="560"/>
      <c r="BD211" s="465"/>
      <c r="BE211" s="67"/>
      <c r="BF211" s="66"/>
      <c r="BG211" s="67"/>
      <c r="BH211" s="560"/>
      <c r="BI211" s="465"/>
      <c r="BJ211" s="67">
        <v>0</v>
      </c>
      <c r="BK211" s="66"/>
      <c r="BL211" s="67"/>
      <c r="BM211" s="560"/>
      <c r="BN211" s="465"/>
      <c r="BO211" s="67">
        <v>0</v>
      </c>
      <c r="BP211" s="66"/>
      <c r="BQ211" s="67"/>
      <c r="BR211" s="560"/>
      <c r="BS211" s="465"/>
      <c r="BT211" s="67">
        <f t="shared" si="2"/>
        <v>0</v>
      </c>
      <c r="BU211" s="66"/>
      <c r="BV211" s="67"/>
      <c r="BW211" s="560"/>
      <c r="BX211" s="465"/>
      <c r="BY211" s="67">
        <v>0</v>
      </c>
      <c r="BZ211" s="66"/>
      <c r="CA211" s="67"/>
      <c r="CB211" s="560"/>
      <c r="CC211" s="465"/>
      <c r="CD211" s="67"/>
      <c r="CE211" s="66"/>
      <c r="CF211" s="67"/>
      <c r="CG211" s="560"/>
      <c r="CH211" s="465"/>
      <c r="CI211" s="67"/>
      <c r="CJ211" s="66"/>
      <c r="CK211" s="67"/>
      <c r="CL211" s="560"/>
      <c r="CM211" s="465"/>
      <c r="CN211" s="67"/>
      <c r="CO211" s="66"/>
      <c r="CP211" s="67"/>
      <c r="CQ211" s="560"/>
      <c r="CR211" s="465"/>
      <c r="CS211" s="67"/>
      <c r="CT211" s="66"/>
      <c r="CU211" s="67"/>
      <c r="CV211" s="560"/>
      <c r="CW211" s="465"/>
      <c r="CX211" s="67"/>
      <c r="CY211" s="66"/>
      <c r="CZ211" s="67"/>
      <c r="DA211" s="560"/>
      <c r="DB211" s="465"/>
      <c r="DC211" s="67"/>
      <c r="DD211" s="66"/>
      <c r="DE211" s="67"/>
      <c r="DF211" s="560"/>
      <c r="DG211" s="465"/>
      <c r="DH211" s="67"/>
      <c r="DI211" s="66"/>
      <c r="DJ211" s="67"/>
      <c r="DK211" s="560"/>
      <c r="DL211" s="465"/>
      <c r="DM211" s="67"/>
      <c r="DN211" s="66"/>
      <c r="DO211" s="67"/>
      <c r="DP211" s="560"/>
      <c r="DQ211" s="465"/>
      <c r="DR211" s="67"/>
      <c r="DS211" s="66"/>
      <c r="DT211" s="67"/>
      <c r="DU211" s="560"/>
      <c r="DV211" s="465"/>
      <c r="DW211" s="67"/>
      <c r="DX211" s="66"/>
      <c r="DY211" s="67"/>
      <c r="DZ211" s="560"/>
      <c r="EA211" s="465"/>
      <c r="EB211" s="67">
        <v>0</v>
      </c>
      <c r="EC211" s="66"/>
      <c r="ED211" s="67"/>
      <c r="EE211" s="560"/>
      <c r="EF211" s="465"/>
      <c r="EG211" s="67">
        <v>0</v>
      </c>
      <c r="EH211" s="66"/>
      <c r="EI211" s="67"/>
      <c r="EJ211" s="560"/>
      <c r="EK211" s="465"/>
      <c r="EL211" s="67">
        <f>SUM(CD211:EG211)</f>
        <v>0</v>
      </c>
      <c r="EM211" s="66"/>
      <c r="EN211" s="67"/>
      <c r="EO211" s="455"/>
      <c r="ER211" s="472"/>
      <c r="ES211" s="472"/>
    </row>
    <row r="212" spans="1:149" hidden="1" x14ac:dyDescent="0.2">
      <c r="A212" s="442"/>
      <c r="B212" s="442"/>
      <c r="D212" s="455" t="s">
        <v>396</v>
      </c>
      <c r="F212" s="465"/>
      <c r="G212" s="67">
        <v>0</v>
      </c>
      <c r="H212" s="66"/>
      <c r="I212" s="67"/>
      <c r="J212" s="560"/>
      <c r="K212" s="465"/>
      <c r="L212" s="67"/>
      <c r="M212" s="66"/>
      <c r="N212" s="67"/>
      <c r="O212" s="560"/>
      <c r="P212" s="465"/>
      <c r="Q212" s="67"/>
      <c r="R212" s="66"/>
      <c r="S212" s="67"/>
      <c r="T212" s="560"/>
      <c r="U212" s="465"/>
      <c r="V212" s="67"/>
      <c r="W212" s="66"/>
      <c r="X212" s="67"/>
      <c r="Y212" s="560"/>
      <c r="Z212" s="465"/>
      <c r="AA212" s="67"/>
      <c r="AB212" s="66"/>
      <c r="AC212" s="67"/>
      <c r="AD212" s="560"/>
      <c r="AE212" s="465"/>
      <c r="AF212" s="67"/>
      <c r="AG212" s="66"/>
      <c r="AH212" s="67"/>
      <c r="AI212" s="560"/>
      <c r="AJ212" s="465"/>
      <c r="AK212" s="67"/>
      <c r="AL212" s="66"/>
      <c r="AM212" s="67"/>
      <c r="AN212" s="560"/>
      <c r="AO212" s="465"/>
      <c r="AP212" s="67"/>
      <c r="AQ212" s="66"/>
      <c r="AR212" s="67"/>
      <c r="AS212" s="560"/>
      <c r="AT212" s="465"/>
      <c r="AU212" s="67"/>
      <c r="AV212" s="66"/>
      <c r="AW212" s="67"/>
      <c r="AX212" s="560"/>
      <c r="AY212" s="465"/>
      <c r="AZ212" s="67"/>
      <c r="BA212" s="66"/>
      <c r="BB212" s="67"/>
      <c r="BC212" s="560"/>
      <c r="BD212" s="465"/>
      <c r="BE212" s="67"/>
      <c r="BF212" s="66"/>
      <c r="BG212" s="67"/>
      <c r="BH212" s="560"/>
      <c r="BI212" s="465"/>
      <c r="BJ212" s="67">
        <v>0</v>
      </c>
      <c r="BK212" s="66"/>
      <c r="BL212" s="67"/>
      <c r="BM212" s="560"/>
      <c r="BN212" s="465"/>
      <c r="BO212" s="67">
        <v>0</v>
      </c>
      <c r="BP212" s="66"/>
      <c r="BQ212" s="67"/>
      <c r="BR212" s="560"/>
      <c r="BS212" s="465"/>
      <c r="BT212" s="67">
        <f t="shared" si="2"/>
        <v>0</v>
      </c>
      <c r="BU212" s="66"/>
      <c r="BV212" s="67"/>
      <c r="BW212" s="560"/>
      <c r="BX212" s="465"/>
      <c r="BY212" s="67">
        <v>0</v>
      </c>
      <c r="BZ212" s="66"/>
      <c r="CA212" s="67"/>
      <c r="CB212" s="560"/>
      <c r="CC212" s="465"/>
      <c r="CD212" s="67"/>
      <c r="CE212" s="66"/>
      <c r="CF212" s="67"/>
      <c r="CG212" s="560"/>
      <c r="CH212" s="465"/>
      <c r="CI212" s="67"/>
      <c r="CJ212" s="66"/>
      <c r="CK212" s="67"/>
      <c r="CL212" s="560"/>
      <c r="CM212" s="465"/>
      <c r="CN212" s="67"/>
      <c r="CO212" s="66"/>
      <c r="CP212" s="67"/>
      <c r="CQ212" s="560"/>
      <c r="CR212" s="465"/>
      <c r="CS212" s="67"/>
      <c r="CT212" s="66"/>
      <c r="CU212" s="67"/>
      <c r="CV212" s="560"/>
      <c r="CW212" s="465"/>
      <c r="CX212" s="67"/>
      <c r="CY212" s="66"/>
      <c r="CZ212" s="67"/>
      <c r="DA212" s="560"/>
      <c r="DB212" s="465"/>
      <c r="DC212" s="67"/>
      <c r="DD212" s="66"/>
      <c r="DE212" s="67"/>
      <c r="DF212" s="560"/>
      <c r="DG212" s="465"/>
      <c r="DH212" s="67"/>
      <c r="DI212" s="66"/>
      <c r="DJ212" s="67"/>
      <c r="DK212" s="560"/>
      <c r="DL212" s="465"/>
      <c r="DM212" s="67"/>
      <c r="DN212" s="66"/>
      <c r="DO212" s="67"/>
      <c r="DP212" s="560"/>
      <c r="DQ212" s="465"/>
      <c r="DR212" s="67"/>
      <c r="DS212" s="66"/>
      <c r="DT212" s="67"/>
      <c r="DU212" s="560"/>
      <c r="DV212" s="465"/>
      <c r="DW212" s="67"/>
      <c r="DX212" s="66"/>
      <c r="DY212" s="67"/>
      <c r="DZ212" s="560"/>
      <c r="EA212" s="465"/>
      <c r="EB212" s="67">
        <v>0</v>
      </c>
      <c r="EC212" s="66"/>
      <c r="ED212" s="67"/>
      <c r="EE212" s="560"/>
      <c r="EF212" s="465"/>
      <c r="EG212" s="67">
        <v>0</v>
      </c>
      <c r="EH212" s="66"/>
      <c r="EI212" s="67"/>
      <c r="EJ212" s="560"/>
      <c r="EK212" s="465"/>
      <c r="EL212" s="67">
        <f>SUM(CD212:EG212)</f>
        <v>0</v>
      </c>
      <c r="EM212" s="66"/>
      <c r="EN212" s="67"/>
      <c r="EO212" s="455"/>
      <c r="ER212" s="472"/>
      <c r="ES212" s="472"/>
    </row>
    <row r="213" spans="1:149" hidden="1" x14ac:dyDescent="0.2">
      <c r="A213" s="442"/>
      <c r="B213" s="442"/>
      <c r="D213" s="455" t="s">
        <v>397</v>
      </c>
      <c r="F213" s="488"/>
      <c r="G213" s="113">
        <v>0</v>
      </c>
      <c r="H213" s="112"/>
      <c r="I213" s="67"/>
      <c r="J213" s="560"/>
      <c r="K213" s="488"/>
      <c r="L213" s="113">
        <v>0</v>
      </c>
      <c r="M213" s="112"/>
      <c r="N213" s="67"/>
      <c r="O213" s="560"/>
      <c r="P213" s="488"/>
      <c r="Q213" s="113">
        <v>0</v>
      </c>
      <c r="R213" s="112"/>
      <c r="S213" s="67"/>
      <c r="T213" s="560"/>
      <c r="U213" s="488"/>
      <c r="V213" s="113">
        <v>0</v>
      </c>
      <c r="W213" s="112"/>
      <c r="X213" s="67"/>
      <c r="Y213" s="560"/>
      <c r="Z213" s="488"/>
      <c r="AA213" s="113">
        <v>0</v>
      </c>
      <c r="AB213" s="112"/>
      <c r="AC213" s="67"/>
      <c r="AD213" s="560"/>
      <c r="AE213" s="488"/>
      <c r="AF213" s="113">
        <v>0</v>
      </c>
      <c r="AG213" s="112"/>
      <c r="AH213" s="67"/>
      <c r="AI213" s="560"/>
      <c r="AJ213" s="488"/>
      <c r="AK213" s="113">
        <v>0</v>
      </c>
      <c r="AL213" s="112"/>
      <c r="AM213" s="67"/>
      <c r="AN213" s="560"/>
      <c r="AO213" s="488"/>
      <c r="AP213" s="113">
        <v>0</v>
      </c>
      <c r="AQ213" s="112"/>
      <c r="AR213" s="67"/>
      <c r="AS213" s="560"/>
      <c r="AT213" s="488"/>
      <c r="AU213" s="113">
        <v>0</v>
      </c>
      <c r="AV213" s="112"/>
      <c r="AW213" s="67"/>
      <c r="AX213" s="560"/>
      <c r="AY213" s="488"/>
      <c r="AZ213" s="113">
        <v>0</v>
      </c>
      <c r="BA213" s="112"/>
      <c r="BB213" s="67"/>
      <c r="BC213" s="560"/>
      <c r="BD213" s="488"/>
      <c r="BE213" s="113">
        <v>0</v>
      </c>
      <c r="BF213" s="112"/>
      <c r="BG213" s="67"/>
      <c r="BH213" s="560"/>
      <c r="BI213" s="488"/>
      <c r="BJ213" s="113">
        <v>0</v>
      </c>
      <c r="BK213" s="112"/>
      <c r="BL213" s="67"/>
      <c r="BM213" s="560"/>
      <c r="BN213" s="488"/>
      <c r="BO213" s="113">
        <v>0</v>
      </c>
      <c r="BP213" s="112"/>
      <c r="BQ213" s="67"/>
      <c r="BR213" s="560"/>
      <c r="BS213" s="488"/>
      <c r="BT213" s="113">
        <f t="shared" si="2"/>
        <v>0</v>
      </c>
      <c r="BU213" s="112"/>
      <c r="BV213" s="67"/>
      <c r="BW213" s="560"/>
      <c r="BX213" s="488"/>
      <c r="BY213" s="113"/>
      <c r="BZ213" s="112"/>
      <c r="CA213" s="67"/>
      <c r="CB213" s="560"/>
      <c r="CC213" s="488"/>
      <c r="CD213" s="113">
        <v>0</v>
      </c>
      <c r="CE213" s="112"/>
      <c r="CF213" s="67"/>
      <c r="CG213" s="560"/>
      <c r="CH213" s="488"/>
      <c r="CI213" s="113">
        <v>0</v>
      </c>
      <c r="CJ213" s="112"/>
      <c r="CK213" s="67"/>
      <c r="CL213" s="560"/>
      <c r="CM213" s="488"/>
      <c r="CN213" s="113">
        <v>0</v>
      </c>
      <c r="CO213" s="112"/>
      <c r="CP213" s="67"/>
      <c r="CQ213" s="560"/>
      <c r="CR213" s="488"/>
      <c r="CS213" s="113">
        <v>0</v>
      </c>
      <c r="CT213" s="112"/>
      <c r="CU213" s="67"/>
      <c r="CV213" s="560"/>
      <c r="CW213" s="488"/>
      <c r="CX213" s="113">
        <v>0</v>
      </c>
      <c r="CY213" s="112"/>
      <c r="CZ213" s="67"/>
      <c r="DA213" s="560"/>
      <c r="DB213" s="488"/>
      <c r="DC213" s="113">
        <v>0</v>
      </c>
      <c r="DD213" s="112"/>
      <c r="DE213" s="67"/>
      <c r="DF213" s="560"/>
      <c r="DG213" s="488"/>
      <c r="DH213" s="113">
        <v>0</v>
      </c>
      <c r="DI213" s="112"/>
      <c r="DJ213" s="67"/>
      <c r="DK213" s="560"/>
      <c r="DL213" s="488"/>
      <c r="DM213" s="113">
        <v>0</v>
      </c>
      <c r="DN213" s="112"/>
      <c r="DO213" s="67"/>
      <c r="DP213" s="560"/>
      <c r="DQ213" s="488"/>
      <c r="DR213" s="113">
        <v>0</v>
      </c>
      <c r="DS213" s="112"/>
      <c r="DT213" s="67"/>
      <c r="DU213" s="560"/>
      <c r="DV213" s="488"/>
      <c r="DW213" s="113">
        <v>0</v>
      </c>
      <c r="DX213" s="112"/>
      <c r="DY213" s="67"/>
      <c r="DZ213" s="560"/>
      <c r="EA213" s="488"/>
      <c r="EB213" s="113">
        <v>0</v>
      </c>
      <c r="EC213" s="112"/>
      <c r="ED213" s="67"/>
      <c r="EE213" s="560"/>
      <c r="EF213" s="488"/>
      <c r="EG213" s="113">
        <v>0</v>
      </c>
      <c r="EH213" s="112"/>
      <c r="EI213" s="67"/>
      <c r="EJ213" s="560"/>
      <c r="EK213" s="488"/>
      <c r="EL213" s="113">
        <f>SUM(CD213:EG213)</f>
        <v>0</v>
      </c>
      <c r="EM213" s="112"/>
      <c r="EN213" s="67"/>
      <c r="EO213" s="455"/>
      <c r="ER213" s="472"/>
      <c r="ES213" s="472"/>
    </row>
    <row r="214" spans="1:149" x14ac:dyDescent="0.2">
      <c r="A214" s="442"/>
      <c r="B214" s="442"/>
      <c r="D214" s="455"/>
      <c r="E214" s="582"/>
      <c r="F214" s="320"/>
      <c r="G214" s="67"/>
      <c r="H214" s="67"/>
      <c r="I214" s="67"/>
      <c r="J214" s="560"/>
      <c r="K214" s="320"/>
      <c r="L214" s="67"/>
      <c r="M214" s="67"/>
      <c r="N214" s="67"/>
      <c r="O214" s="560"/>
      <c r="P214" s="320"/>
      <c r="Q214" s="67"/>
      <c r="R214" s="67"/>
      <c r="S214" s="67"/>
      <c r="T214" s="560"/>
      <c r="U214" s="320"/>
      <c r="V214" s="67"/>
      <c r="W214" s="67"/>
      <c r="X214" s="67"/>
      <c r="Y214" s="560"/>
      <c r="Z214" s="320"/>
      <c r="AA214" s="67"/>
      <c r="AB214" s="67"/>
      <c r="AC214" s="67"/>
      <c r="AD214" s="560"/>
      <c r="AE214" s="320"/>
      <c r="AF214" s="67"/>
      <c r="AG214" s="67"/>
      <c r="AH214" s="67"/>
      <c r="AI214" s="560"/>
      <c r="AJ214" s="320"/>
      <c r="AK214" s="67"/>
      <c r="AL214" s="67"/>
      <c r="AM214" s="67"/>
      <c r="AN214" s="560"/>
      <c r="AO214" s="320"/>
      <c r="AP214" s="67"/>
      <c r="AQ214" s="67"/>
      <c r="AR214" s="67"/>
      <c r="AS214" s="560"/>
      <c r="AT214" s="320"/>
      <c r="AU214" s="67"/>
      <c r="AV214" s="67"/>
      <c r="AW214" s="67"/>
      <c r="AX214" s="560"/>
      <c r="AY214" s="320"/>
      <c r="AZ214" s="67"/>
      <c r="BA214" s="67"/>
      <c r="BB214" s="67"/>
      <c r="BC214" s="560"/>
      <c r="BD214" s="320"/>
      <c r="BE214" s="67"/>
      <c r="BF214" s="67"/>
      <c r="BG214" s="67"/>
      <c r="BH214" s="560"/>
      <c r="BI214" s="320"/>
      <c r="BJ214" s="67"/>
      <c r="BK214" s="67"/>
      <c r="BL214" s="67"/>
      <c r="BM214" s="560"/>
      <c r="BN214" s="320"/>
      <c r="BO214" s="67"/>
      <c r="BP214" s="67"/>
      <c r="BQ214" s="67"/>
      <c r="BR214" s="560"/>
      <c r="BS214" s="320"/>
      <c r="BT214" s="67"/>
      <c r="BU214" s="67"/>
      <c r="BV214" s="67"/>
      <c r="BW214" s="560"/>
      <c r="BX214" s="320"/>
      <c r="BY214" s="67"/>
      <c r="BZ214" s="67"/>
      <c r="CA214" s="67"/>
      <c r="CB214" s="560"/>
      <c r="CC214" s="320"/>
      <c r="CD214" s="67"/>
      <c r="CE214" s="67"/>
      <c r="CF214" s="67"/>
      <c r="CG214" s="560"/>
      <c r="CH214" s="320"/>
      <c r="CI214" s="67"/>
      <c r="CJ214" s="67"/>
      <c r="CK214" s="67"/>
      <c r="CL214" s="560"/>
      <c r="CM214" s="320"/>
      <c r="CN214" s="67"/>
      <c r="CO214" s="67"/>
      <c r="CP214" s="67"/>
      <c r="CQ214" s="560"/>
      <c r="CR214" s="320"/>
      <c r="CS214" s="67"/>
      <c r="CT214" s="67"/>
      <c r="CU214" s="67"/>
      <c r="CV214" s="560"/>
      <c r="CW214" s="320"/>
      <c r="CX214" s="67"/>
      <c r="CY214" s="67"/>
      <c r="CZ214" s="67"/>
      <c r="DA214" s="560"/>
      <c r="DB214" s="320"/>
      <c r="DC214" s="67"/>
      <c r="DD214" s="67"/>
      <c r="DE214" s="67"/>
      <c r="DF214" s="560"/>
      <c r="DG214" s="320"/>
      <c r="DH214" s="67"/>
      <c r="DI214" s="67"/>
      <c r="DJ214" s="67"/>
      <c r="DK214" s="560"/>
      <c r="DL214" s="320"/>
      <c r="DM214" s="67"/>
      <c r="DN214" s="67"/>
      <c r="DO214" s="67"/>
      <c r="DP214" s="560"/>
      <c r="DQ214" s="320"/>
      <c r="DR214" s="67"/>
      <c r="DS214" s="67"/>
      <c r="DT214" s="67"/>
      <c r="DU214" s="560"/>
      <c r="DV214" s="320"/>
      <c r="DW214" s="67"/>
      <c r="DX214" s="67"/>
      <c r="DY214" s="67"/>
      <c r="DZ214" s="560"/>
      <c r="EA214" s="320"/>
      <c r="EB214" s="67"/>
      <c r="EC214" s="67"/>
      <c r="ED214" s="67"/>
      <c r="EE214" s="560"/>
      <c r="EF214" s="320"/>
      <c r="EG214" s="67"/>
      <c r="EH214" s="67"/>
      <c r="EI214" s="67"/>
      <c r="EJ214" s="560"/>
      <c r="EK214" s="320"/>
      <c r="EL214" s="67"/>
      <c r="EM214" s="67"/>
      <c r="EN214" s="67"/>
      <c r="EO214" s="455"/>
      <c r="ER214" s="472"/>
      <c r="ES214" s="472"/>
    </row>
    <row r="215" spans="1:149" x14ac:dyDescent="0.2">
      <c r="A215" s="442"/>
      <c r="B215" s="442"/>
      <c r="D215" s="309" t="s">
        <v>334</v>
      </c>
      <c r="E215" s="582"/>
      <c r="F215" s="320"/>
      <c r="G215" s="58">
        <f>SUM(G216:G219)</f>
        <v>0</v>
      </c>
      <c r="H215" s="67"/>
      <c r="I215" s="67"/>
      <c r="J215" s="560"/>
      <c r="K215" s="320"/>
      <c r="L215" s="58">
        <f>SUM(L216:L219)</f>
        <v>0</v>
      </c>
      <c r="M215" s="67"/>
      <c r="N215" s="67"/>
      <c r="O215" s="560"/>
      <c r="P215" s="320"/>
      <c r="Q215" s="58">
        <f>SUM(Q216:Q219)</f>
        <v>0</v>
      </c>
      <c r="R215" s="67"/>
      <c r="S215" s="67"/>
      <c r="T215" s="560"/>
      <c r="U215" s="320"/>
      <c r="V215" s="58">
        <f>SUM(V216:V219)</f>
        <v>0</v>
      </c>
      <c r="W215" s="67"/>
      <c r="X215" s="67"/>
      <c r="Y215" s="560"/>
      <c r="Z215" s="320"/>
      <c r="AA215" s="58">
        <f>SUM(AA216:AA219)</f>
        <v>0</v>
      </c>
      <c r="AB215" s="67"/>
      <c r="AC215" s="67"/>
      <c r="AD215" s="560"/>
      <c r="AE215" s="320"/>
      <c r="AF215" s="58">
        <f>SUM(AF216:AF219)</f>
        <v>0</v>
      </c>
      <c r="AG215" s="67"/>
      <c r="AH215" s="67"/>
      <c r="AI215" s="560"/>
      <c r="AJ215" s="320"/>
      <c r="AK215" s="58">
        <f>SUM(AK216:AK219)</f>
        <v>0</v>
      </c>
      <c r="AL215" s="67"/>
      <c r="AM215" s="66"/>
      <c r="AN215" s="560"/>
      <c r="AO215" s="320"/>
      <c r="AP215" s="58">
        <f>SUM(AP216:AP219)</f>
        <v>0</v>
      </c>
      <c r="AQ215" s="67"/>
      <c r="AR215" s="67"/>
      <c r="AS215" s="560"/>
      <c r="AT215" s="320"/>
      <c r="AU215" s="58">
        <f>SUM(AU216:AU219)</f>
        <v>0</v>
      </c>
      <c r="AV215" s="67"/>
      <c r="AW215" s="67"/>
      <c r="AX215" s="560"/>
      <c r="AY215" s="320"/>
      <c r="AZ215" s="58">
        <f>SUM(AZ216:AZ219)</f>
        <v>0</v>
      </c>
      <c r="BA215" s="67"/>
      <c r="BB215" s="67"/>
      <c r="BC215" s="560"/>
      <c r="BD215" s="320"/>
      <c r="BE215" s="58">
        <f>SUM(BE216:BE219)</f>
        <v>0</v>
      </c>
      <c r="BF215" s="67"/>
      <c r="BG215" s="67"/>
      <c r="BH215" s="560"/>
      <c r="BI215" s="320"/>
      <c r="BJ215" s="58">
        <f>SUM(BJ216:BJ219)</f>
        <v>0</v>
      </c>
      <c r="BK215" s="67"/>
      <c r="BL215" s="67"/>
      <c r="BM215" s="560"/>
      <c r="BN215" s="320"/>
      <c r="BO215" s="58">
        <f>SUM(BO216:BO219)</f>
        <v>0</v>
      </c>
      <c r="BP215" s="67"/>
      <c r="BQ215" s="67"/>
      <c r="BR215" s="560"/>
      <c r="BS215" s="320"/>
      <c r="BT215" s="58">
        <f>SUM(BT216:BT219)</f>
        <v>0</v>
      </c>
      <c r="BU215" s="67"/>
      <c r="BV215" s="67"/>
      <c r="BW215" s="560"/>
      <c r="BX215" s="320"/>
      <c r="BY215" s="58">
        <f>SUM(BY216:BY219)</f>
        <v>14152656</v>
      </c>
      <c r="BZ215" s="67"/>
      <c r="CA215" s="67"/>
      <c r="CB215" s="560"/>
      <c r="CC215" s="320"/>
      <c r="CD215" s="58">
        <f>SUM(CD216:CD219)</f>
        <v>0</v>
      </c>
      <c r="CE215" s="67"/>
      <c r="CF215" s="67"/>
      <c r="CG215" s="560"/>
      <c r="CH215" s="320"/>
      <c r="CI215" s="58">
        <f>SUM(CI216:CI219)</f>
        <v>14152656</v>
      </c>
      <c r="CJ215" s="67"/>
      <c r="CK215" s="67"/>
      <c r="CL215" s="560"/>
      <c r="CM215" s="320"/>
      <c r="CN215" s="58">
        <f>SUM(CN216:CN219)</f>
        <v>0</v>
      </c>
      <c r="CO215" s="67"/>
      <c r="CP215" s="67"/>
      <c r="CQ215" s="560"/>
      <c r="CR215" s="320"/>
      <c r="CS215" s="58">
        <f>SUM(CS216:CS219)</f>
        <v>0</v>
      </c>
      <c r="CT215" s="67"/>
      <c r="CU215" s="67"/>
      <c r="CV215" s="560"/>
      <c r="CW215" s="320"/>
      <c r="CX215" s="58">
        <f>SUM(CX216:CX219)</f>
        <v>0</v>
      </c>
      <c r="CY215" s="67"/>
      <c r="CZ215" s="67"/>
      <c r="DA215" s="560"/>
      <c r="DB215" s="320"/>
      <c r="DC215" s="58">
        <f>SUM(DC216:DC219)</f>
        <v>0</v>
      </c>
      <c r="DD215" s="67"/>
      <c r="DE215" s="66"/>
      <c r="DF215" s="560"/>
      <c r="DG215" s="320"/>
      <c r="DH215" s="58">
        <f>SUM(DH216:DH219)</f>
        <v>0</v>
      </c>
      <c r="DI215" s="67"/>
      <c r="DJ215" s="67"/>
      <c r="DK215" s="560"/>
      <c r="DL215" s="320"/>
      <c r="DM215" s="58">
        <f>SUM(DM216:DM219)</f>
        <v>0</v>
      </c>
      <c r="DN215" s="67"/>
      <c r="DO215" s="67"/>
      <c r="DP215" s="560"/>
      <c r="DQ215" s="320"/>
      <c r="DR215" s="58">
        <f>SUM(DR216:DR219)</f>
        <v>0</v>
      </c>
      <c r="DS215" s="67"/>
      <c r="DT215" s="67"/>
      <c r="DU215" s="560"/>
      <c r="DV215" s="320"/>
      <c r="DW215" s="58">
        <f>SUM(DW216:DW219)</f>
        <v>0</v>
      </c>
      <c r="DX215" s="67"/>
      <c r="DY215" s="67"/>
      <c r="DZ215" s="560"/>
      <c r="EA215" s="320"/>
      <c r="EB215" s="58">
        <f>SUM(EB216:EB219)</f>
        <v>0</v>
      </c>
      <c r="EC215" s="67"/>
      <c r="ED215" s="67"/>
      <c r="EE215" s="560"/>
      <c r="EF215" s="320"/>
      <c r="EG215" s="58">
        <f>SUM(EG216:EG219)</f>
        <v>0</v>
      </c>
      <c r="EH215" s="67"/>
      <c r="EI215" s="67"/>
      <c r="EJ215" s="560"/>
      <c r="EK215" s="320"/>
      <c r="EL215" s="58">
        <f>SUM(EL216:EL219)</f>
        <v>14152656</v>
      </c>
      <c r="EM215" s="67"/>
      <c r="EN215" s="67"/>
      <c r="EO215" s="455"/>
      <c r="ER215" s="472"/>
      <c r="ES215" s="472"/>
    </row>
    <row r="216" spans="1:149" x14ac:dyDescent="0.2">
      <c r="A216" s="442"/>
      <c r="B216" s="442"/>
      <c r="D216" s="455" t="s">
        <v>342</v>
      </c>
      <c r="E216" s="582"/>
      <c r="F216" s="583"/>
      <c r="G216" s="558">
        <f>G232+G259+G265+G227+G253+G238+G276+G222+G248+G243+G281+G271</f>
        <v>0</v>
      </c>
      <c r="H216" s="559"/>
      <c r="I216" s="67"/>
      <c r="J216" s="560"/>
      <c r="K216" s="583"/>
      <c r="L216" s="558">
        <f>L232+L259+L265+L227+L253+L238+L276+L222+L248+L243+L281+L271</f>
        <v>0</v>
      </c>
      <c r="M216" s="559"/>
      <c r="N216" s="67"/>
      <c r="O216" s="560"/>
      <c r="P216" s="583"/>
      <c r="Q216" s="558">
        <f>Q232+Q259+Q265+Q227+Q253+Q238+Q276+Q222+Q248+Q243+Q281+Q271</f>
        <v>0</v>
      </c>
      <c r="R216" s="559"/>
      <c r="S216" s="67"/>
      <c r="T216" s="560"/>
      <c r="U216" s="583"/>
      <c r="V216" s="558">
        <f>V232+V259+V265+V227+V253+V238+V276+V222+V248+V243+V281+V271</f>
        <v>0</v>
      </c>
      <c r="W216" s="559"/>
      <c r="X216" s="67"/>
      <c r="Y216" s="560"/>
      <c r="Z216" s="583"/>
      <c r="AA216" s="558">
        <f>AA232+AA259+AA265+AA227+AA253+AA238+AA276+AA222+AA248+AA243+AA281+AA271</f>
        <v>0</v>
      </c>
      <c r="AB216" s="559"/>
      <c r="AC216" s="67"/>
      <c r="AD216" s="560"/>
      <c r="AE216" s="583"/>
      <c r="AF216" s="558">
        <f>AF232+AF259+AF265+AF227+AF253+AF238+AF276+AF222+AF248+AF243+AF281+AF271</f>
        <v>0</v>
      </c>
      <c r="AG216" s="559"/>
      <c r="AH216" s="67"/>
      <c r="AI216" s="560"/>
      <c r="AJ216" s="583"/>
      <c r="AK216" s="558">
        <f>AK232+AK259+AK265+AK227+AK253+AK238+AK276+AK222+AK248+AK243+AK281+AK271</f>
        <v>0</v>
      </c>
      <c r="AL216" s="559"/>
      <c r="AM216" s="66"/>
      <c r="AN216" s="560"/>
      <c r="AO216" s="583"/>
      <c r="AP216" s="558">
        <f>AP232+AP259+AP265+AP227+AP253+AP238+AP276+AP222+AP248+AP243+AP281+AP271</f>
        <v>0</v>
      </c>
      <c r="AQ216" s="559"/>
      <c r="AR216" s="67"/>
      <c r="AS216" s="560"/>
      <c r="AT216" s="583"/>
      <c r="AU216" s="558">
        <f>AU232+AU259+AU265+AU227+AU253+AU238+AU276+AU222+AU248+AU243+AU281+AU271</f>
        <v>0</v>
      </c>
      <c r="AV216" s="559"/>
      <c r="AW216" s="67"/>
      <c r="AX216" s="560"/>
      <c r="AY216" s="583"/>
      <c r="AZ216" s="558">
        <f>AZ232+AZ259+AZ265+AZ227+AZ253+AZ238+AZ276+AZ222+AZ248+AZ243+AZ281+AZ271</f>
        <v>0</v>
      </c>
      <c r="BA216" s="559"/>
      <c r="BB216" s="67"/>
      <c r="BC216" s="560"/>
      <c r="BD216" s="583"/>
      <c r="BE216" s="558">
        <f>BE232+BE259+BE265+BE227+BE253+BE238+BE276+BE222+BE248+BE243+BE281+BE271</f>
        <v>0</v>
      </c>
      <c r="BF216" s="559"/>
      <c r="BG216" s="67"/>
      <c r="BH216" s="560"/>
      <c r="BI216" s="583"/>
      <c r="BJ216" s="558">
        <f>BJ232+BJ259+BJ265+BJ227+BJ253+BJ238+BJ276+BJ222+BJ248+BJ243+BJ281+BJ271</f>
        <v>0</v>
      </c>
      <c r="BK216" s="559"/>
      <c r="BL216" s="67"/>
      <c r="BM216" s="560"/>
      <c r="BN216" s="583"/>
      <c r="BO216" s="558">
        <f>BO232+BO259+BO265+BO227+BO253+BO238+BO276+BO222+BO248+BO243+BO281+BO271</f>
        <v>0</v>
      </c>
      <c r="BP216" s="559"/>
      <c r="BQ216" s="67"/>
      <c r="BR216" s="560"/>
      <c r="BS216" s="583"/>
      <c r="BT216" s="558">
        <f>BT232+BT259+BT265+BT227+BT253+BT238+BT276+BT222+BT248+BT243+BT281+BT271</f>
        <v>0</v>
      </c>
      <c r="BU216" s="559"/>
      <c r="BV216" s="67"/>
      <c r="BW216" s="560"/>
      <c r="BX216" s="583"/>
      <c r="BY216" s="558">
        <f>BY232+BY259+BY265+BY227+BY253+BY238+BY276+BY222+BY248+BY243+BY281+BY271</f>
        <v>12883788</v>
      </c>
      <c r="BZ216" s="559"/>
      <c r="CA216" s="67"/>
      <c r="CB216" s="560"/>
      <c r="CC216" s="583"/>
      <c r="CD216" s="558">
        <f>CD232+CD259+CD265+CD227+CD253+CD238+CD276+CD222+CD248+CD243+CD281+CD271</f>
        <v>0</v>
      </c>
      <c r="CE216" s="559"/>
      <c r="CF216" s="67"/>
      <c r="CG216" s="560"/>
      <c r="CH216" s="583"/>
      <c r="CI216" s="558">
        <f>CI232+CI259+CI265+CI227+CI253+CI238+CI276+CI222+CI248+CI243+CI281+CI271</f>
        <v>12883788</v>
      </c>
      <c r="CJ216" s="559"/>
      <c r="CK216" s="67"/>
      <c r="CL216" s="560"/>
      <c r="CM216" s="583"/>
      <c r="CN216" s="558">
        <f>CN232+CN259+CN265+CN227+CN253+CN238+CN276+CN222+CN248+CN243+CN281+CN271</f>
        <v>0</v>
      </c>
      <c r="CO216" s="559"/>
      <c r="CP216" s="67"/>
      <c r="CQ216" s="560"/>
      <c r="CR216" s="583"/>
      <c r="CS216" s="558">
        <f>CS232+CS259+CS265+CS227+CS253+CS238+CS276+CS222+CS248+CS243+CS281+CS271</f>
        <v>0</v>
      </c>
      <c r="CT216" s="559"/>
      <c r="CU216" s="67"/>
      <c r="CV216" s="560"/>
      <c r="CW216" s="583"/>
      <c r="CX216" s="558">
        <f>CX232+CX259+CX265+CX227+CX253+CX238+CX276+CX222+CX248+CX243+CX281+CX271</f>
        <v>0</v>
      </c>
      <c r="CY216" s="559"/>
      <c r="CZ216" s="67"/>
      <c r="DA216" s="560"/>
      <c r="DB216" s="583"/>
      <c r="DC216" s="558">
        <f>DC232+DC259+DC265+DC227+DC253+DC238+DC276+DC222+DC248+DC243+DC281+DC271</f>
        <v>0</v>
      </c>
      <c r="DD216" s="559"/>
      <c r="DE216" s="66"/>
      <c r="DF216" s="560"/>
      <c r="DG216" s="583"/>
      <c r="DH216" s="558">
        <f>DH232+DH259+DH265+DH227+DH253+DH238+DH276+DH222+DH248+DH243+DH281+DH271</f>
        <v>0</v>
      </c>
      <c r="DI216" s="559"/>
      <c r="DJ216" s="67"/>
      <c r="DK216" s="560"/>
      <c r="DL216" s="583"/>
      <c r="DM216" s="558">
        <f>DM232+DM259+DM265+DM227+DM253+DM238+DM276+DM222+DM248+DM243+DM281+DM271</f>
        <v>0</v>
      </c>
      <c r="DN216" s="559"/>
      <c r="DO216" s="67"/>
      <c r="DP216" s="560"/>
      <c r="DQ216" s="583"/>
      <c r="DR216" s="558">
        <f>DR232+DR259+DR265+DR227+DR253+DR238+DR276+DR222+DR248+DR243+DR281+DR271</f>
        <v>0</v>
      </c>
      <c r="DS216" s="559"/>
      <c r="DT216" s="67"/>
      <c r="DU216" s="560"/>
      <c r="DV216" s="583"/>
      <c r="DW216" s="558">
        <f>DW232+DW259+DW265+DW227+DW253+DW238+DW276+DW222+DW248+DW243+DW281+DW271</f>
        <v>0</v>
      </c>
      <c r="DX216" s="559"/>
      <c r="DY216" s="67"/>
      <c r="DZ216" s="560"/>
      <c r="EA216" s="583"/>
      <c r="EB216" s="558">
        <f>EB232+EB259+EB265+EB227+EB253+EB238+EB276+EB222+EB248+EB243+EB281+EB271</f>
        <v>0</v>
      </c>
      <c r="EC216" s="559"/>
      <c r="ED216" s="67"/>
      <c r="EE216" s="560"/>
      <c r="EF216" s="583"/>
      <c r="EG216" s="558">
        <f>EG232+EG259+EG265+EG227+EG253+EG238+EG276+EG222+EG248+EG243+EG281+EG271</f>
        <v>0</v>
      </c>
      <c r="EH216" s="559"/>
      <c r="EI216" s="67"/>
      <c r="EJ216" s="560"/>
      <c r="EK216" s="583"/>
      <c r="EL216" s="558">
        <f>EL232+EL259+EL265+EL227+EL253+EL238+EL276+EL222+EL248+EL243+EL281+EL271</f>
        <v>12883788</v>
      </c>
      <c r="EM216" s="559"/>
      <c r="EN216" s="67"/>
      <c r="EO216" s="455"/>
      <c r="ER216" s="472"/>
      <c r="ES216" s="472"/>
    </row>
    <row r="217" spans="1:149" x14ac:dyDescent="0.2">
      <c r="A217" s="442"/>
      <c r="B217" s="442"/>
      <c r="D217" s="455" t="s">
        <v>344</v>
      </c>
      <c r="E217" s="582"/>
      <c r="F217" s="554"/>
      <c r="G217" s="67">
        <f>G233+G260+G266+G228+G254+G239+G277+G223+G249+G244+G282+G272</f>
        <v>0</v>
      </c>
      <c r="H217" s="66"/>
      <c r="I217" s="67"/>
      <c r="J217" s="560"/>
      <c r="K217" s="554"/>
      <c r="L217" s="67">
        <f>L233+L260+L266+L228+L254+L239+L277+L223+L249+L244+L282+L272</f>
        <v>0</v>
      </c>
      <c r="M217" s="66"/>
      <c r="N217" s="67"/>
      <c r="O217" s="560"/>
      <c r="P217" s="554"/>
      <c r="Q217" s="67">
        <f>Q233+Q260+Q266+Q228+Q254+Q239+Q277+Q223+Q249+Q244+Q282+Q272</f>
        <v>0</v>
      </c>
      <c r="R217" s="66"/>
      <c r="S217" s="67"/>
      <c r="T217" s="560"/>
      <c r="U217" s="554"/>
      <c r="V217" s="67">
        <f>V233+V260+V266+V228+V254+V239+V277+V223+V249+V244+V282+V272</f>
        <v>0</v>
      </c>
      <c r="W217" s="66"/>
      <c r="X217" s="67"/>
      <c r="Y217" s="560"/>
      <c r="Z217" s="554"/>
      <c r="AA217" s="67">
        <f>AA233+AA260+AA266+AA228+AA254+AA239+AA277+AA223+AA249+AA244+AA282+AA272</f>
        <v>0</v>
      </c>
      <c r="AB217" s="66"/>
      <c r="AC217" s="67"/>
      <c r="AD217" s="560"/>
      <c r="AE217" s="554"/>
      <c r="AF217" s="67">
        <f>AF233+AF260+AF266+AF228+AF254+AF239+AF277+AF223+AF249+AF244+AF282+AF272</f>
        <v>0</v>
      </c>
      <c r="AG217" s="66"/>
      <c r="AH217" s="67"/>
      <c r="AI217" s="560"/>
      <c r="AJ217" s="554"/>
      <c r="AK217" s="67">
        <f>AK233+AK260+AK266+AK228+AK254+AK239+AK277+AK223+AK249+AK244+AK282+AK272</f>
        <v>0</v>
      </c>
      <c r="AL217" s="66"/>
      <c r="AM217" s="67"/>
      <c r="AN217" s="560"/>
      <c r="AO217" s="554"/>
      <c r="AP217" s="67">
        <f>AP233+AP260+AP266+AP228+AP254+AP239+AP277+AP223+AP249+AP244+AP282+AP272</f>
        <v>0</v>
      </c>
      <c r="AQ217" s="66"/>
      <c r="AR217" s="67"/>
      <c r="AS217" s="560"/>
      <c r="AT217" s="554"/>
      <c r="AU217" s="67">
        <f>AU233+AU260+AU266+AU228+AU254+AU239+AU277+AU223+AU249+AU244+AU282+AU272</f>
        <v>0</v>
      </c>
      <c r="AV217" s="66"/>
      <c r="AW217" s="67"/>
      <c r="AX217" s="560"/>
      <c r="AY217" s="554"/>
      <c r="AZ217" s="67">
        <f>AZ233+AZ260+AZ266+AZ228+AZ254+AZ239+AZ277+AZ223+AZ249+AZ244+AZ282+AZ272</f>
        <v>0</v>
      </c>
      <c r="BA217" s="66"/>
      <c r="BB217" s="67"/>
      <c r="BC217" s="560"/>
      <c r="BD217" s="554"/>
      <c r="BE217" s="67">
        <f>BE233+BE260+BE266+BE228+BE254+BE239+BE277+BE223+BE249+BE244+BE282+BE272</f>
        <v>0</v>
      </c>
      <c r="BF217" s="66"/>
      <c r="BG217" s="67"/>
      <c r="BH217" s="560"/>
      <c r="BI217" s="554"/>
      <c r="BJ217" s="67">
        <f>BJ233+BJ260+BJ266+BJ228+BJ254+BJ239+BJ277+BJ223+BJ249+BJ244+BJ282+BJ272</f>
        <v>0</v>
      </c>
      <c r="BK217" s="66"/>
      <c r="BL217" s="67"/>
      <c r="BM217" s="560"/>
      <c r="BN217" s="554"/>
      <c r="BO217" s="67">
        <f>BO233+BO260+BO266+BO228+BO254+BO239+BO277+BO223+BO249+BO244+BO282+BO272</f>
        <v>0</v>
      </c>
      <c r="BP217" s="66"/>
      <c r="BQ217" s="67"/>
      <c r="BR217" s="560"/>
      <c r="BS217" s="554"/>
      <c r="BT217" s="67">
        <f>BT233+BT260+BT266+BT228+BT254+BT239+BT277+BT223+BT249+BT244+BT282+BT272</f>
        <v>0</v>
      </c>
      <c r="BU217" s="66"/>
      <c r="BV217" s="67"/>
      <c r="BW217" s="560"/>
      <c r="BX217" s="554"/>
      <c r="BY217" s="67">
        <f>BY233+BY260+BY266+BY228+BY254+BY239+BY277+BY223+BY249+BY244+BY282+BY272</f>
        <v>1646946</v>
      </c>
      <c r="BZ217" s="66"/>
      <c r="CA217" s="67"/>
      <c r="CB217" s="560"/>
      <c r="CC217" s="554"/>
      <c r="CD217" s="67">
        <f>CD233+CD260+CD266+CD228+CD254+CD239+CD277+CD223+CD249+CD244+CD282+CD272</f>
        <v>0</v>
      </c>
      <c r="CE217" s="66"/>
      <c r="CF217" s="67"/>
      <c r="CG217" s="560"/>
      <c r="CH217" s="554"/>
      <c r="CI217" s="67">
        <f>CI233+CI260+CI266+CI228+CI254+CI239+CI277+CI223+CI249+CI244+CI282+CI272</f>
        <v>1646946</v>
      </c>
      <c r="CJ217" s="66"/>
      <c r="CK217" s="67"/>
      <c r="CL217" s="560"/>
      <c r="CM217" s="554"/>
      <c r="CN217" s="67">
        <f>CN233+CN260+CN266+CN228+CN254+CN239+CN277+CN223+CN249+CN244+CN282+CN272</f>
        <v>0</v>
      </c>
      <c r="CO217" s="66"/>
      <c r="CP217" s="67"/>
      <c r="CQ217" s="560"/>
      <c r="CR217" s="554"/>
      <c r="CS217" s="67">
        <f>CS233+CS260+CS266+CS228+CS254+CS239+CS277+CS223+CS249+CS244+CS282+CS272</f>
        <v>0</v>
      </c>
      <c r="CT217" s="66"/>
      <c r="CU217" s="67"/>
      <c r="CV217" s="560"/>
      <c r="CW217" s="554"/>
      <c r="CX217" s="67">
        <f>CX233+CX260+CX266+CX228+CX254+CX239+CX277+CX223+CX249+CX244+CX282+CX272</f>
        <v>0</v>
      </c>
      <c r="CY217" s="66"/>
      <c r="CZ217" s="67"/>
      <c r="DA217" s="560"/>
      <c r="DB217" s="554"/>
      <c r="DC217" s="67">
        <f>DC233+DC260+DC266+DC228+DC254+DC239+DC277+DC223+DC249+DC244+DC282+DC272</f>
        <v>0</v>
      </c>
      <c r="DD217" s="66"/>
      <c r="DE217" s="67"/>
      <c r="DF217" s="560"/>
      <c r="DG217" s="554"/>
      <c r="DH217" s="67">
        <f>DH233+DH260+DH266+DH228+DH254+DH239+DH277+DH223+DH249+DH244+DH282+DH272</f>
        <v>0</v>
      </c>
      <c r="DI217" s="66"/>
      <c r="DJ217" s="67"/>
      <c r="DK217" s="560"/>
      <c r="DL217" s="554"/>
      <c r="DM217" s="67">
        <f>DM233+DM260+DM266+DM228+DM254+DM239+DM277+DM223+DM249+DM244+DM282+DM272</f>
        <v>0</v>
      </c>
      <c r="DN217" s="66"/>
      <c r="DO217" s="67"/>
      <c r="DP217" s="560"/>
      <c r="DQ217" s="554"/>
      <c r="DR217" s="67">
        <f>DR233+DR260+DR266+DR228+DR254+DR239+DR277+DR223+DR249+DR244+DR282+DR272</f>
        <v>0</v>
      </c>
      <c r="DS217" s="66"/>
      <c r="DT217" s="67"/>
      <c r="DU217" s="560"/>
      <c r="DV217" s="554"/>
      <c r="DW217" s="67">
        <f>DW233+DW260+DW266+DW228+DW254+DW239+DW277+DW223+DW249+DW244+DW282+DW272</f>
        <v>0</v>
      </c>
      <c r="DX217" s="66"/>
      <c r="DY217" s="67"/>
      <c r="DZ217" s="560"/>
      <c r="EA217" s="554"/>
      <c r="EB217" s="67">
        <f>EB233+EB260+EB266+EB228+EB254+EB239+EB277+EB223+EB249+EB244+EB282+EB272</f>
        <v>0</v>
      </c>
      <c r="EC217" s="66"/>
      <c r="ED217" s="67"/>
      <c r="EE217" s="560"/>
      <c r="EF217" s="554"/>
      <c r="EG217" s="67">
        <f>EG233+EG260+EG266+EG228+EG254+EG239+EG277+EG223+EG249+EG244+EG282+EG272</f>
        <v>0</v>
      </c>
      <c r="EH217" s="66"/>
      <c r="EI217" s="67"/>
      <c r="EJ217" s="560"/>
      <c r="EK217" s="554"/>
      <c r="EL217" s="67">
        <f>EL233+EL260+EL266+EL228+EL254+EL239+EL277+EL223+EL249+EL244+EL282+EL272</f>
        <v>1646946</v>
      </c>
      <c r="EM217" s="66"/>
      <c r="EN217" s="67"/>
      <c r="EO217" s="455"/>
      <c r="ER217" s="472"/>
      <c r="ES217" s="472"/>
    </row>
    <row r="218" spans="1:149" x14ac:dyDescent="0.2">
      <c r="A218" s="442"/>
      <c r="B218" s="442"/>
      <c r="D218" s="455" t="s">
        <v>352</v>
      </c>
      <c r="E218" s="582"/>
      <c r="F218" s="554"/>
      <c r="G218" s="67">
        <f>G234+G261+G267+G229+G255+G240+G278+G224+G250+G245+G283+G273</f>
        <v>0</v>
      </c>
      <c r="H218" s="66"/>
      <c r="I218" s="67"/>
      <c r="J218" s="560"/>
      <c r="K218" s="554"/>
      <c r="L218" s="67">
        <f>L234+L261+L267+L229+L255+L240+L278+L224+L250+L245+L283+L273</f>
        <v>0</v>
      </c>
      <c r="M218" s="66"/>
      <c r="N218" s="67"/>
      <c r="O218" s="560"/>
      <c r="P218" s="554"/>
      <c r="Q218" s="67">
        <f>Q234+Q261+Q267+Q229+Q255+Q240+Q278+Q224+Q250+Q245+Q283+Q273</f>
        <v>0</v>
      </c>
      <c r="R218" s="66"/>
      <c r="S218" s="67"/>
      <c r="T218" s="560"/>
      <c r="U218" s="554"/>
      <c r="V218" s="67">
        <f>V234+V261+V267+V229+V255+V240+V278+V224+V250+V245+V283+V273</f>
        <v>0</v>
      </c>
      <c r="W218" s="66"/>
      <c r="X218" s="67"/>
      <c r="Y218" s="560"/>
      <c r="Z218" s="554"/>
      <c r="AA218" s="67">
        <f>AA234+AA261+AA267+AA229+AA255+AA240+AA278+AA224+AA250+AA245+AA283+AA273</f>
        <v>0</v>
      </c>
      <c r="AB218" s="66"/>
      <c r="AC218" s="67"/>
      <c r="AD218" s="560"/>
      <c r="AE218" s="554"/>
      <c r="AF218" s="67">
        <f>AF234+AF261+AF267+AF229+AF255+AF240+AF278+AF224+AF250+AF245+AF283+AF273</f>
        <v>0</v>
      </c>
      <c r="AG218" s="66"/>
      <c r="AH218" s="67"/>
      <c r="AI218" s="560"/>
      <c r="AJ218" s="554"/>
      <c r="AK218" s="67">
        <f>AK234+AK261+AK267+AK229+AK255+AK240+AK278+AK224+AK250+AK245+AK283+AK273</f>
        <v>0</v>
      </c>
      <c r="AL218" s="66"/>
      <c r="AM218" s="67"/>
      <c r="AN218" s="560"/>
      <c r="AO218" s="554"/>
      <c r="AP218" s="67">
        <f>AP234+AP261+AP267+AP229+AP255+AP240+AP278+AP224+AP250+AP245+AP283+AP273</f>
        <v>0</v>
      </c>
      <c r="AQ218" s="66"/>
      <c r="AR218" s="67"/>
      <c r="AS218" s="560"/>
      <c r="AT218" s="554"/>
      <c r="AU218" s="67">
        <f>AU234+AU261+AU267+AU229+AU255+AU240+AU278+AU224+AU250+AU245+AU283+AU273</f>
        <v>0</v>
      </c>
      <c r="AV218" s="66"/>
      <c r="AW218" s="67"/>
      <c r="AX218" s="560"/>
      <c r="AY218" s="554"/>
      <c r="AZ218" s="67">
        <f>AZ234+AZ261+AZ267+AZ229+AZ255+AZ240+AZ278+AZ224+AZ250+AZ245+AZ283+AZ273</f>
        <v>0</v>
      </c>
      <c r="BA218" s="66"/>
      <c r="BB218" s="67"/>
      <c r="BC218" s="560"/>
      <c r="BD218" s="554"/>
      <c r="BE218" s="67">
        <f>BE234+BE261+BE267+BE229+BE255+BE240+BE278+BE224+BE250+BE245+BE283+BE273</f>
        <v>0</v>
      </c>
      <c r="BF218" s="66"/>
      <c r="BG218" s="67"/>
      <c r="BH218" s="560"/>
      <c r="BI218" s="554"/>
      <c r="BJ218" s="67">
        <f>BJ234+BJ261+BJ267+BJ229+BJ255+BJ240+BJ278+BJ224+BJ250+BJ245+BJ283+BJ273</f>
        <v>0</v>
      </c>
      <c r="BK218" s="66"/>
      <c r="BL218" s="67"/>
      <c r="BM218" s="560"/>
      <c r="BN218" s="554"/>
      <c r="BO218" s="67">
        <f>BO234+BO261+BO267+BO229+BO255+BO240+BO278+BO224+BO250+BO245+BO283+BO273</f>
        <v>0</v>
      </c>
      <c r="BP218" s="66"/>
      <c r="BQ218" s="67"/>
      <c r="BR218" s="560"/>
      <c r="BS218" s="554"/>
      <c r="BT218" s="67">
        <f>BT234+BT261+BT267+BT229+BT255+BT240+BT278+BT224+BT250+BT245+BT283+BT273</f>
        <v>0</v>
      </c>
      <c r="BU218" s="66"/>
      <c r="BV218" s="67"/>
      <c r="BW218" s="560"/>
      <c r="BX218" s="554"/>
      <c r="BY218" s="67">
        <f>BY234+BY261+BY267+BY229+BY255+BY240+BY278+BY224+BY250+BY245+BY283+BY273</f>
        <v>-378078</v>
      </c>
      <c r="BZ218" s="66"/>
      <c r="CA218" s="67"/>
      <c r="CB218" s="560"/>
      <c r="CC218" s="554"/>
      <c r="CD218" s="67">
        <f>CD234+CD261+CD267+CD229+CD255+CD240+CD278+CD224+CD250+CD245+CD283+CD273</f>
        <v>0</v>
      </c>
      <c r="CE218" s="66"/>
      <c r="CF218" s="67"/>
      <c r="CG218" s="560"/>
      <c r="CH218" s="554"/>
      <c r="CI218" s="67">
        <f>CI234+CI261+CI267+CI229+CI255+CI240+CI278+CI224+CI250+CI245+CI283+CI273</f>
        <v>-378078</v>
      </c>
      <c r="CJ218" s="66"/>
      <c r="CK218" s="67"/>
      <c r="CL218" s="560"/>
      <c r="CM218" s="554"/>
      <c r="CN218" s="67">
        <f>CN234+CN261+CN267+CN229+CN255+CN240+CN278+CN224+CN250+CN245+CN283+CN273</f>
        <v>0</v>
      </c>
      <c r="CO218" s="66"/>
      <c r="CP218" s="67"/>
      <c r="CQ218" s="560"/>
      <c r="CR218" s="554"/>
      <c r="CS218" s="67">
        <f>CS234+CS261+CS267+CS229+CS255+CS240+CS278+CS224+CS250+CS245+CS283+CS273</f>
        <v>0</v>
      </c>
      <c r="CT218" s="66"/>
      <c r="CU218" s="67"/>
      <c r="CV218" s="560"/>
      <c r="CW218" s="554"/>
      <c r="CX218" s="67">
        <f>CX234+CX261+CX267+CX229+CX255+CX240+CX278+CX224+CX250+CX245+CX283+CX273</f>
        <v>0</v>
      </c>
      <c r="CY218" s="66"/>
      <c r="CZ218" s="67"/>
      <c r="DA218" s="560"/>
      <c r="DB218" s="554"/>
      <c r="DC218" s="67">
        <f>DC234+DC261+DC267+DC229+DC255+DC240+DC278+DC224+DC250+DC245+DC283+DC273</f>
        <v>0</v>
      </c>
      <c r="DD218" s="66"/>
      <c r="DE218" s="67"/>
      <c r="DF218" s="560"/>
      <c r="DG218" s="554"/>
      <c r="DH218" s="67">
        <f>DH234+DH261+DH267+DH229+DH255+DH240+DH278+DH224+DH250+DH245+DH283+DH273</f>
        <v>0</v>
      </c>
      <c r="DI218" s="66"/>
      <c r="DJ218" s="67"/>
      <c r="DK218" s="560"/>
      <c r="DL218" s="554"/>
      <c r="DM218" s="67">
        <f>DM234+DM261+DM267+DM229+DM255+DM240+DM278+DM224+DM250+DM245+DM283+DM273</f>
        <v>0</v>
      </c>
      <c r="DN218" s="66"/>
      <c r="DO218" s="67"/>
      <c r="DP218" s="560"/>
      <c r="DQ218" s="554"/>
      <c r="DR218" s="67">
        <f>DR234+DR261+DR267+DR229+DR255+DR240+DR278+DR224+DR250+DR245+DR283+DR273</f>
        <v>0</v>
      </c>
      <c r="DS218" s="66"/>
      <c r="DT218" s="67"/>
      <c r="DU218" s="560"/>
      <c r="DV218" s="554"/>
      <c r="DW218" s="67">
        <f>DW234+DW261+DW267+DW229+DW255+DW240+DW278+DW224+DW250+DW245+DW283+DW273</f>
        <v>0</v>
      </c>
      <c r="DX218" s="66"/>
      <c r="DY218" s="67"/>
      <c r="DZ218" s="560"/>
      <c r="EA218" s="554"/>
      <c r="EB218" s="67">
        <f>EB234+EB261+EB267+EB229+EB255+EB240+EB278+EB224+EB250+EB245+EB283+EB273</f>
        <v>0</v>
      </c>
      <c r="EC218" s="66"/>
      <c r="ED218" s="67"/>
      <c r="EE218" s="560"/>
      <c r="EF218" s="554"/>
      <c r="EG218" s="67">
        <f>EG234+EG261+EG267+EG229+EG255+EG240+EG278+EG224+EG250+EG245+EG283+EG273</f>
        <v>0</v>
      </c>
      <c r="EH218" s="66"/>
      <c r="EI218" s="67"/>
      <c r="EJ218" s="560"/>
      <c r="EK218" s="554"/>
      <c r="EL218" s="67">
        <f>EL234+EL261+EL267+EL229+EL255+EL240+EL278+EL224+EL250+EL245+EL283+EL273</f>
        <v>-378078</v>
      </c>
      <c r="EM218" s="66"/>
      <c r="EN218" s="67"/>
      <c r="EO218" s="455"/>
      <c r="ER218" s="472"/>
      <c r="ES218" s="472"/>
    </row>
    <row r="219" spans="1:149" x14ac:dyDescent="0.2">
      <c r="A219" s="442"/>
      <c r="B219" s="442"/>
      <c r="D219" s="455" t="s">
        <v>346</v>
      </c>
      <c r="E219" s="582"/>
      <c r="F219" s="585"/>
      <c r="G219" s="113">
        <f>G235+G262+G268+G256</f>
        <v>0</v>
      </c>
      <c r="H219" s="112"/>
      <c r="I219" s="67"/>
      <c r="J219" s="560"/>
      <c r="K219" s="585"/>
      <c r="L219" s="113">
        <f>L235+L262+L268+L256</f>
        <v>0</v>
      </c>
      <c r="M219" s="112"/>
      <c r="N219" s="67"/>
      <c r="O219" s="560"/>
      <c r="P219" s="585"/>
      <c r="Q219" s="113">
        <f>Q235+Q262+Q268+Q256</f>
        <v>0</v>
      </c>
      <c r="R219" s="112"/>
      <c r="S219" s="67"/>
      <c r="T219" s="560"/>
      <c r="U219" s="585"/>
      <c r="V219" s="113">
        <f>V235+V262+V268+V256</f>
        <v>0</v>
      </c>
      <c r="W219" s="112"/>
      <c r="X219" s="67"/>
      <c r="Y219" s="560"/>
      <c r="Z219" s="585"/>
      <c r="AA219" s="113">
        <f>AA235+AA262+AA268+AA256</f>
        <v>0</v>
      </c>
      <c r="AB219" s="112"/>
      <c r="AC219" s="67"/>
      <c r="AD219" s="560"/>
      <c r="AE219" s="585"/>
      <c r="AF219" s="113">
        <f>AF235+AF262+AF268+AF256</f>
        <v>0</v>
      </c>
      <c r="AG219" s="112"/>
      <c r="AH219" s="67"/>
      <c r="AI219" s="560"/>
      <c r="AJ219" s="585"/>
      <c r="AK219" s="113">
        <f>AK235+AK262+AK268+AK256</f>
        <v>0</v>
      </c>
      <c r="AL219" s="112"/>
      <c r="AM219" s="67"/>
      <c r="AN219" s="560"/>
      <c r="AO219" s="585"/>
      <c r="AP219" s="113">
        <f>AP235+AP262+AP268+AP256</f>
        <v>0</v>
      </c>
      <c r="AQ219" s="112"/>
      <c r="AR219" s="67"/>
      <c r="AS219" s="560"/>
      <c r="AT219" s="585"/>
      <c r="AU219" s="113">
        <f>AU235+AU262+AU268+AU256</f>
        <v>0</v>
      </c>
      <c r="AV219" s="112"/>
      <c r="AW219" s="67"/>
      <c r="AX219" s="560"/>
      <c r="AY219" s="585"/>
      <c r="AZ219" s="113">
        <f>AZ235+AZ262+AZ268+AZ256</f>
        <v>0</v>
      </c>
      <c r="BA219" s="112"/>
      <c r="BB219" s="67"/>
      <c r="BC219" s="560"/>
      <c r="BD219" s="585"/>
      <c r="BE219" s="113">
        <f>BE235+BE262+BE268+BE256</f>
        <v>0</v>
      </c>
      <c r="BF219" s="112"/>
      <c r="BG219" s="67"/>
      <c r="BH219" s="560"/>
      <c r="BI219" s="585"/>
      <c r="BJ219" s="113">
        <f>BJ235+BJ262+BJ268+BJ256</f>
        <v>0</v>
      </c>
      <c r="BK219" s="112"/>
      <c r="BL219" s="67"/>
      <c r="BM219" s="560"/>
      <c r="BN219" s="585"/>
      <c r="BO219" s="113">
        <f>BO235+BO262+BO268+BO256</f>
        <v>0</v>
      </c>
      <c r="BP219" s="112"/>
      <c r="BQ219" s="67"/>
      <c r="BR219" s="560"/>
      <c r="BS219" s="585"/>
      <c r="BT219" s="113">
        <f>BT235+BT262+BT268+BT256</f>
        <v>0</v>
      </c>
      <c r="BU219" s="112"/>
      <c r="BV219" s="67"/>
      <c r="BW219" s="560"/>
      <c r="BX219" s="585"/>
      <c r="BY219" s="113">
        <f>BY235+BY262+BY268+BY256</f>
        <v>0</v>
      </c>
      <c r="BZ219" s="112"/>
      <c r="CA219" s="67"/>
      <c r="CB219" s="560"/>
      <c r="CC219" s="585"/>
      <c r="CD219" s="113">
        <f>CD235+CD262+CD268+CD256</f>
        <v>0</v>
      </c>
      <c r="CE219" s="112"/>
      <c r="CF219" s="67"/>
      <c r="CG219" s="560"/>
      <c r="CH219" s="585"/>
      <c r="CI219" s="113">
        <f>CI235+CI262+CI268+CI256</f>
        <v>0</v>
      </c>
      <c r="CJ219" s="112"/>
      <c r="CK219" s="67"/>
      <c r="CL219" s="560"/>
      <c r="CM219" s="585"/>
      <c r="CN219" s="113">
        <f>CN235+CN262+CN268+CN256</f>
        <v>0</v>
      </c>
      <c r="CO219" s="112"/>
      <c r="CP219" s="67"/>
      <c r="CQ219" s="560"/>
      <c r="CR219" s="585"/>
      <c r="CS219" s="113">
        <f>CS235+CS262+CS268+CS256</f>
        <v>0</v>
      </c>
      <c r="CT219" s="112"/>
      <c r="CU219" s="67"/>
      <c r="CV219" s="560"/>
      <c r="CW219" s="585"/>
      <c r="CX219" s="113">
        <f>CX235+CX262+CX268+CX256</f>
        <v>0</v>
      </c>
      <c r="CY219" s="112"/>
      <c r="CZ219" s="67"/>
      <c r="DA219" s="560"/>
      <c r="DB219" s="585"/>
      <c r="DC219" s="113">
        <f>DC235+DC262+DC268+DC256</f>
        <v>0</v>
      </c>
      <c r="DD219" s="112"/>
      <c r="DE219" s="67"/>
      <c r="DF219" s="560"/>
      <c r="DG219" s="585"/>
      <c r="DH219" s="113">
        <f>DH235+DH262+DH268+DH256</f>
        <v>0</v>
      </c>
      <c r="DI219" s="112"/>
      <c r="DJ219" s="67"/>
      <c r="DK219" s="560"/>
      <c r="DL219" s="585"/>
      <c r="DM219" s="113">
        <f>DM235+DM262+DM268+DM256</f>
        <v>0</v>
      </c>
      <c r="DN219" s="112"/>
      <c r="DO219" s="67"/>
      <c r="DP219" s="560"/>
      <c r="DQ219" s="585"/>
      <c r="DR219" s="113">
        <f>DR235+DR262+DR268+DR256</f>
        <v>0</v>
      </c>
      <c r="DS219" s="112"/>
      <c r="DT219" s="67"/>
      <c r="DU219" s="560"/>
      <c r="DV219" s="585"/>
      <c r="DW219" s="113">
        <f>DW235+DW262+DW268+DW256</f>
        <v>0</v>
      </c>
      <c r="DX219" s="112"/>
      <c r="DY219" s="67"/>
      <c r="DZ219" s="560"/>
      <c r="EA219" s="585"/>
      <c r="EB219" s="113">
        <f>EB235+EB262+EB268+EB256</f>
        <v>0</v>
      </c>
      <c r="EC219" s="112"/>
      <c r="ED219" s="67"/>
      <c r="EE219" s="560"/>
      <c r="EF219" s="585"/>
      <c r="EG219" s="113">
        <f>EG235+EG262+EG268+EG256</f>
        <v>0</v>
      </c>
      <c r="EH219" s="112"/>
      <c r="EI219" s="67"/>
      <c r="EJ219" s="560"/>
      <c r="EK219" s="585"/>
      <c r="EL219" s="113">
        <f>EL235+EL262+EL268+EL256</f>
        <v>0</v>
      </c>
      <c r="EM219" s="112"/>
      <c r="EN219" s="67"/>
      <c r="EO219" s="455"/>
      <c r="ER219" s="472"/>
      <c r="ES219" s="472"/>
    </row>
    <row r="220" spans="1:149" x14ac:dyDescent="0.2">
      <c r="A220" s="442"/>
      <c r="B220" s="442"/>
      <c r="D220" s="455"/>
      <c r="E220" s="582"/>
      <c r="F220" s="320"/>
      <c r="G220" s="67"/>
      <c r="H220" s="67"/>
      <c r="I220" s="67"/>
      <c r="J220" s="560"/>
      <c r="K220" s="320"/>
      <c r="L220" s="67"/>
      <c r="M220" s="67"/>
      <c r="N220" s="67"/>
      <c r="O220" s="560"/>
      <c r="P220" s="320"/>
      <c r="Q220" s="67"/>
      <c r="R220" s="67"/>
      <c r="S220" s="67"/>
      <c r="T220" s="560"/>
      <c r="U220" s="320"/>
      <c r="V220" s="67"/>
      <c r="W220" s="67"/>
      <c r="X220" s="67"/>
      <c r="Y220" s="560"/>
      <c r="Z220" s="320"/>
      <c r="AA220" s="67"/>
      <c r="AB220" s="67"/>
      <c r="AC220" s="67"/>
      <c r="AD220" s="560"/>
      <c r="AE220" s="320"/>
      <c r="AF220" s="67"/>
      <c r="AG220" s="67"/>
      <c r="AH220" s="67"/>
      <c r="AI220" s="560"/>
      <c r="AJ220" s="320"/>
      <c r="AK220" s="67"/>
      <c r="AL220" s="67"/>
      <c r="AM220" s="67"/>
      <c r="AN220" s="560"/>
      <c r="AO220" s="320"/>
      <c r="AP220" s="67"/>
      <c r="AQ220" s="67"/>
      <c r="AR220" s="67"/>
      <c r="AS220" s="560"/>
      <c r="AT220" s="320"/>
      <c r="AU220" s="67"/>
      <c r="AV220" s="67"/>
      <c r="AW220" s="67"/>
      <c r="AX220" s="560"/>
      <c r="AY220" s="320"/>
      <c r="AZ220" s="67"/>
      <c r="BA220" s="67"/>
      <c r="BB220" s="67"/>
      <c r="BC220" s="560"/>
      <c r="BD220" s="320"/>
      <c r="BE220" s="67"/>
      <c r="BF220" s="67"/>
      <c r="BG220" s="67"/>
      <c r="BH220" s="560"/>
      <c r="BI220" s="320"/>
      <c r="BJ220" s="67"/>
      <c r="BK220" s="67"/>
      <c r="BL220" s="67"/>
      <c r="BM220" s="560"/>
      <c r="BN220" s="320"/>
      <c r="BO220" s="67"/>
      <c r="BP220" s="67"/>
      <c r="BQ220" s="67"/>
      <c r="BR220" s="560"/>
      <c r="BS220" s="320"/>
      <c r="BT220" s="67"/>
      <c r="BU220" s="67"/>
      <c r="BV220" s="67"/>
      <c r="BW220" s="560"/>
      <c r="BX220" s="320"/>
      <c r="BY220" s="67"/>
      <c r="BZ220" s="67"/>
      <c r="CA220" s="67"/>
      <c r="CB220" s="560"/>
      <c r="CC220" s="320"/>
      <c r="CD220" s="67"/>
      <c r="CE220" s="67"/>
      <c r="CF220" s="67"/>
      <c r="CG220" s="560"/>
      <c r="CH220" s="320"/>
      <c r="CI220" s="67"/>
      <c r="CJ220" s="67"/>
      <c r="CK220" s="67"/>
      <c r="CL220" s="560"/>
      <c r="CM220" s="320"/>
      <c r="CN220" s="67"/>
      <c r="CO220" s="67"/>
      <c r="CP220" s="67"/>
      <c r="CQ220" s="560"/>
      <c r="CR220" s="320"/>
      <c r="CS220" s="67"/>
      <c r="CT220" s="67"/>
      <c r="CU220" s="67"/>
      <c r="CV220" s="560"/>
      <c r="CW220" s="320"/>
      <c r="CX220" s="67"/>
      <c r="CY220" s="67"/>
      <c r="CZ220" s="67"/>
      <c r="DA220" s="560"/>
      <c r="DB220" s="320"/>
      <c r="DC220" s="67"/>
      <c r="DD220" s="67"/>
      <c r="DE220" s="67"/>
      <c r="DF220" s="560"/>
      <c r="DG220" s="320"/>
      <c r="DH220" s="67"/>
      <c r="DI220" s="67"/>
      <c r="DJ220" s="67"/>
      <c r="DK220" s="560"/>
      <c r="DL220" s="320"/>
      <c r="DM220" s="67"/>
      <c r="DN220" s="67"/>
      <c r="DO220" s="67"/>
      <c r="DP220" s="560"/>
      <c r="DQ220" s="320"/>
      <c r="DR220" s="67"/>
      <c r="DS220" s="67"/>
      <c r="DT220" s="67"/>
      <c r="DU220" s="560"/>
      <c r="DV220" s="320"/>
      <c r="DW220" s="67"/>
      <c r="DX220" s="67"/>
      <c r="DY220" s="67"/>
      <c r="DZ220" s="560"/>
      <c r="EA220" s="320"/>
      <c r="EB220" s="67"/>
      <c r="EC220" s="67"/>
      <c r="ED220" s="67"/>
      <c r="EE220" s="560"/>
      <c r="EF220" s="320"/>
      <c r="EG220" s="67"/>
      <c r="EH220" s="67"/>
      <c r="EI220" s="67"/>
      <c r="EJ220" s="560"/>
      <c r="EK220" s="320"/>
      <c r="EL220" s="67"/>
      <c r="EM220" s="67"/>
      <c r="EN220" s="67"/>
      <c r="EO220" s="455"/>
      <c r="ER220" s="472"/>
      <c r="ES220" s="472"/>
    </row>
    <row r="221" spans="1:149" x14ac:dyDescent="0.2">
      <c r="A221" s="442"/>
      <c r="B221" s="442"/>
      <c r="D221" s="455" t="s">
        <v>398</v>
      </c>
      <c r="F221" s="442"/>
      <c r="G221" s="67">
        <f>SUM(G222:G224)</f>
        <v>0</v>
      </c>
      <c r="H221" s="67"/>
      <c r="I221" s="67"/>
      <c r="J221" s="560"/>
      <c r="K221" s="67"/>
      <c r="L221" s="67">
        <f>SUM(L222:L224)</f>
        <v>0</v>
      </c>
      <c r="M221" s="67"/>
      <c r="N221" s="67"/>
      <c r="O221" s="560"/>
      <c r="P221" s="67"/>
      <c r="Q221" s="67">
        <f>SUM(Q222:Q224)</f>
        <v>0</v>
      </c>
      <c r="R221" s="67"/>
      <c r="S221" s="67"/>
      <c r="T221" s="560"/>
      <c r="U221" s="67"/>
      <c r="V221" s="67">
        <f>SUM(V222:V224)</f>
        <v>0</v>
      </c>
      <c r="W221" s="67"/>
      <c r="X221" s="67"/>
      <c r="Y221" s="560"/>
      <c r="Z221" s="67"/>
      <c r="AA221" s="67">
        <f>SUM(AA222:AA224)</f>
        <v>0</v>
      </c>
      <c r="AB221" s="67"/>
      <c r="AC221" s="67"/>
      <c r="AD221" s="560"/>
      <c r="AE221" s="67"/>
      <c r="AF221" s="67">
        <f>SUM(AF222:AF224)</f>
        <v>0</v>
      </c>
      <c r="AG221" s="67"/>
      <c r="AH221" s="67"/>
      <c r="AI221" s="560"/>
      <c r="AJ221" s="67"/>
      <c r="AK221" s="67">
        <f>SUM(AK222:AK224)</f>
        <v>0</v>
      </c>
      <c r="AL221" s="67"/>
      <c r="AM221" s="67"/>
      <c r="AN221" s="560"/>
      <c r="AO221" s="67"/>
      <c r="AP221" s="67">
        <f>SUM(AP222:AP224)</f>
        <v>0</v>
      </c>
      <c r="AQ221" s="67"/>
      <c r="AR221" s="67"/>
      <c r="AS221" s="560"/>
      <c r="AT221" s="67"/>
      <c r="AU221" s="67">
        <f>SUM(AU222:AU224)</f>
        <v>0</v>
      </c>
      <c r="AV221" s="67"/>
      <c r="AW221" s="67"/>
      <c r="AX221" s="560"/>
      <c r="AY221" s="67"/>
      <c r="AZ221" s="67">
        <f>SUM(AZ222:AZ224)</f>
        <v>0</v>
      </c>
      <c r="BA221" s="67"/>
      <c r="BB221" s="67"/>
      <c r="BC221" s="560"/>
      <c r="BD221" s="67"/>
      <c r="BE221" s="67">
        <f>SUM(BE222:BE224)</f>
        <v>0</v>
      </c>
      <c r="BF221" s="67"/>
      <c r="BG221" s="67"/>
      <c r="BH221" s="560"/>
      <c r="BI221" s="67"/>
      <c r="BJ221" s="67">
        <f>SUM(BJ222:BJ224)</f>
        <v>0</v>
      </c>
      <c r="BK221" s="67"/>
      <c r="BL221" s="67"/>
      <c r="BM221" s="560"/>
      <c r="BN221" s="67"/>
      <c r="BO221" s="67">
        <f>SUM(BO222:BO224)</f>
        <v>0</v>
      </c>
      <c r="BP221" s="67"/>
      <c r="BQ221" s="67"/>
      <c r="BR221" s="560"/>
      <c r="BS221" s="67"/>
      <c r="BT221" s="67">
        <f>SUM(BT222:BT224)</f>
        <v>0</v>
      </c>
      <c r="BU221" s="67"/>
      <c r="BV221" s="67"/>
      <c r="BW221" s="560"/>
      <c r="BX221" s="67"/>
      <c r="BY221" s="67">
        <f>SUM(BY222:BY224)</f>
        <v>975324</v>
      </c>
      <c r="BZ221" s="67"/>
      <c r="CA221" s="67"/>
      <c r="CB221" s="560"/>
      <c r="CC221" s="67"/>
      <c r="CD221" s="67">
        <f>SUM(CD222:CD224)</f>
        <v>0</v>
      </c>
      <c r="CE221" s="67"/>
      <c r="CF221" s="67"/>
      <c r="CG221" s="560"/>
      <c r="CH221" s="67"/>
      <c r="CI221" s="67">
        <f>SUM(CI222:CI224)</f>
        <v>975324</v>
      </c>
      <c r="CJ221" s="67"/>
      <c r="CK221" s="67"/>
      <c r="CL221" s="560"/>
      <c r="CM221" s="67"/>
      <c r="CN221" s="67">
        <f>SUM(CN222:CN224)</f>
        <v>0</v>
      </c>
      <c r="CO221" s="67"/>
      <c r="CP221" s="67"/>
      <c r="CQ221" s="560"/>
      <c r="CR221" s="67"/>
      <c r="CS221" s="67">
        <f>SUM(CS222:CS224)</f>
        <v>0</v>
      </c>
      <c r="CT221" s="67"/>
      <c r="CU221" s="67"/>
      <c r="CV221" s="560"/>
      <c r="CW221" s="67"/>
      <c r="CX221" s="67">
        <f>SUM(CX222:CX224)</f>
        <v>0</v>
      </c>
      <c r="CY221" s="67"/>
      <c r="CZ221" s="67"/>
      <c r="DA221" s="560"/>
      <c r="DB221" s="67"/>
      <c r="DC221" s="67">
        <f>SUM(DC222:DC224)</f>
        <v>0</v>
      </c>
      <c r="DD221" s="67"/>
      <c r="DE221" s="67"/>
      <c r="DF221" s="560"/>
      <c r="DG221" s="67"/>
      <c r="DH221" s="67">
        <f>SUM(DH222:DH224)</f>
        <v>0</v>
      </c>
      <c r="DI221" s="67"/>
      <c r="DJ221" s="67"/>
      <c r="DK221" s="560"/>
      <c r="DL221" s="67"/>
      <c r="DM221" s="67">
        <f>SUM(DM222:DM224)</f>
        <v>0</v>
      </c>
      <c r="DN221" s="67"/>
      <c r="DO221" s="67"/>
      <c r="DP221" s="560"/>
      <c r="DQ221" s="67"/>
      <c r="DR221" s="67">
        <f>SUM(DR222:DR224)</f>
        <v>0</v>
      </c>
      <c r="DS221" s="67"/>
      <c r="DT221" s="67"/>
      <c r="DU221" s="560"/>
      <c r="DV221" s="67"/>
      <c r="DW221" s="67">
        <f>SUM(DW222:DW224)</f>
        <v>0</v>
      </c>
      <c r="DX221" s="67"/>
      <c r="DY221" s="67"/>
      <c r="DZ221" s="560"/>
      <c r="EA221" s="67"/>
      <c r="EB221" s="67">
        <f>SUM(EB222:EB224)</f>
        <v>0</v>
      </c>
      <c r="EC221" s="67"/>
      <c r="ED221" s="67"/>
      <c r="EE221" s="560"/>
      <c r="EF221" s="67"/>
      <c r="EG221" s="67">
        <f>SUM(EG222:EG224)</f>
        <v>0</v>
      </c>
      <c r="EH221" s="67"/>
      <c r="EI221" s="67"/>
      <c r="EJ221" s="560"/>
      <c r="EK221" s="67"/>
      <c r="EL221" s="67">
        <f>SUM(EL222:EL224)</f>
        <v>975324</v>
      </c>
      <c r="EM221" s="67"/>
      <c r="EN221" s="67"/>
      <c r="EO221" s="455"/>
      <c r="ER221" s="472"/>
      <c r="ES221" s="472"/>
    </row>
    <row r="222" spans="1:149" x14ac:dyDescent="0.2">
      <c r="A222" s="442"/>
      <c r="B222" s="442"/>
      <c r="D222" s="455" t="s">
        <v>342</v>
      </c>
      <c r="F222" s="473"/>
      <c r="G222" s="558">
        <v>0</v>
      </c>
      <c r="H222" s="559"/>
      <c r="I222" s="67"/>
      <c r="J222" s="560"/>
      <c r="K222" s="561"/>
      <c r="L222" s="558">
        <v>0</v>
      </c>
      <c r="M222" s="559"/>
      <c r="N222" s="67"/>
      <c r="O222" s="560"/>
      <c r="P222" s="561"/>
      <c r="Q222" s="558">
        <v>0</v>
      </c>
      <c r="R222" s="559"/>
      <c r="S222" s="67"/>
      <c r="T222" s="560"/>
      <c r="U222" s="561"/>
      <c r="V222" s="558">
        <v>0</v>
      </c>
      <c r="W222" s="559"/>
      <c r="X222" s="67"/>
      <c r="Y222" s="560"/>
      <c r="Z222" s="561"/>
      <c r="AA222" s="558">
        <v>0</v>
      </c>
      <c r="AB222" s="559"/>
      <c r="AC222" s="67"/>
      <c r="AD222" s="560"/>
      <c r="AE222" s="561"/>
      <c r="AF222" s="558">
        <v>0</v>
      </c>
      <c r="AG222" s="559"/>
      <c r="AH222" s="67"/>
      <c r="AI222" s="560"/>
      <c r="AJ222" s="561"/>
      <c r="AK222" s="558">
        <v>0</v>
      </c>
      <c r="AL222" s="559"/>
      <c r="AM222" s="67"/>
      <c r="AN222" s="560"/>
      <c r="AO222" s="561"/>
      <c r="AP222" s="558">
        <v>0</v>
      </c>
      <c r="AQ222" s="559"/>
      <c r="AR222" s="67"/>
      <c r="AS222" s="560"/>
      <c r="AT222" s="561"/>
      <c r="AU222" s="558">
        <v>0</v>
      </c>
      <c r="AV222" s="559"/>
      <c r="AW222" s="67"/>
      <c r="AX222" s="560"/>
      <c r="AY222" s="561"/>
      <c r="AZ222" s="558">
        <v>0</v>
      </c>
      <c r="BA222" s="559"/>
      <c r="BB222" s="67"/>
      <c r="BC222" s="560"/>
      <c r="BD222" s="561"/>
      <c r="BE222" s="558">
        <v>0</v>
      </c>
      <c r="BF222" s="559"/>
      <c r="BG222" s="67"/>
      <c r="BH222" s="560"/>
      <c r="BI222" s="561"/>
      <c r="BJ222" s="558">
        <v>0</v>
      </c>
      <c r="BK222" s="559"/>
      <c r="BL222" s="67"/>
      <c r="BM222" s="560"/>
      <c r="BN222" s="561"/>
      <c r="BO222" s="558">
        <v>0</v>
      </c>
      <c r="BP222" s="559"/>
      <c r="BQ222" s="67"/>
      <c r="BR222" s="560"/>
      <c r="BS222" s="561"/>
      <c r="BT222" s="558">
        <f>SUM(L222:BO222)</f>
        <v>0</v>
      </c>
      <c r="BU222" s="559"/>
      <c r="BV222" s="67"/>
      <c r="BW222" s="560"/>
      <c r="BX222" s="561"/>
      <c r="BY222" s="558">
        <v>878056</v>
      </c>
      <c r="BZ222" s="559"/>
      <c r="CA222" s="67"/>
      <c r="CB222" s="560"/>
      <c r="CC222" s="561"/>
      <c r="CD222" s="558">
        <v>0</v>
      </c>
      <c r="CE222" s="559"/>
      <c r="CF222" s="67"/>
      <c r="CG222" s="560"/>
      <c r="CH222" s="561"/>
      <c r="CI222" s="558">
        <f>975324-97268</f>
        <v>878056</v>
      </c>
      <c r="CJ222" s="559"/>
      <c r="CK222" s="67"/>
      <c r="CL222" s="560"/>
      <c r="CM222" s="561"/>
      <c r="CN222" s="558">
        <v>0</v>
      </c>
      <c r="CO222" s="559"/>
      <c r="CP222" s="67"/>
      <c r="CQ222" s="560"/>
      <c r="CR222" s="561"/>
      <c r="CS222" s="558">
        <v>0</v>
      </c>
      <c r="CT222" s="559"/>
      <c r="CU222" s="67"/>
      <c r="CV222" s="560"/>
      <c r="CW222" s="561"/>
      <c r="CX222" s="558">
        <v>0</v>
      </c>
      <c r="CY222" s="559"/>
      <c r="CZ222" s="67"/>
      <c r="DA222" s="560"/>
      <c r="DB222" s="561"/>
      <c r="DC222" s="558">
        <v>0</v>
      </c>
      <c r="DD222" s="559"/>
      <c r="DE222" s="67"/>
      <c r="DF222" s="560"/>
      <c r="DG222" s="561"/>
      <c r="DH222" s="558">
        <v>0</v>
      </c>
      <c r="DI222" s="559"/>
      <c r="DJ222" s="67"/>
      <c r="DK222" s="560"/>
      <c r="DL222" s="561"/>
      <c r="DM222" s="558">
        <v>0</v>
      </c>
      <c r="DN222" s="559"/>
      <c r="DO222" s="67"/>
      <c r="DP222" s="560"/>
      <c r="DQ222" s="561"/>
      <c r="DR222" s="558">
        <v>0</v>
      </c>
      <c r="DS222" s="559"/>
      <c r="DT222" s="67"/>
      <c r="DU222" s="560"/>
      <c r="DV222" s="561"/>
      <c r="DW222" s="558">
        <v>0</v>
      </c>
      <c r="DX222" s="559"/>
      <c r="DY222" s="67"/>
      <c r="DZ222" s="560"/>
      <c r="EA222" s="561"/>
      <c r="EB222" s="558">
        <v>0</v>
      </c>
      <c r="EC222" s="559"/>
      <c r="ED222" s="67"/>
      <c r="EE222" s="560"/>
      <c r="EF222" s="561"/>
      <c r="EG222" s="558">
        <v>0</v>
      </c>
      <c r="EH222" s="559"/>
      <c r="EI222" s="67"/>
      <c r="EJ222" s="560"/>
      <c r="EK222" s="561"/>
      <c r="EL222" s="558">
        <f>SUM(CD222:CI222)</f>
        <v>878056</v>
      </c>
      <c r="EM222" s="559"/>
      <c r="EN222" s="67"/>
      <c r="EO222" s="455"/>
      <c r="ER222" s="472"/>
      <c r="ES222" s="472"/>
    </row>
    <row r="223" spans="1:149" x14ac:dyDescent="0.2">
      <c r="A223" s="442"/>
      <c r="B223" s="442"/>
      <c r="D223" s="455" t="s">
        <v>344</v>
      </c>
      <c r="F223" s="465"/>
      <c r="G223" s="67">
        <v>0</v>
      </c>
      <c r="H223" s="66"/>
      <c r="I223" s="67"/>
      <c r="J223" s="560"/>
      <c r="K223" s="560"/>
      <c r="L223" s="67">
        <v>0</v>
      </c>
      <c r="M223" s="66"/>
      <c r="N223" s="67"/>
      <c r="O223" s="560"/>
      <c r="P223" s="560"/>
      <c r="Q223" s="67">
        <v>0</v>
      </c>
      <c r="R223" s="66"/>
      <c r="S223" s="67"/>
      <c r="T223" s="560"/>
      <c r="U223" s="560"/>
      <c r="V223" s="67">
        <v>0</v>
      </c>
      <c r="W223" s="66"/>
      <c r="X223" s="67"/>
      <c r="Y223" s="560"/>
      <c r="Z223" s="560"/>
      <c r="AA223" s="67">
        <v>0</v>
      </c>
      <c r="AB223" s="66"/>
      <c r="AC223" s="67"/>
      <c r="AD223" s="560"/>
      <c r="AE223" s="560"/>
      <c r="AF223" s="67">
        <v>0</v>
      </c>
      <c r="AG223" s="66"/>
      <c r="AH223" s="67"/>
      <c r="AI223" s="560"/>
      <c r="AJ223" s="560"/>
      <c r="AK223" s="67">
        <v>0</v>
      </c>
      <c r="AL223" s="66"/>
      <c r="AM223" s="67"/>
      <c r="AN223" s="560"/>
      <c r="AO223" s="560"/>
      <c r="AP223" s="67">
        <v>0</v>
      </c>
      <c r="AQ223" s="66"/>
      <c r="AR223" s="67"/>
      <c r="AS223" s="560"/>
      <c r="AT223" s="560"/>
      <c r="AU223" s="67">
        <v>0</v>
      </c>
      <c r="AV223" s="66"/>
      <c r="AW223" s="67"/>
      <c r="AX223" s="560"/>
      <c r="AY223" s="560"/>
      <c r="AZ223" s="67">
        <v>0</v>
      </c>
      <c r="BA223" s="66"/>
      <c r="BB223" s="67"/>
      <c r="BC223" s="560"/>
      <c r="BD223" s="560"/>
      <c r="BE223" s="67">
        <v>0</v>
      </c>
      <c r="BF223" s="66"/>
      <c r="BG223" s="67"/>
      <c r="BH223" s="560"/>
      <c r="BI223" s="560"/>
      <c r="BJ223" s="67">
        <v>0</v>
      </c>
      <c r="BK223" s="66"/>
      <c r="BL223" s="67"/>
      <c r="BM223" s="560"/>
      <c r="BN223" s="560"/>
      <c r="BO223" s="67">
        <v>0</v>
      </c>
      <c r="BP223" s="66"/>
      <c r="BQ223" s="67"/>
      <c r="BR223" s="560"/>
      <c r="BS223" s="560"/>
      <c r="BT223" s="67">
        <f>SUM(L223:BO223)</f>
        <v>0</v>
      </c>
      <c r="BU223" s="66"/>
      <c r="BV223" s="67"/>
      <c r="BW223" s="560"/>
      <c r="BX223" s="560"/>
      <c r="BY223" s="67">
        <v>97268</v>
      </c>
      <c r="BZ223" s="66"/>
      <c r="CA223" s="67"/>
      <c r="CB223" s="560"/>
      <c r="CC223" s="560"/>
      <c r="CD223" s="67">
        <v>0</v>
      </c>
      <c r="CE223" s="66"/>
      <c r="CF223" s="67"/>
      <c r="CG223" s="560"/>
      <c r="CH223" s="560"/>
      <c r="CI223" s="67">
        <v>97268</v>
      </c>
      <c r="CJ223" s="66"/>
      <c r="CK223" s="67"/>
      <c r="CL223" s="560"/>
      <c r="CM223" s="560"/>
      <c r="CN223" s="67">
        <v>0</v>
      </c>
      <c r="CO223" s="66"/>
      <c r="CP223" s="67"/>
      <c r="CQ223" s="560"/>
      <c r="CR223" s="560"/>
      <c r="CS223" s="67">
        <v>0</v>
      </c>
      <c r="CT223" s="66"/>
      <c r="CU223" s="67"/>
      <c r="CV223" s="560"/>
      <c r="CW223" s="560"/>
      <c r="CX223" s="67">
        <v>0</v>
      </c>
      <c r="CY223" s="66"/>
      <c r="CZ223" s="67"/>
      <c r="DA223" s="560"/>
      <c r="DB223" s="560"/>
      <c r="DC223" s="67">
        <v>0</v>
      </c>
      <c r="DD223" s="66"/>
      <c r="DE223" s="67"/>
      <c r="DF223" s="560"/>
      <c r="DG223" s="560"/>
      <c r="DH223" s="67">
        <v>0</v>
      </c>
      <c r="DI223" s="66"/>
      <c r="DJ223" s="67"/>
      <c r="DK223" s="560"/>
      <c r="DL223" s="560"/>
      <c r="DM223" s="67">
        <v>0</v>
      </c>
      <c r="DN223" s="66"/>
      <c r="DO223" s="67"/>
      <c r="DP223" s="560"/>
      <c r="DQ223" s="560"/>
      <c r="DR223" s="67">
        <v>0</v>
      </c>
      <c r="DS223" s="66"/>
      <c r="DT223" s="67"/>
      <c r="DU223" s="560"/>
      <c r="DV223" s="560"/>
      <c r="DW223" s="67">
        <v>0</v>
      </c>
      <c r="DX223" s="66"/>
      <c r="DY223" s="67"/>
      <c r="DZ223" s="560"/>
      <c r="EA223" s="560"/>
      <c r="EB223" s="67">
        <v>0</v>
      </c>
      <c r="EC223" s="66"/>
      <c r="ED223" s="67"/>
      <c r="EE223" s="560"/>
      <c r="EF223" s="560"/>
      <c r="EG223" s="67">
        <v>0</v>
      </c>
      <c r="EH223" s="66"/>
      <c r="EI223" s="67"/>
      <c r="EJ223" s="560"/>
      <c r="EK223" s="560"/>
      <c r="EL223" s="67">
        <f>SUM(CD223:CI223)</f>
        <v>97268</v>
      </c>
      <c r="EM223" s="66"/>
      <c r="EN223" s="67"/>
      <c r="EO223" s="455"/>
      <c r="ER223" s="472"/>
      <c r="ES223" s="472"/>
    </row>
    <row r="224" spans="1:149" x14ac:dyDescent="0.2">
      <c r="A224" s="442"/>
      <c r="B224" s="442"/>
      <c r="D224" s="455" t="s">
        <v>352</v>
      </c>
      <c r="F224" s="488"/>
      <c r="G224" s="113">
        <v>0</v>
      </c>
      <c r="H224" s="112"/>
      <c r="I224" s="67"/>
      <c r="J224" s="560"/>
      <c r="K224" s="569"/>
      <c r="L224" s="113">
        <v>0</v>
      </c>
      <c r="M224" s="112"/>
      <c r="N224" s="67"/>
      <c r="O224" s="560"/>
      <c r="P224" s="569"/>
      <c r="Q224" s="113">
        <v>0</v>
      </c>
      <c r="R224" s="112"/>
      <c r="S224" s="67"/>
      <c r="T224" s="560"/>
      <c r="U224" s="569"/>
      <c r="V224" s="113">
        <v>0</v>
      </c>
      <c r="W224" s="112"/>
      <c r="X224" s="67"/>
      <c r="Y224" s="560"/>
      <c r="Z224" s="569"/>
      <c r="AA224" s="113">
        <v>0</v>
      </c>
      <c r="AB224" s="112"/>
      <c r="AC224" s="67"/>
      <c r="AD224" s="560"/>
      <c r="AE224" s="569"/>
      <c r="AF224" s="113">
        <v>0</v>
      </c>
      <c r="AG224" s="112"/>
      <c r="AH224" s="67"/>
      <c r="AI224" s="560"/>
      <c r="AJ224" s="569"/>
      <c r="AK224" s="113">
        <v>0</v>
      </c>
      <c r="AL224" s="112"/>
      <c r="AM224" s="67"/>
      <c r="AN224" s="560"/>
      <c r="AO224" s="569"/>
      <c r="AP224" s="113">
        <v>0</v>
      </c>
      <c r="AQ224" s="112"/>
      <c r="AR224" s="67"/>
      <c r="AS224" s="560"/>
      <c r="AT224" s="569"/>
      <c r="AU224" s="113">
        <v>0</v>
      </c>
      <c r="AV224" s="112"/>
      <c r="AW224" s="67"/>
      <c r="AX224" s="560"/>
      <c r="AY224" s="569"/>
      <c r="AZ224" s="113">
        <v>0</v>
      </c>
      <c r="BA224" s="112"/>
      <c r="BB224" s="67"/>
      <c r="BC224" s="560"/>
      <c r="BD224" s="569"/>
      <c r="BE224" s="113">
        <v>0</v>
      </c>
      <c r="BF224" s="112"/>
      <c r="BG224" s="67"/>
      <c r="BH224" s="560"/>
      <c r="BI224" s="569"/>
      <c r="BJ224" s="113">
        <v>0</v>
      </c>
      <c r="BK224" s="112"/>
      <c r="BL224" s="67"/>
      <c r="BM224" s="560"/>
      <c r="BN224" s="569"/>
      <c r="BO224" s="113">
        <v>0</v>
      </c>
      <c r="BP224" s="112"/>
      <c r="BQ224" s="67"/>
      <c r="BR224" s="560"/>
      <c r="BS224" s="569"/>
      <c r="BT224" s="113">
        <f>SUM(L224:BO224)</f>
        <v>0</v>
      </c>
      <c r="BU224" s="112"/>
      <c r="BV224" s="67"/>
      <c r="BW224" s="560"/>
      <c r="BX224" s="569"/>
      <c r="BY224" s="113">
        <v>0</v>
      </c>
      <c r="BZ224" s="112"/>
      <c r="CA224" s="67"/>
      <c r="CB224" s="560"/>
      <c r="CC224" s="569"/>
      <c r="CD224" s="113">
        <v>0</v>
      </c>
      <c r="CE224" s="112"/>
      <c r="CF224" s="67"/>
      <c r="CG224" s="560"/>
      <c r="CH224" s="569"/>
      <c r="CI224" s="113">
        <v>0</v>
      </c>
      <c r="CJ224" s="112"/>
      <c r="CK224" s="67"/>
      <c r="CL224" s="560"/>
      <c r="CM224" s="569"/>
      <c r="CN224" s="113">
        <v>0</v>
      </c>
      <c r="CO224" s="112"/>
      <c r="CP224" s="67"/>
      <c r="CQ224" s="560"/>
      <c r="CR224" s="569"/>
      <c r="CS224" s="113">
        <v>0</v>
      </c>
      <c r="CT224" s="112"/>
      <c r="CU224" s="67"/>
      <c r="CV224" s="560"/>
      <c r="CW224" s="569"/>
      <c r="CX224" s="113">
        <v>0</v>
      </c>
      <c r="CY224" s="112"/>
      <c r="CZ224" s="67"/>
      <c r="DA224" s="560"/>
      <c r="DB224" s="569"/>
      <c r="DC224" s="113">
        <v>0</v>
      </c>
      <c r="DD224" s="112"/>
      <c r="DE224" s="67"/>
      <c r="DF224" s="560"/>
      <c r="DG224" s="569"/>
      <c r="DH224" s="113">
        <v>0</v>
      </c>
      <c r="DI224" s="112"/>
      <c r="DJ224" s="67"/>
      <c r="DK224" s="560"/>
      <c r="DL224" s="569"/>
      <c r="DM224" s="113">
        <v>0</v>
      </c>
      <c r="DN224" s="112"/>
      <c r="DO224" s="67"/>
      <c r="DP224" s="560"/>
      <c r="DQ224" s="569"/>
      <c r="DR224" s="113">
        <v>0</v>
      </c>
      <c r="DS224" s="112"/>
      <c r="DT224" s="67"/>
      <c r="DU224" s="560"/>
      <c r="DV224" s="569"/>
      <c r="DW224" s="113">
        <v>0</v>
      </c>
      <c r="DX224" s="112"/>
      <c r="DY224" s="67"/>
      <c r="DZ224" s="560"/>
      <c r="EA224" s="569"/>
      <c r="EB224" s="113">
        <v>0</v>
      </c>
      <c r="EC224" s="112"/>
      <c r="ED224" s="67"/>
      <c r="EE224" s="560"/>
      <c r="EF224" s="569"/>
      <c r="EG224" s="113">
        <v>0</v>
      </c>
      <c r="EH224" s="112"/>
      <c r="EI224" s="67"/>
      <c r="EJ224" s="560"/>
      <c r="EK224" s="569"/>
      <c r="EL224" s="113">
        <f>SUM(CD224:CI224)</f>
        <v>0</v>
      </c>
      <c r="EM224" s="112"/>
      <c r="EN224" s="67"/>
      <c r="EO224" s="455"/>
      <c r="ER224" s="472"/>
      <c r="ES224" s="472"/>
    </row>
    <row r="225" spans="1:149" x14ac:dyDescent="0.2">
      <c r="A225" s="442"/>
      <c r="B225" s="442"/>
      <c r="D225" s="455"/>
      <c r="F225" s="442"/>
      <c r="G225" s="67"/>
      <c r="H225" s="67"/>
      <c r="I225" s="67"/>
      <c r="J225" s="560"/>
      <c r="K225" s="67"/>
      <c r="L225" s="67"/>
      <c r="M225" s="67"/>
      <c r="N225" s="67"/>
      <c r="O225" s="560"/>
      <c r="P225" s="67"/>
      <c r="Q225" s="67"/>
      <c r="R225" s="67"/>
      <c r="S225" s="67"/>
      <c r="T225" s="560"/>
      <c r="U225" s="67"/>
      <c r="V225" s="67"/>
      <c r="W225" s="67"/>
      <c r="X225" s="67"/>
      <c r="Y225" s="560"/>
      <c r="Z225" s="67"/>
      <c r="AA225" s="67"/>
      <c r="AB225" s="67"/>
      <c r="AC225" s="67"/>
      <c r="AD225" s="560"/>
      <c r="AE225" s="67"/>
      <c r="AF225" s="67"/>
      <c r="AG225" s="67"/>
      <c r="AH225" s="67"/>
      <c r="AI225" s="560"/>
      <c r="AJ225" s="67"/>
      <c r="AK225" s="67"/>
      <c r="AL225" s="67"/>
      <c r="AM225" s="67"/>
      <c r="AN225" s="560"/>
      <c r="AO225" s="67"/>
      <c r="AP225" s="67"/>
      <c r="AQ225" s="67"/>
      <c r="AR225" s="67"/>
      <c r="AS225" s="560"/>
      <c r="AT225" s="67"/>
      <c r="AU225" s="67"/>
      <c r="AV225" s="67"/>
      <c r="AW225" s="67"/>
      <c r="AX225" s="560"/>
      <c r="AY225" s="67"/>
      <c r="AZ225" s="67"/>
      <c r="BA225" s="67"/>
      <c r="BB225" s="67"/>
      <c r="BC225" s="560"/>
      <c r="BD225" s="67"/>
      <c r="BE225" s="67"/>
      <c r="BF225" s="67"/>
      <c r="BG225" s="67"/>
      <c r="BH225" s="560"/>
      <c r="BI225" s="67"/>
      <c r="BJ225" s="67"/>
      <c r="BK225" s="67"/>
      <c r="BL225" s="67"/>
      <c r="BM225" s="560"/>
      <c r="BN225" s="67"/>
      <c r="BO225" s="67"/>
      <c r="BP225" s="67"/>
      <c r="BQ225" s="67"/>
      <c r="BR225" s="560"/>
      <c r="BS225" s="67"/>
      <c r="BT225" s="67"/>
      <c r="BU225" s="67"/>
      <c r="BV225" s="67"/>
      <c r="BW225" s="560"/>
      <c r="BX225" s="67"/>
      <c r="BY225" s="67"/>
      <c r="BZ225" s="67"/>
      <c r="CA225" s="67"/>
      <c r="CB225" s="560"/>
      <c r="CC225" s="67"/>
      <c r="CD225" s="67"/>
      <c r="CE225" s="67"/>
      <c r="CF225" s="67"/>
      <c r="CG225" s="560"/>
      <c r="CH225" s="67"/>
      <c r="CI225" s="67"/>
      <c r="CJ225" s="67"/>
      <c r="CK225" s="67"/>
      <c r="CL225" s="560"/>
      <c r="CM225" s="67"/>
      <c r="CN225" s="67"/>
      <c r="CO225" s="67"/>
      <c r="CP225" s="67"/>
      <c r="CQ225" s="560"/>
      <c r="CR225" s="67"/>
      <c r="CS225" s="67"/>
      <c r="CT225" s="67"/>
      <c r="CU225" s="67"/>
      <c r="CV225" s="560"/>
      <c r="CW225" s="67"/>
      <c r="CX225" s="67"/>
      <c r="CY225" s="67"/>
      <c r="CZ225" s="67"/>
      <c r="DA225" s="560"/>
      <c r="DB225" s="67"/>
      <c r="DC225" s="67"/>
      <c r="DD225" s="67"/>
      <c r="DE225" s="67"/>
      <c r="DF225" s="560"/>
      <c r="DG225" s="67"/>
      <c r="DH225" s="67"/>
      <c r="DI225" s="67"/>
      <c r="DJ225" s="67"/>
      <c r="DK225" s="560"/>
      <c r="DL225" s="67"/>
      <c r="DM225" s="67"/>
      <c r="DN225" s="67"/>
      <c r="DO225" s="67"/>
      <c r="DP225" s="560"/>
      <c r="DQ225" s="67"/>
      <c r="DR225" s="67"/>
      <c r="DS225" s="67"/>
      <c r="DT225" s="67"/>
      <c r="DU225" s="560"/>
      <c r="DV225" s="67"/>
      <c r="DW225" s="67"/>
      <c r="DX225" s="67"/>
      <c r="DY225" s="67"/>
      <c r="DZ225" s="560"/>
      <c r="EA225" s="67"/>
      <c r="EB225" s="67"/>
      <c r="EC225" s="67"/>
      <c r="ED225" s="67"/>
      <c r="EE225" s="560"/>
      <c r="EF225" s="67"/>
      <c r="EG225" s="67"/>
      <c r="EH225" s="67"/>
      <c r="EI225" s="67"/>
      <c r="EJ225" s="560"/>
      <c r="EK225" s="67"/>
      <c r="EL225" s="67"/>
      <c r="EM225" s="67"/>
      <c r="EN225" s="67"/>
      <c r="EO225" s="455"/>
      <c r="ER225" s="472"/>
      <c r="ES225" s="472"/>
    </row>
    <row r="226" spans="1:149" x14ac:dyDescent="0.2">
      <c r="A226" s="442"/>
      <c r="B226" s="442"/>
      <c r="D226" s="455" t="s">
        <v>353</v>
      </c>
      <c r="F226" s="442"/>
      <c r="G226" s="67">
        <f>SUM(G227:G229)</f>
        <v>0</v>
      </c>
      <c r="H226" s="67"/>
      <c r="I226" s="67"/>
      <c r="J226" s="560"/>
      <c r="K226" s="67"/>
      <c r="L226" s="67">
        <f>SUM(L227:L229)</f>
        <v>0</v>
      </c>
      <c r="M226" s="67"/>
      <c r="N226" s="67"/>
      <c r="O226" s="560"/>
      <c r="P226" s="67"/>
      <c r="Q226" s="67">
        <f>SUM(Q227:Q229)</f>
        <v>0</v>
      </c>
      <c r="R226" s="67"/>
      <c r="S226" s="67"/>
      <c r="T226" s="560"/>
      <c r="U226" s="67"/>
      <c r="V226" s="67">
        <f>SUM(V227:V229)</f>
        <v>0</v>
      </c>
      <c r="W226" s="67"/>
      <c r="X226" s="67"/>
      <c r="Y226" s="560"/>
      <c r="Z226" s="67"/>
      <c r="AA226" s="67">
        <f>SUM(AA227:AA229)</f>
        <v>0</v>
      </c>
      <c r="AB226" s="67"/>
      <c r="AC226" s="67"/>
      <c r="AD226" s="560"/>
      <c r="AE226" s="67"/>
      <c r="AF226" s="67">
        <f>SUM(AF227:AF229)</f>
        <v>0</v>
      </c>
      <c r="AG226" s="67"/>
      <c r="AH226" s="67"/>
      <c r="AI226" s="560"/>
      <c r="AJ226" s="67"/>
      <c r="AK226" s="67">
        <f>SUM(AK227:AK229)</f>
        <v>0</v>
      </c>
      <c r="AL226" s="67"/>
      <c r="AM226" s="67"/>
      <c r="AN226" s="560"/>
      <c r="AO226" s="67"/>
      <c r="AP226" s="67">
        <f>SUM(AP227:AP229)</f>
        <v>0</v>
      </c>
      <c r="AQ226" s="67"/>
      <c r="AR226" s="67"/>
      <c r="AS226" s="560"/>
      <c r="AT226" s="67"/>
      <c r="AU226" s="67">
        <f>SUM(AU227:AU229)</f>
        <v>0</v>
      </c>
      <c r="AV226" s="67"/>
      <c r="AW226" s="67"/>
      <c r="AX226" s="560"/>
      <c r="AY226" s="67"/>
      <c r="AZ226" s="67">
        <f>SUM(AZ227:AZ229)</f>
        <v>0</v>
      </c>
      <c r="BA226" s="67"/>
      <c r="BB226" s="67"/>
      <c r="BC226" s="560"/>
      <c r="BD226" s="67"/>
      <c r="BE226" s="67">
        <f>SUM(BE227:BE229)</f>
        <v>0</v>
      </c>
      <c r="BF226" s="67"/>
      <c r="BG226" s="67"/>
      <c r="BH226" s="560"/>
      <c r="BI226" s="67"/>
      <c r="BJ226" s="67">
        <f>SUM(BJ227:BJ229)</f>
        <v>0</v>
      </c>
      <c r="BK226" s="67"/>
      <c r="BL226" s="67"/>
      <c r="BM226" s="560"/>
      <c r="BN226" s="67"/>
      <c r="BO226" s="67">
        <f>SUM(BO227:BO229)</f>
        <v>0</v>
      </c>
      <c r="BP226" s="67"/>
      <c r="BQ226" s="67"/>
      <c r="BR226" s="560"/>
      <c r="BS226" s="67"/>
      <c r="BT226" s="67">
        <f>SUM(BT227:BT229)</f>
        <v>0</v>
      </c>
      <c r="BU226" s="67"/>
      <c r="BV226" s="67"/>
      <c r="BW226" s="560"/>
      <c r="BX226" s="67"/>
      <c r="BY226" s="67">
        <f>SUM(BY227:BY229)</f>
        <v>3591635</v>
      </c>
      <c r="BZ226" s="67"/>
      <c r="CA226" s="67"/>
      <c r="CB226" s="560"/>
      <c r="CC226" s="67"/>
      <c r="CD226" s="67">
        <f>SUM(CD227:CD229)</f>
        <v>0</v>
      </c>
      <c r="CE226" s="67"/>
      <c r="CF226" s="67"/>
      <c r="CG226" s="560"/>
      <c r="CH226" s="67"/>
      <c r="CI226" s="67">
        <f>SUM(CI227:CI229)</f>
        <v>3591635</v>
      </c>
      <c r="CJ226" s="67"/>
      <c r="CK226" s="67"/>
      <c r="CL226" s="560"/>
      <c r="CM226" s="67"/>
      <c r="CN226" s="67">
        <f>SUM(CN227:CN229)</f>
        <v>0</v>
      </c>
      <c r="CO226" s="67"/>
      <c r="CP226" s="67"/>
      <c r="CQ226" s="560"/>
      <c r="CR226" s="67"/>
      <c r="CS226" s="67">
        <f>SUM(CS227:CS229)</f>
        <v>0</v>
      </c>
      <c r="CT226" s="67"/>
      <c r="CU226" s="67"/>
      <c r="CV226" s="560"/>
      <c r="CW226" s="67"/>
      <c r="CX226" s="67">
        <f>SUM(CX227:CX229)</f>
        <v>0</v>
      </c>
      <c r="CY226" s="67"/>
      <c r="CZ226" s="67"/>
      <c r="DA226" s="560"/>
      <c r="DB226" s="67"/>
      <c r="DC226" s="67">
        <f>SUM(DC227:DC229)</f>
        <v>0</v>
      </c>
      <c r="DD226" s="67"/>
      <c r="DE226" s="67"/>
      <c r="DF226" s="560"/>
      <c r="DG226" s="67"/>
      <c r="DH226" s="67">
        <f>SUM(DH227:DH229)</f>
        <v>0</v>
      </c>
      <c r="DI226" s="67"/>
      <c r="DJ226" s="67"/>
      <c r="DK226" s="560"/>
      <c r="DL226" s="67"/>
      <c r="DM226" s="67">
        <f>SUM(DM227:DM229)</f>
        <v>0</v>
      </c>
      <c r="DN226" s="67"/>
      <c r="DO226" s="67"/>
      <c r="DP226" s="560"/>
      <c r="DQ226" s="67"/>
      <c r="DR226" s="67">
        <f>SUM(DR227:DR229)</f>
        <v>0</v>
      </c>
      <c r="DS226" s="67"/>
      <c r="DT226" s="67"/>
      <c r="DU226" s="560"/>
      <c r="DV226" s="67"/>
      <c r="DW226" s="67">
        <f>SUM(DW227:DW229)</f>
        <v>0</v>
      </c>
      <c r="DX226" s="67"/>
      <c r="DY226" s="67"/>
      <c r="DZ226" s="560"/>
      <c r="EA226" s="67"/>
      <c r="EB226" s="67">
        <f>SUM(EB227:EB229)</f>
        <v>0</v>
      </c>
      <c r="EC226" s="67"/>
      <c r="ED226" s="67"/>
      <c r="EE226" s="560"/>
      <c r="EF226" s="67"/>
      <c r="EG226" s="67">
        <f>SUM(EG227:EG229)</f>
        <v>0</v>
      </c>
      <c r="EH226" s="67"/>
      <c r="EI226" s="67"/>
      <c r="EJ226" s="560"/>
      <c r="EK226" s="67"/>
      <c r="EL226" s="67">
        <f>SUM(EL227:EL229)</f>
        <v>3591635</v>
      </c>
      <c r="EM226" s="67"/>
      <c r="EN226" s="67"/>
      <c r="EO226" s="455"/>
      <c r="ER226" s="472"/>
      <c r="ES226" s="472"/>
    </row>
    <row r="227" spans="1:149" x14ac:dyDescent="0.2">
      <c r="A227" s="442"/>
      <c r="B227" s="442"/>
      <c r="D227" s="455" t="s">
        <v>342</v>
      </c>
      <c r="F227" s="473"/>
      <c r="G227" s="558">
        <v>0</v>
      </c>
      <c r="H227" s="559"/>
      <c r="I227" s="67"/>
      <c r="J227" s="560"/>
      <c r="K227" s="561"/>
      <c r="L227" s="558">
        <v>0</v>
      </c>
      <c r="M227" s="559"/>
      <c r="N227" s="67"/>
      <c r="O227" s="560"/>
      <c r="P227" s="561"/>
      <c r="Q227" s="558">
        <v>0</v>
      </c>
      <c r="R227" s="559"/>
      <c r="S227" s="67"/>
      <c r="T227" s="560"/>
      <c r="U227" s="561"/>
      <c r="V227" s="558">
        <v>0</v>
      </c>
      <c r="W227" s="559"/>
      <c r="X227" s="67"/>
      <c r="Y227" s="560"/>
      <c r="Z227" s="561"/>
      <c r="AA227" s="558">
        <v>0</v>
      </c>
      <c r="AB227" s="559"/>
      <c r="AC227" s="67"/>
      <c r="AD227" s="560"/>
      <c r="AE227" s="561"/>
      <c r="AF227" s="558">
        <v>0</v>
      </c>
      <c r="AG227" s="559"/>
      <c r="AH227" s="67"/>
      <c r="AI227" s="560"/>
      <c r="AJ227" s="561"/>
      <c r="AK227" s="558">
        <v>0</v>
      </c>
      <c r="AL227" s="559"/>
      <c r="AM227" s="67"/>
      <c r="AN227" s="560"/>
      <c r="AO227" s="561"/>
      <c r="AP227" s="558">
        <v>0</v>
      </c>
      <c r="AQ227" s="559"/>
      <c r="AR227" s="67"/>
      <c r="AS227" s="560"/>
      <c r="AT227" s="561"/>
      <c r="AU227" s="558">
        <v>0</v>
      </c>
      <c r="AV227" s="559"/>
      <c r="AW227" s="67"/>
      <c r="AX227" s="560"/>
      <c r="AY227" s="561"/>
      <c r="AZ227" s="558">
        <v>0</v>
      </c>
      <c r="BA227" s="559"/>
      <c r="BB227" s="67"/>
      <c r="BC227" s="560"/>
      <c r="BD227" s="561"/>
      <c r="BE227" s="558">
        <v>0</v>
      </c>
      <c r="BF227" s="559"/>
      <c r="BG227" s="67"/>
      <c r="BH227" s="560"/>
      <c r="BI227" s="561"/>
      <c r="BJ227" s="558">
        <v>0</v>
      </c>
      <c r="BK227" s="559"/>
      <c r="BL227" s="67"/>
      <c r="BM227" s="560"/>
      <c r="BN227" s="561"/>
      <c r="BO227" s="558">
        <v>0</v>
      </c>
      <c r="BP227" s="559"/>
      <c r="BQ227" s="67"/>
      <c r="BR227" s="560"/>
      <c r="BS227" s="561"/>
      <c r="BT227" s="558">
        <f>SUM(L227:BO227)</f>
        <v>0</v>
      </c>
      <c r="BU227" s="559"/>
      <c r="BV227" s="67"/>
      <c r="BW227" s="560"/>
      <c r="BX227" s="561"/>
      <c r="BY227" s="558">
        <v>3969713</v>
      </c>
      <c r="BZ227" s="559"/>
      <c r="CA227" s="67"/>
      <c r="CB227" s="560"/>
      <c r="CC227" s="561"/>
      <c r="CD227" s="558">
        <v>0</v>
      </c>
      <c r="CE227" s="559"/>
      <c r="CF227" s="67"/>
      <c r="CG227" s="560"/>
      <c r="CH227" s="561"/>
      <c r="CI227" s="558">
        <f>3591635+378078</f>
        <v>3969713</v>
      </c>
      <c r="CJ227" s="559"/>
      <c r="CK227" s="67"/>
      <c r="CL227" s="560"/>
      <c r="CM227" s="561"/>
      <c r="CN227" s="558">
        <v>0</v>
      </c>
      <c r="CO227" s="559"/>
      <c r="CP227" s="67"/>
      <c r="CQ227" s="560"/>
      <c r="CR227" s="561"/>
      <c r="CS227" s="558">
        <v>0</v>
      </c>
      <c r="CT227" s="559"/>
      <c r="CU227" s="67"/>
      <c r="CV227" s="560"/>
      <c r="CW227" s="561"/>
      <c r="CX227" s="558">
        <v>0</v>
      </c>
      <c r="CY227" s="559"/>
      <c r="CZ227" s="67"/>
      <c r="DA227" s="560"/>
      <c r="DB227" s="561"/>
      <c r="DC227" s="558">
        <v>0</v>
      </c>
      <c r="DD227" s="559"/>
      <c r="DE227" s="67"/>
      <c r="DF227" s="560"/>
      <c r="DG227" s="561"/>
      <c r="DH227" s="558">
        <v>0</v>
      </c>
      <c r="DI227" s="559"/>
      <c r="DJ227" s="67"/>
      <c r="DK227" s="560"/>
      <c r="DL227" s="561"/>
      <c r="DM227" s="558">
        <v>0</v>
      </c>
      <c r="DN227" s="559"/>
      <c r="DO227" s="67"/>
      <c r="DP227" s="560"/>
      <c r="DQ227" s="561"/>
      <c r="DR227" s="558">
        <v>0</v>
      </c>
      <c r="DS227" s="559"/>
      <c r="DT227" s="67"/>
      <c r="DU227" s="560"/>
      <c r="DV227" s="561"/>
      <c r="DW227" s="558">
        <v>0</v>
      </c>
      <c r="DX227" s="559"/>
      <c r="DY227" s="67"/>
      <c r="DZ227" s="560"/>
      <c r="EA227" s="561"/>
      <c r="EB227" s="558">
        <v>0</v>
      </c>
      <c r="EC227" s="559"/>
      <c r="ED227" s="67"/>
      <c r="EE227" s="560"/>
      <c r="EF227" s="561"/>
      <c r="EG227" s="558">
        <v>0</v>
      </c>
      <c r="EH227" s="559"/>
      <c r="EI227" s="67"/>
      <c r="EJ227" s="560"/>
      <c r="EK227" s="561"/>
      <c r="EL227" s="558">
        <f>SUM(CD227:CI227)</f>
        <v>3969713</v>
      </c>
      <c r="EM227" s="559"/>
      <c r="EN227" s="67"/>
      <c r="EO227" s="455"/>
      <c r="ER227" s="472"/>
      <c r="ES227" s="472"/>
    </row>
    <row r="228" spans="1:149" x14ac:dyDescent="0.2">
      <c r="A228" s="442"/>
      <c r="B228" s="442"/>
      <c r="D228" s="455" t="s">
        <v>344</v>
      </c>
      <c r="F228" s="465"/>
      <c r="G228" s="67">
        <v>0</v>
      </c>
      <c r="H228" s="66"/>
      <c r="I228" s="67"/>
      <c r="J228" s="560"/>
      <c r="K228" s="560"/>
      <c r="L228" s="67">
        <v>0</v>
      </c>
      <c r="M228" s="66"/>
      <c r="N228" s="67"/>
      <c r="O228" s="560"/>
      <c r="P228" s="560"/>
      <c r="Q228" s="67">
        <v>0</v>
      </c>
      <c r="R228" s="66"/>
      <c r="S228" s="67"/>
      <c r="T228" s="560"/>
      <c r="U228" s="560"/>
      <c r="V228" s="67">
        <v>0</v>
      </c>
      <c r="W228" s="66"/>
      <c r="X228" s="67"/>
      <c r="Y228" s="560"/>
      <c r="Z228" s="560"/>
      <c r="AA228" s="67">
        <v>0</v>
      </c>
      <c r="AB228" s="66"/>
      <c r="AC228" s="67"/>
      <c r="AD228" s="560"/>
      <c r="AE228" s="560"/>
      <c r="AF228" s="67">
        <v>0</v>
      </c>
      <c r="AG228" s="66"/>
      <c r="AH228" s="67"/>
      <c r="AI228" s="560"/>
      <c r="AJ228" s="560"/>
      <c r="AK228" s="67">
        <v>0</v>
      </c>
      <c r="AL228" s="66"/>
      <c r="AM228" s="67"/>
      <c r="AN228" s="560"/>
      <c r="AO228" s="560"/>
      <c r="AP228" s="67">
        <v>0</v>
      </c>
      <c r="AQ228" s="66"/>
      <c r="AR228" s="67"/>
      <c r="AS228" s="560"/>
      <c r="AT228" s="560"/>
      <c r="AU228" s="67">
        <v>0</v>
      </c>
      <c r="AV228" s="66"/>
      <c r="AW228" s="67"/>
      <c r="AX228" s="560"/>
      <c r="AY228" s="560"/>
      <c r="AZ228" s="67">
        <v>0</v>
      </c>
      <c r="BA228" s="66"/>
      <c r="BB228" s="67"/>
      <c r="BC228" s="560"/>
      <c r="BD228" s="560"/>
      <c r="BE228" s="67">
        <v>0</v>
      </c>
      <c r="BF228" s="66"/>
      <c r="BG228" s="67"/>
      <c r="BH228" s="560"/>
      <c r="BI228" s="560"/>
      <c r="BJ228" s="67">
        <v>0</v>
      </c>
      <c r="BK228" s="66"/>
      <c r="BL228" s="67"/>
      <c r="BM228" s="560"/>
      <c r="BN228" s="560"/>
      <c r="BO228" s="67">
        <v>0</v>
      </c>
      <c r="BP228" s="66"/>
      <c r="BQ228" s="67"/>
      <c r="BR228" s="560"/>
      <c r="BS228" s="560"/>
      <c r="BT228" s="67">
        <f>SUM(L228:BO228)</f>
        <v>0</v>
      </c>
      <c r="BU228" s="66"/>
      <c r="BV228" s="67"/>
      <c r="BW228" s="560"/>
      <c r="BX228" s="560"/>
      <c r="BY228" s="67">
        <v>0</v>
      </c>
      <c r="BZ228" s="66"/>
      <c r="CA228" s="67"/>
      <c r="CB228" s="560"/>
      <c r="CC228" s="560"/>
      <c r="CD228" s="67">
        <v>0</v>
      </c>
      <c r="CE228" s="66"/>
      <c r="CF228" s="67"/>
      <c r="CG228" s="560"/>
      <c r="CH228" s="560"/>
      <c r="CI228" s="67">
        <v>0</v>
      </c>
      <c r="CJ228" s="66"/>
      <c r="CK228" s="67"/>
      <c r="CL228" s="560"/>
      <c r="CM228" s="560"/>
      <c r="CN228" s="67">
        <v>0</v>
      </c>
      <c r="CO228" s="66"/>
      <c r="CP228" s="67"/>
      <c r="CQ228" s="560"/>
      <c r="CR228" s="560"/>
      <c r="CS228" s="67">
        <v>0</v>
      </c>
      <c r="CT228" s="66"/>
      <c r="CU228" s="67"/>
      <c r="CV228" s="560"/>
      <c r="CW228" s="560"/>
      <c r="CX228" s="67">
        <v>0</v>
      </c>
      <c r="CY228" s="66"/>
      <c r="CZ228" s="67"/>
      <c r="DA228" s="560"/>
      <c r="DB228" s="560"/>
      <c r="DC228" s="67">
        <v>0</v>
      </c>
      <c r="DD228" s="66"/>
      <c r="DE228" s="67"/>
      <c r="DF228" s="560"/>
      <c r="DG228" s="560"/>
      <c r="DH228" s="67">
        <v>0</v>
      </c>
      <c r="DI228" s="66"/>
      <c r="DJ228" s="67"/>
      <c r="DK228" s="560"/>
      <c r="DL228" s="560"/>
      <c r="DM228" s="67">
        <v>0</v>
      </c>
      <c r="DN228" s="66"/>
      <c r="DO228" s="67"/>
      <c r="DP228" s="560"/>
      <c r="DQ228" s="560"/>
      <c r="DR228" s="67">
        <v>0</v>
      </c>
      <c r="DS228" s="66"/>
      <c r="DT228" s="67"/>
      <c r="DU228" s="560"/>
      <c r="DV228" s="560"/>
      <c r="DW228" s="67">
        <v>0</v>
      </c>
      <c r="DX228" s="66"/>
      <c r="DY228" s="67"/>
      <c r="DZ228" s="560"/>
      <c r="EA228" s="560"/>
      <c r="EB228" s="67">
        <v>0</v>
      </c>
      <c r="EC228" s="66"/>
      <c r="ED228" s="67"/>
      <c r="EE228" s="560"/>
      <c r="EF228" s="560"/>
      <c r="EG228" s="67">
        <v>0</v>
      </c>
      <c r="EH228" s="66"/>
      <c r="EI228" s="67"/>
      <c r="EJ228" s="560"/>
      <c r="EK228" s="560"/>
      <c r="EL228" s="67">
        <f>SUM(CD228:CI228)</f>
        <v>0</v>
      </c>
      <c r="EM228" s="66"/>
      <c r="EN228" s="67"/>
      <c r="EO228" s="455"/>
      <c r="ER228" s="472"/>
      <c r="ES228" s="472"/>
    </row>
    <row r="229" spans="1:149" x14ac:dyDescent="0.2">
      <c r="A229" s="442"/>
      <c r="B229" s="442"/>
      <c r="D229" s="455" t="s">
        <v>352</v>
      </c>
      <c r="F229" s="488"/>
      <c r="G229" s="113">
        <v>0</v>
      </c>
      <c r="H229" s="112"/>
      <c r="I229" s="67"/>
      <c r="J229" s="560"/>
      <c r="K229" s="569"/>
      <c r="L229" s="113">
        <v>0</v>
      </c>
      <c r="M229" s="112"/>
      <c r="N229" s="67"/>
      <c r="O229" s="560"/>
      <c r="P229" s="569"/>
      <c r="Q229" s="113">
        <v>0</v>
      </c>
      <c r="R229" s="112"/>
      <c r="S229" s="67"/>
      <c r="T229" s="560"/>
      <c r="U229" s="569"/>
      <c r="V229" s="113">
        <v>0</v>
      </c>
      <c r="W229" s="112"/>
      <c r="X229" s="67"/>
      <c r="Y229" s="560"/>
      <c r="Z229" s="569"/>
      <c r="AA229" s="113">
        <v>0</v>
      </c>
      <c r="AB229" s="112"/>
      <c r="AC229" s="67"/>
      <c r="AD229" s="560"/>
      <c r="AE229" s="569"/>
      <c r="AF229" s="113">
        <v>0</v>
      </c>
      <c r="AG229" s="112"/>
      <c r="AH229" s="67"/>
      <c r="AI229" s="560"/>
      <c r="AJ229" s="569"/>
      <c r="AK229" s="113">
        <v>0</v>
      </c>
      <c r="AL229" s="112"/>
      <c r="AM229" s="67"/>
      <c r="AN229" s="560"/>
      <c r="AO229" s="569"/>
      <c r="AP229" s="113">
        <v>0</v>
      </c>
      <c r="AQ229" s="112"/>
      <c r="AR229" s="67"/>
      <c r="AS229" s="560"/>
      <c r="AT229" s="569"/>
      <c r="AU229" s="113">
        <v>0</v>
      </c>
      <c r="AV229" s="112"/>
      <c r="AW229" s="67"/>
      <c r="AX229" s="560"/>
      <c r="AY229" s="569"/>
      <c r="AZ229" s="113">
        <v>0</v>
      </c>
      <c r="BA229" s="112"/>
      <c r="BB229" s="67"/>
      <c r="BC229" s="560"/>
      <c r="BD229" s="569"/>
      <c r="BE229" s="113">
        <v>0</v>
      </c>
      <c r="BF229" s="112"/>
      <c r="BG229" s="67"/>
      <c r="BH229" s="560"/>
      <c r="BI229" s="569"/>
      <c r="BJ229" s="113">
        <v>0</v>
      </c>
      <c r="BK229" s="112"/>
      <c r="BL229" s="67"/>
      <c r="BM229" s="560"/>
      <c r="BN229" s="569"/>
      <c r="BO229" s="113">
        <v>0</v>
      </c>
      <c r="BP229" s="112"/>
      <c r="BQ229" s="67"/>
      <c r="BR229" s="560"/>
      <c r="BS229" s="569"/>
      <c r="BT229" s="113">
        <f>SUM(L229:BO229)</f>
        <v>0</v>
      </c>
      <c r="BU229" s="112"/>
      <c r="BV229" s="67"/>
      <c r="BW229" s="560"/>
      <c r="BX229" s="569"/>
      <c r="BY229" s="113">
        <v>-378078</v>
      </c>
      <c r="BZ229" s="112"/>
      <c r="CA229" s="67"/>
      <c r="CB229" s="560"/>
      <c r="CC229" s="569"/>
      <c r="CD229" s="113">
        <v>0</v>
      </c>
      <c r="CE229" s="112"/>
      <c r="CF229" s="67"/>
      <c r="CG229" s="560"/>
      <c r="CH229" s="569"/>
      <c r="CI229" s="113">
        <v>-378078</v>
      </c>
      <c r="CJ229" s="112"/>
      <c r="CK229" s="67"/>
      <c r="CL229" s="560"/>
      <c r="CM229" s="569"/>
      <c r="CN229" s="113">
        <v>0</v>
      </c>
      <c r="CO229" s="112"/>
      <c r="CP229" s="67"/>
      <c r="CQ229" s="560"/>
      <c r="CR229" s="569"/>
      <c r="CS229" s="113">
        <v>0</v>
      </c>
      <c r="CT229" s="112"/>
      <c r="CU229" s="67"/>
      <c r="CV229" s="560"/>
      <c r="CW229" s="569"/>
      <c r="CX229" s="113">
        <v>0</v>
      </c>
      <c r="CY229" s="112"/>
      <c r="CZ229" s="67"/>
      <c r="DA229" s="560"/>
      <c r="DB229" s="569"/>
      <c r="DC229" s="113">
        <v>0</v>
      </c>
      <c r="DD229" s="112"/>
      <c r="DE229" s="67"/>
      <c r="DF229" s="560"/>
      <c r="DG229" s="569"/>
      <c r="DH229" s="113">
        <v>0</v>
      </c>
      <c r="DI229" s="112"/>
      <c r="DJ229" s="67"/>
      <c r="DK229" s="560"/>
      <c r="DL229" s="569"/>
      <c r="DM229" s="113">
        <v>0</v>
      </c>
      <c r="DN229" s="112"/>
      <c r="DO229" s="67"/>
      <c r="DP229" s="560"/>
      <c r="DQ229" s="569"/>
      <c r="DR229" s="113">
        <v>0</v>
      </c>
      <c r="DS229" s="112"/>
      <c r="DT229" s="67"/>
      <c r="DU229" s="560"/>
      <c r="DV229" s="569"/>
      <c r="DW229" s="113">
        <v>0</v>
      </c>
      <c r="DX229" s="112"/>
      <c r="DY229" s="67"/>
      <c r="DZ229" s="560"/>
      <c r="EA229" s="569"/>
      <c r="EB229" s="113">
        <v>0</v>
      </c>
      <c r="EC229" s="112"/>
      <c r="ED229" s="67"/>
      <c r="EE229" s="560"/>
      <c r="EF229" s="569"/>
      <c r="EG229" s="113">
        <v>0</v>
      </c>
      <c r="EH229" s="112"/>
      <c r="EI229" s="67"/>
      <c r="EJ229" s="560"/>
      <c r="EK229" s="569"/>
      <c r="EL229" s="113">
        <f>SUM(CD229:CI229)</f>
        <v>-378078</v>
      </c>
      <c r="EM229" s="112"/>
      <c r="EN229" s="67"/>
      <c r="EO229" s="455"/>
      <c r="ER229" s="472"/>
      <c r="ES229" s="472"/>
    </row>
    <row r="230" spans="1:149" ht="12.75" customHeight="1" x14ac:dyDescent="0.2">
      <c r="A230" s="442"/>
      <c r="B230" s="442"/>
      <c r="D230" s="455"/>
      <c r="E230" s="582"/>
      <c r="F230" s="320"/>
      <c r="G230" s="67"/>
      <c r="H230" s="67"/>
      <c r="I230" s="67"/>
      <c r="J230" s="560"/>
      <c r="K230" s="320"/>
      <c r="L230" s="67"/>
      <c r="M230" s="67"/>
      <c r="N230" s="67"/>
      <c r="O230" s="560"/>
      <c r="P230" s="320"/>
      <c r="Q230" s="67"/>
      <c r="R230" s="67"/>
      <c r="S230" s="67"/>
      <c r="T230" s="560"/>
      <c r="U230" s="320"/>
      <c r="V230" s="67"/>
      <c r="W230" s="67"/>
      <c r="X230" s="67"/>
      <c r="Y230" s="560"/>
      <c r="Z230" s="320"/>
      <c r="AA230" s="67"/>
      <c r="AB230" s="67"/>
      <c r="AC230" s="67"/>
      <c r="AD230" s="560"/>
      <c r="AE230" s="320"/>
      <c r="AF230" s="67"/>
      <c r="AG230" s="67"/>
      <c r="AH230" s="67"/>
      <c r="AI230" s="560"/>
      <c r="AJ230" s="320"/>
      <c r="AK230" s="67"/>
      <c r="AL230" s="67"/>
      <c r="AM230" s="67"/>
      <c r="AN230" s="560"/>
      <c r="AO230" s="320"/>
      <c r="AP230" s="67"/>
      <c r="AQ230" s="67"/>
      <c r="AR230" s="67"/>
      <c r="AS230" s="560"/>
      <c r="AT230" s="320"/>
      <c r="AU230" s="67"/>
      <c r="AV230" s="67"/>
      <c r="AW230" s="67"/>
      <c r="AX230" s="560"/>
      <c r="AY230" s="320"/>
      <c r="AZ230" s="67"/>
      <c r="BA230" s="67"/>
      <c r="BB230" s="67"/>
      <c r="BC230" s="560"/>
      <c r="BD230" s="320"/>
      <c r="BE230" s="67"/>
      <c r="BF230" s="67"/>
      <c r="BG230" s="67"/>
      <c r="BH230" s="560"/>
      <c r="BI230" s="320"/>
      <c r="BJ230" s="67"/>
      <c r="BK230" s="67"/>
      <c r="BL230" s="67"/>
      <c r="BM230" s="560"/>
      <c r="BN230" s="320"/>
      <c r="BO230" s="67"/>
      <c r="BP230" s="67"/>
      <c r="BQ230" s="67"/>
      <c r="BR230" s="560"/>
      <c r="BS230" s="320"/>
      <c r="BT230" s="67"/>
      <c r="BU230" s="67"/>
      <c r="BV230" s="67"/>
      <c r="BW230" s="560"/>
      <c r="BX230" s="320"/>
      <c r="BY230" s="67"/>
      <c r="BZ230" s="67"/>
      <c r="CA230" s="67"/>
      <c r="CB230" s="560"/>
      <c r="CC230" s="320"/>
      <c r="CD230" s="67"/>
      <c r="CE230" s="67"/>
      <c r="CF230" s="67"/>
      <c r="CG230" s="560"/>
      <c r="CH230" s="320"/>
      <c r="CI230" s="67"/>
      <c r="CJ230" s="67"/>
      <c r="CK230" s="67"/>
      <c r="CL230" s="560"/>
      <c r="CM230" s="320"/>
      <c r="CN230" s="67"/>
      <c r="CO230" s="67"/>
      <c r="CP230" s="67"/>
      <c r="CQ230" s="560"/>
      <c r="CR230" s="320"/>
      <c r="CS230" s="67"/>
      <c r="CT230" s="67"/>
      <c r="CU230" s="67"/>
      <c r="CV230" s="560"/>
      <c r="CW230" s="320"/>
      <c r="CX230" s="67"/>
      <c r="CY230" s="67"/>
      <c r="CZ230" s="67"/>
      <c r="DA230" s="560"/>
      <c r="DB230" s="320"/>
      <c r="DC230" s="67"/>
      <c r="DD230" s="67"/>
      <c r="DE230" s="67"/>
      <c r="DF230" s="560"/>
      <c r="DG230" s="320"/>
      <c r="DH230" s="67"/>
      <c r="DI230" s="67"/>
      <c r="DJ230" s="67"/>
      <c r="DK230" s="560"/>
      <c r="DL230" s="320"/>
      <c r="DM230" s="67"/>
      <c r="DN230" s="67"/>
      <c r="DO230" s="67"/>
      <c r="DP230" s="560"/>
      <c r="DQ230" s="320"/>
      <c r="DR230" s="67"/>
      <c r="DS230" s="67"/>
      <c r="DT230" s="67"/>
      <c r="DU230" s="560"/>
      <c r="DV230" s="320"/>
      <c r="DW230" s="67"/>
      <c r="DX230" s="67"/>
      <c r="DY230" s="67"/>
      <c r="DZ230" s="560"/>
      <c r="EA230" s="320"/>
      <c r="EB230" s="67"/>
      <c r="EC230" s="67"/>
      <c r="ED230" s="67"/>
      <c r="EE230" s="560"/>
      <c r="EF230" s="320"/>
      <c r="EG230" s="67"/>
      <c r="EH230" s="67"/>
      <c r="EI230" s="67"/>
      <c r="EJ230" s="560"/>
      <c r="EK230" s="320"/>
      <c r="EL230" s="67"/>
      <c r="EM230" s="67"/>
      <c r="EN230" s="67"/>
      <c r="EO230" s="455"/>
      <c r="ER230" s="472"/>
      <c r="ES230" s="472"/>
    </row>
    <row r="231" spans="1:149" ht="12.75" customHeight="1" x14ac:dyDescent="0.2">
      <c r="A231" s="442"/>
      <c r="B231" s="442"/>
      <c r="D231" s="455" t="str">
        <f>D120</f>
        <v xml:space="preserve">  R2040 (9.00%  2040/09/11)</v>
      </c>
      <c r="E231" s="582"/>
      <c r="F231" s="320"/>
      <c r="G231" s="67">
        <v>0</v>
      </c>
      <c r="H231" s="67"/>
      <c r="I231" s="67"/>
      <c r="J231" s="560"/>
      <c r="K231" s="67"/>
      <c r="L231" s="67">
        <v>0</v>
      </c>
      <c r="M231" s="67"/>
      <c r="N231" s="67"/>
      <c r="O231" s="560"/>
      <c r="P231" s="320"/>
      <c r="Q231" s="67">
        <f>SUM(Q232:Q234)</f>
        <v>0</v>
      </c>
      <c r="R231" s="67"/>
      <c r="S231" s="67"/>
      <c r="T231" s="560"/>
      <c r="U231" s="320"/>
      <c r="V231" s="67">
        <v>0</v>
      </c>
      <c r="W231" s="67"/>
      <c r="X231" s="67"/>
      <c r="Y231" s="560"/>
      <c r="Z231" s="320"/>
      <c r="AA231" s="67">
        <v>0</v>
      </c>
      <c r="AB231" s="67"/>
      <c r="AC231" s="67"/>
      <c r="AD231" s="560"/>
      <c r="AE231" s="320"/>
      <c r="AF231" s="67">
        <f>SUM(AF232:AF234)</f>
        <v>0</v>
      </c>
      <c r="AG231" s="67"/>
      <c r="AH231" s="67"/>
      <c r="AI231" s="560"/>
      <c r="AJ231" s="320"/>
      <c r="AK231" s="67">
        <f>SUM(AK232:AK234)</f>
        <v>0</v>
      </c>
      <c r="AL231" s="67"/>
      <c r="AM231" s="67"/>
      <c r="AN231" s="560"/>
      <c r="AO231" s="320"/>
      <c r="AP231" s="67">
        <v>0</v>
      </c>
      <c r="AQ231" s="67"/>
      <c r="AR231" s="67"/>
      <c r="AS231" s="560"/>
      <c r="AT231" s="320"/>
      <c r="AU231" s="67">
        <f>SUM(AU232:AU235)</f>
        <v>0</v>
      </c>
      <c r="AV231" s="67"/>
      <c r="AW231" s="67"/>
      <c r="AX231" s="560"/>
      <c r="AY231" s="320"/>
      <c r="AZ231" s="67">
        <f>SUM(AZ232:AZ234)</f>
        <v>0</v>
      </c>
      <c r="BA231" s="67"/>
      <c r="BB231" s="67"/>
      <c r="BC231" s="560"/>
      <c r="BD231" s="320"/>
      <c r="BE231" s="67">
        <v>0</v>
      </c>
      <c r="BF231" s="67"/>
      <c r="BG231" s="67"/>
      <c r="BH231" s="560"/>
      <c r="BI231" s="320"/>
      <c r="BJ231" s="67">
        <f>SUM(BJ232:BJ234)</f>
        <v>0</v>
      </c>
      <c r="BK231" s="67"/>
      <c r="BL231" s="67"/>
      <c r="BM231" s="560"/>
      <c r="BN231" s="320"/>
      <c r="BO231" s="67">
        <v>0</v>
      </c>
      <c r="BP231" s="67"/>
      <c r="BQ231" s="67"/>
      <c r="BR231" s="560"/>
      <c r="BS231" s="320"/>
      <c r="BT231" s="67">
        <f>SUM(BT232:BT235)</f>
        <v>0</v>
      </c>
      <c r="BU231" s="67"/>
      <c r="BV231" s="67"/>
      <c r="BW231" s="560"/>
      <c r="BX231" s="320"/>
      <c r="BY231" s="67">
        <f>SUM(BY232:BY235)</f>
        <v>707823</v>
      </c>
      <c r="BZ231" s="67"/>
      <c r="CA231" s="67"/>
      <c r="CB231" s="560"/>
      <c r="CC231" s="67"/>
      <c r="CD231" s="67">
        <v>0</v>
      </c>
      <c r="CE231" s="67"/>
      <c r="CF231" s="67"/>
      <c r="CG231" s="560"/>
      <c r="CH231" s="320"/>
      <c r="CI231" s="67">
        <f>SUM(CI232:CI234)</f>
        <v>707823</v>
      </c>
      <c r="CJ231" s="67"/>
      <c r="CK231" s="67"/>
      <c r="CL231" s="560"/>
      <c r="CM231" s="320"/>
      <c r="CN231" s="67">
        <v>0</v>
      </c>
      <c r="CO231" s="67"/>
      <c r="CP231" s="67"/>
      <c r="CQ231" s="560"/>
      <c r="CR231" s="320"/>
      <c r="CS231" s="67">
        <v>0</v>
      </c>
      <c r="CT231" s="67"/>
      <c r="CU231" s="67"/>
      <c r="CV231" s="560"/>
      <c r="CW231" s="320"/>
      <c r="CX231" s="67">
        <f>SUM(CX232:CX234)</f>
        <v>0</v>
      </c>
      <c r="CY231" s="67"/>
      <c r="CZ231" s="67"/>
      <c r="DA231" s="560"/>
      <c r="DB231" s="320"/>
      <c r="DC231" s="67">
        <f>SUM(DC232:DC234)</f>
        <v>0</v>
      </c>
      <c r="DD231" s="67"/>
      <c r="DE231" s="67"/>
      <c r="DF231" s="560"/>
      <c r="DG231" s="320"/>
      <c r="DH231" s="67">
        <v>0</v>
      </c>
      <c r="DI231" s="67"/>
      <c r="DJ231" s="67"/>
      <c r="DK231" s="560"/>
      <c r="DL231" s="320"/>
      <c r="DM231" s="67">
        <f>SUM(DM232:DM235)</f>
        <v>0</v>
      </c>
      <c r="DN231" s="67"/>
      <c r="DO231" s="67"/>
      <c r="DP231" s="560"/>
      <c r="DQ231" s="320"/>
      <c r="DR231" s="67">
        <f>SUM(DR232:DR234)</f>
        <v>0</v>
      </c>
      <c r="DS231" s="67"/>
      <c r="DT231" s="67"/>
      <c r="DU231" s="560"/>
      <c r="DV231" s="320"/>
      <c r="DW231" s="67">
        <v>0</v>
      </c>
      <c r="DX231" s="67"/>
      <c r="DY231" s="67"/>
      <c r="DZ231" s="560"/>
      <c r="EA231" s="320"/>
      <c r="EB231" s="67">
        <f>SUM(EB232:EB234)</f>
        <v>0</v>
      </c>
      <c r="EC231" s="67"/>
      <c r="ED231" s="67"/>
      <c r="EE231" s="560"/>
      <c r="EF231" s="320"/>
      <c r="EG231" s="67">
        <v>0</v>
      </c>
      <c r="EH231" s="67"/>
      <c r="EI231" s="67"/>
      <c r="EJ231" s="560"/>
      <c r="EK231" s="320"/>
      <c r="EL231" s="67">
        <f>SUM(EL232:EL235)</f>
        <v>707823</v>
      </c>
      <c r="EM231" s="67"/>
      <c r="EN231" s="67"/>
      <c r="EO231" s="455"/>
      <c r="ER231" s="472"/>
      <c r="ES231" s="472"/>
    </row>
    <row r="232" spans="1:149" ht="12.75" customHeight="1" x14ac:dyDescent="0.2">
      <c r="A232" s="442"/>
      <c r="B232" s="442"/>
      <c r="D232" s="455" t="s">
        <v>342</v>
      </c>
      <c r="E232" s="582"/>
      <c r="F232" s="473"/>
      <c r="G232" s="558">
        <v>0</v>
      </c>
      <c r="H232" s="559"/>
      <c r="I232" s="67"/>
      <c r="J232" s="560"/>
      <c r="K232" s="561"/>
      <c r="L232" s="558">
        <v>0</v>
      </c>
      <c r="M232" s="559"/>
      <c r="N232" s="67"/>
      <c r="O232" s="560"/>
      <c r="P232" s="561"/>
      <c r="Q232" s="558">
        <v>0</v>
      </c>
      <c r="R232" s="559"/>
      <c r="S232" s="67"/>
      <c r="T232" s="560"/>
      <c r="U232" s="583"/>
      <c r="V232" s="558">
        <v>0</v>
      </c>
      <c r="W232" s="559"/>
      <c r="X232" s="67"/>
      <c r="Y232" s="560"/>
      <c r="Z232" s="583"/>
      <c r="AA232" s="558">
        <v>0</v>
      </c>
      <c r="AB232" s="559"/>
      <c r="AC232" s="67"/>
      <c r="AD232" s="560"/>
      <c r="AE232" s="583"/>
      <c r="AF232" s="558">
        <v>0</v>
      </c>
      <c r="AG232" s="559"/>
      <c r="AH232" s="67"/>
      <c r="AI232" s="560"/>
      <c r="AJ232" s="583"/>
      <c r="AK232" s="558">
        <v>0</v>
      </c>
      <c r="AL232" s="559"/>
      <c r="AM232" s="67"/>
      <c r="AN232" s="560"/>
      <c r="AO232" s="583"/>
      <c r="AP232" s="558">
        <v>0</v>
      </c>
      <c r="AQ232" s="559"/>
      <c r="AR232" s="67"/>
      <c r="AS232" s="560"/>
      <c r="AT232" s="473"/>
      <c r="AU232" s="558">
        <v>0</v>
      </c>
      <c r="AV232" s="559"/>
      <c r="AW232" s="67"/>
      <c r="AX232" s="560"/>
      <c r="AY232" s="473"/>
      <c r="AZ232" s="558">
        <v>0</v>
      </c>
      <c r="BA232" s="559"/>
      <c r="BB232" s="67"/>
      <c r="BC232" s="560"/>
      <c r="BD232" s="473"/>
      <c r="BE232" s="558">
        <v>0</v>
      </c>
      <c r="BF232" s="559"/>
      <c r="BG232" s="67"/>
      <c r="BH232" s="560"/>
      <c r="BI232" s="473"/>
      <c r="BJ232" s="558">
        <v>0</v>
      </c>
      <c r="BK232" s="559"/>
      <c r="BL232" s="67"/>
      <c r="BM232" s="560"/>
      <c r="BN232" s="473"/>
      <c r="BO232" s="558">
        <v>0</v>
      </c>
      <c r="BP232" s="559"/>
      <c r="BQ232" s="67"/>
      <c r="BR232" s="560"/>
      <c r="BS232" s="473"/>
      <c r="BT232" s="558">
        <f>SUM(L232:BO232)</f>
        <v>0</v>
      </c>
      <c r="BU232" s="559"/>
      <c r="BV232" s="67"/>
      <c r="BW232" s="560"/>
      <c r="BX232" s="473"/>
      <c r="BY232" s="558">
        <v>657332</v>
      </c>
      <c r="BZ232" s="559"/>
      <c r="CA232" s="67"/>
      <c r="CB232" s="560"/>
      <c r="CC232" s="561"/>
      <c r="CD232" s="558">
        <v>0</v>
      </c>
      <c r="CE232" s="559"/>
      <c r="CF232" s="67"/>
      <c r="CG232" s="560"/>
      <c r="CH232" s="561"/>
      <c r="CI232" s="558">
        <f>707823-50491</f>
        <v>657332</v>
      </c>
      <c r="CJ232" s="559"/>
      <c r="CK232" s="67"/>
      <c r="CL232" s="560"/>
      <c r="CM232" s="583"/>
      <c r="CN232" s="558">
        <v>0</v>
      </c>
      <c r="CO232" s="559"/>
      <c r="CP232" s="67"/>
      <c r="CQ232" s="560"/>
      <c r="CR232" s="583"/>
      <c r="CS232" s="558">
        <v>0</v>
      </c>
      <c r="CT232" s="559"/>
      <c r="CU232" s="67"/>
      <c r="CV232" s="560"/>
      <c r="CW232" s="583"/>
      <c r="CX232" s="558">
        <v>0</v>
      </c>
      <c r="CY232" s="559"/>
      <c r="CZ232" s="67"/>
      <c r="DA232" s="560"/>
      <c r="DB232" s="583"/>
      <c r="DC232" s="558">
        <v>0</v>
      </c>
      <c r="DD232" s="559"/>
      <c r="DE232" s="67"/>
      <c r="DF232" s="560"/>
      <c r="DG232" s="583"/>
      <c r="DH232" s="558">
        <v>0</v>
      </c>
      <c r="DI232" s="559"/>
      <c r="DJ232" s="67"/>
      <c r="DK232" s="560"/>
      <c r="DL232" s="473"/>
      <c r="DM232" s="558">
        <v>0</v>
      </c>
      <c r="DN232" s="559"/>
      <c r="DO232" s="67"/>
      <c r="DP232" s="560"/>
      <c r="DQ232" s="473"/>
      <c r="DR232" s="558">
        <v>0</v>
      </c>
      <c r="DS232" s="559"/>
      <c r="DT232" s="67"/>
      <c r="DU232" s="560"/>
      <c r="DV232" s="473"/>
      <c r="DW232" s="558">
        <v>0</v>
      </c>
      <c r="DX232" s="559"/>
      <c r="DY232" s="67"/>
      <c r="DZ232" s="560"/>
      <c r="EA232" s="473"/>
      <c r="EB232" s="558">
        <v>0</v>
      </c>
      <c r="EC232" s="559"/>
      <c r="ED232" s="67"/>
      <c r="EE232" s="560"/>
      <c r="EF232" s="473"/>
      <c r="EG232" s="558">
        <v>0</v>
      </c>
      <c r="EH232" s="559"/>
      <c r="EI232" s="67"/>
      <c r="EJ232" s="560"/>
      <c r="EK232" s="473"/>
      <c r="EL232" s="558">
        <f>SUM(CD232:CI232)</f>
        <v>657332</v>
      </c>
      <c r="EM232" s="559"/>
      <c r="EN232" s="67"/>
      <c r="EO232" s="455"/>
      <c r="ER232" s="472"/>
      <c r="ES232" s="472"/>
    </row>
    <row r="233" spans="1:149" ht="12.75" customHeight="1" x14ac:dyDescent="0.2">
      <c r="A233" s="442"/>
      <c r="B233" s="442"/>
      <c r="D233" s="455" t="s">
        <v>344</v>
      </c>
      <c r="E233" s="582"/>
      <c r="F233" s="465"/>
      <c r="G233" s="67">
        <v>0</v>
      </c>
      <c r="H233" s="66"/>
      <c r="I233" s="67"/>
      <c r="J233" s="560"/>
      <c r="K233" s="560"/>
      <c r="L233" s="67">
        <v>0</v>
      </c>
      <c r="M233" s="66"/>
      <c r="N233" s="67"/>
      <c r="O233" s="560"/>
      <c r="P233" s="560"/>
      <c r="Q233" s="67">
        <v>0</v>
      </c>
      <c r="R233" s="66"/>
      <c r="S233" s="67"/>
      <c r="T233" s="560"/>
      <c r="U233" s="554"/>
      <c r="V233" s="67">
        <v>0</v>
      </c>
      <c r="W233" s="66"/>
      <c r="X233" s="67"/>
      <c r="Y233" s="560"/>
      <c r="Z233" s="554"/>
      <c r="AA233" s="67">
        <v>0</v>
      </c>
      <c r="AB233" s="66"/>
      <c r="AC233" s="67"/>
      <c r="AD233" s="560"/>
      <c r="AE233" s="554"/>
      <c r="AF233" s="67">
        <v>0</v>
      </c>
      <c r="AG233" s="66"/>
      <c r="AH233" s="67"/>
      <c r="AI233" s="560"/>
      <c r="AJ233" s="554"/>
      <c r="AK233" s="67">
        <v>0</v>
      </c>
      <c r="AL233" s="66"/>
      <c r="AM233" s="67"/>
      <c r="AN233" s="560"/>
      <c r="AO233" s="554"/>
      <c r="AP233" s="67">
        <v>0</v>
      </c>
      <c r="AQ233" s="66"/>
      <c r="AR233" s="67"/>
      <c r="AS233" s="560"/>
      <c r="AT233" s="465"/>
      <c r="AU233" s="67">
        <v>0</v>
      </c>
      <c r="AV233" s="66"/>
      <c r="AW233" s="67"/>
      <c r="AX233" s="560"/>
      <c r="AY233" s="465"/>
      <c r="AZ233" s="67">
        <v>0</v>
      </c>
      <c r="BA233" s="66"/>
      <c r="BB233" s="67"/>
      <c r="BC233" s="560"/>
      <c r="BD233" s="465"/>
      <c r="BE233" s="67">
        <v>0</v>
      </c>
      <c r="BF233" s="66"/>
      <c r="BG233" s="67"/>
      <c r="BH233" s="560"/>
      <c r="BI233" s="465"/>
      <c r="BJ233" s="67">
        <v>0</v>
      </c>
      <c r="BK233" s="66"/>
      <c r="BL233" s="67"/>
      <c r="BM233" s="560"/>
      <c r="BN233" s="465"/>
      <c r="BO233" s="67">
        <v>0</v>
      </c>
      <c r="BP233" s="66"/>
      <c r="BQ233" s="67"/>
      <c r="BR233" s="560"/>
      <c r="BS233" s="465"/>
      <c r="BT233" s="67">
        <f>SUM(L233:BO233)</f>
        <v>0</v>
      </c>
      <c r="BU233" s="66"/>
      <c r="BV233" s="67"/>
      <c r="BW233" s="560"/>
      <c r="BX233" s="465"/>
      <c r="BY233" s="67">
        <v>50491</v>
      </c>
      <c r="BZ233" s="66"/>
      <c r="CA233" s="67"/>
      <c r="CB233" s="560"/>
      <c r="CC233" s="560"/>
      <c r="CD233" s="67">
        <v>0</v>
      </c>
      <c r="CE233" s="66"/>
      <c r="CF233" s="67"/>
      <c r="CG233" s="560"/>
      <c r="CH233" s="560"/>
      <c r="CI233" s="67">
        <v>50491</v>
      </c>
      <c r="CJ233" s="66"/>
      <c r="CK233" s="67"/>
      <c r="CL233" s="560"/>
      <c r="CM233" s="554"/>
      <c r="CN233" s="67">
        <v>0</v>
      </c>
      <c r="CO233" s="66"/>
      <c r="CP233" s="67"/>
      <c r="CQ233" s="560"/>
      <c r="CR233" s="554"/>
      <c r="CS233" s="67">
        <v>0</v>
      </c>
      <c r="CT233" s="66"/>
      <c r="CU233" s="67"/>
      <c r="CV233" s="560"/>
      <c r="CW233" s="554"/>
      <c r="CX233" s="67">
        <v>0</v>
      </c>
      <c r="CY233" s="66"/>
      <c r="CZ233" s="67"/>
      <c r="DA233" s="560"/>
      <c r="DB233" s="554"/>
      <c r="DC233" s="67">
        <v>0</v>
      </c>
      <c r="DD233" s="66"/>
      <c r="DE233" s="67"/>
      <c r="DF233" s="560"/>
      <c r="DG233" s="554"/>
      <c r="DH233" s="67">
        <v>0</v>
      </c>
      <c r="DI233" s="66"/>
      <c r="DJ233" s="67"/>
      <c r="DK233" s="560"/>
      <c r="DL233" s="465"/>
      <c r="DM233" s="67">
        <v>0</v>
      </c>
      <c r="DN233" s="66"/>
      <c r="DO233" s="67"/>
      <c r="DP233" s="560"/>
      <c r="DQ233" s="465"/>
      <c r="DR233" s="67">
        <v>0</v>
      </c>
      <c r="DS233" s="66"/>
      <c r="DT233" s="67"/>
      <c r="DU233" s="560"/>
      <c r="DV233" s="465"/>
      <c r="DW233" s="67">
        <v>0</v>
      </c>
      <c r="DX233" s="66"/>
      <c r="DY233" s="67"/>
      <c r="DZ233" s="560"/>
      <c r="EA233" s="465"/>
      <c r="EB233" s="67">
        <v>0</v>
      </c>
      <c r="EC233" s="66"/>
      <c r="ED233" s="67"/>
      <c r="EE233" s="560"/>
      <c r="EF233" s="465"/>
      <c r="EG233" s="67">
        <v>0</v>
      </c>
      <c r="EH233" s="66"/>
      <c r="EI233" s="67"/>
      <c r="EJ233" s="560"/>
      <c r="EK233" s="465"/>
      <c r="EL233" s="67">
        <f>SUM(CD233:CI233)</f>
        <v>50491</v>
      </c>
      <c r="EM233" s="66"/>
      <c r="EN233" s="67"/>
      <c r="EO233" s="455"/>
      <c r="ER233" s="472"/>
      <c r="ES233" s="472"/>
    </row>
    <row r="234" spans="1:149" ht="12.75" customHeight="1" x14ac:dyDescent="0.2">
      <c r="A234" s="442"/>
      <c r="B234" s="442"/>
      <c r="D234" s="455" t="s">
        <v>352</v>
      </c>
      <c r="E234" s="582"/>
      <c r="F234" s="488"/>
      <c r="G234" s="113">
        <v>0</v>
      </c>
      <c r="H234" s="112"/>
      <c r="I234" s="67"/>
      <c r="J234" s="560"/>
      <c r="K234" s="569"/>
      <c r="L234" s="113">
        <v>0</v>
      </c>
      <c r="M234" s="112"/>
      <c r="N234" s="67"/>
      <c r="O234" s="560"/>
      <c r="P234" s="569"/>
      <c r="Q234" s="113">
        <v>0</v>
      </c>
      <c r="R234" s="112"/>
      <c r="S234" s="67"/>
      <c r="T234" s="560"/>
      <c r="U234" s="488"/>
      <c r="V234" s="113">
        <v>0</v>
      </c>
      <c r="W234" s="112"/>
      <c r="X234" s="67"/>
      <c r="Y234" s="560"/>
      <c r="Z234" s="488"/>
      <c r="AA234" s="113">
        <v>0</v>
      </c>
      <c r="AB234" s="112"/>
      <c r="AC234" s="67"/>
      <c r="AD234" s="560"/>
      <c r="AE234" s="488"/>
      <c r="AF234" s="113">
        <v>0</v>
      </c>
      <c r="AG234" s="112"/>
      <c r="AH234" s="67"/>
      <c r="AI234" s="560"/>
      <c r="AJ234" s="488"/>
      <c r="AK234" s="113">
        <v>0</v>
      </c>
      <c r="AL234" s="112"/>
      <c r="AM234" s="67"/>
      <c r="AN234" s="560"/>
      <c r="AO234" s="488"/>
      <c r="AP234" s="113">
        <v>0</v>
      </c>
      <c r="AQ234" s="112"/>
      <c r="AR234" s="67"/>
      <c r="AS234" s="560"/>
      <c r="AT234" s="488"/>
      <c r="AU234" s="113">
        <v>0</v>
      </c>
      <c r="AV234" s="112"/>
      <c r="AW234" s="67"/>
      <c r="AX234" s="560"/>
      <c r="AY234" s="488"/>
      <c r="AZ234" s="113">
        <v>0</v>
      </c>
      <c r="BA234" s="112"/>
      <c r="BB234" s="67"/>
      <c r="BC234" s="560"/>
      <c r="BD234" s="488"/>
      <c r="BE234" s="113">
        <v>0</v>
      </c>
      <c r="BF234" s="112"/>
      <c r="BG234" s="67"/>
      <c r="BH234" s="560"/>
      <c r="BI234" s="488"/>
      <c r="BJ234" s="113">
        <v>0</v>
      </c>
      <c r="BK234" s="112"/>
      <c r="BL234" s="67"/>
      <c r="BM234" s="560"/>
      <c r="BN234" s="488"/>
      <c r="BO234" s="113">
        <v>0</v>
      </c>
      <c r="BP234" s="112"/>
      <c r="BQ234" s="67"/>
      <c r="BR234" s="560"/>
      <c r="BS234" s="488"/>
      <c r="BT234" s="113">
        <f>SUM(L234:BO234)</f>
        <v>0</v>
      </c>
      <c r="BU234" s="112"/>
      <c r="BV234" s="67"/>
      <c r="BW234" s="560"/>
      <c r="BX234" s="488"/>
      <c r="BY234" s="113">
        <v>0</v>
      </c>
      <c r="BZ234" s="112"/>
      <c r="CA234" s="67"/>
      <c r="CB234" s="560"/>
      <c r="CC234" s="569"/>
      <c r="CD234" s="113">
        <v>0</v>
      </c>
      <c r="CE234" s="112"/>
      <c r="CF234" s="67"/>
      <c r="CG234" s="560"/>
      <c r="CH234" s="569"/>
      <c r="CI234" s="113">
        <v>0</v>
      </c>
      <c r="CJ234" s="112"/>
      <c r="CK234" s="67"/>
      <c r="CL234" s="560"/>
      <c r="CM234" s="488"/>
      <c r="CN234" s="113">
        <v>0</v>
      </c>
      <c r="CO234" s="112"/>
      <c r="CP234" s="67"/>
      <c r="CQ234" s="560"/>
      <c r="CR234" s="488"/>
      <c r="CS234" s="113">
        <v>0</v>
      </c>
      <c r="CT234" s="112"/>
      <c r="CU234" s="67"/>
      <c r="CV234" s="560"/>
      <c r="CW234" s="488"/>
      <c r="CX234" s="113">
        <v>0</v>
      </c>
      <c r="CY234" s="112"/>
      <c r="CZ234" s="67"/>
      <c r="DA234" s="560"/>
      <c r="DB234" s="488"/>
      <c r="DC234" s="113">
        <v>0</v>
      </c>
      <c r="DD234" s="112"/>
      <c r="DE234" s="67"/>
      <c r="DF234" s="560"/>
      <c r="DG234" s="488"/>
      <c r="DH234" s="113">
        <v>0</v>
      </c>
      <c r="DI234" s="112"/>
      <c r="DJ234" s="67"/>
      <c r="DK234" s="560"/>
      <c r="DL234" s="488"/>
      <c r="DM234" s="113">
        <v>0</v>
      </c>
      <c r="DN234" s="112"/>
      <c r="DO234" s="67"/>
      <c r="DP234" s="560"/>
      <c r="DQ234" s="488"/>
      <c r="DR234" s="113">
        <v>0</v>
      </c>
      <c r="DS234" s="112"/>
      <c r="DT234" s="67"/>
      <c r="DU234" s="560"/>
      <c r="DV234" s="488"/>
      <c r="DW234" s="113">
        <v>0</v>
      </c>
      <c r="DX234" s="112"/>
      <c r="DY234" s="67"/>
      <c r="DZ234" s="560"/>
      <c r="EA234" s="488"/>
      <c r="EB234" s="113">
        <v>0</v>
      </c>
      <c r="EC234" s="112"/>
      <c r="ED234" s="67"/>
      <c r="EE234" s="560"/>
      <c r="EF234" s="488"/>
      <c r="EG234" s="113">
        <v>0</v>
      </c>
      <c r="EH234" s="112"/>
      <c r="EI234" s="67"/>
      <c r="EJ234" s="560"/>
      <c r="EK234" s="488"/>
      <c r="EL234" s="113">
        <f>SUM(CD234:CI234)</f>
        <v>0</v>
      </c>
      <c r="EM234" s="112"/>
      <c r="EN234" s="67"/>
      <c r="EO234" s="455"/>
      <c r="ER234" s="472"/>
      <c r="ES234" s="472"/>
    </row>
    <row r="235" spans="1:149" ht="12.75" hidden="1" customHeight="1" x14ac:dyDescent="0.2">
      <c r="A235" s="442"/>
      <c r="B235" s="442"/>
      <c r="D235" s="455" t="s">
        <v>346</v>
      </c>
      <c r="E235" s="582"/>
      <c r="F235" s="585"/>
      <c r="G235" s="113">
        <v>0</v>
      </c>
      <c r="H235" s="112"/>
      <c r="I235" s="67"/>
      <c r="J235" s="560"/>
      <c r="K235" s="585"/>
      <c r="L235" s="113">
        <v>0</v>
      </c>
      <c r="M235" s="112"/>
      <c r="N235" s="67"/>
      <c r="O235" s="560"/>
      <c r="P235" s="585"/>
      <c r="Q235" s="113">
        <v>0</v>
      </c>
      <c r="R235" s="112"/>
      <c r="S235" s="67"/>
      <c r="T235" s="560"/>
      <c r="U235" s="585"/>
      <c r="V235" s="113">
        <v>0</v>
      </c>
      <c r="W235" s="112"/>
      <c r="X235" s="67"/>
      <c r="Y235" s="560"/>
      <c r="Z235" s="585"/>
      <c r="AA235" s="113">
        <v>0</v>
      </c>
      <c r="AB235" s="112"/>
      <c r="AC235" s="67"/>
      <c r="AD235" s="560"/>
      <c r="AE235" s="585"/>
      <c r="AF235" s="113">
        <v>0</v>
      </c>
      <c r="AG235" s="112"/>
      <c r="AH235" s="67"/>
      <c r="AI235" s="560"/>
      <c r="AJ235" s="585"/>
      <c r="AK235" s="113">
        <v>0</v>
      </c>
      <c r="AL235" s="112"/>
      <c r="AM235" s="67"/>
      <c r="AN235" s="560"/>
      <c r="AO235" s="585"/>
      <c r="AP235" s="113">
        <v>0</v>
      </c>
      <c r="AQ235" s="112"/>
      <c r="AR235" s="67"/>
      <c r="AS235" s="560"/>
      <c r="AT235" s="585"/>
      <c r="AU235" s="113">
        <v>0</v>
      </c>
      <c r="AV235" s="112"/>
      <c r="AW235" s="67"/>
      <c r="AX235" s="560"/>
      <c r="AY235" s="585"/>
      <c r="AZ235" s="113">
        <v>0</v>
      </c>
      <c r="BA235" s="112"/>
      <c r="BB235" s="67"/>
      <c r="BC235" s="560"/>
      <c r="BD235" s="585"/>
      <c r="BE235" s="113">
        <v>0</v>
      </c>
      <c r="BF235" s="112"/>
      <c r="BG235" s="67"/>
      <c r="BH235" s="560"/>
      <c r="BI235" s="585"/>
      <c r="BJ235" s="113">
        <v>0</v>
      </c>
      <c r="BK235" s="112"/>
      <c r="BL235" s="67"/>
      <c r="BM235" s="560"/>
      <c r="BN235" s="585"/>
      <c r="BO235" s="113">
        <v>0</v>
      </c>
      <c r="BP235" s="112"/>
      <c r="BQ235" s="67"/>
      <c r="BR235" s="560"/>
      <c r="BS235" s="585"/>
      <c r="BT235" s="113">
        <f>SUM(L235:BO235)</f>
        <v>0</v>
      </c>
      <c r="BU235" s="112"/>
      <c r="BV235" s="67"/>
      <c r="BW235" s="560"/>
      <c r="BX235" s="585"/>
      <c r="BY235" s="113">
        <f>SUM(Q235:BT235)</f>
        <v>0</v>
      </c>
      <c r="BZ235" s="112"/>
      <c r="CA235" s="67"/>
      <c r="CB235" s="560"/>
      <c r="CC235" s="585"/>
      <c r="CD235" s="113">
        <v>0</v>
      </c>
      <c r="CE235" s="112"/>
      <c r="CF235" s="67"/>
      <c r="CG235" s="560"/>
      <c r="CH235" s="585"/>
      <c r="CI235" s="113">
        <v>0</v>
      </c>
      <c r="CJ235" s="112"/>
      <c r="CK235" s="67"/>
      <c r="CL235" s="560"/>
      <c r="CM235" s="585"/>
      <c r="CN235" s="113">
        <v>0</v>
      </c>
      <c r="CO235" s="112"/>
      <c r="CP235" s="67"/>
      <c r="CQ235" s="560"/>
      <c r="CR235" s="585"/>
      <c r="CS235" s="113">
        <v>0</v>
      </c>
      <c r="CT235" s="112"/>
      <c r="CU235" s="67"/>
      <c r="CV235" s="560"/>
      <c r="CW235" s="585"/>
      <c r="CX235" s="113">
        <v>0</v>
      </c>
      <c r="CY235" s="112"/>
      <c r="CZ235" s="67"/>
      <c r="DA235" s="560"/>
      <c r="DB235" s="585"/>
      <c r="DC235" s="113">
        <v>0</v>
      </c>
      <c r="DD235" s="112"/>
      <c r="DE235" s="67"/>
      <c r="DF235" s="560"/>
      <c r="DG235" s="585"/>
      <c r="DH235" s="113">
        <v>0</v>
      </c>
      <c r="DI235" s="112"/>
      <c r="DJ235" s="67"/>
      <c r="DK235" s="560"/>
      <c r="DL235" s="585"/>
      <c r="DM235" s="113">
        <v>0</v>
      </c>
      <c r="DN235" s="112"/>
      <c r="DO235" s="67"/>
      <c r="DP235" s="560"/>
      <c r="DQ235" s="585"/>
      <c r="DR235" s="113">
        <v>0</v>
      </c>
      <c r="DS235" s="112"/>
      <c r="DT235" s="67"/>
      <c r="DU235" s="560"/>
      <c r="DV235" s="585"/>
      <c r="DW235" s="113">
        <v>0</v>
      </c>
      <c r="DX235" s="112"/>
      <c r="DY235" s="67"/>
      <c r="DZ235" s="560"/>
      <c r="EA235" s="585"/>
      <c r="EB235" s="113">
        <v>0</v>
      </c>
      <c r="EC235" s="112"/>
      <c r="ED235" s="67"/>
      <c r="EE235" s="560"/>
      <c r="EF235" s="585"/>
      <c r="EG235" s="113">
        <v>0</v>
      </c>
      <c r="EH235" s="112"/>
      <c r="EI235" s="67"/>
      <c r="EJ235" s="560"/>
      <c r="EK235" s="585"/>
      <c r="EL235" s="113">
        <f>SUM(CD235:EG235)</f>
        <v>0</v>
      </c>
      <c r="EM235" s="112"/>
      <c r="EN235" s="67"/>
      <c r="EO235" s="455"/>
      <c r="ER235" s="472"/>
      <c r="ES235" s="472"/>
    </row>
    <row r="236" spans="1:149" ht="12.75" customHeight="1" x14ac:dyDescent="0.2">
      <c r="A236" s="442"/>
      <c r="B236" s="442"/>
      <c r="D236" s="455"/>
      <c r="E236" s="582"/>
      <c r="F236" s="320"/>
      <c r="G236" s="67"/>
      <c r="H236" s="67"/>
      <c r="I236" s="67"/>
      <c r="J236" s="560"/>
      <c r="K236" s="320"/>
      <c r="L236" s="67"/>
      <c r="M236" s="67"/>
      <c r="N236" s="67"/>
      <c r="O236" s="560"/>
      <c r="P236" s="320"/>
      <c r="Q236" s="67"/>
      <c r="R236" s="67"/>
      <c r="S236" s="67"/>
      <c r="T236" s="560"/>
      <c r="U236" s="320"/>
      <c r="V236" s="67"/>
      <c r="W236" s="67"/>
      <c r="X236" s="67"/>
      <c r="Y236" s="560"/>
      <c r="Z236" s="320"/>
      <c r="AA236" s="67"/>
      <c r="AB236" s="67"/>
      <c r="AC236" s="67"/>
      <c r="AD236" s="560"/>
      <c r="AE236" s="320"/>
      <c r="AF236" s="67"/>
      <c r="AG236" s="67"/>
      <c r="AH236" s="67"/>
      <c r="AI236" s="560"/>
      <c r="AJ236" s="320"/>
      <c r="AK236" s="67"/>
      <c r="AL236" s="67"/>
      <c r="AM236" s="67"/>
      <c r="AN236" s="560"/>
      <c r="AO236" s="320"/>
      <c r="AP236" s="67"/>
      <c r="AQ236" s="67"/>
      <c r="AR236" s="67"/>
      <c r="AS236" s="560"/>
      <c r="AT236" s="320"/>
      <c r="AU236" s="67"/>
      <c r="AV236" s="67"/>
      <c r="AW236" s="67"/>
      <c r="AX236" s="560"/>
      <c r="AY236" s="320"/>
      <c r="AZ236" s="67"/>
      <c r="BA236" s="67"/>
      <c r="BB236" s="67"/>
      <c r="BC236" s="560"/>
      <c r="BD236" s="320"/>
      <c r="BE236" s="67"/>
      <c r="BF236" s="67"/>
      <c r="BG236" s="67"/>
      <c r="BH236" s="560"/>
      <c r="BI236" s="320"/>
      <c r="BJ236" s="67"/>
      <c r="BK236" s="67"/>
      <c r="BL236" s="67"/>
      <c r="BM236" s="560"/>
      <c r="BN236" s="320"/>
      <c r="BO236" s="67"/>
      <c r="BP236" s="67"/>
      <c r="BQ236" s="67"/>
      <c r="BR236" s="560"/>
      <c r="BS236" s="320"/>
      <c r="BT236" s="67"/>
      <c r="BU236" s="67"/>
      <c r="BV236" s="67"/>
      <c r="BW236" s="560"/>
      <c r="BX236" s="320"/>
      <c r="BY236" s="67"/>
      <c r="BZ236" s="67"/>
      <c r="CA236" s="67"/>
      <c r="CB236" s="560"/>
      <c r="CC236" s="320"/>
      <c r="CD236" s="67"/>
      <c r="CE236" s="67"/>
      <c r="CF236" s="67"/>
      <c r="CG236" s="560"/>
      <c r="CH236" s="320"/>
      <c r="CI236" s="67"/>
      <c r="CJ236" s="67"/>
      <c r="CK236" s="67"/>
      <c r="CL236" s="560"/>
      <c r="CM236" s="320"/>
      <c r="CN236" s="67"/>
      <c r="CO236" s="67"/>
      <c r="CP236" s="67"/>
      <c r="CQ236" s="560"/>
      <c r="CR236" s="320"/>
      <c r="CS236" s="67"/>
      <c r="CT236" s="67"/>
      <c r="CU236" s="67"/>
      <c r="CV236" s="560"/>
      <c r="CW236" s="320"/>
      <c r="CX236" s="67"/>
      <c r="CY236" s="67"/>
      <c r="CZ236" s="67"/>
      <c r="DA236" s="560"/>
      <c r="DB236" s="320"/>
      <c r="DC236" s="67"/>
      <c r="DD236" s="67"/>
      <c r="DE236" s="67"/>
      <c r="DF236" s="560"/>
      <c r="DG236" s="320"/>
      <c r="DH236" s="67"/>
      <c r="DI236" s="67"/>
      <c r="DJ236" s="67"/>
      <c r="DK236" s="560"/>
      <c r="DL236" s="320"/>
      <c r="DM236" s="67"/>
      <c r="DN236" s="67"/>
      <c r="DO236" s="67"/>
      <c r="DP236" s="560"/>
      <c r="DQ236" s="320"/>
      <c r="DR236" s="67"/>
      <c r="DS236" s="67"/>
      <c r="DT236" s="67"/>
      <c r="DU236" s="560"/>
      <c r="DV236" s="320"/>
      <c r="DW236" s="67"/>
      <c r="DX236" s="67"/>
      <c r="DY236" s="67"/>
      <c r="DZ236" s="560"/>
      <c r="EA236" s="320"/>
      <c r="EB236" s="67"/>
      <c r="EC236" s="67"/>
      <c r="ED236" s="67"/>
      <c r="EE236" s="560"/>
      <c r="EF236" s="320"/>
      <c r="EG236" s="67"/>
      <c r="EH236" s="67"/>
      <c r="EI236" s="67"/>
      <c r="EJ236" s="560"/>
      <c r="EK236" s="320"/>
      <c r="EL236" s="67"/>
      <c r="EM236" s="67"/>
      <c r="EN236" s="67"/>
      <c r="EO236" s="455"/>
      <c r="ER236" s="472"/>
      <c r="ES236" s="472"/>
    </row>
    <row r="237" spans="1:149" ht="12.75" customHeight="1" x14ac:dyDescent="0.2">
      <c r="A237" s="442"/>
      <c r="B237" s="442"/>
      <c r="D237" s="455" t="s">
        <v>373</v>
      </c>
      <c r="E237" s="582"/>
      <c r="F237" s="442"/>
      <c r="G237" s="67">
        <f>SUM(G238:G240)</f>
        <v>0</v>
      </c>
      <c r="H237" s="67"/>
      <c r="I237" s="67"/>
      <c r="J237" s="560"/>
      <c r="K237" s="442"/>
      <c r="L237" s="67">
        <f>SUM(L238:L240)</f>
        <v>0</v>
      </c>
      <c r="M237" s="67"/>
      <c r="N237" s="67"/>
      <c r="O237" s="560"/>
      <c r="P237" s="442"/>
      <c r="Q237" s="67">
        <f>SUM(Q238:Q240)</f>
        <v>0</v>
      </c>
      <c r="R237" s="67"/>
      <c r="S237" s="67"/>
      <c r="T237" s="560"/>
      <c r="U237" s="442"/>
      <c r="V237" s="67">
        <f>SUM(V238:V240)</f>
        <v>0</v>
      </c>
      <c r="W237" s="67"/>
      <c r="X237" s="67"/>
      <c r="Y237" s="560"/>
      <c r="Z237" s="442"/>
      <c r="AA237" s="67">
        <f>SUM(AA238:AA240)</f>
        <v>0</v>
      </c>
      <c r="AB237" s="67"/>
      <c r="AC237" s="67"/>
      <c r="AD237" s="560"/>
      <c r="AE237" s="442"/>
      <c r="AF237" s="67">
        <f>SUM(AF238:AF240)</f>
        <v>0</v>
      </c>
      <c r="AG237" s="67"/>
      <c r="AH237" s="67"/>
      <c r="AI237" s="560"/>
      <c r="AJ237" s="442"/>
      <c r="AK237" s="67">
        <f>SUM(AK238:AK240)</f>
        <v>0</v>
      </c>
      <c r="AL237" s="67"/>
      <c r="AM237" s="67"/>
      <c r="AN237" s="560"/>
      <c r="AO237" s="442"/>
      <c r="AP237" s="67">
        <f>SUM(AP238:AP240)</f>
        <v>0</v>
      </c>
      <c r="AQ237" s="67"/>
      <c r="AR237" s="67"/>
      <c r="AS237" s="560"/>
      <c r="AT237" s="442"/>
      <c r="AU237" s="67">
        <f>SUM(AU238:AU240)</f>
        <v>0</v>
      </c>
      <c r="AV237" s="67"/>
      <c r="AW237" s="67"/>
      <c r="AX237" s="560"/>
      <c r="AY237" s="442"/>
      <c r="AZ237" s="67">
        <f>SUM(AZ238:AZ240)</f>
        <v>0</v>
      </c>
      <c r="BA237" s="67"/>
      <c r="BB237" s="67"/>
      <c r="BC237" s="560"/>
      <c r="BD237" s="442"/>
      <c r="BE237" s="67">
        <f>SUM(BE238:BE240)</f>
        <v>0</v>
      </c>
      <c r="BF237" s="67"/>
      <c r="BG237" s="67"/>
      <c r="BH237" s="560"/>
      <c r="BI237" s="442"/>
      <c r="BJ237" s="67">
        <f>SUM(BJ238:BJ240)</f>
        <v>0</v>
      </c>
      <c r="BK237" s="67"/>
      <c r="BL237" s="67"/>
      <c r="BM237" s="560"/>
      <c r="BN237" s="442"/>
      <c r="BO237" s="67">
        <f>SUM(BO238:BO240)</f>
        <v>0</v>
      </c>
      <c r="BP237" s="67"/>
      <c r="BQ237" s="67"/>
      <c r="BR237" s="560"/>
      <c r="BS237" s="442"/>
      <c r="BT237" s="67">
        <f>SUM(BT238:BT240)</f>
        <v>0</v>
      </c>
      <c r="BU237" s="67"/>
      <c r="BV237" s="67"/>
      <c r="BW237" s="560"/>
      <c r="BX237" s="442"/>
      <c r="BY237" s="67">
        <f>SUM(BY238:BY240)</f>
        <v>145532</v>
      </c>
      <c r="BZ237" s="67"/>
      <c r="CA237" s="67"/>
      <c r="CB237" s="560"/>
      <c r="CC237" s="442"/>
      <c r="CD237" s="67">
        <f>SUM(CD238:CD240)</f>
        <v>0</v>
      </c>
      <c r="CE237" s="67"/>
      <c r="CF237" s="67"/>
      <c r="CG237" s="560"/>
      <c r="CH237" s="442"/>
      <c r="CI237" s="67">
        <f>SUM(CI238:CI240)</f>
        <v>145532</v>
      </c>
      <c r="CJ237" s="67"/>
      <c r="CK237" s="67"/>
      <c r="CL237" s="560"/>
      <c r="CM237" s="442"/>
      <c r="CN237" s="67">
        <f>SUM(CN238:CN240)</f>
        <v>0</v>
      </c>
      <c r="CO237" s="67"/>
      <c r="CP237" s="67"/>
      <c r="CQ237" s="560"/>
      <c r="CR237" s="442"/>
      <c r="CS237" s="67">
        <f>SUM(CS238:CS240)</f>
        <v>0</v>
      </c>
      <c r="CT237" s="67"/>
      <c r="CU237" s="67"/>
      <c r="CV237" s="560"/>
      <c r="CW237" s="442"/>
      <c r="CX237" s="67">
        <f>SUM(CX238:CX240)</f>
        <v>0</v>
      </c>
      <c r="CY237" s="67"/>
      <c r="CZ237" s="67"/>
      <c r="DA237" s="560"/>
      <c r="DB237" s="442"/>
      <c r="DC237" s="67">
        <f>SUM(DC238:DC240)</f>
        <v>0</v>
      </c>
      <c r="DD237" s="67"/>
      <c r="DE237" s="67"/>
      <c r="DF237" s="560"/>
      <c r="DG237" s="442"/>
      <c r="DH237" s="67">
        <f>SUM(DH238:DH240)</f>
        <v>0</v>
      </c>
      <c r="DI237" s="67"/>
      <c r="DJ237" s="67"/>
      <c r="DK237" s="560"/>
      <c r="DL237" s="442"/>
      <c r="DM237" s="67">
        <f>SUM(DM238:DM240)</f>
        <v>0</v>
      </c>
      <c r="DN237" s="67"/>
      <c r="DO237" s="67"/>
      <c r="DP237" s="560"/>
      <c r="DQ237" s="442"/>
      <c r="DR237" s="67">
        <f>SUM(DR238:DR240)</f>
        <v>0</v>
      </c>
      <c r="DS237" s="67"/>
      <c r="DT237" s="67"/>
      <c r="DU237" s="560"/>
      <c r="DV237" s="442"/>
      <c r="DW237" s="67">
        <f>SUM(DW238:DW240)</f>
        <v>0</v>
      </c>
      <c r="DX237" s="67"/>
      <c r="DY237" s="67"/>
      <c r="DZ237" s="560"/>
      <c r="EA237" s="442"/>
      <c r="EB237" s="67">
        <f>SUM(EB238:EB240)</f>
        <v>0</v>
      </c>
      <c r="EC237" s="67"/>
      <c r="ED237" s="67"/>
      <c r="EE237" s="560"/>
      <c r="EF237" s="442"/>
      <c r="EG237" s="67">
        <f>SUM(EG238:EG240)</f>
        <v>0</v>
      </c>
      <c r="EH237" s="67"/>
      <c r="EI237" s="67"/>
      <c r="EJ237" s="560"/>
      <c r="EK237" s="442"/>
      <c r="EL237" s="67">
        <f>SUM(EL238:EL240)</f>
        <v>145532</v>
      </c>
      <c r="EM237" s="67"/>
      <c r="EN237" s="67"/>
      <c r="EO237" s="455"/>
      <c r="ER237" s="472"/>
      <c r="ES237" s="472"/>
    </row>
    <row r="238" spans="1:149" ht="12.75" customHeight="1" x14ac:dyDescent="0.2">
      <c r="A238" s="442"/>
      <c r="B238" s="442"/>
      <c r="D238" s="455" t="s">
        <v>342</v>
      </c>
      <c r="E238" s="582"/>
      <c r="F238" s="473"/>
      <c r="G238" s="558">
        <v>0</v>
      </c>
      <c r="H238" s="559"/>
      <c r="I238" s="67"/>
      <c r="J238" s="560"/>
      <c r="K238" s="473"/>
      <c r="L238" s="558">
        <v>0</v>
      </c>
      <c r="M238" s="559"/>
      <c r="N238" s="67"/>
      <c r="O238" s="560"/>
      <c r="P238" s="473"/>
      <c r="Q238" s="558">
        <v>0</v>
      </c>
      <c r="R238" s="559"/>
      <c r="S238" s="67"/>
      <c r="T238" s="560"/>
      <c r="U238" s="473"/>
      <c r="V238" s="558">
        <v>0</v>
      </c>
      <c r="W238" s="559"/>
      <c r="X238" s="67"/>
      <c r="Y238" s="560"/>
      <c r="Z238" s="473"/>
      <c r="AA238" s="558">
        <v>0</v>
      </c>
      <c r="AB238" s="559"/>
      <c r="AC238" s="67"/>
      <c r="AD238" s="560"/>
      <c r="AE238" s="473"/>
      <c r="AF238" s="558">
        <v>0</v>
      </c>
      <c r="AG238" s="559"/>
      <c r="AH238" s="67"/>
      <c r="AI238" s="560"/>
      <c r="AJ238" s="473"/>
      <c r="AK238" s="558">
        <v>0</v>
      </c>
      <c r="AL238" s="559"/>
      <c r="AM238" s="67"/>
      <c r="AN238" s="560"/>
      <c r="AO238" s="473"/>
      <c r="AP238" s="558">
        <v>0</v>
      </c>
      <c r="AQ238" s="559"/>
      <c r="AR238" s="67"/>
      <c r="AS238" s="560"/>
      <c r="AT238" s="473"/>
      <c r="AU238" s="558">
        <v>0</v>
      </c>
      <c r="AV238" s="559"/>
      <c r="AW238" s="67"/>
      <c r="AX238" s="560"/>
      <c r="AY238" s="473"/>
      <c r="AZ238" s="558">
        <v>0</v>
      </c>
      <c r="BA238" s="559"/>
      <c r="BB238" s="67"/>
      <c r="BC238" s="560"/>
      <c r="BD238" s="473"/>
      <c r="BE238" s="558">
        <v>0</v>
      </c>
      <c r="BF238" s="559"/>
      <c r="BG238" s="67"/>
      <c r="BH238" s="560"/>
      <c r="BI238" s="473"/>
      <c r="BJ238" s="558">
        <v>0</v>
      </c>
      <c r="BK238" s="559"/>
      <c r="BL238" s="67"/>
      <c r="BM238" s="560"/>
      <c r="BN238" s="473"/>
      <c r="BO238" s="558">
        <v>0</v>
      </c>
      <c r="BP238" s="559"/>
      <c r="BQ238" s="67"/>
      <c r="BR238" s="560"/>
      <c r="BS238" s="473"/>
      <c r="BT238" s="558">
        <f>SUM(L238:BO238)</f>
        <v>0</v>
      </c>
      <c r="BU238" s="559"/>
      <c r="BV238" s="67"/>
      <c r="BW238" s="560"/>
      <c r="BX238" s="473"/>
      <c r="BY238" s="558">
        <v>130531</v>
      </c>
      <c r="BZ238" s="559"/>
      <c r="CA238" s="67"/>
      <c r="CB238" s="560"/>
      <c r="CC238" s="473"/>
      <c r="CD238" s="558">
        <v>0</v>
      </c>
      <c r="CE238" s="559"/>
      <c r="CF238" s="67"/>
      <c r="CG238" s="560"/>
      <c r="CH238" s="473"/>
      <c r="CI238" s="558">
        <f>145532-15001</f>
        <v>130531</v>
      </c>
      <c r="CJ238" s="559"/>
      <c r="CK238" s="67"/>
      <c r="CL238" s="560"/>
      <c r="CM238" s="473"/>
      <c r="CN238" s="558">
        <v>0</v>
      </c>
      <c r="CO238" s="559"/>
      <c r="CP238" s="67"/>
      <c r="CQ238" s="560"/>
      <c r="CR238" s="473"/>
      <c r="CS238" s="558">
        <v>0</v>
      </c>
      <c r="CT238" s="559"/>
      <c r="CU238" s="67"/>
      <c r="CV238" s="560"/>
      <c r="CW238" s="473"/>
      <c r="CX238" s="558">
        <v>0</v>
      </c>
      <c r="CY238" s="559"/>
      <c r="CZ238" s="67"/>
      <c r="DA238" s="560"/>
      <c r="DB238" s="473"/>
      <c r="DC238" s="558">
        <v>0</v>
      </c>
      <c r="DD238" s="559"/>
      <c r="DE238" s="67"/>
      <c r="DF238" s="560"/>
      <c r="DG238" s="473"/>
      <c r="DH238" s="558">
        <v>0</v>
      </c>
      <c r="DI238" s="559"/>
      <c r="DJ238" s="67"/>
      <c r="DK238" s="560"/>
      <c r="DL238" s="473"/>
      <c r="DM238" s="558">
        <v>0</v>
      </c>
      <c r="DN238" s="559"/>
      <c r="DO238" s="67"/>
      <c r="DP238" s="560"/>
      <c r="DQ238" s="473"/>
      <c r="DR238" s="558">
        <v>0</v>
      </c>
      <c r="DS238" s="559"/>
      <c r="DT238" s="67"/>
      <c r="DU238" s="560"/>
      <c r="DV238" s="473"/>
      <c r="DW238" s="558">
        <v>0</v>
      </c>
      <c r="DX238" s="559"/>
      <c r="DY238" s="67"/>
      <c r="DZ238" s="560"/>
      <c r="EA238" s="473"/>
      <c r="EB238" s="558">
        <v>0</v>
      </c>
      <c r="EC238" s="559"/>
      <c r="ED238" s="67"/>
      <c r="EE238" s="560"/>
      <c r="EF238" s="473"/>
      <c r="EG238" s="558">
        <v>0</v>
      </c>
      <c r="EH238" s="559"/>
      <c r="EI238" s="67"/>
      <c r="EJ238" s="560"/>
      <c r="EK238" s="473"/>
      <c r="EL238" s="558">
        <f>SUM(CD238:CI238)</f>
        <v>130531</v>
      </c>
      <c r="EM238" s="559"/>
      <c r="EN238" s="67"/>
      <c r="EO238" s="455"/>
      <c r="ER238" s="472"/>
      <c r="ES238" s="472"/>
    </row>
    <row r="239" spans="1:149" ht="12.75" customHeight="1" x14ac:dyDescent="0.2">
      <c r="A239" s="442"/>
      <c r="B239" s="442"/>
      <c r="D239" s="455" t="s">
        <v>344</v>
      </c>
      <c r="E239" s="582"/>
      <c r="F239" s="465"/>
      <c r="G239" s="67">
        <v>0</v>
      </c>
      <c r="H239" s="66"/>
      <c r="I239" s="67"/>
      <c r="J239" s="560"/>
      <c r="K239" s="465"/>
      <c r="L239" s="67">
        <v>0</v>
      </c>
      <c r="M239" s="66"/>
      <c r="N239" s="67"/>
      <c r="O239" s="560"/>
      <c r="P239" s="465"/>
      <c r="Q239" s="67">
        <v>0</v>
      </c>
      <c r="R239" s="66"/>
      <c r="S239" s="67"/>
      <c r="T239" s="560"/>
      <c r="U239" s="465"/>
      <c r="V239" s="67">
        <v>0</v>
      </c>
      <c r="W239" s="66"/>
      <c r="X239" s="67"/>
      <c r="Y239" s="560"/>
      <c r="Z239" s="465"/>
      <c r="AA239" s="67">
        <v>0</v>
      </c>
      <c r="AB239" s="66"/>
      <c r="AC239" s="67"/>
      <c r="AD239" s="560"/>
      <c r="AE239" s="465"/>
      <c r="AF239" s="67">
        <v>0</v>
      </c>
      <c r="AG239" s="66"/>
      <c r="AH239" s="67"/>
      <c r="AI239" s="560"/>
      <c r="AJ239" s="465"/>
      <c r="AK239" s="67">
        <v>0</v>
      </c>
      <c r="AL239" s="66"/>
      <c r="AM239" s="67"/>
      <c r="AN239" s="560"/>
      <c r="AO239" s="465"/>
      <c r="AP239" s="67">
        <v>0</v>
      </c>
      <c r="AQ239" s="66"/>
      <c r="AR239" s="67"/>
      <c r="AS239" s="560"/>
      <c r="AT239" s="465"/>
      <c r="AU239" s="67">
        <v>0</v>
      </c>
      <c r="AV239" s="66"/>
      <c r="AW239" s="67"/>
      <c r="AX239" s="560"/>
      <c r="AY239" s="465"/>
      <c r="AZ239" s="67">
        <v>0</v>
      </c>
      <c r="BA239" s="66"/>
      <c r="BB239" s="67"/>
      <c r="BC239" s="560"/>
      <c r="BD239" s="465"/>
      <c r="BE239" s="67">
        <v>0</v>
      </c>
      <c r="BF239" s="66"/>
      <c r="BG239" s="67"/>
      <c r="BH239" s="560"/>
      <c r="BI239" s="465"/>
      <c r="BJ239" s="67">
        <v>0</v>
      </c>
      <c r="BK239" s="66"/>
      <c r="BL239" s="67"/>
      <c r="BM239" s="560"/>
      <c r="BN239" s="465"/>
      <c r="BO239" s="67">
        <v>0</v>
      </c>
      <c r="BP239" s="66"/>
      <c r="BQ239" s="67"/>
      <c r="BR239" s="560"/>
      <c r="BS239" s="465"/>
      <c r="BT239" s="67">
        <f>SUM(L239:BO239)</f>
        <v>0</v>
      </c>
      <c r="BU239" s="66"/>
      <c r="BV239" s="67"/>
      <c r="BW239" s="560"/>
      <c r="BX239" s="465"/>
      <c r="BY239" s="67">
        <v>15001</v>
      </c>
      <c r="BZ239" s="66"/>
      <c r="CA239" s="67"/>
      <c r="CB239" s="560"/>
      <c r="CC239" s="465"/>
      <c r="CD239" s="67">
        <v>0</v>
      </c>
      <c r="CE239" s="66"/>
      <c r="CF239" s="67"/>
      <c r="CG239" s="560"/>
      <c r="CH239" s="465"/>
      <c r="CI239" s="67">
        <v>15001</v>
      </c>
      <c r="CJ239" s="66"/>
      <c r="CK239" s="67"/>
      <c r="CL239" s="560"/>
      <c r="CM239" s="465"/>
      <c r="CN239" s="67">
        <v>0</v>
      </c>
      <c r="CO239" s="66"/>
      <c r="CP239" s="67"/>
      <c r="CQ239" s="560"/>
      <c r="CR239" s="465"/>
      <c r="CS239" s="67">
        <v>0</v>
      </c>
      <c r="CT239" s="66"/>
      <c r="CU239" s="67"/>
      <c r="CV239" s="560"/>
      <c r="CW239" s="465"/>
      <c r="CX239" s="67">
        <v>0</v>
      </c>
      <c r="CY239" s="66"/>
      <c r="CZ239" s="67"/>
      <c r="DA239" s="560"/>
      <c r="DB239" s="465"/>
      <c r="DC239" s="67">
        <v>0</v>
      </c>
      <c r="DD239" s="66"/>
      <c r="DE239" s="67"/>
      <c r="DF239" s="560"/>
      <c r="DG239" s="465"/>
      <c r="DH239" s="67">
        <v>0</v>
      </c>
      <c r="DI239" s="66"/>
      <c r="DJ239" s="67"/>
      <c r="DK239" s="560"/>
      <c r="DL239" s="465"/>
      <c r="DM239" s="67">
        <v>0</v>
      </c>
      <c r="DN239" s="66"/>
      <c r="DO239" s="67"/>
      <c r="DP239" s="560"/>
      <c r="DQ239" s="465"/>
      <c r="DR239" s="67">
        <v>0</v>
      </c>
      <c r="DS239" s="66"/>
      <c r="DT239" s="67"/>
      <c r="DU239" s="560"/>
      <c r="DV239" s="465"/>
      <c r="DW239" s="67">
        <v>0</v>
      </c>
      <c r="DX239" s="66"/>
      <c r="DY239" s="67"/>
      <c r="DZ239" s="560"/>
      <c r="EA239" s="465"/>
      <c r="EB239" s="67">
        <v>0</v>
      </c>
      <c r="EC239" s="66"/>
      <c r="ED239" s="67"/>
      <c r="EE239" s="560"/>
      <c r="EF239" s="465"/>
      <c r="EG239" s="67">
        <v>0</v>
      </c>
      <c r="EH239" s="66"/>
      <c r="EI239" s="67"/>
      <c r="EJ239" s="560"/>
      <c r="EK239" s="465"/>
      <c r="EL239" s="67">
        <f>SUM(CD239:CI239)</f>
        <v>15001</v>
      </c>
      <c r="EM239" s="66"/>
      <c r="EN239" s="67"/>
      <c r="EO239" s="455"/>
      <c r="ER239" s="472"/>
      <c r="ES239" s="472"/>
    </row>
    <row r="240" spans="1:149" ht="12.75" customHeight="1" x14ac:dyDescent="0.2">
      <c r="A240" s="442"/>
      <c r="B240" s="442"/>
      <c r="D240" s="455" t="s">
        <v>352</v>
      </c>
      <c r="E240" s="582"/>
      <c r="F240" s="488"/>
      <c r="G240" s="113">
        <v>0</v>
      </c>
      <c r="H240" s="112"/>
      <c r="I240" s="67"/>
      <c r="J240" s="560"/>
      <c r="K240" s="488"/>
      <c r="L240" s="113">
        <v>0</v>
      </c>
      <c r="M240" s="112"/>
      <c r="N240" s="67"/>
      <c r="O240" s="560"/>
      <c r="P240" s="488"/>
      <c r="Q240" s="113">
        <v>0</v>
      </c>
      <c r="R240" s="112"/>
      <c r="S240" s="67"/>
      <c r="T240" s="560"/>
      <c r="U240" s="488"/>
      <c r="V240" s="113">
        <v>0</v>
      </c>
      <c r="W240" s="112"/>
      <c r="X240" s="67"/>
      <c r="Y240" s="560"/>
      <c r="Z240" s="488"/>
      <c r="AA240" s="113">
        <v>0</v>
      </c>
      <c r="AB240" s="112"/>
      <c r="AC240" s="67"/>
      <c r="AD240" s="560"/>
      <c r="AE240" s="488"/>
      <c r="AF240" s="113">
        <v>0</v>
      </c>
      <c r="AG240" s="112"/>
      <c r="AH240" s="67"/>
      <c r="AI240" s="560"/>
      <c r="AJ240" s="488"/>
      <c r="AK240" s="113">
        <v>0</v>
      </c>
      <c r="AL240" s="112"/>
      <c r="AM240" s="67"/>
      <c r="AN240" s="560"/>
      <c r="AO240" s="488"/>
      <c r="AP240" s="113">
        <v>0</v>
      </c>
      <c r="AQ240" s="112"/>
      <c r="AR240" s="67"/>
      <c r="AS240" s="560"/>
      <c r="AT240" s="488"/>
      <c r="AU240" s="113">
        <v>0</v>
      </c>
      <c r="AV240" s="112"/>
      <c r="AW240" s="67"/>
      <c r="AX240" s="560"/>
      <c r="AY240" s="488"/>
      <c r="AZ240" s="113">
        <v>0</v>
      </c>
      <c r="BA240" s="112"/>
      <c r="BB240" s="67"/>
      <c r="BC240" s="560"/>
      <c r="BD240" s="488"/>
      <c r="BE240" s="113">
        <v>0</v>
      </c>
      <c r="BF240" s="112"/>
      <c r="BG240" s="67"/>
      <c r="BH240" s="560"/>
      <c r="BI240" s="488"/>
      <c r="BJ240" s="113">
        <v>0</v>
      </c>
      <c r="BK240" s="112"/>
      <c r="BL240" s="67"/>
      <c r="BM240" s="560"/>
      <c r="BN240" s="488"/>
      <c r="BO240" s="113">
        <v>0</v>
      </c>
      <c r="BP240" s="112"/>
      <c r="BQ240" s="67"/>
      <c r="BR240" s="560"/>
      <c r="BS240" s="488"/>
      <c r="BT240" s="113">
        <f>SUM(L240:BO240)</f>
        <v>0</v>
      </c>
      <c r="BU240" s="112"/>
      <c r="BV240" s="67"/>
      <c r="BW240" s="560"/>
      <c r="BX240" s="488"/>
      <c r="BY240" s="113">
        <v>0</v>
      </c>
      <c r="BZ240" s="112"/>
      <c r="CA240" s="67"/>
      <c r="CB240" s="560"/>
      <c r="CC240" s="488"/>
      <c r="CD240" s="113">
        <v>0</v>
      </c>
      <c r="CE240" s="112"/>
      <c r="CF240" s="67"/>
      <c r="CG240" s="560"/>
      <c r="CH240" s="488"/>
      <c r="CI240" s="113">
        <v>0</v>
      </c>
      <c r="CJ240" s="112"/>
      <c r="CK240" s="67"/>
      <c r="CL240" s="560"/>
      <c r="CM240" s="488"/>
      <c r="CN240" s="113">
        <v>0</v>
      </c>
      <c r="CO240" s="112"/>
      <c r="CP240" s="67"/>
      <c r="CQ240" s="560"/>
      <c r="CR240" s="488"/>
      <c r="CS240" s="113">
        <v>0</v>
      </c>
      <c r="CT240" s="112"/>
      <c r="CU240" s="67"/>
      <c r="CV240" s="560"/>
      <c r="CW240" s="488"/>
      <c r="CX240" s="113">
        <v>0</v>
      </c>
      <c r="CY240" s="112"/>
      <c r="CZ240" s="67"/>
      <c r="DA240" s="560"/>
      <c r="DB240" s="488"/>
      <c r="DC240" s="113">
        <v>0</v>
      </c>
      <c r="DD240" s="112"/>
      <c r="DE240" s="67"/>
      <c r="DF240" s="560"/>
      <c r="DG240" s="488"/>
      <c r="DH240" s="113">
        <v>0</v>
      </c>
      <c r="DI240" s="112"/>
      <c r="DJ240" s="67"/>
      <c r="DK240" s="560"/>
      <c r="DL240" s="488"/>
      <c r="DM240" s="113">
        <v>0</v>
      </c>
      <c r="DN240" s="112"/>
      <c r="DO240" s="67"/>
      <c r="DP240" s="560"/>
      <c r="DQ240" s="488"/>
      <c r="DR240" s="113">
        <v>0</v>
      </c>
      <c r="DS240" s="112"/>
      <c r="DT240" s="67"/>
      <c r="DU240" s="560"/>
      <c r="DV240" s="488"/>
      <c r="DW240" s="113">
        <v>0</v>
      </c>
      <c r="DX240" s="112"/>
      <c r="DY240" s="67"/>
      <c r="DZ240" s="560"/>
      <c r="EA240" s="488"/>
      <c r="EB240" s="113">
        <v>0</v>
      </c>
      <c r="EC240" s="112"/>
      <c r="ED240" s="67"/>
      <c r="EE240" s="560"/>
      <c r="EF240" s="488"/>
      <c r="EG240" s="113">
        <v>0</v>
      </c>
      <c r="EH240" s="112"/>
      <c r="EI240" s="67"/>
      <c r="EJ240" s="560"/>
      <c r="EK240" s="488"/>
      <c r="EL240" s="113">
        <f>SUM(CD240:CI240)</f>
        <v>0</v>
      </c>
      <c r="EM240" s="112"/>
      <c r="EN240" s="67"/>
      <c r="EO240" s="455"/>
      <c r="ER240" s="472"/>
      <c r="ES240" s="472"/>
    </row>
    <row r="241" spans="1:149" ht="12.75" customHeight="1" x14ac:dyDescent="0.2">
      <c r="A241" s="442"/>
      <c r="B241" s="442"/>
      <c r="D241" s="455"/>
      <c r="E241" s="582"/>
      <c r="F241" s="442"/>
      <c r="G241" s="67"/>
      <c r="H241" s="67"/>
      <c r="I241" s="67"/>
      <c r="J241" s="560"/>
      <c r="K241" s="442"/>
      <c r="L241" s="67"/>
      <c r="M241" s="67"/>
      <c r="N241" s="67"/>
      <c r="O241" s="560"/>
      <c r="P241" s="442"/>
      <c r="Q241" s="67"/>
      <c r="R241" s="67"/>
      <c r="S241" s="67"/>
      <c r="T241" s="560"/>
      <c r="U241" s="442"/>
      <c r="V241" s="67"/>
      <c r="W241" s="67"/>
      <c r="X241" s="67"/>
      <c r="Y241" s="560"/>
      <c r="Z241" s="442"/>
      <c r="AA241" s="67"/>
      <c r="AB241" s="67"/>
      <c r="AC241" s="67"/>
      <c r="AD241" s="560"/>
      <c r="AE241" s="442"/>
      <c r="AF241" s="67"/>
      <c r="AG241" s="67"/>
      <c r="AH241" s="67"/>
      <c r="AI241" s="560"/>
      <c r="AJ241" s="442"/>
      <c r="AK241" s="67"/>
      <c r="AL241" s="67"/>
      <c r="AM241" s="67"/>
      <c r="AN241" s="560"/>
      <c r="AO241" s="442"/>
      <c r="AP241" s="67"/>
      <c r="AQ241" s="67"/>
      <c r="AR241" s="67"/>
      <c r="AS241" s="560"/>
      <c r="AT241" s="442"/>
      <c r="AU241" s="67"/>
      <c r="AV241" s="67"/>
      <c r="AW241" s="67"/>
      <c r="AX241" s="560"/>
      <c r="AY241" s="442"/>
      <c r="AZ241" s="67"/>
      <c r="BA241" s="67"/>
      <c r="BB241" s="67"/>
      <c r="BC241" s="560"/>
      <c r="BD241" s="442"/>
      <c r="BE241" s="67"/>
      <c r="BF241" s="67"/>
      <c r="BG241" s="67"/>
      <c r="BH241" s="560"/>
      <c r="BI241" s="442"/>
      <c r="BJ241" s="67"/>
      <c r="BK241" s="67"/>
      <c r="BL241" s="67"/>
      <c r="BM241" s="560"/>
      <c r="BN241" s="442"/>
      <c r="BO241" s="67"/>
      <c r="BP241" s="67"/>
      <c r="BQ241" s="67"/>
      <c r="BR241" s="560"/>
      <c r="BS241" s="442"/>
      <c r="BT241" s="67"/>
      <c r="BU241" s="67"/>
      <c r="BV241" s="67"/>
      <c r="BW241" s="560"/>
      <c r="BX241" s="442"/>
      <c r="BY241" s="67"/>
      <c r="BZ241" s="67"/>
      <c r="CA241" s="67"/>
      <c r="CB241" s="560"/>
      <c r="CC241" s="442"/>
      <c r="CD241" s="67"/>
      <c r="CE241" s="67"/>
      <c r="CF241" s="67"/>
      <c r="CG241" s="560"/>
      <c r="CH241" s="442"/>
      <c r="CI241" s="67"/>
      <c r="CJ241" s="67"/>
      <c r="CK241" s="67"/>
      <c r="CL241" s="560"/>
      <c r="CM241" s="442"/>
      <c r="CN241" s="67"/>
      <c r="CO241" s="67"/>
      <c r="CP241" s="67"/>
      <c r="CQ241" s="560"/>
      <c r="CR241" s="442"/>
      <c r="CS241" s="67"/>
      <c r="CT241" s="67"/>
      <c r="CU241" s="67"/>
      <c r="CV241" s="560"/>
      <c r="CW241" s="442"/>
      <c r="CX241" s="67"/>
      <c r="CY241" s="67"/>
      <c r="CZ241" s="67"/>
      <c r="DA241" s="560"/>
      <c r="DB241" s="442"/>
      <c r="DC241" s="67"/>
      <c r="DD241" s="67"/>
      <c r="DE241" s="67"/>
      <c r="DF241" s="560"/>
      <c r="DG241" s="442"/>
      <c r="DH241" s="67"/>
      <c r="DI241" s="67"/>
      <c r="DJ241" s="67"/>
      <c r="DK241" s="560"/>
      <c r="DL241" s="442"/>
      <c r="DM241" s="67"/>
      <c r="DN241" s="67"/>
      <c r="DO241" s="67"/>
      <c r="DP241" s="560"/>
      <c r="DQ241" s="442"/>
      <c r="DR241" s="67"/>
      <c r="DS241" s="67"/>
      <c r="DT241" s="67"/>
      <c r="DU241" s="560"/>
      <c r="DV241" s="442"/>
      <c r="DW241" s="67"/>
      <c r="DX241" s="67"/>
      <c r="DY241" s="67"/>
      <c r="DZ241" s="560"/>
      <c r="EA241" s="442"/>
      <c r="EB241" s="67"/>
      <c r="EC241" s="67"/>
      <c r="ED241" s="67"/>
      <c r="EE241" s="560"/>
      <c r="EF241" s="442"/>
      <c r="EG241" s="67"/>
      <c r="EH241" s="67"/>
      <c r="EI241" s="67"/>
      <c r="EJ241" s="560"/>
      <c r="EK241" s="442"/>
      <c r="EL241" s="67"/>
      <c r="EM241" s="67"/>
      <c r="EN241" s="67"/>
      <c r="EO241" s="455"/>
      <c r="ER241" s="472"/>
      <c r="ES241" s="472"/>
    </row>
    <row r="242" spans="1:149" ht="12.75" customHeight="1" x14ac:dyDescent="0.2">
      <c r="A242" s="442"/>
      <c r="B242" s="442"/>
      <c r="D242" s="455" t="s">
        <v>351</v>
      </c>
      <c r="F242" s="442"/>
      <c r="G242" s="67">
        <f>SUM(G243:G245)</f>
        <v>0</v>
      </c>
      <c r="H242" s="67"/>
      <c r="I242" s="67"/>
      <c r="J242" s="560"/>
      <c r="K242" s="67"/>
      <c r="L242" s="67">
        <f>SUM(L243:L245)</f>
        <v>0</v>
      </c>
      <c r="M242" s="67"/>
      <c r="N242" s="67"/>
      <c r="O242" s="560"/>
      <c r="P242" s="67"/>
      <c r="Q242" s="67">
        <f>SUM(Q243:Q245)</f>
        <v>0</v>
      </c>
      <c r="R242" s="67"/>
      <c r="S242" s="67"/>
      <c r="T242" s="560"/>
      <c r="U242" s="67"/>
      <c r="V242" s="67">
        <f>SUM(V243:V245)</f>
        <v>0</v>
      </c>
      <c r="W242" s="67"/>
      <c r="X242" s="67"/>
      <c r="Y242" s="560"/>
      <c r="Z242" s="67"/>
      <c r="AA242" s="67">
        <f>SUM(AA243:AA245)</f>
        <v>0</v>
      </c>
      <c r="AB242" s="67"/>
      <c r="AC242" s="67"/>
      <c r="AD242" s="560"/>
      <c r="AE242" s="67"/>
      <c r="AF242" s="67">
        <f>SUM(AF243:AF245)</f>
        <v>0</v>
      </c>
      <c r="AG242" s="67"/>
      <c r="AH242" s="67"/>
      <c r="AI242" s="560"/>
      <c r="AJ242" s="67"/>
      <c r="AK242" s="67">
        <f>SUM(AK243:AK245)</f>
        <v>0</v>
      </c>
      <c r="AL242" s="67"/>
      <c r="AM242" s="67"/>
      <c r="AN242" s="560"/>
      <c r="AO242" s="67"/>
      <c r="AP242" s="67">
        <f>SUM(AP243:AP245)</f>
        <v>0</v>
      </c>
      <c r="AQ242" s="67"/>
      <c r="AR242" s="67"/>
      <c r="AS242" s="560"/>
      <c r="AT242" s="67"/>
      <c r="AU242" s="67">
        <f>SUM(AU243:AU245)</f>
        <v>0</v>
      </c>
      <c r="AV242" s="67"/>
      <c r="AW242" s="67"/>
      <c r="AX242" s="560"/>
      <c r="AY242" s="67"/>
      <c r="AZ242" s="67">
        <f>SUM(AZ243:AZ245)</f>
        <v>0</v>
      </c>
      <c r="BA242" s="67"/>
      <c r="BB242" s="67"/>
      <c r="BC242" s="560"/>
      <c r="BD242" s="67"/>
      <c r="BE242" s="67">
        <f>SUM(BE243:BE245)</f>
        <v>0</v>
      </c>
      <c r="BF242" s="67"/>
      <c r="BG242" s="67"/>
      <c r="BH242" s="560"/>
      <c r="BI242" s="67"/>
      <c r="BJ242" s="67">
        <f>SUM(BJ243:BJ245)</f>
        <v>0</v>
      </c>
      <c r="BK242" s="67"/>
      <c r="BL242" s="67"/>
      <c r="BM242" s="560"/>
      <c r="BN242" s="67"/>
      <c r="BO242" s="67">
        <f>SUM(BO243:BO245)</f>
        <v>0</v>
      </c>
      <c r="BP242" s="67"/>
      <c r="BQ242" s="67"/>
      <c r="BR242" s="560"/>
      <c r="BS242" s="67"/>
      <c r="BT242" s="67">
        <f>SUM(BT243:BT245)</f>
        <v>0</v>
      </c>
      <c r="BU242" s="67"/>
      <c r="BV242" s="67"/>
      <c r="BW242" s="560"/>
      <c r="BX242" s="67"/>
      <c r="BY242" s="67">
        <f>SUM(BY243:BY245)</f>
        <v>415012</v>
      </c>
      <c r="BZ242" s="67"/>
      <c r="CA242" s="67"/>
      <c r="CB242" s="560"/>
      <c r="CC242" s="67"/>
      <c r="CD242" s="67">
        <f>SUM(CD243:CD245)</f>
        <v>0</v>
      </c>
      <c r="CE242" s="67"/>
      <c r="CF242" s="67"/>
      <c r="CG242" s="560"/>
      <c r="CH242" s="67"/>
      <c r="CI242" s="67">
        <f>SUM(CI243:CI245)</f>
        <v>415012</v>
      </c>
      <c r="CJ242" s="67"/>
      <c r="CK242" s="67"/>
      <c r="CL242" s="560"/>
      <c r="CM242" s="67"/>
      <c r="CN242" s="67">
        <f>SUM(CN243:CN245)</f>
        <v>0</v>
      </c>
      <c r="CO242" s="67"/>
      <c r="CP242" s="67"/>
      <c r="CQ242" s="560"/>
      <c r="CR242" s="67"/>
      <c r="CS242" s="67">
        <f>SUM(CS243:CS245)</f>
        <v>0</v>
      </c>
      <c r="CT242" s="67"/>
      <c r="CU242" s="67"/>
      <c r="CV242" s="560"/>
      <c r="CW242" s="67"/>
      <c r="CX242" s="67">
        <f>SUM(CX243:CX245)</f>
        <v>0</v>
      </c>
      <c r="CY242" s="67"/>
      <c r="CZ242" s="67"/>
      <c r="DA242" s="560"/>
      <c r="DB242" s="67"/>
      <c r="DC242" s="67">
        <f>SUM(DC243:DC245)</f>
        <v>0</v>
      </c>
      <c r="DD242" s="67"/>
      <c r="DE242" s="67"/>
      <c r="DF242" s="560"/>
      <c r="DG242" s="67"/>
      <c r="DH242" s="67">
        <f>SUM(DH243:DH245)</f>
        <v>0</v>
      </c>
      <c r="DI242" s="67"/>
      <c r="DJ242" s="67"/>
      <c r="DK242" s="560"/>
      <c r="DL242" s="67"/>
      <c r="DM242" s="67">
        <f>SUM(DM243:DM245)</f>
        <v>0</v>
      </c>
      <c r="DN242" s="67"/>
      <c r="DO242" s="67"/>
      <c r="DP242" s="560"/>
      <c r="DQ242" s="67"/>
      <c r="DR242" s="67">
        <f>SUM(DR243:DR245)</f>
        <v>0</v>
      </c>
      <c r="DS242" s="67"/>
      <c r="DT242" s="67"/>
      <c r="DU242" s="560"/>
      <c r="DV242" s="67"/>
      <c r="DW242" s="67">
        <f>SUM(DW243:DW245)</f>
        <v>0</v>
      </c>
      <c r="DX242" s="67"/>
      <c r="DY242" s="67"/>
      <c r="DZ242" s="560"/>
      <c r="EA242" s="67"/>
      <c r="EB242" s="67">
        <f>SUM(EB243:EB245)</f>
        <v>0</v>
      </c>
      <c r="EC242" s="67"/>
      <c r="ED242" s="67"/>
      <c r="EE242" s="560"/>
      <c r="EF242" s="67"/>
      <c r="EG242" s="67">
        <f>SUM(EG243:EG245)</f>
        <v>0</v>
      </c>
      <c r="EH242" s="67"/>
      <c r="EI242" s="67"/>
      <c r="EJ242" s="560"/>
      <c r="EK242" s="67"/>
      <c r="EL242" s="67">
        <f>SUM(EL243:EL245)</f>
        <v>415012</v>
      </c>
      <c r="EM242" s="67"/>
      <c r="EN242" s="67"/>
      <c r="EO242" s="455"/>
      <c r="ER242" s="472"/>
      <c r="ES242" s="472"/>
    </row>
    <row r="243" spans="1:149" ht="12.75" customHeight="1" x14ac:dyDescent="0.2">
      <c r="A243" s="442"/>
      <c r="B243" s="442"/>
      <c r="D243" s="455" t="s">
        <v>342</v>
      </c>
      <c r="F243" s="473"/>
      <c r="G243" s="558">
        <v>0</v>
      </c>
      <c r="H243" s="559"/>
      <c r="I243" s="67"/>
      <c r="J243" s="560"/>
      <c r="K243" s="561"/>
      <c r="L243" s="558">
        <v>0</v>
      </c>
      <c r="M243" s="559"/>
      <c r="N243" s="67"/>
      <c r="O243" s="560"/>
      <c r="P243" s="561"/>
      <c r="Q243" s="558">
        <v>0</v>
      </c>
      <c r="R243" s="559"/>
      <c r="S243" s="67"/>
      <c r="T243" s="560"/>
      <c r="U243" s="561"/>
      <c r="V243" s="558">
        <v>0</v>
      </c>
      <c r="W243" s="559"/>
      <c r="X243" s="67"/>
      <c r="Y243" s="560"/>
      <c r="Z243" s="561"/>
      <c r="AA243" s="558">
        <v>0</v>
      </c>
      <c r="AB243" s="559"/>
      <c r="AC243" s="67"/>
      <c r="AD243" s="560"/>
      <c r="AE243" s="561"/>
      <c r="AF243" s="558">
        <v>0</v>
      </c>
      <c r="AG243" s="559"/>
      <c r="AH243" s="67"/>
      <c r="AI243" s="560"/>
      <c r="AJ243" s="561"/>
      <c r="AK243" s="558">
        <v>0</v>
      </c>
      <c r="AL243" s="559"/>
      <c r="AM243" s="67"/>
      <c r="AN243" s="560"/>
      <c r="AO243" s="561"/>
      <c r="AP243" s="558">
        <v>0</v>
      </c>
      <c r="AQ243" s="559"/>
      <c r="AR243" s="67"/>
      <c r="AS243" s="560"/>
      <c r="AT243" s="561"/>
      <c r="AU243" s="558">
        <v>0</v>
      </c>
      <c r="AV243" s="559"/>
      <c r="AW243" s="67"/>
      <c r="AX243" s="560"/>
      <c r="AY243" s="561"/>
      <c r="AZ243" s="558">
        <v>0</v>
      </c>
      <c r="BA243" s="559"/>
      <c r="BB243" s="67"/>
      <c r="BC243" s="560"/>
      <c r="BD243" s="561"/>
      <c r="BE243" s="558">
        <v>0</v>
      </c>
      <c r="BF243" s="559"/>
      <c r="BG243" s="67"/>
      <c r="BH243" s="560"/>
      <c r="BI243" s="561"/>
      <c r="BJ243" s="558">
        <v>0</v>
      </c>
      <c r="BK243" s="559"/>
      <c r="BL243" s="67"/>
      <c r="BM243" s="560"/>
      <c r="BN243" s="561"/>
      <c r="BO243" s="558">
        <v>0</v>
      </c>
      <c r="BP243" s="559"/>
      <c r="BQ243" s="67"/>
      <c r="BR243" s="560"/>
      <c r="BS243" s="561"/>
      <c r="BT243" s="558">
        <f>SUM(L243:BO243)</f>
        <v>0</v>
      </c>
      <c r="BU243" s="559"/>
      <c r="BV243" s="67"/>
      <c r="BW243" s="560"/>
      <c r="BX243" s="561"/>
      <c r="BY243" s="558">
        <v>389349</v>
      </c>
      <c r="BZ243" s="559"/>
      <c r="CA243" s="67"/>
      <c r="CB243" s="560"/>
      <c r="CC243" s="561"/>
      <c r="CD243" s="558">
        <v>0</v>
      </c>
      <c r="CE243" s="559"/>
      <c r="CF243" s="67"/>
      <c r="CG243" s="560"/>
      <c r="CH243" s="561"/>
      <c r="CI243" s="558">
        <f>415012-25663</f>
        <v>389349</v>
      </c>
      <c r="CJ243" s="559"/>
      <c r="CK243" s="67"/>
      <c r="CL243" s="560"/>
      <c r="CM243" s="561"/>
      <c r="CN243" s="558">
        <v>0</v>
      </c>
      <c r="CO243" s="559"/>
      <c r="CP243" s="67"/>
      <c r="CQ243" s="560"/>
      <c r="CR243" s="561"/>
      <c r="CS243" s="558">
        <v>0</v>
      </c>
      <c r="CT243" s="559"/>
      <c r="CU243" s="67"/>
      <c r="CV243" s="560"/>
      <c r="CW243" s="561"/>
      <c r="CX243" s="558">
        <v>0</v>
      </c>
      <c r="CY243" s="559"/>
      <c r="CZ243" s="67"/>
      <c r="DA243" s="560"/>
      <c r="DB243" s="561"/>
      <c r="DC243" s="558">
        <v>0</v>
      </c>
      <c r="DD243" s="559"/>
      <c r="DE243" s="67"/>
      <c r="DF243" s="560"/>
      <c r="DG243" s="561"/>
      <c r="DH243" s="558">
        <v>0</v>
      </c>
      <c r="DI243" s="559"/>
      <c r="DJ243" s="67"/>
      <c r="DK243" s="560"/>
      <c r="DL243" s="561"/>
      <c r="DM243" s="558">
        <v>0</v>
      </c>
      <c r="DN243" s="559"/>
      <c r="DO243" s="67"/>
      <c r="DP243" s="560"/>
      <c r="DQ243" s="561"/>
      <c r="DR243" s="558">
        <v>0</v>
      </c>
      <c r="DS243" s="559"/>
      <c r="DT243" s="67"/>
      <c r="DU243" s="560"/>
      <c r="DV243" s="561"/>
      <c r="DW243" s="558">
        <v>0</v>
      </c>
      <c r="DX243" s="559"/>
      <c r="DY243" s="67"/>
      <c r="DZ243" s="560"/>
      <c r="EA243" s="561"/>
      <c r="EB243" s="558">
        <v>0</v>
      </c>
      <c r="EC243" s="559"/>
      <c r="ED243" s="67"/>
      <c r="EE243" s="560"/>
      <c r="EF243" s="561"/>
      <c r="EG243" s="558">
        <v>0</v>
      </c>
      <c r="EH243" s="559"/>
      <c r="EI243" s="67"/>
      <c r="EJ243" s="560"/>
      <c r="EK243" s="561"/>
      <c r="EL243" s="558">
        <f>SUM(CD243:CI243)</f>
        <v>389349</v>
      </c>
      <c r="EM243" s="559"/>
      <c r="EN243" s="67"/>
      <c r="EO243" s="455"/>
      <c r="ER243" s="472"/>
      <c r="ES243" s="472"/>
    </row>
    <row r="244" spans="1:149" ht="12.75" customHeight="1" x14ac:dyDescent="0.2">
      <c r="A244" s="442"/>
      <c r="B244" s="442"/>
      <c r="D244" s="455" t="s">
        <v>344</v>
      </c>
      <c r="F244" s="465"/>
      <c r="G244" s="67">
        <v>0</v>
      </c>
      <c r="H244" s="66"/>
      <c r="I244" s="67"/>
      <c r="J244" s="560"/>
      <c r="K244" s="560"/>
      <c r="L244" s="67">
        <v>0</v>
      </c>
      <c r="M244" s="66"/>
      <c r="N244" s="67"/>
      <c r="O244" s="560"/>
      <c r="P244" s="560"/>
      <c r="Q244" s="67">
        <v>0</v>
      </c>
      <c r="R244" s="66"/>
      <c r="S244" s="67"/>
      <c r="T244" s="560"/>
      <c r="U244" s="560"/>
      <c r="V244" s="67">
        <v>0</v>
      </c>
      <c r="W244" s="66"/>
      <c r="X244" s="67"/>
      <c r="Y244" s="560"/>
      <c r="Z244" s="560"/>
      <c r="AA244" s="67">
        <v>0</v>
      </c>
      <c r="AB244" s="66"/>
      <c r="AC244" s="67"/>
      <c r="AD244" s="560"/>
      <c r="AE244" s="560"/>
      <c r="AF244" s="67">
        <v>0</v>
      </c>
      <c r="AG244" s="66"/>
      <c r="AH244" s="67"/>
      <c r="AI244" s="560"/>
      <c r="AJ244" s="560"/>
      <c r="AK244" s="67">
        <v>0</v>
      </c>
      <c r="AL244" s="66"/>
      <c r="AM244" s="67"/>
      <c r="AN244" s="560"/>
      <c r="AO244" s="560"/>
      <c r="AP244" s="67">
        <v>0</v>
      </c>
      <c r="AQ244" s="66"/>
      <c r="AR244" s="67"/>
      <c r="AS244" s="560"/>
      <c r="AT244" s="560"/>
      <c r="AU244" s="67">
        <v>0</v>
      </c>
      <c r="AV244" s="66"/>
      <c r="AW244" s="67"/>
      <c r="AX244" s="560"/>
      <c r="AY244" s="560"/>
      <c r="AZ244" s="67">
        <v>0</v>
      </c>
      <c r="BA244" s="66"/>
      <c r="BB244" s="67"/>
      <c r="BC244" s="560"/>
      <c r="BD244" s="560"/>
      <c r="BE244" s="67">
        <v>0</v>
      </c>
      <c r="BF244" s="66"/>
      <c r="BG244" s="67"/>
      <c r="BH244" s="560"/>
      <c r="BI244" s="560"/>
      <c r="BJ244" s="67">
        <v>0</v>
      </c>
      <c r="BK244" s="66"/>
      <c r="BL244" s="67"/>
      <c r="BM244" s="560"/>
      <c r="BN244" s="560"/>
      <c r="BO244" s="67">
        <v>0</v>
      </c>
      <c r="BP244" s="66"/>
      <c r="BQ244" s="67"/>
      <c r="BR244" s="560"/>
      <c r="BS244" s="560"/>
      <c r="BT244" s="67">
        <f>SUM(L244:BO244)</f>
        <v>0</v>
      </c>
      <c r="BU244" s="66"/>
      <c r="BV244" s="67"/>
      <c r="BW244" s="560"/>
      <c r="BX244" s="560"/>
      <c r="BY244" s="67">
        <v>25663</v>
      </c>
      <c r="BZ244" s="66"/>
      <c r="CA244" s="67"/>
      <c r="CB244" s="560"/>
      <c r="CC244" s="560"/>
      <c r="CD244" s="67">
        <v>0</v>
      </c>
      <c r="CE244" s="66"/>
      <c r="CF244" s="67"/>
      <c r="CG244" s="560"/>
      <c r="CH244" s="560"/>
      <c r="CI244" s="67">
        <v>25663</v>
      </c>
      <c r="CJ244" s="66"/>
      <c r="CK244" s="67"/>
      <c r="CL244" s="560"/>
      <c r="CM244" s="560"/>
      <c r="CN244" s="67">
        <v>0</v>
      </c>
      <c r="CO244" s="66"/>
      <c r="CP244" s="67"/>
      <c r="CQ244" s="560"/>
      <c r="CR244" s="560"/>
      <c r="CS244" s="67">
        <v>0</v>
      </c>
      <c r="CT244" s="66"/>
      <c r="CU244" s="67"/>
      <c r="CV244" s="560"/>
      <c r="CW244" s="560"/>
      <c r="CX244" s="67">
        <v>0</v>
      </c>
      <c r="CY244" s="66"/>
      <c r="CZ244" s="67"/>
      <c r="DA244" s="560"/>
      <c r="DB244" s="560"/>
      <c r="DC244" s="67">
        <v>0</v>
      </c>
      <c r="DD244" s="66"/>
      <c r="DE244" s="67"/>
      <c r="DF244" s="560"/>
      <c r="DG244" s="560"/>
      <c r="DH244" s="67">
        <v>0</v>
      </c>
      <c r="DI244" s="66"/>
      <c r="DJ244" s="67"/>
      <c r="DK244" s="560"/>
      <c r="DL244" s="560"/>
      <c r="DM244" s="67">
        <v>0</v>
      </c>
      <c r="DN244" s="66"/>
      <c r="DO244" s="67"/>
      <c r="DP244" s="560"/>
      <c r="DQ244" s="560"/>
      <c r="DR244" s="67">
        <v>0</v>
      </c>
      <c r="DS244" s="66"/>
      <c r="DT244" s="67"/>
      <c r="DU244" s="560"/>
      <c r="DV244" s="560"/>
      <c r="DW244" s="67">
        <v>0</v>
      </c>
      <c r="DX244" s="66"/>
      <c r="DY244" s="67"/>
      <c r="DZ244" s="560"/>
      <c r="EA244" s="560"/>
      <c r="EB244" s="67">
        <v>0</v>
      </c>
      <c r="EC244" s="66"/>
      <c r="ED244" s="67"/>
      <c r="EE244" s="560"/>
      <c r="EF244" s="560"/>
      <c r="EG244" s="67">
        <v>0</v>
      </c>
      <c r="EH244" s="66"/>
      <c r="EI244" s="67"/>
      <c r="EJ244" s="560"/>
      <c r="EK244" s="560"/>
      <c r="EL244" s="67">
        <f>SUM(CD244:CI244)</f>
        <v>25663</v>
      </c>
      <c r="EM244" s="66"/>
      <c r="EN244" s="67"/>
      <c r="EO244" s="455"/>
      <c r="ER244" s="472"/>
      <c r="ES244" s="472"/>
    </row>
    <row r="245" spans="1:149" ht="12.75" customHeight="1" x14ac:dyDescent="0.2">
      <c r="A245" s="442"/>
      <c r="B245" s="442"/>
      <c r="D245" s="455" t="s">
        <v>352</v>
      </c>
      <c r="F245" s="488"/>
      <c r="G245" s="113">
        <v>0</v>
      </c>
      <c r="H245" s="112"/>
      <c r="I245" s="67"/>
      <c r="J245" s="560"/>
      <c r="K245" s="569"/>
      <c r="L245" s="113">
        <v>0</v>
      </c>
      <c r="M245" s="112"/>
      <c r="N245" s="67"/>
      <c r="O245" s="560"/>
      <c r="P245" s="569"/>
      <c r="Q245" s="113">
        <v>0</v>
      </c>
      <c r="R245" s="112"/>
      <c r="S245" s="67"/>
      <c r="T245" s="560"/>
      <c r="U245" s="569"/>
      <c r="V245" s="113">
        <v>0</v>
      </c>
      <c r="W245" s="112"/>
      <c r="X245" s="67"/>
      <c r="Y245" s="560"/>
      <c r="Z245" s="569"/>
      <c r="AA245" s="113">
        <v>0</v>
      </c>
      <c r="AB245" s="112"/>
      <c r="AC245" s="67"/>
      <c r="AD245" s="560"/>
      <c r="AE245" s="569"/>
      <c r="AF245" s="113">
        <v>0</v>
      </c>
      <c r="AG245" s="112"/>
      <c r="AH245" s="67"/>
      <c r="AI245" s="560"/>
      <c r="AJ245" s="569"/>
      <c r="AK245" s="113">
        <v>0</v>
      </c>
      <c r="AL245" s="112"/>
      <c r="AM245" s="67"/>
      <c r="AN245" s="560"/>
      <c r="AO245" s="569"/>
      <c r="AP245" s="113">
        <v>0</v>
      </c>
      <c r="AQ245" s="112"/>
      <c r="AR245" s="67"/>
      <c r="AS245" s="560"/>
      <c r="AT245" s="569"/>
      <c r="AU245" s="113">
        <v>0</v>
      </c>
      <c r="AV245" s="112"/>
      <c r="AW245" s="67"/>
      <c r="AX245" s="560"/>
      <c r="AY245" s="569"/>
      <c r="AZ245" s="113">
        <v>0</v>
      </c>
      <c r="BA245" s="112"/>
      <c r="BB245" s="67"/>
      <c r="BC245" s="560"/>
      <c r="BD245" s="569"/>
      <c r="BE245" s="113">
        <v>0</v>
      </c>
      <c r="BF245" s="112"/>
      <c r="BG245" s="67"/>
      <c r="BH245" s="560"/>
      <c r="BI245" s="569"/>
      <c r="BJ245" s="113">
        <v>0</v>
      </c>
      <c r="BK245" s="112"/>
      <c r="BL245" s="67"/>
      <c r="BM245" s="560"/>
      <c r="BN245" s="569"/>
      <c r="BO245" s="113">
        <v>0</v>
      </c>
      <c r="BP245" s="112"/>
      <c r="BQ245" s="67"/>
      <c r="BR245" s="560"/>
      <c r="BS245" s="569"/>
      <c r="BT245" s="113">
        <f>SUM(L245:BO245)</f>
        <v>0</v>
      </c>
      <c r="BU245" s="112"/>
      <c r="BV245" s="67"/>
      <c r="BW245" s="560"/>
      <c r="BX245" s="569"/>
      <c r="BY245" s="113">
        <v>0</v>
      </c>
      <c r="BZ245" s="112"/>
      <c r="CA245" s="67"/>
      <c r="CB245" s="560"/>
      <c r="CC245" s="569"/>
      <c r="CD245" s="113">
        <v>0</v>
      </c>
      <c r="CE245" s="112"/>
      <c r="CF245" s="67"/>
      <c r="CG245" s="560"/>
      <c r="CH245" s="569"/>
      <c r="CI245" s="113">
        <v>0</v>
      </c>
      <c r="CJ245" s="112"/>
      <c r="CK245" s="67"/>
      <c r="CL245" s="560"/>
      <c r="CM245" s="569"/>
      <c r="CN245" s="113">
        <v>0</v>
      </c>
      <c r="CO245" s="112"/>
      <c r="CP245" s="67"/>
      <c r="CQ245" s="560"/>
      <c r="CR245" s="569"/>
      <c r="CS245" s="113">
        <v>0</v>
      </c>
      <c r="CT245" s="112"/>
      <c r="CU245" s="67"/>
      <c r="CV245" s="560"/>
      <c r="CW245" s="569"/>
      <c r="CX245" s="113">
        <v>0</v>
      </c>
      <c r="CY245" s="112"/>
      <c r="CZ245" s="67"/>
      <c r="DA245" s="560"/>
      <c r="DB245" s="569"/>
      <c r="DC245" s="113">
        <v>0</v>
      </c>
      <c r="DD245" s="112"/>
      <c r="DE245" s="67"/>
      <c r="DF245" s="560"/>
      <c r="DG245" s="569"/>
      <c r="DH245" s="113">
        <v>0</v>
      </c>
      <c r="DI245" s="112"/>
      <c r="DJ245" s="67"/>
      <c r="DK245" s="560"/>
      <c r="DL245" s="569"/>
      <c r="DM245" s="113">
        <v>0</v>
      </c>
      <c r="DN245" s="112"/>
      <c r="DO245" s="67"/>
      <c r="DP245" s="560"/>
      <c r="DQ245" s="569"/>
      <c r="DR245" s="113">
        <v>0</v>
      </c>
      <c r="DS245" s="112"/>
      <c r="DT245" s="67"/>
      <c r="DU245" s="560"/>
      <c r="DV245" s="569"/>
      <c r="DW245" s="113">
        <v>0</v>
      </c>
      <c r="DX245" s="112"/>
      <c r="DY245" s="67"/>
      <c r="DZ245" s="560"/>
      <c r="EA245" s="569"/>
      <c r="EB245" s="113">
        <v>0</v>
      </c>
      <c r="EC245" s="112"/>
      <c r="ED245" s="67"/>
      <c r="EE245" s="560"/>
      <c r="EF245" s="569"/>
      <c r="EG245" s="113">
        <v>0</v>
      </c>
      <c r="EH245" s="112"/>
      <c r="EI245" s="67"/>
      <c r="EJ245" s="560"/>
      <c r="EK245" s="569"/>
      <c r="EL245" s="113">
        <f>SUM(CD245:CI245)</f>
        <v>0</v>
      </c>
      <c r="EM245" s="112"/>
      <c r="EN245" s="67"/>
      <c r="EO245" s="455"/>
      <c r="ER245" s="472"/>
      <c r="ES245" s="472"/>
    </row>
    <row r="246" spans="1:149" ht="12.75" hidden="1" customHeight="1" x14ac:dyDescent="0.2">
      <c r="A246" s="442"/>
      <c r="B246" s="442"/>
      <c r="D246" s="455"/>
      <c r="E246" s="582"/>
      <c r="F246" s="442"/>
      <c r="G246" s="67"/>
      <c r="H246" s="67"/>
      <c r="I246" s="67"/>
      <c r="J246" s="560"/>
      <c r="K246" s="442"/>
      <c r="L246" s="67"/>
      <c r="M246" s="67"/>
      <c r="N246" s="67"/>
      <c r="O246" s="560"/>
      <c r="P246" s="442"/>
      <c r="Q246" s="67"/>
      <c r="R246" s="67"/>
      <c r="S246" s="67"/>
      <c r="T246" s="560"/>
      <c r="U246" s="442"/>
      <c r="V246" s="67"/>
      <c r="W246" s="67"/>
      <c r="X246" s="67"/>
      <c r="Y246" s="560"/>
      <c r="Z246" s="442"/>
      <c r="AA246" s="67"/>
      <c r="AB246" s="67"/>
      <c r="AC246" s="67"/>
      <c r="AD246" s="560"/>
      <c r="AE246" s="442"/>
      <c r="AF246" s="67"/>
      <c r="AG246" s="67"/>
      <c r="AH246" s="67"/>
      <c r="AI246" s="560"/>
      <c r="AJ246" s="442"/>
      <c r="AK246" s="67"/>
      <c r="AL246" s="67"/>
      <c r="AM246" s="67"/>
      <c r="AN246" s="560"/>
      <c r="AO246" s="442"/>
      <c r="AP246" s="67"/>
      <c r="AQ246" s="67"/>
      <c r="AR246" s="67"/>
      <c r="AS246" s="560"/>
      <c r="AT246" s="442"/>
      <c r="AU246" s="67"/>
      <c r="AV246" s="67"/>
      <c r="AW246" s="67"/>
      <c r="AX246" s="560"/>
      <c r="AY246" s="442"/>
      <c r="AZ246" s="67"/>
      <c r="BA246" s="67"/>
      <c r="BB246" s="67"/>
      <c r="BC246" s="560"/>
      <c r="BD246" s="442"/>
      <c r="BE246" s="67"/>
      <c r="BF246" s="67"/>
      <c r="BG246" s="67"/>
      <c r="BH246" s="560"/>
      <c r="BI246" s="442"/>
      <c r="BJ246" s="67"/>
      <c r="BK246" s="67"/>
      <c r="BL246" s="67"/>
      <c r="BM246" s="560"/>
      <c r="BN246" s="442"/>
      <c r="BO246" s="67"/>
      <c r="BP246" s="67"/>
      <c r="BQ246" s="67"/>
      <c r="BR246" s="560"/>
      <c r="BS246" s="442"/>
      <c r="BT246" s="67"/>
      <c r="BU246" s="67"/>
      <c r="BV246" s="67"/>
      <c r="BW246" s="560"/>
      <c r="BX246" s="442"/>
      <c r="BY246" s="67"/>
      <c r="BZ246" s="67"/>
      <c r="CA246" s="67"/>
      <c r="CB246" s="560"/>
      <c r="CC246" s="442"/>
      <c r="CD246" s="67"/>
      <c r="CE246" s="67"/>
      <c r="CF246" s="67"/>
      <c r="CG246" s="560"/>
      <c r="CH246" s="442"/>
      <c r="CI246" s="67"/>
      <c r="CJ246" s="67"/>
      <c r="CK246" s="67"/>
      <c r="CL246" s="560"/>
      <c r="CM246" s="442"/>
      <c r="CN246" s="67"/>
      <c r="CO246" s="67"/>
      <c r="CP246" s="67"/>
      <c r="CQ246" s="560"/>
      <c r="CR246" s="442"/>
      <c r="CS246" s="67"/>
      <c r="CT246" s="67"/>
      <c r="CU246" s="67"/>
      <c r="CV246" s="560"/>
      <c r="CW246" s="442"/>
      <c r="CX246" s="67"/>
      <c r="CY246" s="67"/>
      <c r="CZ246" s="67"/>
      <c r="DA246" s="560"/>
      <c r="DB246" s="442"/>
      <c r="DC246" s="67"/>
      <c r="DD246" s="67"/>
      <c r="DE246" s="67"/>
      <c r="DF246" s="560"/>
      <c r="DG246" s="442"/>
      <c r="DH246" s="67"/>
      <c r="DI246" s="67"/>
      <c r="DJ246" s="67"/>
      <c r="DK246" s="560"/>
      <c r="DL246" s="442"/>
      <c r="DM246" s="67"/>
      <c r="DN246" s="67"/>
      <c r="DO246" s="67"/>
      <c r="DP246" s="560"/>
      <c r="DQ246" s="442"/>
      <c r="DR246" s="67"/>
      <c r="DS246" s="67"/>
      <c r="DT246" s="67"/>
      <c r="DU246" s="560"/>
      <c r="DV246" s="442"/>
      <c r="DW246" s="67"/>
      <c r="DX246" s="67"/>
      <c r="DY246" s="67"/>
      <c r="DZ246" s="560"/>
      <c r="EA246" s="442"/>
      <c r="EB246" s="67"/>
      <c r="EC246" s="67"/>
      <c r="ED246" s="67"/>
      <c r="EE246" s="560"/>
      <c r="EF246" s="442"/>
      <c r="EG246" s="67"/>
      <c r="EH246" s="67"/>
      <c r="EI246" s="67"/>
      <c r="EJ246" s="560"/>
      <c r="EK246" s="442"/>
      <c r="EL246" s="67"/>
      <c r="EM246" s="67"/>
      <c r="EN246" s="67"/>
      <c r="EO246" s="455"/>
      <c r="ER246" s="472"/>
      <c r="ES246" s="472"/>
    </row>
    <row r="247" spans="1:149" ht="12.75" hidden="1" customHeight="1" x14ac:dyDescent="0.2">
      <c r="A247" s="442"/>
      <c r="B247" s="442"/>
      <c r="D247" s="455" t="s">
        <v>368</v>
      </c>
      <c r="F247" s="442"/>
      <c r="G247" s="67">
        <f>SUM(G248:G250)</f>
        <v>0</v>
      </c>
      <c r="H247" s="67"/>
      <c r="I247" s="67"/>
      <c r="J247" s="560"/>
      <c r="K247" s="67"/>
      <c r="L247" s="67">
        <f>SUM(L248:L250)</f>
        <v>0</v>
      </c>
      <c r="M247" s="67"/>
      <c r="N247" s="67"/>
      <c r="O247" s="560"/>
      <c r="P247" s="67"/>
      <c r="Q247" s="67">
        <f>SUM(Q248:Q250)</f>
        <v>0</v>
      </c>
      <c r="R247" s="67"/>
      <c r="S247" s="67"/>
      <c r="T247" s="560"/>
      <c r="U247" s="67"/>
      <c r="V247" s="67">
        <f>SUM(V248:V250)</f>
        <v>0</v>
      </c>
      <c r="W247" s="67"/>
      <c r="X247" s="67"/>
      <c r="Y247" s="560"/>
      <c r="Z247" s="67"/>
      <c r="AA247" s="67">
        <f>SUM(AA248:AA250)</f>
        <v>0</v>
      </c>
      <c r="AB247" s="67"/>
      <c r="AC247" s="67"/>
      <c r="AD247" s="560"/>
      <c r="AE247" s="67"/>
      <c r="AF247" s="67">
        <f>SUM(AF248:AF250)</f>
        <v>0</v>
      </c>
      <c r="AG247" s="67"/>
      <c r="AH247" s="67"/>
      <c r="AI247" s="560"/>
      <c r="AJ247" s="67"/>
      <c r="AK247" s="67">
        <f>SUM(AK248:AK250)</f>
        <v>0</v>
      </c>
      <c r="AL247" s="67"/>
      <c r="AM247" s="67"/>
      <c r="AN247" s="560"/>
      <c r="AO247" s="67"/>
      <c r="AP247" s="67">
        <f>SUM(AP248:AP250)</f>
        <v>0</v>
      </c>
      <c r="AQ247" s="67"/>
      <c r="AR247" s="67"/>
      <c r="AS247" s="560"/>
      <c r="AT247" s="67"/>
      <c r="AU247" s="67">
        <f>SUM(AU248:AU250)</f>
        <v>0</v>
      </c>
      <c r="AV247" s="67"/>
      <c r="AW247" s="67"/>
      <c r="AX247" s="560"/>
      <c r="AY247" s="67"/>
      <c r="AZ247" s="67">
        <f>SUM(AZ248:AZ250)</f>
        <v>0</v>
      </c>
      <c r="BA247" s="67"/>
      <c r="BB247" s="67"/>
      <c r="BC247" s="560"/>
      <c r="BD247" s="67"/>
      <c r="BE247" s="67">
        <f>SUM(BE248:BE250)</f>
        <v>0</v>
      </c>
      <c r="BF247" s="67"/>
      <c r="BG247" s="67"/>
      <c r="BH247" s="560"/>
      <c r="BI247" s="67"/>
      <c r="BJ247" s="67">
        <f>SUM(BJ248:BJ250)</f>
        <v>0</v>
      </c>
      <c r="BK247" s="67"/>
      <c r="BL247" s="67"/>
      <c r="BM247" s="560"/>
      <c r="BN247" s="67"/>
      <c r="BO247" s="67">
        <f>SUM(BO248:BO250)</f>
        <v>0</v>
      </c>
      <c r="BP247" s="67"/>
      <c r="BQ247" s="67"/>
      <c r="BR247" s="560"/>
      <c r="BS247" s="67"/>
      <c r="BT247" s="67">
        <f>SUM(BT248:BT250)</f>
        <v>0</v>
      </c>
      <c r="BU247" s="67"/>
      <c r="BV247" s="67"/>
      <c r="BW247" s="560"/>
      <c r="BX247" s="67"/>
      <c r="BY247" s="67">
        <f>SUM(BY248:BY250)</f>
        <v>0</v>
      </c>
      <c r="BZ247" s="67"/>
      <c r="CA247" s="67"/>
      <c r="CB247" s="560"/>
      <c r="CC247" s="67"/>
      <c r="CD247" s="67">
        <f>SUM(CD248:CD250)</f>
        <v>0</v>
      </c>
      <c r="CE247" s="67"/>
      <c r="CF247" s="67"/>
      <c r="CG247" s="560"/>
      <c r="CH247" s="67"/>
      <c r="CI247" s="67">
        <f>SUM(CI248:CI250)</f>
        <v>0</v>
      </c>
      <c r="CJ247" s="67"/>
      <c r="CK247" s="67"/>
      <c r="CL247" s="560"/>
      <c r="CM247" s="67"/>
      <c r="CN247" s="67">
        <f>SUM(CN248:CN250)</f>
        <v>0</v>
      </c>
      <c r="CO247" s="67"/>
      <c r="CP247" s="67"/>
      <c r="CQ247" s="560"/>
      <c r="CR247" s="67"/>
      <c r="CS247" s="67">
        <f>SUM(CS248:CS250)</f>
        <v>0</v>
      </c>
      <c r="CT247" s="67"/>
      <c r="CU247" s="67"/>
      <c r="CV247" s="560"/>
      <c r="CW247" s="67"/>
      <c r="CX247" s="67">
        <f>SUM(CX248:CX250)</f>
        <v>0</v>
      </c>
      <c r="CY247" s="67"/>
      <c r="CZ247" s="67"/>
      <c r="DA247" s="560"/>
      <c r="DB247" s="67"/>
      <c r="DC247" s="67">
        <f>SUM(DC248:DC250)</f>
        <v>0</v>
      </c>
      <c r="DD247" s="67"/>
      <c r="DE247" s="67"/>
      <c r="DF247" s="560"/>
      <c r="DG247" s="67"/>
      <c r="DH247" s="67">
        <f>SUM(DH248:DH250)</f>
        <v>0</v>
      </c>
      <c r="DI247" s="67"/>
      <c r="DJ247" s="67"/>
      <c r="DK247" s="560"/>
      <c r="DL247" s="67"/>
      <c r="DM247" s="67">
        <f>SUM(DM248:DM250)</f>
        <v>0</v>
      </c>
      <c r="DN247" s="67"/>
      <c r="DO247" s="67"/>
      <c r="DP247" s="560"/>
      <c r="DQ247" s="67"/>
      <c r="DR247" s="67">
        <f>SUM(DR248:DR250)</f>
        <v>0</v>
      </c>
      <c r="DS247" s="67"/>
      <c r="DT247" s="67"/>
      <c r="DU247" s="560"/>
      <c r="DV247" s="67"/>
      <c r="DW247" s="67">
        <f>SUM(DW248:DW250)</f>
        <v>0</v>
      </c>
      <c r="DX247" s="67"/>
      <c r="DY247" s="67"/>
      <c r="DZ247" s="560"/>
      <c r="EA247" s="67"/>
      <c r="EB247" s="67">
        <f>SUM(EB248:EB250)</f>
        <v>0</v>
      </c>
      <c r="EC247" s="67"/>
      <c r="ED247" s="67"/>
      <c r="EE247" s="560"/>
      <c r="EF247" s="67"/>
      <c r="EG247" s="67">
        <f>SUM(EG248:EG250)</f>
        <v>0</v>
      </c>
      <c r="EH247" s="67"/>
      <c r="EI247" s="67"/>
      <c r="EJ247" s="560"/>
      <c r="EK247" s="67"/>
      <c r="EL247" s="67">
        <f>SUM(EL248:EL250)</f>
        <v>0</v>
      </c>
      <c r="EM247" s="67"/>
      <c r="EN247" s="67"/>
      <c r="EO247" s="455"/>
      <c r="ER247" s="472"/>
      <c r="ES247" s="472"/>
    </row>
    <row r="248" spans="1:149" ht="12.75" hidden="1" customHeight="1" x14ac:dyDescent="0.2">
      <c r="A248" s="442"/>
      <c r="B248" s="442"/>
      <c r="D248" s="455" t="s">
        <v>342</v>
      </c>
      <c r="F248" s="473"/>
      <c r="G248" s="558">
        <v>0</v>
      </c>
      <c r="H248" s="559"/>
      <c r="I248" s="67"/>
      <c r="J248" s="560"/>
      <c r="K248" s="561"/>
      <c r="L248" s="558">
        <v>0</v>
      </c>
      <c r="M248" s="559"/>
      <c r="N248" s="67"/>
      <c r="O248" s="560"/>
      <c r="P248" s="561"/>
      <c r="Q248" s="558">
        <v>0</v>
      </c>
      <c r="R248" s="559"/>
      <c r="S248" s="67"/>
      <c r="T248" s="560"/>
      <c r="U248" s="561"/>
      <c r="V248" s="558">
        <v>0</v>
      </c>
      <c r="W248" s="559"/>
      <c r="X248" s="67"/>
      <c r="Y248" s="560"/>
      <c r="Z248" s="561"/>
      <c r="AA248" s="558">
        <v>0</v>
      </c>
      <c r="AB248" s="559"/>
      <c r="AC248" s="67"/>
      <c r="AD248" s="560"/>
      <c r="AE248" s="561"/>
      <c r="AF248" s="558">
        <v>0</v>
      </c>
      <c r="AG248" s="559"/>
      <c r="AH248" s="67"/>
      <c r="AI248" s="560"/>
      <c r="AJ248" s="561"/>
      <c r="AK248" s="558">
        <v>0</v>
      </c>
      <c r="AL248" s="559"/>
      <c r="AM248" s="67"/>
      <c r="AN248" s="560"/>
      <c r="AO248" s="561"/>
      <c r="AP248" s="558">
        <v>0</v>
      </c>
      <c r="AQ248" s="559"/>
      <c r="AR248" s="67"/>
      <c r="AS248" s="560"/>
      <c r="AT248" s="561"/>
      <c r="AU248" s="558">
        <v>0</v>
      </c>
      <c r="AV248" s="559"/>
      <c r="AW248" s="67"/>
      <c r="AX248" s="560"/>
      <c r="AY248" s="561"/>
      <c r="AZ248" s="558">
        <v>0</v>
      </c>
      <c r="BA248" s="559"/>
      <c r="BB248" s="67"/>
      <c r="BC248" s="560"/>
      <c r="BD248" s="561"/>
      <c r="BE248" s="558">
        <v>0</v>
      </c>
      <c r="BF248" s="559"/>
      <c r="BG248" s="67"/>
      <c r="BH248" s="560"/>
      <c r="BI248" s="561"/>
      <c r="BJ248" s="558">
        <v>0</v>
      </c>
      <c r="BK248" s="559"/>
      <c r="BL248" s="67"/>
      <c r="BM248" s="560"/>
      <c r="BN248" s="561"/>
      <c r="BO248" s="558">
        <v>0</v>
      </c>
      <c r="BP248" s="559"/>
      <c r="BQ248" s="67"/>
      <c r="BR248" s="560"/>
      <c r="BS248" s="561"/>
      <c r="BT248" s="558">
        <f>SUM(L248:BO248)</f>
        <v>0</v>
      </c>
      <c r="BU248" s="559"/>
      <c r="BV248" s="67"/>
      <c r="BW248" s="560"/>
      <c r="BX248" s="561"/>
      <c r="BY248" s="558">
        <v>0</v>
      </c>
      <c r="BZ248" s="559"/>
      <c r="CA248" s="67"/>
      <c r="CB248" s="560"/>
      <c r="CC248" s="561"/>
      <c r="CD248" s="558">
        <v>0</v>
      </c>
      <c r="CE248" s="559"/>
      <c r="CF248" s="67"/>
      <c r="CG248" s="560"/>
      <c r="CH248" s="561"/>
      <c r="CI248" s="558">
        <v>0</v>
      </c>
      <c r="CJ248" s="559"/>
      <c r="CK248" s="67"/>
      <c r="CL248" s="560"/>
      <c r="CM248" s="561"/>
      <c r="CN248" s="558">
        <v>0</v>
      </c>
      <c r="CO248" s="559"/>
      <c r="CP248" s="67"/>
      <c r="CQ248" s="560"/>
      <c r="CR248" s="561"/>
      <c r="CS248" s="558">
        <v>0</v>
      </c>
      <c r="CT248" s="559"/>
      <c r="CU248" s="67"/>
      <c r="CV248" s="560"/>
      <c r="CW248" s="561"/>
      <c r="CX248" s="558">
        <v>0</v>
      </c>
      <c r="CY248" s="559"/>
      <c r="CZ248" s="67"/>
      <c r="DA248" s="560"/>
      <c r="DB248" s="561"/>
      <c r="DC248" s="558">
        <v>0</v>
      </c>
      <c r="DD248" s="559"/>
      <c r="DE248" s="67"/>
      <c r="DF248" s="560"/>
      <c r="DG248" s="561"/>
      <c r="DH248" s="558">
        <v>0</v>
      </c>
      <c r="DI248" s="559"/>
      <c r="DJ248" s="67"/>
      <c r="DK248" s="560"/>
      <c r="DL248" s="561"/>
      <c r="DM248" s="558">
        <v>0</v>
      </c>
      <c r="DN248" s="559"/>
      <c r="DO248" s="67"/>
      <c r="DP248" s="560"/>
      <c r="DQ248" s="561"/>
      <c r="DR248" s="558">
        <v>0</v>
      </c>
      <c r="DS248" s="559"/>
      <c r="DT248" s="67"/>
      <c r="DU248" s="560"/>
      <c r="DV248" s="561"/>
      <c r="DW248" s="558">
        <v>0</v>
      </c>
      <c r="DX248" s="559"/>
      <c r="DY248" s="67"/>
      <c r="DZ248" s="560"/>
      <c r="EA248" s="561"/>
      <c r="EB248" s="558">
        <v>0</v>
      </c>
      <c r="EC248" s="559"/>
      <c r="ED248" s="67"/>
      <c r="EE248" s="560"/>
      <c r="EF248" s="561"/>
      <c r="EG248" s="558">
        <v>0</v>
      </c>
      <c r="EH248" s="559"/>
      <c r="EI248" s="67"/>
      <c r="EJ248" s="560"/>
      <c r="EK248" s="561"/>
      <c r="EL248" s="558">
        <f>SUM(CD248:DH248)</f>
        <v>0</v>
      </c>
      <c r="EM248" s="559"/>
      <c r="EN248" s="67"/>
      <c r="EO248" s="455"/>
      <c r="ER248" s="472"/>
      <c r="ES248" s="472"/>
    </row>
    <row r="249" spans="1:149" ht="12.75" hidden="1" customHeight="1" x14ac:dyDescent="0.2">
      <c r="A249" s="442"/>
      <c r="B249" s="442"/>
      <c r="D249" s="455" t="s">
        <v>344</v>
      </c>
      <c r="F249" s="465"/>
      <c r="G249" s="67">
        <v>0</v>
      </c>
      <c r="H249" s="66"/>
      <c r="I249" s="67"/>
      <c r="J249" s="560"/>
      <c r="K249" s="560"/>
      <c r="L249" s="67">
        <v>0</v>
      </c>
      <c r="M249" s="66"/>
      <c r="N249" s="67"/>
      <c r="O249" s="560"/>
      <c r="P249" s="560"/>
      <c r="Q249" s="67">
        <v>0</v>
      </c>
      <c r="R249" s="66"/>
      <c r="S249" s="67"/>
      <c r="T249" s="560"/>
      <c r="U249" s="560"/>
      <c r="V249" s="67">
        <v>0</v>
      </c>
      <c r="W249" s="66"/>
      <c r="X249" s="67"/>
      <c r="Y249" s="560"/>
      <c r="Z249" s="560"/>
      <c r="AA249" s="67">
        <v>0</v>
      </c>
      <c r="AB249" s="66"/>
      <c r="AC249" s="67"/>
      <c r="AD249" s="560"/>
      <c r="AE249" s="560"/>
      <c r="AF249" s="67">
        <v>0</v>
      </c>
      <c r="AG249" s="66"/>
      <c r="AH249" s="67"/>
      <c r="AI249" s="560"/>
      <c r="AJ249" s="560"/>
      <c r="AK249" s="67">
        <v>0</v>
      </c>
      <c r="AL249" s="66"/>
      <c r="AM249" s="67"/>
      <c r="AN249" s="560"/>
      <c r="AO249" s="560"/>
      <c r="AP249" s="67">
        <v>0</v>
      </c>
      <c r="AQ249" s="66"/>
      <c r="AR249" s="67"/>
      <c r="AS249" s="560"/>
      <c r="AT249" s="560"/>
      <c r="AU249" s="67">
        <v>0</v>
      </c>
      <c r="AV249" s="66"/>
      <c r="AW249" s="67"/>
      <c r="AX249" s="560"/>
      <c r="AY249" s="560"/>
      <c r="AZ249" s="67">
        <v>0</v>
      </c>
      <c r="BA249" s="66"/>
      <c r="BB249" s="67"/>
      <c r="BC249" s="560"/>
      <c r="BD249" s="560"/>
      <c r="BE249" s="67">
        <v>0</v>
      </c>
      <c r="BF249" s="66"/>
      <c r="BG249" s="67"/>
      <c r="BH249" s="560"/>
      <c r="BI249" s="560"/>
      <c r="BJ249" s="67">
        <v>0</v>
      </c>
      <c r="BK249" s="66"/>
      <c r="BL249" s="67"/>
      <c r="BM249" s="560"/>
      <c r="BN249" s="560"/>
      <c r="BO249" s="67">
        <v>0</v>
      </c>
      <c r="BP249" s="66"/>
      <c r="BQ249" s="67"/>
      <c r="BR249" s="560"/>
      <c r="BS249" s="560"/>
      <c r="BT249" s="67">
        <f>SUM(L249:BO249)</f>
        <v>0</v>
      </c>
      <c r="BU249" s="66"/>
      <c r="BV249" s="67"/>
      <c r="BW249" s="560"/>
      <c r="BX249" s="560"/>
      <c r="BY249" s="67">
        <v>0</v>
      </c>
      <c r="BZ249" s="66"/>
      <c r="CA249" s="67"/>
      <c r="CB249" s="560"/>
      <c r="CC249" s="560"/>
      <c r="CD249" s="67">
        <v>0</v>
      </c>
      <c r="CE249" s="66"/>
      <c r="CF249" s="67"/>
      <c r="CG249" s="560"/>
      <c r="CH249" s="560"/>
      <c r="CI249" s="67">
        <v>0</v>
      </c>
      <c r="CJ249" s="66"/>
      <c r="CK249" s="67"/>
      <c r="CL249" s="560"/>
      <c r="CM249" s="560"/>
      <c r="CN249" s="67">
        <v>0</v>
      </c>
      <c r="CO249" s="66"/>
      <c r="CP249" s="67"/>
      <c r="CQ249" s="560"/>
      <c r="CR249" s="560"/>
      <c r="CS249" s="67">
        <v>0</v>
      </c>
      <c r="CT249" s="66"/>
      <c r="CU249" s="67"/>
      <c r="CV249" s="560"/>
      <c r="CW249" s="560"/>
      <c r="CX249" s="67">
        <v>0</v>
      </c>
      <c r="CY249" s="66"/>
      <c r="CZ249" s="67"/>
      <c r="DA249" s="560"/>
      <c r="DB249" s="560"/>
      <c r="DC249" s="67">
        <v>0</v>
      </c>
      <c r="DD249" s="66"/>
      <c r="DE249" s="67"/>
      <c r="DF249" s="560"/>
      <c r="DG249" s="560"/>
      <c r="DH249" s="67">
        <v>0</v>
      </c>
      <c r="DI249" s="66"/>
      <c r="DJ249" s="67"/>
      <c r="DK249" s="560"/>
      <c r="DL249" s="560"/>
      <c r="DM249" s="67">
        <v>0</v>
      </c>
      <c r="DN249" s="66"/>
      <c r="DO249" s="67"/>
      <c r="DP249" s="560"/>
      <c r="DQ249" s="560"/>
      <c r="DR249" s="67">
        <v>0</v>
      </c>
      <c r="DS249" s="66"/>
      <c r="DT249" s="67"/>
      <c r="DU249" s="560"/>
      <c r="DV249" s="560"/>
      <c r="DW249" s="67">
        <v>0</v>
      </c>
      <c r="DX249" s="66"/>
      <c r="DY249" s="67"/>
      <c r="DZ249" s="560"/>
      <c r="EA249" s="560"/>
      <c r="EB249" s="67">
        <v>0</v>
      </c>
      <c r="EC249" s="66"/>
      <c r="ED249" s="67"/>
      <c r="EE249" s="560"/>
      <c r="EF249" s="560"/>
      <c r="EG249" s="67">
        <v>0</v>
      </c>
      <c r="EH249" s="66"/>
      <c r="EI249" s="67"/>
      <c r="EJ249" s="560"/>
      <c r="EK249" s="560"/>
      <c r="EL249" s="67">
        <f>SUM(CD249:DH249)</f>
        <v>0</v>
      </c>
      <c r="EM249" s="66"/>
      <c r="EN249" s="67"/>
      <c r="EO249" s="455"/>
      <c r="ER249" s="472"/>
      <c r="ES249" s="472"/>
    </row>
    <row r="250" spans="1:149" ht="12.75" hidden="1" customHeight="1" x14ac:dyDescent="0.2">
      <c r="A250" s="442"/>
      <c r="B250" s="442"/>
      <c r="D250" s="455" t="s">
        <v>352</v>
      </c>
      <c r="F250" s="488"/>
      <c r="G250" s="113">
        <v>0</v>
      </c>
      <c r="H250" s="112"/>
      <c r="I250" s="67"/>
      <c r="J250" s="560"/>
      <c r="K250" s="569"/>
      <c r="L250" s="113">
        <v>0</v>
      </c>
      <c r="M250" s="112"/>
      <c r="N250" s="67"/>
      <c r="O250" s="560"/>
      <c r="P250" s="569"/>
      <c r="Q250" s="113">
        <v>0</v>
      </c>
      <c r="R250" s="112"/>
      <c r="S250" s="67"/>
      <c r="T250" s="560"/>
      <c r="U250" s="569"/>
      <c r="V250" s="113">
        <v>0</v>
      </c>
      <c r="W250" s="112"/>
      <c r="X250" s="67"/>
      <c r="Y250" s="560"/>
      <c r="Z250" s="569"/>
      <c r="AA250" s="113">
        <v>0</v>
      </c>
      <c r="AB250" s="112"/>
      <c r="AC250" s="67"/>
      <c r="AD250" s="560"/>
      <c r="AE250" s="569"/>
      <c r="AF250" s="113">
        <v>0</v>
      </c>
      <c r="AG250" s="112"/>
      <c r="AH250" s="67"/>
      <c r="AI250" s="560"/>
      <c r="AJ250" s="569"/>
      <c r="AK250" s="113">
        <v>0</v>
      </c>
      <c r="AL250" s="112"/>
      <c r="AM250" s="67"/>
      <c r="AN250" s="560"/>
      <c r="AO250" s="569"/>
      <c r="AP250" s="113">
        <v>0</v>
      </c>
      <c r="AQ250" s="112"/>
      <c r="AR250" s="67"/>
      <c r="AS250" s="560"/>
      <c r="AT250" s="569"/>
      <c r="AU250" s="113">
        <v>0</v>
      </c>
      <c r="AV250" s="112"/>
      <c r="AW250" s="67"/>
      <c r="AX250" s="560"/>
      <c r="AY250" s="569"/>
      <c r="AZ250" s="113">
        <v>0</v>
      </c>
      <c r="BA250" s="112"/>
      <c r="BB250" s="67"/>
      <c r="BC250" s="560"/>
      <c r="BD250" s="569"/>
      <c r="BE250" s="113">
        <v>0</v>
      </c>
      <c r="BF250" s="112"/>
      <c r="BG250" s="67"/>
      <c r="BH250" s="560"/>
      <c r="BI250" s="569"/>
      <c r="BJ250" s="113">
        <v>0</v>
      </c>
      <c r="BK250" s="112"/>
      <c r="BL250" s="67"/>
      <c r="BM250" s="560"/>
      <c r="BN250" s="569"/>
      <c r="BO250" s="113">
        <v>0</v>
      </c>
      <c r="BP250" s="112"/>
      <c r="BQ250" s="67"/>
      <c r="BR250" s="560"/>
      <c r="BS250" s="569"/>
      <c r="BT250" s="113">
        <f>SUM(L250:BO250)</f>
        <v>0</v>
      </c>
      <c r="BU250" s="112"/>
      <c r="BV250" s="67"/>
      <c r="BW250" s="560"/>
      <c r="BX250" s="569"/>
      <c r="BY250" s="113">
        <v>0</v>
      </c>
      <c r="BZ250" s="112"/>
      <c r="CA250" s="67"/>
      <c r="CB250" s="560"/>
      <c r="CC250" s="569"/>
      <c r="CD250" s="113">
        <v>0</v>
      </c>
      <c r="CE250" s="112"/>
      <c r="CF250" s="67"/>
      <c r="CG250" s="560"/>
      <c r="CH250" s="569"/>
      <c r="CI250" s="113">
        <v>0</v>
      </c>
      <c r="CJ250" s="112"/>
      <c r="CK250" s="67"/>
      <c r="CL250" s="560"/>
      <c r="CM250" s="569"/>
      <c r="CN250" s="113">
        <v>0</v>
      </c>
      <c r="CO250" s="112"/>
      <c r="CP250" s="67"/>
      <c r="CQ250" s="560"/>
      <c r="CR250" s="569"/>
      <c r="CS250" s="113">
        <v>0</v>
      </c>
      <c r="CT250" s="112"/>
      <c r="CU250" s="67"/>
      <c r="CV250" s="560"/>
      <c r="CW250" s="569"/>
      <c r="CX250" s="113">
        <v>0</v>
      </c>
      <c r="CY250" s="112"/>
      <c r="CZ250" s="67"/>
      <c r="DA250" s="560"/>
      <c r="DB250" s="569"/>
      <c r="DC250" s="113">
        <v>0</v>
      </c>
      <c r="DD250" s="112"/>
      <c r="DE250" s="67"/>
      <c r="DF250" s="560"/>
      <c r="DG250" s="569"/>
      <c r="DH250" s="113">
        <v>0</v>
      </c>
      <c r="DI250" s="112"/>
      <c r="DJ250" s="67"/>
      <c r="DK250" s="560"/>
      <c r="DL250" s="569"/>
      <c r="DM250" s="113">
        <v>0</v>
      </c>
      <c r="DN250" s="112"/>
      <c r="DO250" s="67"/>
      <c r="DP250" s="560"/>
      <c r="DQ250" s="569"/>
      <c r="DR250" s="113">
        <v>0</v>
      </c>
      <c r="DS250" s="112"/>
      <c r="DT250" s="67"/>
      <c r="DU250" s="560"/>
      <c r="DV250" s="569"/>
      <c r="DW250" s="113">
        <v>0</v>
      </c>
      <c r="DX250" s="112"/>
      <c r="DY250" s="67"/>
      <c r="DZ250" s="560"/>
      <c r="EA250" s="569"/>
      <c r="EB250" s="113">
        <v>0</v>
      </c>
      <c r="EC250" s="112"/>
      <c r="ED250" s="67"/>
      <c r="EE250" s="560"/>
      <c r="EF250" s="569"/>
      <c r="EG250" s="113">
        <v>0</v>
      </c>
      <c r="EH250" s="112"/>
      <c r="EI250" s="67"/>
      <c r="EJ250" s="560"/>
      <c r="EK250" s="569"/>
      <c r="EL250" s="113">
        <f>SUM(CD250:DH250)</f>
        <v>0</v>
      </c>
      <c r="EM250" s="112"/>
      <c r="EN250" s="67"/>
      <c r="EO250" s="455"/>
      <c r="ER250" s="472"/>
      <c r="ES250" s="472"/>
    </row>
    <row r="251" spans="1:149" ht="12.75" customHeight="1" x14ac:dyDescent="0.2">
      <c r="A251" s="442"/>
      <c r="B251" s="442"/>
      <c r="D251" s="455"/>
      <c r="E251" s="582"/>
      <c r="F251" s="320"/>
      <c r="G251" s="67"/>
      <c r="H251" s="67"/>
      <c r="I251" s="67"/>
      <c r="J251" s="560"/>
      <c r="K251" s="320"/>
      <c r="L251" s="67"/>
      <c r="M251" s="67"/>
      <c r="N251" s="67"/>
      <c r="O251" s="560"/>
      <c r="P251" s="320"/>
      <c r="Q251" s="67"/>
      <c r="R251" s="67"/>
      <c r="S251" s="67"/>
      <c r="T251" s="560"/>
      <c r="U251" s="320"/>
      <c r="V251" s="67"/>
      <c r="W251" s="67"/>
      <c r="X251" s="67"/>
      <c r="Y251" s="560"/>
      <c r="Z251" s="320"/>
      <c r="AA251" s="67"/>
      <c r="AB251" s="67"/>
      <c r="AC251" s="67"/>
      <c r="AD251" s="560"/>
      <c r="AE251" s="320"/>
      <c r="AF251" s="67"/>
      <c r="AG251" s="67"/>
      <c r="AH251" s="67"/>
      <c r="AI251" s="560"/>
      <c r="AJ251" s="320"/>
      <c r="AK251" s="67"/>
      <c r="AL251" s="67"/>
      <c r="AM251" s="67"/>
      <c r="AN251" s="560"/>
      <c r="AO251" s="320"/>
      <c r="AP251" s="67"/>
      <c r="AQ251" s="67"/>
      <c r="AR251" s="67"/>
      <c r="AS251" s="560"/>
      <c r="AT251" s="320"/>
      <c r="AU251" s="67"/>
      <c r="AV251" s="67"/>
      <c r="AW251" s="67"/>
      <c r="AX251" s="560"/>
      <c r="AY251" s="320"/>
      <c r="AZ251" s="67"/>
      <c r="BA251" s="67"/>
      <c r="BB251" s="67"/>
      <c r="BC251" s="560"/>
      <c r="BD251" s="320"/>
      <c r="BE251" s="67"/>
      <c r="BF251" s="67"/>
      <c r="BG251" s="67"/>
      <c r="BH251" s="560"/>
      <c r="BI251" s="320"/>
      <c r="BJ251" s="67"/>
      <c r="BK251" s="67"/>
      <c r="BL251" s="67"/>
      <c r="BM251" s="560"/>
      <c r="BN251" s="320"/>
      <c r="BO251" s="67"/>
      <c r="BP251" s="67"/>
      <c r="BQ251" s="67"/>
      <c r="BR251" s="560"/>
      <c r="BS251" s="320"/>
      <c r="BT251" s="67"/>
      <c r="BU251" s="67"/>
      <c r="BV251" s="67"/>
      <c r="BW251" s="560"/>
      <c r="BX251" s="320"/>
      <c r="BY251" s="67"/>
      <c r="BZ251" s="67"/>
      <c r="CA251" s="67"/>
      <c r="CB251" s="560"/>
      <c r="CC251" s="320"/>
      <c r="CD251" s="67"/>
      <c r="CE251" s="67"/>
      <c r="CF251" s="67"/>
      <c r="CG251" s="560"/>
      <c r="CH251" s="320"/>
      <c r="CI251" s="67"/>
      <c r="CJ251" s="67"/>
      <c r="CK251" s="67"/>
      <c r="CL251" s="560"/>
      <c r="CM251" s="320"/>
      <c r="CN251" s="67"/>
      <c r="CO251" s="67"/>
      <c r="CP251" s="67"/>
      <c r="CQ251" s="560"/>
      <c r="CR251" s="320"/>
      <c r="CS251" s="67"/>
      <c r="CT251" s="67"/>
      <c r="CU251" s="67"/>
      <c r="CV251" s="560"/>
      <c r="CW251" s="320"/>
      <c r="CX251" s="67"/>
      <c r="CY251" s="67"/>
      <c r="CZ251" s="67"/>
      <c r="DA251" s="560"/>
      <c r="DB251" s="320"/>
      <c r="DC251" s="67"/>
      <c r="DD251" s="67"/>
      <c r="DE251" s="67"/>
      <c r="DF251" s="560"/>
      <c r="DG251" s="320"/>
      <c r="DH251" s="67"/>
      <c r="DI251" s="67"/>
      <c r="DJ251" s="67"/>
      <c r="DK251" s="560"/>
      <c r="DL251" s="320"/>
      <c r="DM251" s="67"/>
      <c r="DN251" s="67"/>
      <c r="DO251" s="67"/>
      <c r="DP251" s="560"/>
      <c r="DQ251" s="320"/>
      <c r="DR251" s="67"/>
      <c r="DS251" s="67"/>
      <c r="DT251" s="67"/>
      <c r="DU251" s="560"/>
      <c r="DV251" s="320"/>
      <c r="DW251" s="67"/>
      <c r="DX251" s="67"/>
      <c r="DY251" s="67"/>
      <c r="DZ251" s="560"/>
      <c r="EA251" s="320"/>
      <c r="EB251" s="67"/>
      <c r="EC251" s="67"/>
      <c r="ED251" s="67"/>
      <c r="EE251" s="560"/>
      <c r="EF251" s="320"/>
      <c r="EG251" s="67"/>
      <c r="EH251" s="67"/>
      <c r="EI251" s="67"/>
      <c r="EJ251" s="560"/>
      <c r="EK251" s="320"/>
      <c r="EL251" s="67"/>
      <c r="EM251" s="67"/>
      <c r="EN251" s="67"/>
      <c r="EO251" s="455"/>
      <c r="ER251" s="472"/>
      <c r="ES251" s="472"/>
    </row>
    <row r="252" spans="1:149" ht="12.75" customHeight="1" x14ac:dyDescent="0.2">
      <c r="A252" s="442"/>
      <c r="B252" s="442"/>
      <c r="D252" s="455" t="s">
        <v>370</v>
      </c>
      <c r="E252" s="582"/>
      <c r="F252" s="320"/>
      <c r="G252" s="67">
        <v>0</v>
      </c>
      <c r="H252" s="67"/>
      <c r="I252" s="67"/>
      <c r="J252" s="560"/>
      <c r="K252" s="320"/>
      <c r="L252" s="67">
        <v>0</v>
      </c>
      <c r="M252" s="67"/>
      <c r="N252" s="67"/>
      <c r="O252" s="560"/>
      <c r="P252" s="320"/>
      <c r="Q252" s="67">
        <f>SUM(Q253:Q255)</f>
        <v>0</v>
      </c>
      <c r="R252" s="67"/>
      <c r="S252" s="67"/>
      <c r="T252" s="560"/>
      <c r="U252" s="320"/>
      <c r="V252" s="67">
        <f>SUM(V253:V255)</f>
        <v>0</v>
      </c>
      <c r="W252" s="67"/>
      <c r="X252" s="67"/>
      <c r="Y252" s="560"/>
      <c r="Z252" s="320"/>
      <c r="AA252" s="67">
        <v>0</v>
      </c>
      <c r="AB252" s="67"/>
      <c r="AC252" s="67"/>
      <c r="AD252" s="560"/>
      <c r="AE252" s="320"/>
      <c r="AF252" s="67">
        <f>SUM(AF253:AF255)</f>
        <v>0</v>
      </c>
      <c r="AG252" s="67"/>
      <c r="AH252" s="67"/>
      <c r="AI252" s="560"/>
      <c r="AJ252" s="320"/>
      <c r="AK252" s="67">
        <v>0</v>
      </c>
      <c r="AL252" s="67"/>
      <c r="AM252" s="67"/>
      <c r="AN252" s="560"/>
      <c r="AO252" s="320"/>
      <c r="AP252" s="67">
        <f>SUM(AP253:AP255)</f>
        <v>0</v>
      </c>
      <c r="AQ252" s="67"/>
      <c r="AR252" s="67"/>
      <c r="AS252" s="560"/>
      <c r="AT252" s="320"/>
      <c r="AU252" s="67">
        <v>0</v>
      </c>
      <c r="AV252" s="67"/>
      <c r="AW252" s="67"/>
      <c r="AX252" s="560"/>
      <c r="AY252" s="320"/>
      <c r="AZ252" s="67">
        <v>0</v>
      </c>
      <c r="BA252" s="67"/>
      <c r="BB252" s="67"/>
      <c r="BC252" s="560"/>
      <c r="BD252" s="320"/>
      <c r="BE252" s="67">
        <v>0</v>
      </c>
      <c r="BF252" s="67"/>
      <c r="BG252" s="67"/>
      <c r="BH252" s="560"/>
      <c r="BI252" s="320"/>
      <c r="BJ252" s="67">
        <v>0</v>
      </c>
      <c r="BK252" s="67"/>
      <c r="BL252" s="67"/>
      <c r="BM252" s="560"/>
      <c r="BN252" s="320"/>
      <c r="BO252" s="67">
        <v>0</v>
      </c>
      <c r="BP252" s="67"/>
      <c r="BQ252" s="67"/>
      <c r="BR252" s="560"/>
      <c r="BS252" s="320"/>
      <c r="BT252" s="67">
        <f>SUM(BT253:BT256)</f>
        <v>0</v>
      </c>
      <c r="BU252" s="67"/>
      <c r="BV252" s="67"/>
      <c r="BW252" s="560"/>
      <c r="BX252" s="320"/>
      <c r="BY252" s="67">
        <f>SUM(BY253:BY256)</f>
        <v>1000908</v>
      </c>
      <c r="BZ252" s="67"/>
      <c r="CA252" s="67"/>
      <c r="CB252" s="560"/>
      <c r="CC252" s="320"/>
      <c r="CD252" s="67">
        <v>0</v>
      </c>
      <c r="CE252" s="67"/>
      <c r="CF252" s="67"/>
      <c r="CG252" s="560"/>
      <c r="CH252" s="320"/>
      <c r="CI252" s="67">
        <f>SUM(CI253:CI255)</f>
        <v>1000908</v>
      </c>
      <c r="CJ252" s="67"/>
      <c r="CK252" s="67"/>
      <c r="CL252" s="560"/>
      <c r="CM252" s="320"/>
      <c r="CN252" s="67">
        <f>SUM(CN253:CN255)</f>
        <v>0</v>
      </c>
      <c r="CO252" s="67"/>
      <c r="CP252" s="67"/>
      <c r="CQ252" s="560"/>
      <c r="CR252" s="320"/>
      <c r="CS252" s="67">
        <v>0</v>
      </c>
      <c r="CT252" s="67"/>
      <c r="CU252" s="67"/>
      <c r="CV252" s="560"/>
      <c r="CW252" s="320"/>
      <c r="CX252" s="67">
        <f>SUM(CX253:CX255)</f>
        <v>0</v>
      </c>
      <c r="CY252" s="67"/>
      <c r="CZ252" s="67"/>
      <c r="DA252" s="560"/>
      <c r="DB252" s="320"/>
      <c r="DC252" s="67">
        <v>0</v>
      </c>
      <c r="DD252" s="67"/>
      <c r="DE252" s="67"/>
      <c r="DF252" s="560"/>
      <c r="DG252" s="320"/>
      <c r="DH252" s="67">
        <f>SUM(DH253:DH255)</f>
        <v>0</v>
      </c>
      <c r="DI252" s="67"/>
      <c r="DJ252" s="67"/>
      <c r="DK252" s="560"/>
      <c r="DL252" s="320"/>
      <c r="DM252" s="67">
        <v>0</v>
      </c>
      <c r="DN252" s="67"/>
      <c r="DO252" s="67"/>
      <c r="DP252" s="560"/>
      <c r="DQ252" s="320"/>
      <c r="DR252" s="67">
        <v>0</v>
      </c>
      <c r="DS252" s="67"/>
      <c r="DT252" s="67"/>
      <c r="DU252" s="560"/>
      <c r="DV252" s="320"/>
      <c r="DW252" s="67">
        <v>0</v>
      </c>
      <c r="DX252" s="67"/>
      <c r="DY252" s="67"/>
      <c r="DZ252" s="560"/>
      <c r="EA252" s="320"/>
      <c r="EB252" s="67">
        <v>0</v>
      </c>
      <c r="EC252" s="67"/>
      <c r="ED252" s="67"/>
      <c r="EE252" s="560"/>
      <c r="EF252" s="320"/>
      <c r="EG252" s="67">
        <v>0</v>
      </c>
      <c r="EH252" s="67"/>
      <c r="EI252" s="67"/>
      <c r="EJ252" s="560"/>
      <c r="EK252" s="320"/>
      <c r="EL252" s="67">
        <f>SUM(EL253:EL256)</f>
        <v>1000908</v>
      </c>
      <c r="EM252" s="67"/>
      <c r="EN252" s="67"/>
      <c r="EO252" s="455"/>
      <c r="ER252" s="472"/>
      <c r="ES252" s="472"/>
    </row>
    <row r="253" spans="1:149" ht="12.75" customHeight="1" x14ac:dyDescent="0.2">
      <c r="A253" s="442"/>
      <c r="B253" s="442"/>
      <c r="D253" s="455" t="s">
        <v>342</v>
      </c>
      <c r="E253" s="582"/>
      <c r="F253" s="583"/>
      <c r="G253" s="558">
        <v>0</v>
      </c>
      <c r="H253" s="559"/>
      <c r="I253" s="67"/>
      <c r="J253" s="560"/>
      <c r="K253" s="583"/>
      <c r="L253" s="558">
        <v>0</v>
      </c>
      <c r="M253" s="559"/>
      <c r="N253" s="67"/>
      <c r="O253" s="560"/>
      <c r="P253" s="561"/>
      <c r="Q253" s="558">
        <v>0</v>
      </c>
      <c r="R253" s="559"/>
      <c r="S253" s="67"/>
      <c r="T253" s="560"/>
      <c r="U253" s="561"/>
      <c r="V253" s="558">
        <v>0</v>
      </c>
      <c r="W253" s="559"/>
      <c r="X253" s="67"/>
      <c r="Y253" s="560"/>
      <c r="Z253" s="561"/>
      <c r="AA253" s="558">
        <v>0</v>
      </c>
      <c r="AB253" s="559"/>
      <c r="AC253" s="67"/>
      <c r="AD253" s="560"/>
      <c r="AE253" s="561"/>
      <c r="AF253" s="558">
        <v>0</v>
      </c>
      <c r="AG253" s="559"/>
      <c r="AH253" s="67"/>
      <c r="AI253" s="560"/>
      <c r="AJ253" s="561"/>
      <c r="AK253" s="558">
        <v>0</v>
      </c>
      <c r="AL253" s="559"/>
      <c r="AM253" s="67"/>
      <c r="AN253" s="560"/>
      <c r="AO253" s="561"/>
      <c r="AP253" s="558">
        <v>0</v>
      </c>
      <c r="AQ253" s="559"/>
      <c r="AR253" s="67"/>
      <c r="AS253" s="560"/>
      <c r="AT253" s="561"/>
      <c r="AU253" s="558">
        <v>0</v>
      </c>
      <c r="AV253" s="559"/>
      <c r="AW253" s="67"/>
      <c r="AX253" s="560"/>
      <c r="AY253" s="561"/>
      <c r="AZ253" s="558">
        <v>0</v>
      </c>
      <c r="BA253" s="559"/>
      <c r="BB253" s="67"/>
      <c r="BC253" s="560"/>
      <c r="BD253" s="561"/>
      <c r="BE253" s="558">
        <v>0</v>
      </c>
      <c r="BF253" s="559"/>
      <c r="BG253" s="67"/>
      <c r="BH253" s="560"/>
      <c r="BI253" s="561"/>
      <c r="BJ253" s="558">
        <v>0</v>
      </c>
      <c r="BK253" s="559"/>
      <c r="BL253" s="67"/>
      <c r="BM253" s="560"/>
      <c r="BN253" s="561"/>
      <c r="BO253" s="558">
        <v>0</v>
      </c>
      <c r="BP253" s="559"/>
      <c r="BQ253" s="67"/>
      <c r="BR253" s="560"/>
      <c r="BS253" s="561"/>
      <c r="BT253" s="558">
        <f>SUM(L253:BO253)</f>
        <v>0</v>
      </c>
      <c r="BU253" s="559"/>
      <c r="BV253" s="67"/>
      <c r="BW253" s="560"/>
      <c r="BX253" s="561"/>
      <c r="BY253" s="558">
        <v>999003</v>
      </c>
      <c r="BZ253" s="559"/>
      <c r="CA253" s="67"/>
      <c r="CB253" s="560"/>
      <c r="CC253" s="561"/>
      <c r="CD253" s="558">
        <v>0</v>
      </c>
      <c r="CE253" s="559"/>
      <c r="CF253" s="67"/>
      <c r="CG253" s="560"/>
      <c r="CH253" s="561"/>
      <c r="CI253" s="558">
        <f>1000908-1905</f>
        <v>999003</v>
      </c>
      <c r="CJ253" s="559"/>
      <c r="CK253" s="67"/>
      <c r="CL253" s="560"/>
      <c r="CM253" s="561"/>
      <c r="CN253" s="558">
        <v>0</v>
      </c>
      <c r="CO253" s="559"/>
      <c r="CP253" s="67"/>
      <c r="CQ253" s="560"/>
      <c r="CR253" s="561"/>
      <c r="CS253" s="558">
        <v>0</v>
      </c>
      <c r="CT253" s="559"/>
      <c r="CU253" s="67"/>
      <c r="CV253" s="560"/>
      <c r="CW253" s="561"/>
      <c r="CX253" s="558">
        <v>0</v>
      </c>
      <c r="CY253" s="559"/>
      <c r="CZ253" s="67"/>
      <c r="DA253" s="560"/>
      <c r="DB253" s="561"/>
      <c r="DC253" s="558">
        <v>0</v>
      </c>
      <c r="DD253" s="559"/>
      <c r="DE253" s="67"/>
      <c r="DF253" s="560"/>
      <c r="DG253" s="561"/>
      <c r="DH253" s="558">
        <v>0</v>
      </c>
      <c r="DI253" s="559"/>
      <c r="DJ253" s="67"/>
      <c r="DK253" s="560"/>
      <c r="DL253" s="561"/>
      <c r="DM253" s="558">
        <v>0</v>
      </c>
      <c r="DN253" s="559"/>
      <c r="DO253" s="67"/>
      <c r="DP253" s="560"/>
      <c r="DQ253" s="561"/>
      <c r="DR253" s="558">
        <v>0</v>
      </c>
      <c r="DS253" s="559"/>
      <c r="DT253" s="67"/>
      <c r="DU253" s="560"/>
      <c r="DV253" s="561"/>
      <c r="DW253" s="558">
        <v>0</v>
      </c>
      <c r="DX253" s="559"/>
      <c r="DY253" s="67"/>
      <c r="DZ253" s="560"/>
      <c r="EA253" s="561"/>
      <c r="EB253" s="558">
        <v>0</v>
      </c>
      <c r="EC253" s="559"/>
      <c r="ED253" s="67"/>
      <c r="EE253" s="560"/>
      <c r="EF253" s="561"/>
      <c r="EG253" s="558">
        <v>0</v>
      </c>
      <c r="EH253" s="559"/>
      <c r="EI253" s="67"/>
      <c r="EJ253" s="560"/>
      <c r="EK253" s="561"/>
      <c r="EL253" s="558">
        <f>SUM(CD253:CI253)</f>
        <v>999003</v>
      </c>
      <c r="EM253" s="559"/>
      <c r="EN253" s="67"/>
      <c r="EO253" s="455"/>
      <c r="ER253" s="472"/>
      <c r="ES253" s="472"/>
    </row>
    <row r="254" spans="1:149" ht="12.75" customHeight="1" x14ac:dyDescent="0.2">
      <c r="A254" s="442"/>
      <c r="B254" s="442"/>
      <c r="D254" s="455" t="s">
        <v>344</v>
      </c>
      <c r="E254" s="582"/>
      <c r="F254" s="554"/>
      <c r="G254" s="67">
        <v>0</v>
      </c>
      <c r="H254" s="66"/>
      <c r="I254" s="67"/>
      <c r="J254" s="560"/>
      <c r="K254" s="554"/>
      <c r="L254" s="67">
        <v>0</v>
      </c>
      <c r="M254" s="66"/>
      <c r="N254" s="67"/>
      <c r="O254" s="560"/>
      <c r="P254" s="560"/>
      <c r="Q254" s="67">
        <v>0</v>
      </c>
      <c r="R254" s="66"/>
      <c r="S254" s="67"/>
      <c r="T254" s="560"/>
      <c r="U254" s="560"/>
      <c r="V254" s="67">
        <v>0</v>
      </c>
      <c r="W254" s="66"/>
      <c r="X254" s="67"/>
      <c r="Y254" s="560"/>
      <c r="Z254" s="560"/>
      <c r="AA254" s="67">
        <v>0</v>
      </c>
      <c r="AB254" s="66"/>
      <c r="AC254" s="67"/>
      <c r="AD254" s="560"/>
      <c r="AE254" s="560"/>
      <c r="AF254" s="67">
        <v>0</v>
      </c>
      <c r="AG254" s="66"/>
      <c r="AH254" s="67"/>
      <c r="AI254" s="560"/>
      <c r="AJ254" s="560"/>
      <c r="AK254" s="67">
        <v>0</v>
      </c>
      <c r="AL254" s="66"/>
      <c r="AM254" s="67"/>
      <c r="AN254" s="560"/>
      <c r="AO254" s="560"/>
      <c r="AP254" s="67">
        <v>0</v>
      </c>
      <c r="AQ254" s="66"/>
      <c r="AR254" s="67"/>
      <c r="AS254" s="560"/>
      <c r="AT254" s="560"/>
      <c r="AU254" s="67">
        <v>0</v>
      </c>
      <c r="AV254" s="66"/>
      <c r="AW254" s="67"/>
      <c r="AX254" s="560"/>
      <c r="AY254" s="560"/>
      <c r="AZ254" s="67">
        <v>0</v>
      </c>
      <c r="BA254" s="66"/>
      <c r="BB254" s="67"/>
      <c r="BC254" s="560"/>
      <c r="BD254" s="560"/>
      <c r="BE254" s="67">
        <v>0</v>
      </c>
      <c r="BF254" s="66"/>
      <c r="BG254" s="67"/>
      <c r="BH254" s="560"/>
      <c r="BI254" s="560"/>
      <c r="BJ254" s="67">
        <v>0</v>
      </c>
      <c r="BK254" s="66"/>
      <c r="BL254" s="67"/>
      <c r="BM254" s="560"/>
      <c r="BN254" s="560"/>
      <c r="BO254" s="67">
        <v>0</v>
      </c>
      <c r="BP254" s="66"/>
      <c r="BQ254" s="67"/>
      <c r="BR254" s="560"/>
      <c r="BS254" s="560"/>
      <c r="BT254" s="67">
        <f>SUM(L254:BO254)</f>
        <v>0</v>
      </c>
      <c r="BU254" s="66"/>
      <c r="BV254" s="67"/>
      <c r="BW254" s="560"/>
      <c r="BX254" s="560"/>
      <c r="BY254" s="67">
        <v>1905</v>
      </c>
      <c r="BZ254" s="66"/>
      <c r="CA254" s="67"/>
      <c r="CB254" s="560"/>
      <c r="CC254" s="560"/>
      <c r="CD254" s="67">
        <v>0</v>
      </c>
      <c r="CE254" s="66"/>
      <c r="CF254" s="67"/>
      <c r="CG254" s="560"/>
      <c r="CH254" s="560"/>
      <c r="CI254" s="67">
        <v>1905</v>
      </c>
      <c r="CJ254" s="66"/>
      <c r="CK254" s="67"/>
      <c r="CL254" s="560"/>
      <c r="CM254" s="560"/>
      <c r="CN254" s="67">
        <v>0</v>
      </c>
      <c r="CO254" s="66"/>
      <c r="CP254" s="67"/>
      <c r="CQ254" s="560"/>
      <c r="CR254" s="560"/>
      <c r="CS254" s="67">
        <v>0</v>
      </c>
      <c r="CT254" s="66"/>
      <c r="CU254" s="67"/>
      <c r="CV254" s="560"/>
      <c r="CW254" s="560"/>
      <c r="CX254" s="67">
        <v>0</v>
      </c>
      <c r="CY254" s="66"/>
      <c r="CZ254" s="67"/>
      <c r="DA254" s="560"/>
      <c r="DB254" s="560"/>
      <c r="DC254" s="67">
        <v>0</v>
      </c>
      <c r="DD254" s="66"/>
      <c r="DE254" s="67"/>
      <c r="DF254" s="560"/>
      <c r="DG254" s="560"/>
      <c r="DH254" s="67">
        <v>0</v>
      </c>
      <c r="DI254" s="66"/>
      <c r="DJ254" s="67"/>
      <c r="DK254" s="560"/>
      <c r="DL254" s="560"/>
      <c r="DM254" s="67">
        <v>0</v>
      </c>
      <c r="DN254" s="66"/>
      <c r="DO254" s="67"/>
      <c r="DP254" s="560"/>
      <c r="DQ254" s="560"/>
      <c r="DR254" s="67">
        <v>0</v>
      </c>
      <c r="DS254" s="66"/>
      <c r="DT254" s="67"/>
      <c r="DU254" s="560"/>
      <c r="DV254" s="560"/>
      <c r="DW254" s="67">
        <v>0</v>
      </c>
      <c r="DX254" s="66"/>
      <c r="DY254" s="67"/>
      <c r="DZ254" s="560"/>
      <c r="EA254" s="560"/>
      <c r="EB254" s="67">
        <v>0</v>
      </c>
      <c r="EC254" s="66"/>
      <c r="ED254" s="67"/>
      <c r="EE254" s="560"/>
      <c r="EF254" s="560"/>
      <c r="EG254" s="67">
        <v>0</v>
      </c>
      <c r="EH254" s="66"/>
      <c r="EI254" s="67"/>
      <c r="EJ254" s="560"/>
      <c r="EK254" s="560"/>
      <c r="EL254" s="67">
        <f>SUM(CD254:CI254)</f>
        <v>1905</v>
      </c>
      <c r="EM254" s="66"/>
      <c r="EN254" s="67"/>
      <c r="EO254" s="455"/>
      <c r="ER254" s="472"/>
      <c r="ES254" s="472"/>
    </row>
    <row r="255" spans="1:149" ht="12.75" customHeight="1" x14ac:dyDescent="0.2">
      <c r="A255" s="442"/>
      <c r="B255" s="442"/>
      <c r="D255" s="455" t="s">
        <v>352</v>
      </c>
      <c r="E255" s="582"/>
      <c r="F255" s="555"/>
      <c r="G255" s="113">
        <v>0</v>
      </c>
      <c r="H255" s="112"/>
      <c r="I255" s="67"/>
      <c r="J255" s="560"/>
      <c r="K255" s="555"/>
      <c r="L255" s="113">
        <v>0</v>
      </c>
      <c r="M255" s="112"/>
      <c r="N255" s="67"/>
      <c r="O255" s="560"/>
      <c r="P255" s="569"/>
      <c r="Q255" s="113">
        <v>0</v>
      </c>
      <c r="R255" s="112"/>
      <c r="S255" s="67"/>
      <c r="T255" s="560"/>
      <c r="U255" s="569"/>
      <c r="V255" s="113">
        <v>0</v>
      </c>
      <c r="W255" s="112"/>
      <c r="X255" s="67"/>
      <c r="Y255" s="560"/>
      <c r="Z255" s="569"/>
      <c r="AA255" s="113">
        <v>0</v>
      </c>
      <c r="AB255" s="112"/>
      <c r="AC255" s="67"/>
      <c r="AD255" s="560"/>
      <c r="AE255" s="569"/>
      <c r="AF255" s="113">
        <v>0</v>
      </c>
      <c r="AG255" s="112"/>
      <c r="AH255" s="67"/>
      <c r="AI255" s="560"/>
      <c r="AJ255" s="569"/>
      <c r="AK255" s="113">
        <v>0</v>
      </c>
      <c r="AL255" s="112"/>
      <c r="AM255" s="67"/>
      <c r="AN255" s="560"/>
      <c r="AO255" s="569"/>
      <c r="AP255" s="113">
        <v>0</v>
      </c>
      <c r="AQ255" s="112"/>
      <c r="AR255" s="67"/>
      <c r="AS255" s="560"/>
      <c r="AT255" s="569"/>
      <c r="AU255" s="113">
        <v>0</v>
      </c>
      <c r="AV255" s="112"/>
      <c r="AW255" s="67"/>
      <c r="AX255" s="560"/>
      <c r="AY255" s="569"/>
      <c r="AZ255" s="113">
        <v>0</v>
      </c>
      <c r="BA255" s="112"/>
      <c r="BB255" s="67"/>
      <c r="BC255" s="560"/>
      <c r="BD255" s="569"/>
      <c r="BE255" s="113">
        <v>0</v>
      </c>
      <c r="BF255" s="112"/>
      <c r="BG255" s="67"/>
      <c r="BH255" s="560"/>
      <c r="BI255" s="569"/>
      <c r="BJ255" s="113">
        <v>0</v>
      </c>
      <c r="BK255" s="112"/>
      <c r="BL255" s="67"/>
      <c r="BM255" s="560"/>
      <c r="BN255" s="569"/>
      <c r="BO255" s="113">
        <v>0</v>
      </c>
      <c r="BP255" s="112"/>
      <c r="BQ255" s="67"/>
      <c r="BR255" s="560"/>
      <c r="BS255" s="569"/>
      <c r="BT255" s="113">
        <f>SUM(L255:BO255)</f>
        <v>0</v>
      </c>
      <c r="BU255" s="112"/>
      <c r="BV255" s="67"/>
      <c r="BW255" s="560"/>
      <c r="BX255" s="569"/>
      <c r="BY255" s="113">
        <v>0</v>
      </c>
      <c r="BZ255" s="112"/>
      <c r="CA255" s="67"/>
      <c r="CB255" s="560"/>
      <c r="CC255" s="569"/>
      <c r="CD255" s="113">
        <v>0</v>
      </c>
      <c r="CE255" s="112"/>
      <c r="CF255" s="67"/>
      <c r="CG255" s="560"/>
      <c r="CH255" s="569"/>
      <c r="CI255" s="113">
        <v>0</v>
      </c>
      <c r="CJ255" s="112"/>
      <c r="CK255" s="67"/>
      <c r="CL255" s="560"/>
      <c r="CM255" s="569"/>
      <c r="CN255" s="113">
        <v>0</v>
      </c>
      <c r="CO255" s="112"/>
      <c r="CP255" s="67"/>
      <c r="CQ255" s="560"/>
      <c r="CR255" s="569"/>
      <c r="CS255" s="113">
        <v>0</v>
      </c>
      <c r="CT255" s="112"/>
      <c r="CU255" s="67"/>
      <c r="CV255" s="560"/>
      <c r="CW255" s="569"/>
      <c r="CX255" s="113">
        <v>0</v>
      </c>
      <c r="CY255" s="112"/>
      <c r="CZ255" s="67"/>
      <c r="DA255" s="560"/>
      <c r="DB255" s="569"/>
      <c r="DC255" s="113">
        <v>0</v>
      </c>
      <c r="DD255" s="112"/>
      <c r="DE255" s="67"/>
      <c r="DF255" s="560"/>
      <c r="DG255" s="569"/>
      <c r="DH255" s="113">
        <v>0</v>
      </c>
      <c r="DI255" s="112"/>
      <c r="DJ255" s="67"/>
      <c r="DK255" s="560"/>
      <c r="DL255" s="569"/>
      <c r="DM255" s="113">
        <v>0</v>
      </c>
      <c r="DN255" s="112"/>
      <c r="DO255" s="67"/>
      <c r="DP255" s="560"/>
      <c r="DQ255" s="569"/>
      <c r="DR255" s="113">
        <v>0</v>
      </c>
      <c r="DS255" s="112"/>
      <c r="DT255" s="67"/>
      <c r="DU255" s="560"/>
      <c r="DV255" s="569"/>
      <c r="DW255" s="113">
        <v>0</v>
      </c>
      <c r="DX255" s="112"/>
      <c r="DY255" s="67"/>
      <c r="DZ255" s="560"/>
      <c r="EA255" s="569"/>
      <c r="EB255" s="113">
        <v>0</v>
      </c>
      <c r="EC255" s="112"/>
      <c r="ED255" s="67"/>
      <c r="EE255" s="560"/>
      <c r="EF255" s="569"/>
      <c r="EG255" s="113">
        <v>0</v>
      </c>
      <c r="EH255" s="112"/>
      <c r="EI255" s="67"/>
      <c r="EJ255" s="560"/>
      <c r="EK255" s="569"/>
      <c r="EL255" s="113">
        <f>SUM(CD255:CI255)</f>
        <v>0</v>
      </c>
      <c r="EM255" s="112"/>
      <c r="EN255" s="67"/>
      <c r="EO255" s="455"/>
      <c r="ER255" s="472"/>
      <c r="ES255" s="472"/>
    </row>
    <row r="256" spans="1:149" ht="12.75" hidden="1" customHeight="1" x14ac:dyDescent="0.2">
      <c r="A256" s="442"/>
      <c r="B256" s="442"/>
      <c r="D256" s="455" t="s">
        <v>346</v>
      </c>
      <c r="E256" s="582"/>
      <c r="F256" s="585"/>
      <c r="G256" s="113">
        <v>0</v>
      </c>
      <c r="H256" s="112"/>
      <c r="I256" s="67"/>
      <c r="J256" s="560"/>
      <c r="K256" s="585"/>
      <c r="L256" s="113">
        <v>0</v>
      </c>
      <c r="M256" s="112"/>
      <c r="N256" s="67"/>
      <c r="O256" s="560"/>
      <c r="P256" s="585"/>
      <c r="Q256" s="113">
        <v>0</v>
      </c>
      <c r="R256" s="112"/>
      <c r="S256" s="67"/>
      <c r="T256" s="560"/>
      <c r="U256" s="585"/>
      <c r="V256" s="113">
        <v>0</v>
      </c>
      <c r="W256" s="112"/>
      <c r="X256" s="67"/>
      <c r="Y256" s="560"/>
      <c r="Z256" s="585"/>
      <c r="AA256" s="113">
        <v>0</v>
      </c>
      <c r="AB256" s="112"/>
      <c r="AC256" s="67"/>
      <c r="AD256" s="560"/>
      <c r="AE256" s="585"/>
      <c r="AF256" s="113">
        <v>0</v>
      </c>
      <c r="AG256" s="112"/>
      <c r="AH256" s="67"/>
      <c r="AI256" s="560"/>
      <c r="AJ256" s="585"/>
      <c r="AK256" s="113">
        <v>0</v>
      </c>
      <c r="AL256" s="112"/>
      <c r="AM256" s="67"/>
      <c r="AN256" s="560"/>
      <c r="AO256" s="585"/>
      <c r="AP256" s="113">
        <v>0</v>
      </c>
      <c r="AQ256" s="112"/>
      <c r="AR256" s="67"/>
      <c r="AS256" s="560"/>
      <c r="AT256" s="585"/>
      <c r="AU256" s="113">
        <v>0</v>
      </c>
      <c r="AV256" s="112"/>
      <c r="AW256" s="67"/>
      <c r="AX256" s="560"/>
      <c r="AY256" s="585"/>
      <c r="AZ256" s="113">
        <v>0</v>
      </c>
      <c r="BA256" s="112"/>
      <c r="BB256" s="67"/>
      <c r="BC256" s="560"/>
      <c r="BD256" s="585"/>
      <c r="BE256" s="113">
        <v>0</v>
      </c>
      <c r="BF256" s="112"/>
      <c r="BG256" s="67"/>
      <c r="BH256" s="560"/>
      <c r="BI256" s="585"/>
      <c r="BJ256" s="113">
        <v>0</v>
      </c>
      <c r="BK256" s="112"/>
      <c r="BL256" s="67"/>
      <c r="BM256" s="560"/>
      <c r="BN256" s="585"/>
      <c r="BO256" s="113">
        <v>0</v>
      </c>
      <c r="BP256" s="112"/>
      <c r="BQ256" s="67"/>
      <c r="BR256" s="560"/>
      <c r="BS256" s="585"/>
      <c r="BT256" s="113">
        <f>SUM(L256:BO256)</f>
        <v>0</v>
      </c>
      <c r="BU256" s="112"/>
      <c r="BV256" s="67"/>
      <c r="BW256" s="560"/>
      <c r="BX256" s="585"/>
      <c r="BY256" s="113">
        <f>SUM(Q256:BT256)</f>
        <v>0</v>
      </c>
      <c r="BZ256" s="112"/>
      <c r="CA256" s="67"/>
      <c r="CB256" s="560"/>
      <c r="CC256" s="585"/>
      <c r="CD256" s="113">
        <v>0</v>
      </c>
      <c r="CE256" s="112"/>
      <c r="CF256" s="67"/>
      <c r="CG256" s="560"/>
      <c r="CH256" s="585"/>
      <c r="CI256" s="113">
        <v>0</v>
      </c>
      <c r="CJ256" s="112"/>
      <c r="CK256" s="67"/>
      <c r="CL256" s="560"/>
      <c r="CM256" s="585"/>
      <c r="CN256" s="113">
        <v>0</v>
      </c>
      <c r="CO256" s="112"/>
      <c r="CP256" s="67"/>
      <c r="CQ256" s="560"/>
      <c r="CR256" s="585"/>
      <c r="CS256" s="113">
        <v>0</v>
      </c>
      <c r="CT256" s="112"/>
      <c r="CU256" s="67"/>
      <c r="CV256" s="560"/>
      <c r="CW256" s="585"/>
      <c r="CX256" s="113">
        <v>0</v>
      </c>
      <c r="CY256" s="112"/>
      <c r="CZ256" s="67"/>
      <c r="DA256" s="560"/>
      <c r="DB256" s="585"/>
      <c r="DC256" s="113">
        <v>0</v>
      </c>
      <c r="DD256" s="112"/>
      <c r="DE256" s="67"/>
      <c r="DF256" s="560"/>
      <c r="DG256" s="585"/>
      <c r="DH256" s="113">
        <v>0</v>
      </c>
      <c r="DI256" s="112"/>
      <c r="DJ256" s="67"/>
      <c r="DK256" s="560"/>
      <c r="DL256" s="585"/>
      <c r="DM256" s="113">
        <v>0</v>
      </c>
      <c r="DN256" s="112"/>
      <c r="DO256" s="67"/>
      <c r="DP256" s="560"/>
      <c r="DQ256" s="585"/>
      <c r="DR256" s="113">
        <v>0</v>
      </c>
      <c r="DS256" s="112"/>
      <c r="DT256" s="67"/>
      <c r="DU256" s="560"/>
      <c r="DV256" s="585"/>
      <c r="DW256" s="113">
        <v>0</v>
      </c>
      <c r="DX256" s="112"/>
      <c r="DY256" s="67"/>
      <c r="DZ256" s="560"/>
      <c r="EA256" s="585"/>
      <c r="EB256" s="113">
        <v>0</v>
      </c>
      <c r="EC256" s="112"/>
      <c r="ED256" s="67"/>
      <c r="EE256" s="560"/>
      <c r="EF256" s="585"/>
      <c r="EG256" s="113">
        <v>0</v>
      </c>
      <c r="EH256" s="112"/>
      <c r="EI256" s="67"/>
      <c r="EJ256" s="560"/>
      <c r="EK256" s="585"/>
      <c r="EL256" s="113">
        <f>SUM(CD256:EG256)</f>
        <v>0</v>
      </c>
      <c r="EM256" s="112"/>
      <c r="EN256" s="67"/>
      <c r="EO256" s="455"/>
      <c r="ER256" s="472"/>
      <c r="ES256" s="472"/>
    </row>
    <row r="257" spans="1:149" ht="12.75" customHeight="1" x14ac:dyDescent="0.2">
      <c r="A257" s="442"/>
      <c r="B257" s="442"/>
      <c r="D257" s="455"/>
      <c r="E257" s="582"/>
      <c r="F257" s="320"/>
      <c r="G257" s="67"/>
      <c r="H257" s="67"/>
      <c r="I257" s="67"/>
      <c r="J257" s="560"/>
      <c r="K257" s="320"/>
      <c r="L257" s="67"/>
      <c r="M257" s="67"/>
      <c r="N257" s="67"/>
      <c r="O257" s="560"/>
      <c r="P257" s="320"/>
      <c r="Q257" s="67"/>
      <c r="R257" s="67"/>
      <c r="S257" s="67"/>
      <c r="T257" s="560"/>
      <c r="U257" s="320"/>
      <c r="V257" s="67"/>
      <c r="W257" s="67"/>
      <c r="X257" s="67"/>
      <c r="Y257" s="560"/>
      <c r="Z257" s="320"/>
      <c r="AA257" s="67"/>
      <c r="AB257" s="67"/>
      <c r="AC257" s="67"/>
      <c r="AD257" s="560"/>
      <c r="AE257" s="320"/>
      <c r="AF257" s="67"/>
      <c r="AG257" s="67"/>
      <c r="AH257" s="67"/>
      <c r="AI257" s="560"/>
      <c r="AJ257" s="320"/>
      <c r="AK257" s="67"/>
      <c r="AL257" s="67"/>
      <c r="AM257" s="67"/>
      <c r="AN257" s="560"/>
      <c r="AO257" s="320"/>
      <c r="AP257" s="67"/>
      <c r="AQ257" s="67"/>
      <c r="AR257" s="67"/>
      <c r="AS257" s="560"/>
      <c r="AT257" s="320"/>
      <c r="AU257" s="67"/>
      <c r="AV257" s="67"/>
      <c r="AW257" s="67"/>
      <c r="AX257" s="560"/>
      <c r="AY257" s="320"/>
      <c r="AZ257" s="67"/>
      <c r="BA257" s="67"/>
      <c r="BB257" s="67"/>
      <c r="BC257" s="560"/>
      <c r="BD257" s="320"/>
      <c r="BE257" s="67"/>
      <c r="BF257" s="67"/>
      <c r="BG257" s="67"/>
      <c r="BH257" s="560"/>
      <c r="BI257" s="320"/>
      <c r="BJ257" s="67"/>
      <c r="BK257" s="67"/>
      <c r="BL257" s="67"/>
      <c r="BM257" s="560"/>
      <c r="BN257" s="320"/>
      <c r="BO257" s="67"/>
      <c r="BP257" s="67"/>
      <c r="BQ257" s="67"/>
      <c r="BR257" s="560"/>
      <c r="BS257" s="320"/>
      <c r="BT257" s="67"/>
      <c r="BU257" s="67"/>
      <c r="BV257" s="67"/>
      <c r="BW257" s="560"/>
      <c r="BX257" s="320"/>
      <c r="BY257" s="67"/>
      <c r="BZ257" s="67"/>
      <c r="CA257" s="67"/>
      <c r="CB257" s="560"/>
      <c r="CC257" s="320"/>
      <c r="CD257" s="67"/>
      <c r="CE257" s="67"/>
      <c r="CF257" s="67"/>
      <c r="CG257" s="560"/>
      <c r="CH257" s="320"/>
      <c r="CI257" s="67"/>
      <c r="CJ257" s="67"/>
      <c r="CK257" s="67"/>
      <c r="CL257" s="560"/>
      <c r="CM257" s="320"/>
      <c r="CN257" s="67"/>
      <c r="CO257" s="67"/>
      <c r="CP257" s="67"/>
      <c r="CQ257" s="560"/>
      <c r="CR257" s="320"/>
      <c r="CS257" s="67"/>
      <c r="CT257" s="67"/>
      <c r="CU257" s="67"/>
      <c r="CV257" s="560"/>
      <c r="CW257" s="320"/>
      <c r="CX257" s="67"/>
      <c r="CY257" s="67"/>
      <c r="CZ257" s="67"/>
      <c r="DA257" s="560"/>
      <c r="DB257" s="320"/>
      <c r="DC257" s="67"/>
      <c r="DD257" s="67"/>
      <c r="DE257" s="67"/>
      <c r="DF257" s="560"/>
      <c r="DG257" s="320"/>
      <c r="DH257" s="67"/>
      <c r="DI257" s="67"/>
      <c r="DJ257" s="67"/>
      <c r="DK257" s="560"/>
      <c r="DL257" s="320"/>
      <c r="DM257" s="67"/>
      <c r="DN257" s="67"/>
      <c r="DO257" s="67"/>
      <c r="DP257" s="560"/>
      <c r="DQ257" s="320"/>
      <c r="DR257" s="67"/>
      <c r="DS257" s="67"/>
      <c r="DT257" s="67"/>
      <c r="DU257" s="560"/>
      <c r="DV257" s="320"/>
      <c r="DW257" s="67"/>
      <c r="DX257" s="67"/>
      <c r="DY257" s="67"/>
      <c r="DZ257" s="560"/>
      <c r="EA257" s="320"/>
      <c r="EB257" s="67"/>
      <c r="EC257" s="67"/>
      <c r="ED257" s="67"/>
      <c r="EE257" s="560"/>
      <c r="EF257" s="320"/>
      <c r="EG257" s="67"/>
      <c r="EH257" s="67"/>
      <c r="EI257" s="67"/>
      <c r="EJ257" s="560"/>
      <c r="EK257" s="320"/>
      <c r="EL257" s="67"/>
      <c r="EM257" s="67"/>
      <c r="EN257" s="67"/>
      <c r="EO257" s="455"/>
      <c r="ER257" s="472"/>
      <c r="ES257" s="472"/>
    </row>
    <row r="258" spans="1:149" ht="12.75" customHeight="1" x14ac:dyDescent="0.2">
      <c r="A258" s="442"/>
      <c r="B258" s="442"/>
      <c r="D258" s="455" t="s">
        <v>369</v>
      </c>
      <c r="E258" s="582"/>
      <c r="F258" s="320"/>
      <c r="G258" s="67">
        <v>0</v>
      </c>
      <c r="H258" s="67"/>
      <c r="I258" s="67"/>
      <c r="J258" s="560"/>
      <c r="K258" s="320"/>
      <c r="L258" s="67">
        <f>SUM(L259:L262)</f>
        <v>0</v>
      </c>
      <c r="M258" s="67"/>
      <c r="N258" s="67"/>
      <c r="O258" s="560"/>
      <c r="P258" s="320"/>
      <c r="Q258" s="67">
        <f>SUM(Q259:Q262)</f>
        <v>0</v>
      </c>
      <c r="R258" s="67"/>
      <c r="S258" s="67"/>
      <c r="T258" s="560"/>
      <c r="U258" s="320"/>
      <c r="V258" s="67">
        <f>SUM(V259:V262)</f>
        <v>0</v>
      </c>
      <c r="W258" s="67"/>
      <c r="X258" s="67"/>
      <c r="Y258" s="560"/>
      <c r="Z258" s="320"/>
      <c r="AA258" s="67">
        <f>SUM(AA259:AA262)</f>
        <v>0</v>
      </c>
      <c r="AB258" s="67"/>
      <c r="AC258" s="67"/>
      <c r="AD258" s="560"/>
      <c r="AE258" s="320"/>
      <c r="AF258" s="67">
        <f>SUM(AF259:AF262)</f>
        <v>0</v>
      </c>
      <c r="AG258" s="67"/>
      <c r="AH258" s="67"/>
      <c r="AI258" s="560"/>
      <c r="AJ258" s="320"/>
      <c r="AK258" s="67">
        <f>SUM(AK259:AK262)</f>
        <v>0</v>
      </c>
      <c r="AL258" s="67"/>
      <c r="AM258" s="67"/>
      <c r="AN258" s="560"/>
      <c r="AO258" s="320"/>
      <c r="AP258" s="67">
        <f>SUM(AP259:AP262)</f>
        <v>0</v>
      </c>
      <c r="AQ258" s="67"/>
      <c r="AR258" s="67"/>
      <c r="AS258" s="560"/>
      <c r="AT258" s="320"/>
      <c r="AU258" s="67">
        <f>SUM(AU259:AU262)</f>
        <v>0</v>
      </c>
      <c r="AV258" s="67"/>
      <c r="AW258" s="67"/>
      <c r="AX258" s="560"/>
      <c r="AY258" s="320"/>
      <c r="AZ258" s="67">
        <f>SUM(AZ259:AZ262)</f>
        <v>0</v>
      </c>
      <c r="BA258" s="67"/>
      <c r="BB258" s="67"/>
      <c r="BC258" s="560"/>
      <c r="BD258" s="320"/>
      <c r="BE258" s="67">
        <f>SUM(BE259:BE262)</f>
        <v>0</v>
      </c>
      <c r="BF258" s="67"/>
      <c r="BG258" s="67"/>
      <c r="BH258" s="560"/>
      <c r="BI258" s="320"/>
      <c r="BJ258" s="67">
        <f>SUM(BJ259:BJ262)</f>
        <v>0</v>
      </c>
      <c r="BK258" s="67"/>
      <c r="BL258" s="67"/>
      <c r="BM258" s="560"/>
      <c r="BN258" s="320"/>
      <c r="BO258" s="67">
        <f>SUM(BO259:BO262)</f>
        <v>0</v>
      </c>
      <c r="BP258" s="67"/>
      <c r="BQ258" s="67"/>
      <c r="BR258" s="560"/>
      <c r="BS258" s="320"/>
      <c r="BT258" s="67">
        <f>SUM(BT259:BT262)</f>
        <v>0</v>
      </c>
      <c r="BU258" s="67"/>
      <c r="BV258" s="67"/>
      <c r="BW258" s="560"/>
      <c r="BX258" s="320"/>
      <c r="BY258" s="67">
        <f>SUM(BY259:BY262)</f>
        <v>1147408</v>
      </c>
      <c r="BZ258" s="67"/>
      <c r="CA258" s="67"/>
      <c r="CB258" s="560"/>
      <c r="CC258" s="320"/>
      <c r="CD258" s="67">
        <f>SUM(CD259:CD262)</f>
        <v>0</v>
      </c>
      <c r="CE258" s="67"/>
      <c r="CF258" s="67"/>
      <c r="CG258" s="560"/>
      <c r="CH258" s="320"/>
      <c r="CI258" s="67">
        <f>SUM(CI259:CI262)</f>
        <v>1147408</v>
      </c>
      <c r="CJ258" s="67"/>
      <c r="CK258" s="67"/>
      <c r="CL258" s="560"/>
      <c r="CM258" s="320"/>
      <c r="CN258" s="67">
        <f>SUM(CN259:CN262)</f>
        <v>0</v>
      </c>
      <c r="CO258" s="67"/>
      <c r="CP258" s="67"/>
      <c r="CQ258" s="560"/>
      <c r="CR258" s="320"/>
      <c r="CS258" s="67">
        <f>SUM(CS259:CS262)</f>
        <v>0</v>
      </c>
      <c r="CT258" s="67"/>
      <c r="CU258" s="67"/>
      <c r="CV258" s="560"/>
      <c r="CW258" s="320"/>
      <c r="CX258" s="67">
        <f>SUM(CX259:CX262)</f>
        <v>0</v>
      </c>
      <c r="CY258" s="67"/>
      <c r="CZ258" s="67"/>
      <c r="DA258" s="560"/>
      <c r="DB258" s="320"/>
      <c r="DC258" s="67">
        <f>SUM(DC259:DC262)</f>
        <v>0</v>
      </c>
      <c r="DD258" s="67"/>
      <c r="DE258" s="67"/>
      <c r="DF258" s="560"/>
      <c r="DG258" s="320"/>
      <c r="DH258" s="67">
        <f>SUM(DH259:DH262)</f>
        <v>0</v>
      </c>
      <c r="DI258" s="67"/>
      <c r="DJ258" s="67"/>
      <c r="DK258" s="560"/>
      <c r="DL258" s="320"/>
      <c r="DM258" s="67">
        <f>SUM(DM259:DM262)</f>
        <v>0</v>
      </c>
      <c r="DN258" s="67"/>
      <c r="DO258" s="67"/>
      <c r="DP258" s="560"/>
      <c r="DQ258" s="320"/>
      <c r="DR258" s="67">
        <f>SUM(DR259:DR262)</f>
        <v>0</v>
      </c>
      <c r="DS258" s="67"/>
      <c r="DT258" s="67"/>
      <c r="DU258" s="560"/>
      <c r="DV258" s="320"/>
      <c r="DW258" s="67">
        <f>SUM(DW259:DW262)</f>
        <v>0</v>
      </c>
      <c r="DX258" s="67"/>
      <c r="DY258" s="67"/>
      <c r="DZ258" s="560"/>
      <c r="EA258" s="320"/>
      <c r="EB258" s="67">
        <f>SUM(EB259:EB262)</f>
        <v>0</v>
      </c>
      <c r="EC258" s="67"/>
      <c r="ED258" s="67"/>
      <c r="EE258" s="560"/>
      <c r="EF258" s="320"/>
      <c r="EG258" s="67">
        <f>SUM(EG259:EG262)</f>
        <v>0</v>
      </c>
      <c r="EH258" s="67"/>
      <c r="EI258" s="67"/>
      <c r="EJ258" s="560"/>
      <c r="EK258" s="320"/>
      <c r="EL258" s="67">
        <f>SUM(EL259:EL262)</f>
        <v>1147408</v>
      </c>
      <c r="EM258" s="67"/>
      <c r="EN258" s="67"/>
      <c r="EO258" s="455"/>
      <c r="ER258" s="472"/>
      <c r="ES258" s="472"/>
    </row>
    <row r="259" spans="1:149" ht="12.75" customHeight="1" x14ac:dyDescent="0.2">
      <c r="A259" s="442"/>
      <c r="B259" s="442"/>
      <c r="D259" s="455" t="s">
        <v>342</v>
      </c>
      <c r="F259" s="473"/>
      <c r="G259" s="558">
        <v>0</v>
      </c>
      <c r="H259" s="559"/>
      <c r="I259" s="67"/>
      <c r="J259" s="560"/>
      <c r="K259" s="561"/>
      <c r="L259" s="558">
        <v>0</v>
      </c>
      <c r="M259" s="559"/>
      <c r="N259" s="67"/>
      <c r="O259" s="560"/>
      <c r="P259" s="561"/>
      <c r="Q259" s="558">
        <v>0</v>
      </c>
      <c r="R259" s="559"/>
      <c r="S259" s="67"/>
      <c r="T259" s="560"/>
      <c r="U259" s="561"/>
      <c r="V259" s="558">
        <v>0</v>
      </c>
      <c r="W259" s="559"/>
      <c r="X259" s="67"/>
      <c r="Y259" s="560"/>
      <c r="Z259" s="561"/>
      <c r="AA259" s="558">
        <v>0</v>
      </c>
      <c r="AB259" s="559"/>
      <c r="AC259" s="67"/>
      <c r="AD259" s="560"/>
      <c r="AE259" s="561"/>
      <c r="AF259" s="558">
        <v>0</v>
      </c>
      <c r="AG259" s="559"/>
      <c r="AH259" s="67"/>
      <c r="AI259" s="560"/>
      <c r="AJ259" s="561"/>
      <c r="AK259" s="558">
        <v>0</v>
      </c>
      <c r="AL259" s="559"/>
      <c r="AM259" s="67"/>
      <c r="AN259" s="560"/>
      <c r="AO259" s="561"/>
      <c r="AP259" s="558">
        <v>0</v>
      </c>
      <c r="AQ259" s="559"/>
      <c r="AR259" s="67"/>
      <c r="AS259" s="560"/>
      <c r="AT259" s="561"/>
      <c r="AU259" s="558">
        <v>0</v>
      </c>
      <c r="AV259" s="559"/>
      <c r="AW259" s="67"/>
      <c r="AX259" s="560"/>
      <c r="AY259" s="561"/>
      <c r="AZ259" s="558">
        <v>0</v>
      </c>
      <c r="BA259" s="559"/>
      <c r="BB259" s="67"/>
      <c r="BC259" s="560"/>
      <c r="BD259" s="561"/>
      <c r="BE259" s="558">
        <v>0</v>
      </c>
      <c r="BF259" s="559"/>
      <c r="BG259" s="67"/>
      <c r="BH259" s="560"/>
      <c r="BI259" s="561"/>
      <c r="BJ259" s="558">
        <v>0</v>
      </c>
      <c r="BK259" s="559"/>
      <c r="BL259" s="67"/>
      <c r="BM259" s="560"/>
      <c r="BN259" s="561"/>
      <c r="BO259" s="558">
        <v>0</v>
      </c>
      <c r="BP259" s="559"/>
      <c r="BQ259" s="67"/>
      <c r="BR259" s="560"/>
      <c r="BS259" s="561"/>
      <c r="BT259" s="558">
        <f>SUM(L259:BO259)</f>
        <v>0</v>
      </c>
      <c r="BU259" s="559"/>
      <c r="BV259" s="67"/>
      <c r="BW259" s="560"/>
      <c r="BX259" s="561"/>
      <c r="BY259" s="558">
        <v>809374</v>
      </c>
      <c r="BZ259" s="559"/>
      <c r="CA259" s="67"/>
      <c r="CB259" s="560"/>
      <c r="CC259" s="561"/>
      <c r="CD259" s="558">
        <v>0</v>
      </c>
      <c r="CE259" s="559"/>
      <c r="CF259" s="67"/>
      <c r="CG259" s="560"/>
      <c r="CH259" s="561"/>
      <c r="CI259" s="558">
        <f>1147408-338034</f>
        <v>809374</v>
      </c>
      <c r="CJ259" s="559"/>
      <c r="CK259" s="67"/>
      <c r="CL259" s="560"/>
      <c r="CM259" s="561"/>
      <c r="CN259" s="558">
        <v>0</v>
      </c>
      <c r="CO259" s="559"/>
      <c r="CP259" s="67"/>
      <c r="CQ259" s="560"/>
      <c r="CR259" s="561"/>
      <c r="CS259" s="558">
        <v>0</v>
      </c>
      <c r="CT259" s="559"/>
      <c r="CU259" s="67"/>
      <c r="CV259" s="560"/>
      <c r="CW259" s="561"/>
      <c r="CX259" s="558">
        <v>0</v>
      </c>
      <c r="CY259" s="559"/>
      <c r="CZ259" s="67"/>
      <c r="DA259" s="560"/>
      <c r="DB259" s="561"/>
      <c r="DC259" s="558">
        <v>0</v>
      </c>
      <c r="DD259" s="559"/>
      <c r="DE259" s="67"/>
      <c r="DF259" s="560"/>
      <c r="DG259" s="561"/>
      <c r="DH259" s="558">
        <v>0</v>
      </c>
      <c r="DI259" s="559"/>
      <c r="DJ259" s="67"/>
      <c r="DK259" s="560"/>
      <c r="DL259" s="561"/>
      <c r="DM259" s="558">
        <v>0</v>
      </c>
      <c r="DN259" s="559"/>
      <c r="DO259" s="67"/>
      <c r="DP259" s="560"/>
      <c r="DQ259" s="561"/>
      <c r="DR259" s="558">
        <v>0</v>
      </c>
      <c r="DS259" s="559"/>
      <c r="DT259" s="67"/>
      <c r="DU259" s="560"/>
      <c r="DV259" s="561"/>
      <c r="DW259" s="558">
        <v>0</v>
      </c>
      <c r="DX259" s="559"/>
      <c r="DY259" s="67"/>
      <c r="DZ259" s="560"/>
      <c r="EA259" s="561"/>
      <c r="EB259" s="558">
        <v>0</v>
      </c>
      <c r="EC259" s="559"/>
      <c r="ED259" s="67"/>
      <c r="EE259" s="560"/>
      <c r="EF259" s="561"/>
      <c r="EG259" s="558">
        <v>0</v>
      </c>
      <c r="EH259" s="559"/>
      <c r="EI259" s="67"/>
      <c r="EJ259" s="560"/>
      <c r="EK259" s="561"/>
      <c r="EL259" s="558">
        <f>SUM(CD259:CI259)</f>
        <v>809374</v>
      </c>
      <c r="EM259" s="559"/>
      <c r="EN259" s="67"/>
      <c r="EO259" s="455"/>
      <c r="ER259" s="472"/>
      <c r="ES259" s="472"/>
    </row>
    <row r="260" spans="1:149" ht="12.75" customHeight="1" x14ac:dyDescent="0.2">
      <c r="A260" s="442"/>
      <c r="B260" s="442"/>
      <c r="D260" s="455" t="s">
        <v>344</v>
      </c>
      <c r="E260" s="582"/>
      <c r="F260" s="465"/>
      <c r="G260" s="67">
        <v>0</v>
      </c>
      <c r="H260" s="66"/>
      <c r="I260" s="67"/>
      <c r="J260" s="560"/>
      <c r="K260" s="560"/>
      <c r="L260" s="67">
        <v>0</v>
      </c>
      <c r="M260" s="66"/>
      <c r="N260" s="67"/>
      <c r="O260" s="560"/>
      <c r="P260" s="560"/>
      <c r="Q260" s="67">
        <v>0</v>
      </c>
      <c r="R260" s="66"/>
      <c r="S260" s="67"/>
      <c r="T260" s="560"/>
      <c r="U260" s="560"/>
      <c r="V260" s="67">
        <v>0</v>
      </c>
      <c r="W260" s="66"/>
      <c r="X260" s="67"/>
      <c r="Y260" s="560"/>
      <c r="Z260" s="560"/>
      <c r="AA260" s="67">
        <v>0</v>
      </c>
      <c r="AB260" s="66"/>
      <c r="AC260" s="67"/>
      <c r="AD260" s="560"/>
      <c r="AE260" s="560"/>
      <c r="AF260" s="67">
        <v>0</v>
      </c>
      <c r="AG260" s="66"/>
      <c r="AH260" s="67"/>
      <c r="AI260" s="560"/>
      <c r="AJ260" s="560"/>
      <c r="AK260" s="67">
        <v>0</v>
      </c>
      <c r="AL260" s="66"/>
      <c r="AM260" s="67"/>
      <c r="AN260" s="560"/>
      <c r="AO260" s="560"/>
      <c r="AP260" s="67">
        <v>0</v>
      </c>
      <c r="AQ260" s="66"/>
      <c r="AR260" s="67"/>
      <c r="AS260" s="560"/>
      <c r="AT260" s="560"/>
      <c r="AU260" s="67">
        <v>0</v>
      </c>
      <c r="AV260" s="66"/>
      <c r="AW260" s="67"/>
      <c r="AX260" s="560"/>
      <c r="AY260" s="560"/>
      <c r="AZ260" s="67">
        <v>0</v>
      </c>
      <c r="BA260" s="66"/>
      <c r="BB260" s="67"/>
      <c r="BC260" s="560"/>
      <c r="BD260" s="560"/>
      <c r="BE260" s="67">
        <v>0</v>
      </c>
      <c r="BF260" s="66"/>
      <c r="BG260" s="67"/>
      <c r="BH260" s="560"/>
      <c r="BI260" s="560"/>
      <c r="BJ260" s="67">
        <v>0</v>
      </c>
      <c r="BK260" s="66"/>
      <c r="BL260" s="67"/>
      <c r="BM260" s="560"/>
      <c r="BN260" s="560"/>
      <c r="BO260" s="67">
        <v>0</v>
      </c>
      <c r="BP260" s="66"/>
      <c r="BQ260" s="67"/>
      <c r="BR260" s="560"/>
      <c r="BS260" s="560"/>
      <c r="BT260" s="67">
        <f>SUM(L260:BO260)</f>
        <v>0</v>
      </c>
      <c r="BU260" s="66"/>
      <c r="BV260" s="67"/>
      <c r="BW260" s="560"/>
      <c r="BX260" s="560"/>
      <c r="BY260" s="67">
        <v>338034</v>
      </c>
      <c r="BZ260" s="66"/>
      <c r="CA260" s="67"/>
      <c r="CB260" s="560"/>
      <c r="CC260" s="560"/>
      <c r="CD260" s="67">
        <v>0</v>
      </c>
      <c r="CE260" s="66"/>
      <c r="CF260" s="67"/>
      <c r="CG260" s="560"/>
      <c r="CH260" s="560"/>
      <c r="CI260" s="67">
        <v>338034</v>
      </c>
      <c r="CJ260" s="66"/>
      <c r="CK260" s="67"/>
      <c r="CL260" s="560"/>
      <c r="CM260" s="560"/>
      <c r="CN260" s="67">
        <v>0</v>
      </c>
      <c r="CO260" s="66"/>
      <c r="CP260" s="67"/>
      <c r="CQ260" s="560"/>
      <c r="CR260" s="560"/>
      <c r="CS260" s="67">
        <v>0</v>
      </c>
      <c r="CT260" s="66"/>
      <c r="CU260" s="67"/>
      <c r="CV260" s="560"/>
      <c r="CW260" s="560"/>
      <c r="CX260" s="67">
        <v>0</v>
      </c>
      <c r="CY260" s="66"/>
      <c r="CZ260" s="67"/>
      <c r="DA260" s="560"/>
      <c r="DB260" s="560"/>
      <c r="DC260" s="67">
        <v>0</v>
      </c>
      <c r="DD260" s="66"/>
      <c r="DE260" s="67"/>
      <c r="DF260" s="560"/>
      <c r="DG260" s="560"/>
      <c r="DH260" s="67">
        <v>0</v>
      </c>
      <c r="DI260" s="66"/>
      <c r="DJ260" s="67"/>
      <c r="DK260" s="560"/>
      <c r="DL260" s="560"/>
      <c r="DM260" s="67">
        <v>0</v>
      </c>
      <c r="DN260" s="66"/>
      <c r="DO260" s="67"/>
      <c r="DP260" s="560"/>
      <c r="DQ260" s="560"/>
      <c r="DR260" s="67">
        <v>0</v>
      </c>
      <c r="DS260" s="66"/>
      <c r="DT260" s="67"/>
      <c r="DU260" s="560"/>
      <c r="DV260" s="560"/>
      <c r="DW260" s="67">
        <v>0</v>
      </c>
      <c r="DX260" s="66"/>
      <c r="DY260" s="67"/>
      <c r="DZ260" s="560"/>
      <c r="EA260" s="560"/>
      <c r="EB260" s="67">
        <v>0</v>
      </c>
      <c r="EC260" s="66"/>
      <c r="ED260" s="67"/>
      <c r="EE260" s="560"/>
      <c r="EF260" s="560"/>
      <c r="EG260" s="67">
        <v>0</v>
      </c>
      <c r="EH260" s="66"/>
      <c r="EI260" s="67"/>
      <c r="EJ260" s="560"/>
      <c r="EK260" s="560"/>
      <c r="EL260" s="67">
        <f>SUM(CD260:CI260)</f>
        <v>338034</v>
      </c>
      <c r="EM260" s="66"/>
      <c r="EN260" s="67"/>
      <c r="EO260" s="455"/>
      <c r="ER260" s="472"/>
      <c r="ES260" s="472"/>
    </row>
    <row r="261" spans="1:149" ht="12.75" customHeight="1" x14ac:dyDescent="0.2">
      <c r="A261" s="442"/>
      <c r="B261" s="442"/>
      <c r="D261" s="455" t="s">
        <v>352</v>
      </c>
      <c r="E261" s="582"/>
      <c r="F261" s="488"/>
      <c r="G261" s="113">
        <v>0</v>
      </c>
      <c r="H261" s="112"/>
      <c r="I261" s="67"/>
      <c r="J261" s="560"/>
      <c r="K261" s="569"/>
      <c r="L261" s="113">
        <v>0</v>
      </c>
      <c r="M261" s="112"/>
      <c r="N261" s="67"/>
      <c r="O261" s="560"/>
      <c r="P261" s="569"/>
      <c r="Q261" s="113">
        <v>0</v>
      </c>
      <c r="R261" s="112"/>
      <c r="S261" s="67"/>
      <c r="T261" s="560"/>
      <c r="U261" s="569"/>
      <c r="V261" s="113">
        <v>0</v>
      </c>
      <c r="W261" s="112"/>
      <c r="X261" s="67"/>
      <c r="Y261" s="560"/>
      <c r="Z261" s="569"/>
      <c r="AA261" s="113">
        <v>0</v>
      </c>
      <c r="AB261" s="112"/>
      <c r="AC261" s="67"/>
      <c r="AD261" s="560"/>
      <c r="AE261" s="569"/>
      <c r="AF261" s="113">
        <v>0</v>
      </c>
      <c r="AG261" s="112"/>
      <c r="AH261" s="67"/>
      <c r="AI261" s="560"/>
      <c r="AJ261" s="569"/>
      <c r="AK261" s="113">
        <v>0</v>
      </c>
      <c r="AL261" s="112"/>
      <c r="AM261" s="67"/>
      <c r="AN261" s="560"/>
      <c r="AO261" s="569"/>
      <c r="AP261" s="113">
        <v>0</v>
      </c>
      <c r="AQ261" s="112"/>
      <c r="AR261" s="67"/>
      <c r="AS261" s="560"/>
      <c r="AT261" s="569"/>
      <c r="AU261" s="113">
        <v>0</v>
      </c>
      <c r="AV261" s="112"/>
      <c r="AW261" s="67"/>
      <c r="AX261" s="560"/>
      <c r="AY261" s="569"/>
      <c r="AZ261" s="113">
        <v>0</v>
      </c>
      <c r="BA261" s="112"/>
      <c r="BB261" s="67"/>
      <c r="BC261" s="560"/>
      <c r="BD261" s="569"/>
      <c r="BE261" s="113">
        <v>0</v>
      </c>
      <c r="BF261" s="112"/>
      <c r="BG261" s="67"/>
      <c r="BH261" s="560"/>
      <c r="BI261" s="569"/>
      <c r="BJ261" s="113">
        <v>0</v>
      </c>
      <c r="BK261" s="112"/>
      <c r="BL261" s="67"/>
      <c r="BM261" s="560"/>
      <c r="BN261" s="569"/>
      <c r="BO261" s="113">
        <v>0</v>
      </c>
      <c r="BP261" s="112"/>
      <c r="BQ261" s="67"/>
      <c r="BR261" s="560"/>
      <c r="BS261" s="569"/>
      <c r="BT261" s="113">
        <f>SUM(L261:BO261)</f>
        <v>0</v>
      </c>
      <c r="BU261" s="112"/>
      <c r="BV261" s="67"/>
      <c r="BW261" s="560"/>
      <c r="BX261" s="569"/>
      <c r="BY261" s="113">
        <v>0</v>
      </c>
      <c r="BZ261" s="112"/>
      <c r="CA261" s="67"/>
      <c r="CB261" s="560"/>
      <c r="CC261" s="569"/>
      <c r="CD261" s="113">
        <v>0</v>
      </c>
      <c r="CE261" s="112"/>
      <c r="CF261" s="67"/>
      <c r="CG261" s="560"/>
      <c r="CH261" s="569"/>
      <c r="CI261" s="113">
        <v>0</v>
      </c>
      <c r="CJ261" s="112"/>
      <c r="CK261" s="67"/>
      <c r="CL261" s="560"/>
      <c r="CM261" s="569"/>
      <c r="CN261" s="113">
        <v>0</v>
      </c>
      <c r="CO261" s="112"/>
      <c r="CP261" s="67"/>
      <c r="CQ261" s="560"/>
      <c r="CR261" s="569"/>
      <c r="CS261" s="113">
        <v>0</v>
      </c>
      <c r="CT261" s="112"/>
      <c r="CU261" s="67"/>
      <c r="CV261" s="560"/>
      <c r="CW261" s="569"/>
      <c r="CX261" s="113">
        <v>0</v>
      </c>
      <c r="CY261" s="112"/>
      <c r="CZ261" s="67"/>
      <c r="DA261" s="560"/>
      <c r="DB261" s="569"/>
      <c r="DC261" s="113">
        <v>0</v>
      </c>
      <c r="DD261" s="112"/>
      <c r="DE261" s="67"/>
      <c r="DF261" s="560"/>
      <c r="DG261" s="569"/>
      <c r="DH261" s="113">
        <v>0</v>
      </c>
      <c r="DI261" s="112"/>
      <c r="DJ261" s="67"/>
      <c r="DK261" s="560"/>
      <c r="DL261" s="569"/>
      <c r="DM261" s="113">
        <v>0</v>
      </c>
      <c r="DN261" s="112"/>
      <c r="DO261" s="67"/>
      <c r="DP261" s="560"/>
      <c r="DQ261" s="569"/>
      <c r="DR261" s="113">
        <v>0</v>
      </c>
      <c r="DS261" s="112"/>
      <c r="DT261" s="67"/>
      <c r="DU261" s="560"/>
      <c r="DV261" s="569"/>
      <c r="DW261" s="113">
        <v>0</v>
      </c>
      <c r="DX261" s="112"/>
      <c r="DY261" s="67"/>
      <c r="DZ261" s="560"/>
      <c r="EA261" s="569"/>
      <c r="EB261" s="113">
        <v>0</v>
      </c>
      <c r="EC261" s="112"/>
      <c r="ED261" s="67"/>
      <c r="EE261" s="560"/>
      <c r="EF261" s="569"/>
      <c r="EG261" s="113">
        <v>0</v>
      </c>
      <c r="EH261" s="112"/>
      <c r="EI261" s="67"/>
      <c r="EJ261" s="560"/>
      <c r="EK261" s="569"/>
      <c r="EL261" s="113">
        <f>SUM(CD261:CI261)</f>
        <v>0</v>
      </c>
      <c r="EM261" s="112"/>
      <c r="EN261" s="67"/>
      <c r="EO261" s="455"/>
      <c r="ER261" s="472"/>
      <c r="ES261" s="472"/>
    </row>
    <row r="262" spans="1:149" ht="12.75" hidden="1" customHeight="1" x14ac:dyDescent="0.2">
      <c r="A262" s="442"/>
      <c r="B262" s="442"/>
      <c r="D262" s="455" t="s">
        <v>346</v>
      </c>
      <c r="E262" s="582"/>
      <c r="F262" s="585"/>
      <c r="G262" s="113">
        <v>0</v>
      </c>
      <c r="H262" s="112"/>
      <c r="I262" s="67"/>
      <c r="J262" s="560"/>
      <c r="K262" s="585"/>
      <c r="L262" s="113">
        <v>0</v>
      </c>
      <c r="M262" s="112"/>
      <c r="N262" s="67"/>
      <c r="O262" s="560"/>
      <c r="P262" s="585"/>
      <c r="Q262" s="113">
        <v>0</v>
      </c>
      <c r="R262" s="112"/>
      <c r="S262" s="67"/>
      <c r="T262" s="560"/>
      <c r="U262" s="585"/>
      <c r="V262" s="113">
        <v>0</v>
      </c>
      <c r="W262" s="112"/>
      <c r="X262" s="67"/>
      <c r="Y262" s="560"/>
      <c r="Z262" s="585"/>
      <c r="AA262" s="113">
        <v>0</v>
      </c>
      <c r="AB262" s="112"/>
      <c r="AC262" s="67"/>
      <c r="AD262" s="560"/>
      <c r="AE262" s="585"/>
      <c r="AF262" s="113">
        <v>0</v>
      </c>
      <c r="AG262" s="112"/>
      <c r="AH262" s="67"/>
      <c r="AI262" s="560"/>
      <c r="AJ262" s="585"/>
      <c r="AK262" s="113">
        <v>0</v>
      </c>
      <c r="AL262" s="112"/>
      <c r="AM262" s="67"/>
      <c r="AN262" s="560"/>
      <c r="AO262" s="585"/>
      <c r="AP262" s="113">
        <v>0</v>
      </c>
      <c r="AQ262" s="112"/>
      <c r="AR262" s="67"/>
      <c r="AS262" s="560"/>
      <c r="AT262" s="585"/>
      <c r="AU262" s="113">
        <v>0</v>
      </c>
      <c r="AV262" s="112"/>
      <c r="AW262" s="67"/>
      <c r="AX262" s="560"/>
      <c r="AY262" s="585"/>
      <c r="AZ262" s="113">
        <v>0</v>
      </c>
      <c r="BA262" s="112"/>
      <c r="BB262" s="67"/>
      <c r="BC262" s="560"/>
      <c r="BD262" s="585"/>
      <c r="BE262" s="113">
        <v>0</v>
      </c>
      <c r="BF262" s="112"/>
      <c r="BG262" s="67"/>
      <c r="BH262" s="560"/>
      <c r="BI262" s="585"/>
      <c r="BJ262" s="113">
        <v>0</v>
      </c>
      <c r="BK262" s="112"/>
      <c r="BL262" s="67"/>
      <c r="BM262" s="560"/>
      <c r="BN262" s="585"/>
      <c r="BO262" s="113">
        <v>0</v>
      </c>
      <c r="BP262" s="112"/>
      <c r="BQ262" s="67"/>
      <c r="BR262" s="560"/>
      <c r="BS262" s="585"/>
      <c r="BT262" s="113">
        <f>SUM(L262:BO262)</f>
        <v>0</v>
      </c>
      <c r="BU262" s="112"/>
      <c r="BV262" s="67"/>
      <c r="BW262" s="560"/>
      <c r="BX262" s="585"/>
      <c r="BY262" s="113">
        <f>SUM(Q262:BT262)</f>
        <v>0</v>
      </c>
      <c r="BZ262" s="112"/>
      <c r="CA262" s="67"/>
      <c r="CB262" s="560"/>
      <c r="CC262" s="585"/>
      <c r="CD262" s="113">
        <v>0</v>
      </c>
      <c r="CE262" s="112"/>
      <c r="CF262" s="67"/>
      <c r="CG262" s="560"/>
      <c r="CH262" s="585"/>
      <c r="CI262" s="113">
        <v>0</v>
      </c>
      <c r="CJ262" s="112"/>
      <c r="CK262" s="67"/>
      <c r="CL262" s="560"/>
      <c r="CM262" s="585"/>
      <c r="CN262" s="113">
        <v>0</v>
      </c>
      <c r="CO262" s="112"/>
      <c r="CP262" s="67"/>
      <c r="CQ262" s="560"/>
      <c r="CR262" s="585"/>
      <c r="CS262" s="113">
        <v>0</v>
      </c>
      <c r="CT262" s="112"/>
      <c r="CU262" s="67"/>
      <c r="CV262" s="560"/>
      <c r="CW262" s="585"/>
      <c r="CX262" s="113">
        <v>0</v>
      </c>
      <c r="CY262" s="112"/>
      <c r="CZ262" s="67"/>
      <c r="DA262" s="560"/>
      <c r="DB262" s="585"/>
      <c r="DC262" s="113">
        <v>0</v>
      </c>
      <c r="DD262" s="112"/>
      <c r="DE262" s="67"/>
      <c r="DF262" s="560"/>
      <c r="DG262" s="585"/>
      <c r="DH262" s="113">
        <v>0</v>
      </c>
      <c r="DI262" s="112"/>
      <c r="DJ262" s="67"/>
      <c r="DK262" s="560"/>
      <c r="DL262" s="585"/>
      <c r="DM262" s="113">
        <v>0</v>
      </c>
      <c r="DN262" s="112"/>
      <c r="DO262" s="67"/>
      <c r="DP262" s="560"/>
      <c r="DQ262" s="585"/>
      <c r="DR262" s="113">
        <v>0</v>
      </c>
      <c r="DS262" s="112"/>
      <c r="DT262" s="67"/>
      <c r="DU262" s="560"/>
      <c r="DV262" s="585"/>
      <c r="DW262" s="113">
        <v>0</v>
      </c>
      <c r="DX262" s="112"/>
      <c r="DY262" s="67"/>
      <c r="DZ262" s="560"/>
      <c r="EA262" s="585"/>
      <c r="EB262" s="113">
        <v>0</v>
      </c>
      <c r="EC262" s="112"/>
      <c r="ED262" s="67"/>
      <c r="EE262" s="560"/>
      <c r="EF262" s="585"/>
      <c r="EG262" s="113">
        <v>0</v>
      </c>
      <c r="EH262" s="112"/>
      <c r="EI262" s="67"/>
      <c r="EJ262" s="560"/>
      <c r="EK262" s="585"/>
      <c r="EL262" s="113">
        <f>SUM(CD262:EG262)</f>
        <v>0</v>
      </c>
      <c r="EM262" s="112"/>
      <c r="EN262" s="67"/>
      <c r="EO262" s="455"/>
      <c r="ER262" s="472"/>
      <c r="ES262" s="472"/>
    </row>
    <row r="263" spans="1:149" ht="12.75" customHeight="1" x14ac:dyDescent="0.2">
      <c r="A263" s="442"/>
      <c r="B263" s="442"/>
      <c r="D263" s="455"/>
      <c r="E263" s="582"/>
      <c r="F263" s="320"/>
      <c r="G263" s="67"/>
      <c r="H263" s="67"/>
      <c r="I263" s="67"/>
      <c r="J263" s="560"/>
      <c r="K263" s="320"/>
      <c r="L263" s="67"/>
      <c r="M263" s="67"/>
      <c r="N263" s="67"/>
      <c r="O263" s="560"/>
      <c r="P263" s="320"/>
      <c r="Q263" s="67"/>
      <c r="R263" s="67"/>
      <c r="S263" s="67"/>
      <c r="T263" s="560"/>
      <c r="U263" s="320"/>
      <c r="V263" s="67"/>
      <c r="W263" s="67"/>
      <c r="X263" s="67"/>
      <c r="Y263" s="560"/>
      <c r="Z263" s="320"/>
      <c r="AA263" s="67"/>
      <c r="AB263" s="67"/>
      <c r="AC263" s="67"/>
      <c r="AD263" s="560"/>
      <c r="AE263" s="320"/>
      <c r="AF263" s="67"/>
      <c r="AG263" s="67"/>
      <c r="AH263" s="67"/>
      <c r="AI263" s="560"/>
      <c r="AJ263" s="320"/>
      <c r="AK263" s="67"/>
      <c r="AL263" s="67"/>
      <c r="AM263" s="67"/>
      <c r="AN263" s="560"/>
      <c r="AO263" s="320"/>
      <c r="AP263" s="67"/>
      <c r="AQ263" s="67"/>
      <c r="AR263" s="67"/>
      <c r="AS263" s="560"/>
      <c r="AT263" s="320"/>
      <c r="AU263" s="67"/>
      <c r="AV263" s="67"/>
      <c r="AW263" s="67"/>
      <c r="AX263" s="560"/>
      <c r="AY263" s="320"/>
      <c r="AZ263" s="67"/>
      <c r="BA263" s="67"/>
      <c r="BB263" s="67"/>
      <c r="BC263" s="560"/>
      <c r="BD263" s="320"/>
      <c r="BE263" s="67"/>
      <c r="BF263" s="67"/>
      <c r="BG263" s="67"/>
      <c r="BH263" s="560"/>
      <c r="BI263" s="320"/>
      <c r="BJ263" s="67"/>
      <c r="BK263" s="67"/>
      <c r="BL263" s="67"/>
      <c r="BM263" s="560"/>
      <c r="BN263" s="320"/>
      <c r="BO263" s="67"/>
      <c r="BP263" s="67"/>
      <c r="BQ263" s="67"/>
      <c r="BR263" s="560"/>
      <c r="BS263" s="320"/>
      <c r="BT263" s="67"/>
      <c r="BU263" s="67"/>
      <c r="BV263" s="67"/>
      <c r="BW263" s="560"/>
      <c r="BX263" s="320"/>
      <c r="BY263" s="67"/>
      <c r="BZ263" s="67"/>
      <c r="CA263" s="67"/>
      <c r="CB263" s="560"/>
      <c r="CC263" s="320"/>
      <c r="CD263" s="67"/>
      <c r="CE263" s="67"/>
      <c r="CF263" s="67"/>
      <c r="CG263" s="560"/>
      <c r="CH263" s="320"/>
      <c r="CI263" s="67"/>
      <c r="CJ263" s="67"/>
      <c r="CK263" s="67"/>
      <c r="CL263" s="560"/>
      <c r="CM263" s="320"/>
      <c r="CN263" s="67"/>
      <c r="CO263" s="67"/>
      <c r="CP263" s="67"/>
      <c r="CQ263" s="560"/>
      <c r="CR263" s="320"/>
      <c r="CS263" s="67"/>
      <c r="CT263" s="67"/>
      <c r="CU263" s="67"/>
      <c r="CV263" s="560"/>
      <c r="CW263" s="320"/>
      <c r="CX263" s="67"/>
      <c r="CY263" s="67"/>
      <c r="CZ263" s="67"/>
      <c r="DA263" s="560"/>
      <c r="DB263" s="320"/>
      <c r="DC263" s="67"/>
      <c r="DD263" s="67"/>
      <c r="DE263" s="67"/>
      <c r="DF263" s="560"/>
      <c r="DG263" s="320"/>
      <c r="DH263" s="67"/>
      <c r="DI263" s="67"/>
      <c r="DJ263" s="67"/>
      <c r="DK263" s="560"/>
      <c r="DL263" s="320"/>
      <c r="DM263" s="67"/>
      <c r="DN263" s="67"/>
      <c r="DO263" s="67"/>
      <c r="DP263" s="560"/>
      <c r="DQ263" s="320"/>
      <c r="DR263" s="67"/>
      <c r="DS263" s="67"/>
      <c r="DT263" s="67"/>
      <c r="DU263" s="560"/>
      <c r="DV263" s="320"/>
      <c r="DW263" s="67"/>
      <c r="DX263" s="67"/>
      <c r="DY263" s="67"/>
      <c r="DZ263" s="560"/>
      <c r="EA263" s="320"/>
      <c r="EB263" s="67"/>
      <c r="EC263" s="67"/>
      <c r="ED263" s="67"/>
      <c r="EE263" s="560"/>
      <c r="EF263" s="320"/>
      <c r="EG263" s="67"/>
      <c r="EH263" s="67"/>
      <c r="EI263" s="67"/>
      <c r="EJ263" s="560"/>
      <c r="EK263" s="320"/>
      <c r="EL263" s="67"/>
      <c r="EM263" s="67"/>
      <c r="EN263" s="67"/>
      <c r="EO263" s="455"/>
      <c r="ER263" s="472"/>
      <c r="ES263" s="472"/>
    </row>
    <row r="264" spans="1:149" ht="12.75" customHeight="1" x14ac:dyDescent="0.2">
      <c r="A264" s="442"/>
      <c r="B264" s="442"/>
      <c r="D264" s="455" t="s">
        <v>375</v>
      </c>
      <c r="E264" s="582"/>
      <c r="F264" s="320"/>
      <c r="G264" s="67">
        <v>0</v>
      </c>
      <c r="H264" s="67"/>
      <c r="I264" s="67"/>
      <c r="J264" s="560"/>
      <c r="K264" s="320"/>
      <c r="L264" s="67">
        <f>SUM(L265:L268)</f>
        <v>0</v>
      </c>
      <c r="M264" s="67"/>
      <c r="N264" s="67"/>
      <c r="O264" s="560"/>
      <c r="P264" s="320"/>
      <c r="Q264" s="67">
        <f>SUM(Q265:Q268)</f>
        <v>0</v>
      </c>
      <c r="R264" s="67"/>
      <c r="S264" s="67"/>
      <c r="T264" s="560"/>
      <c r="U264" s="320"/>
      <c r="V264" s="67">
        <f>SUM(V265:V268)</f>
        <v>0</v>
      </c>
      <c r="W264" s="67"/>
      <c r="X264" s="67"/>
      <c r="Y264" s="560"/>
      <c r="Z264" s="320"/>
      <c r="AA264" s="67">
        <f>SUM(AA265:AA268)</f>
        <v>0</v>
      </c>
      <c r="AB264" s="67"/>
      <c r="AC264" s="67"/>
      <c r="AD264" s="560"/>
      <c r="AE264" s="320"/>
      <c r="AF264" s="67">
        <f>SUM(AF265:AF268)</f>
        <v>0</v>
      </c>
      <c r="AG264" s="67"/>
      <c r="AH264" s="67"/>
      <c r="AI264" s="560"/>
      <c r="AJ264" s="320"/>
      <c r="AK264" s="67">
        <f>SUM(AK265:AK268)</f>
        <v>0</v>
      </c>
      <c r="AL264" s="67"/>
      <c r="AM264" s="67"/>
      <c r="AN264" s="560"/>
      <c r="AO264" s="320"/>
      <c r="AP264" s="67">
        <f>SUM(AP265:AP268)</f>
        <v>0</v>
      </c>
      <c r="AQ264" s="67"/>
      <c r="AR264" s="67"/>
      <c r="AS264" s="560"/>
      <c r="AT264" s="320"/>
      <c r="AU264" s="67">
        <f>SUM(AU265:AU268)</f>
        <v>0</v>
      </c>
      <c r="AV264" s="67"/>
      <c r="AW264" s="67"/>
      <c r="AX264" s="560"/>
      <c r="AY264" s="320"/>
      <c r="AZ264" s="67">
        <f>SUM(AZ265:AZ268)</f>
        <v>0</v>
      </c>
      <c r="BA264" s="67"/>
      <c r="BB264" s="67"/>
      <c r="BC264" s="560"/>
      <c r="BD264" s="320"/>
      <c r="BE264" s="67">
        <f>SUM(BE265:BE268)</f>
        <v>0</v>
      </c>
      <c r="BF264" s="67"/>
      <c r="BG264" s="67"/>
      <c r="BH264" s="560"/>
      <c r="BI264" s="320"/>
      <c r="BJ264" s="67">
        <f>SUM(BJ265:BJ268)</f>
        <v>0</v>
      </c>
      <c r="BK264" s="67"/>
      <c r="BL264" s="67"/>
      <c r="BM264" s="560"/>
      <c r="BN264" s="320"/>
      <c r="BO264" s="67">
        <f>SUM(BO265:BO268)</f>
        <v>0</v>
      </c>
      <c r="BP264" s="67"/>
      <c r="BQ264" s="67"/>
      <c r="BR264" s="560"/>
      <c r="BS264" s="320"/>
      <c r="BT264" s="67">
        <f>SUM(BT265:BT268)</f>
        <v>0</v>
      </c>
      <c r="BU264" s="67"/>
      <c r="BV264" s="67"/>
      <c r="BW264" s="560"/>
      <c r="BX264" s="320"/>
      <c r="BY264" s="67">
        <f>SUM(BY265:BY268)</f>
        <v>1877366</v>
      </c>
      <c r="BZ264" s="67"/>
      <c r="CA264" s="67"/>
      <c r="CB264" s="560"/>
      <c r="CC264" s="320"/>
      <c r="CD264" s="67">
        <f>SUM(CD265:CD268)</f>
        <v>0</v>
      </c>
      <c r="CE264" s="67"/>
      <c r="CF264" s="67"/>
      <c r="CG264" s="560"/>
      <c r="CH264" s="320"/>
      <c r="CI264" s="67">
        <f>SUM(CI265:CI268)</f>
        <v>1877366</v>
      </c>
      <c r="CJ264" s="67"/>
      <c r="CK264" s="67"/>
      <c r="CL264" s="560"/>
      <c r="CM264" s="320"/>
      <c r="CN264" s="67">
        <f>SUM(CN265:CN268)</f>
        <v>0</v>
      </c>
      <c r="CO264" s="67"/>
      <c r="CP264" s="67"/>
      <c r="CQ264" s="560"/>
      <c r="CR264" s="320"/>
      <c r="CS264" s="67">
        <f>SUM(CS265:CS268)</f>
        <v>0</v>
      </c>
      <c r="CT264" s="67"/>
      <c r="CU264" s="67"/>
      <c r="CV264" s="560"/>
      <c r="CW264" s="320"/>
      <c r="CX264" s="67">
        <f>SUM(CX265:CX268)</f>
        <v>0</v>
      </c>
      <c r="CY264" s="67"/>
      <c r="CZ264" s="67"/>
      <c r="DA264" s="560"/>
      <c r="DB264" s="320"/>
      <c r="DC264" s="67">
        <f>SUM(DC265:DC268)</f>
        <v>0</v>
      </c>
      <c r="DD264" s="67"/>
      <c r="DE264" s="67"/>
      <c r="DF264" s="560"/>
      <c r="DG264" s="320"/>
      <c r="DH264" s="67">
        <f>SUM(DH265:DH268)</f>
        <v>0</v>
      </c>
      <c r="DI264" s="67"/>
      <c r="DJ264" s="67"/>
      <c r="DK264" s="560"/>
      <c r="DL264" s="320"/>
      <c r="DM264" s="67">
        <f>SUM(DM265:DM268)</f>
        <v>0</v>
      </c>
      <c r="DN264" s="67"/>
      <c r="DO264" s="67"/>
      <c r="DP264" s="560"/>
      <c r="DQ264" s="320"/>
      <c r="DR264" s="67">
        <f>SUM(DR265:DR268)</f>
        <v>0</v>
      </c>
      <c r="DS264" s="67"/>
      <c r="DT264" s="67"/>
      <c r="DU264" s="560"/>
      <c r="DV264" s="320"/>
      <c r="DW264" s="67">
        <f>SUM(DW265:DW268)</f>
        <v>0</v>
      </c>
      <c r="DX264" s="67"/>
      <c r="DY264" s="67"/>
      <c r="DZ264" s="560"/>
      <c r="EA264" s="320"/>
      <c r="EB264" s="67">
        <f>SUM(EB265:EB268)</f>
        <v>0</v>
      </c>
      <c r="EC264" s="67"/>
      <c r="ED264" s="67"/>
      <c r="EE264" s="560"/>
      <c r="EF264" s="320"/>
      <c r="EG264" s="67">
        <f>SUM(EG265:EG268)</f>
        <v>0</v>
      </c>
      <c r="EH264" s="67"/>
      <c r="EI264" s="67"/>
      <c r="EJ264" s="560"/>
      <c r="EK264" s="320"/>
      <c r="EL264" s="67">
        <f>SUM(EL265:EL268)</f>
        <v>1877366</v>
      </c>
      <c r="EM264" s="67"/>
      <c r="EN264" s="67"/>
      <c r="EO264" s="455"/>
      <c r="ER264" s="472"/>
      <c r="ES264" s="472"/>
    </row>
    <row r="265" spans="1:149" ht="12.75" customHeight="1" x14ac:dyDescent="0.2">
      <c r="A265" s="442"/>
      <c r="B265" s="442"/>
      <c r="D265" s="455" t="s">
        <v>342</v>
      </c>
      <c r="E265" s="582"/>
      <c r="F265" s="583"/>
      <c r="G265" s="558">
        <v>0</v>
      </c>
      <c r="H265" s="559"/>
      <c r="I265" s="67"/>
      <c r="J265" s="560"/>
      <c r="K265" s="583"/>
      <c r="L265" s="558">
        <v>0</v>
      </c>
      <c r="M265" s="559"/>
      <c r="N265" s="67"/>
      <c r="O265" s="560"/>
      <c r="P265" s="583"/>
      <c r="Q265" s="558">
        <v>0</v>
      </c>
      <c r="R265" s="559"/>
      <c r="S265" s="67"/>
      <c r="T265" s="560"/>
      <c r="U265" s="583"/>
      <c r="V265" s="558">
        <v>0</v>
      </c>
      <c r="W265" s="559"/>
      <c r="X265" s="67"/>
      <c r="Y265" s="560"/>
      <c r="Z265" s="583"/>
      <c r="AA265" s="558">
        <v>0</v>
      </c>
      <c r="AB265" s="559"/>
      <c r="AC265" s="67"/>
      <c r="AD265" s="560"/>
      <c r="AE265" s="583"/>
      <c r="AF265" s="558">
        <v>0</v>
      </c>
      <c r="AG265" s="559"/>
      <c r="AH265" s="67"/>
      <c r="AI265" s="560"/>
      <c r="AJ265" s="583"/>
      <c r="AK265" s="558">
        <v>0</v>
      </c>
      <c r="AL265" s="559"/>
      <c r="AM265" s="67"/>
      <c r="AN265" s="560"/>
      <c r="AO265" s="583"/>
      <c r="AP265" s="558">
        <v>0</v>
      </c>
      <c r="AQ265" s="559"/>
      <c r="AR265" s="67"/>
      <c r="AS265" s="560"/>
      <c r="AT265" s="583"/>
      <c r="AU265" s="558">
        <v>0</v>
      </c>
      <c r="AV265" s="559"/>
      <c r="AW265" s="67"/>
      <c r="AX265" s="560"/>
      <c r="AY265" s="583"/>
      <c r="AZ265" s="558">
        <v>0</v>
      </c>
      <c r="BA265" s="559"/>
      <c r="BB265" s="67"/>
      <c r="BC265" s="560"/>
      <c r="BD265" s="583"/>
      <c r="BE265" s="558">
        <v>0</v>
      </c>
      <c r="BF265" s="559"/>
      <c r="BG265" s="67"/>
      <c r="BH265" s="560"/>
      <c r="BI265" s="583"/>
      <c r="BJ265" s="558">
        <v>0</v>
      </c>
      <c r="BK265" s="559"/>
      <c r="BL265" s="67"/>
      <c r="BM265" s="560"/>
      <c r="BN265" s="583"/>
      <c r="BO265" s="558">
        <v>0</v>
      </c>
      <c r="BP265" s="559"/>
      <c r="BQ265" s="67"/>
      <c r="BR265" s="560"/>
      <c r="BS265" s="583"/>
      <c r="BT265" s="558">
        <f>SUM(L265:BO265)</f>
        <v>0</v>
      </c>
      <c r="BU265" s="559"/>
      <c r="BV265" s="67"/>
      <c r="BW265" s="560"/>
      <c r="BX265" s="583"/>
      <c r="BY265" s="558">
        <v>1693226</v>
      </c>
      <c r="BZ265" s="559"/>
      <c r="CA265" s="67"/>
      <c r="CB265" s="560"/>
      <c r="CC265" s="583"/>
      <c r="CD265" s="558">
        <v>0</v>
      </c>
      <c r="CE265" s="559"/>
      <c r="CF265" s="67"/>
      <c r="CG265" s="560"/>
      <c r="CH265" s="583"/>
      <c r="CI265" s="558">
        <f>1877366-184140</f>
        <v>1693226</v>
      </c>
      <c r="CJ265" s="559"/>
      <c r="CK265" s="67"/>
      <c r="CL265" s="560"/>
      <c r="CM265" s="583"/>
      <c r="CN265" s="558">
        <v>0</v>
      </c>
      <c r="CO265" s="559"/>
      <c r="CP265" s="67"/>
      <c r="CQ265" s="560"/>
      <c r="CR265" s="583"/>
      <c r="CS265" s="558">
        <v>0</v>
      </c>
      <c r="CT265" s="559"/>
      <c r="CU265" s="67"/>
      <c r="CV265" s="560"/>
      <c r="CW265" s="583"/>
      <c r="CX265" s="558">
        <v>0</v>
      </c>
      <c r="CY265" s="559"/>
      <c r="CZ265" s="67"/>
      <c r="DA265" s="560"/>
      <c r="DB265" s="583"/>
      <c r="DC265" s="558">
        <v>0</v>
      </c>
      <c r="DD265" s="559"/>
      <c r="DE265" s="67"/>
      <c r="DF265" s="560"/>
      <c r="DG265" s="583"/>
      <c r="DH265" s="558">
        <v>0</v>
      </c>
      <c r="DI265" s="559"/>
      <c r="DJ265" s="67"/>
      <c r="DK265" s="560"/>
      <c r="DL265" s="583"/>
      <c r="DM265" s="558">
        <v>0</v>
      </c>
      <c r="DN265" s="559"/>
      <c r="DO265" s="67"/>
      <c r="DP265" s="560"/>
      <c r="DQ265" s="583"/>
      <c r="DR265" s="558">
        <v>0</v>
      </c>
      <c r="DS265" s="559"/>
      <c r="DT265" s="67"/>
      <c r="DU265" s="560"/>
      <c r="DV265" s="583"/>
      <c r="DW265" s="558">
        <v>0</v>
      </c>
      <c r="DX265" s="559"/>
      <c r="DY265" s="67"/>
      <c r="DZ265" s="560"/>
      <c r="EA265" s="583"/>
      <c r="EB265" s="558">
        <v>0</v>
      </c>
      <c r="EC265" s="559"/>
      <c r="ED265" s="67"/>
      <c r="EE265" s="560"/>
      <c r="EF265" s="583"/>
      <c r="EG265" s="558">
        <v>0</v>
      </c>
      <c r="EH265" s="559"/>
      <c r="EI265" s="67"/>
      <c r="EJ265" s="560"/>
      <c r="EK265" s="583"/>
      <c r="EL265" s="558">
        <f>SUM(CD265:CI265)</f>
        <v>1693226</v>
      </c>
      <c r="EM265" s="559"/>
      <c r="EN265" s="67"/>
      <c r="EO265" s="455"/>
      <c r="ER265" s="472"/>
      <c r="ES265" s="472"/>
    </row>
    <row r="266" spans="1:149" ht="12.75" customHeight="1" x14ac:dyDescent="0.2">
      <c r="A266" s="442"/>
      <c r="B266" s="442"/>
      <c r="D266" s="455" t="s">
        <v>344</v>
      </c>
      <c r="E266" s="582"/>
      <c r="F266" s="554"/>
      <c r="G266" s="67">
        <v>0</v>
      </c>
      <c r="H266" s="66"/>
      <c r="I266" s="67"/>
      <c r="J266" s="560"/>
      <c r="K266" s="554"/>
      <c r="L266" s="67">
        <v>0</v>
      </c>
      <c r="M266" s="66"/>
      <c r="N266" s="67"/>
      <c r="O266" s="560"/>
      <c r="P266" s="554"/>
      <c r="Q266" s="67">
        <v>0</v>
      </c>
      <c r="R266" s="66"/>
      <c r="S266" s="67"/>
      <c r="T266" s="560"/>
      <c r="U266" s="554"/>
      <c r="V266" s="67">
        <v>0</v>
      </c>
      <c r="W266" s="66"/>
      <c r="X266" s="67"/>
      <c r="Y266" s="560"/>
      <c r="Z266" s="554"/>
      <c r="AA266" s="67">
        <v>0</v>
      </c>
      <c r="AB266" s="66"/>
      <c r="AC266" s="67"/>
      <c r="AD266" s="560"/>
      <c r="AE266" s="554"/>
      <c r="AF266" s="67">
        <v>0</v>
      </c>
      <c r="AG266" s="66"/>
      <c r="AH266" s="67"/>
      <c r="AI266" s="560"/>
      <c r="AJ266" s="554"/>
      <c r="AK266" s="67">
        <v>0</v>
      </c>
      <c r="AL266" s="66"/>
      <c r="AM266" s="67"/>
      <c r="AN266" s="560"/>
      <c r="AO266" s="554"/>
      <c r="AP266" s="67">
        <v>0</v>
      </c>
      <c r="AQ266" s="66"/>
      <c r="AR266" s="67"/>
      <c r="AS266" s="560"/>
      <c r="AT266" s="554"/>
      <c r="AU266" s="67">
        <v>0</v>
      </c>
      <c r="AV266" s="66"/>
      <c r="AW266" s="67"/>
      <c r="AX266" s="560"/>
      <c r="AY266" s="554"/>
      <c r="AZ266" s="67">
        <v>0</v>
      </c>
      <c r="BA266" s="66"/>
      <c r="BB266" s="67"/>
      <c r="BC266" s="560"/>
      <c r="BD266" s="554"/>
      <c r="BE266" s="67">
        <v>0</v>
      </c>
      <c r="BF266" s="66"/>
      <c r="BG266" s="67"/>
      <c r="BH266" s="560"/>
      <c r="BI266" s="554"/>
      <c r="BJ266" s="67">
        <v>0</v>
      </c>
      <c r="BK266" s="66"/>
      <c r="BL266" s="67"/>
      <c r="BM266" s="560"/>
      <c r="BN266" s="554"/>
      <c r="BO266" s="67">
        <v>0</v>
      </c>
      <c r="BP266" s="66"/>
      <c r="BQ266" s="67"/>
      <c r="BR266" s="560"/>
      <c r="BS266" s="554"/>
      <c r="BT266" s="67">
        <f>SUM(L266:BO266)</f>
        <v>0</v>
      </c>
      <c r="BU266" s="66"/>
      <c r="BV266" s="67"/>
      <c r="BW266" s="560"/>
      <c r="BX266" s="554"/>
      <c r="BY266" s="67">
        <v>184140</v>
      </c>
      <c r="BZ266" s="66"/>
      <c r="CA266" s="67"/>
      <c r="CB266" s="560"/>
      <c r="CC266" s="554"/>
      <c r="CD266" s="67">
        <v>0</v>
      </c>
      <c r="CE266" s="66"/>
      <c r="CF266" s="67"/>
      <c r="CG266" s="560"/>
      <c r="CH266" s="554"/>
      <c r="CI266" s="67">
        <v>184140</v>
      </c>
      <c r="CJ266" s="66"/>
      <c r="CK266" s="67"/>
      <c r="CL266" s="560"/>
      <c r="CM266" s="554"/>
      <c r="CN266" s="67">
        <v>0</v>
      </c>
      <c r="CO266" s="66"/>
      <c r="CP266" s="67"/>
      <c r="CQ266" s="560"/>
      <c r="CR266" s="554"/>
      <c r="CS266" s="67">
        <v>0</v>
      </c>
      <c r="CT266" s="66"/>
      <c r="CU266" s="67"/>
      <c r="CV266" s="560"/>
      <c r="CW266" s="554"/>
      <c r="CX266" s="67">
        <v>0</v>
      </c>
      <c r="CY266" s="66"/>
      <c r="CZ266" s="67"/>
      <c r="DA266" s="560"/>
      <c r="DB266" s="554"/>
      <c r="DC266" s="67">
        <v>0</v>
      </c>
      <c r="DD266" s="66"/>
      <c r="DE266" s="67"/>
      <c r="DF266" s="560"/>
      <c r="DG266" s="554"/>
      <c r="DH266" s="67">
        <v>0</v>
      </c>
      <c r="DI266" s="66"/>
      <c r="DJ266" s="67"/>
      <c r="DK266" s="560"/>
      <c r="DL266" s="554"/>
      <c r="DM266" s="67">
        <v>0</v>
      </c>
      <c r="DN266" s="66"/>
      <c r="DO266" s="67"/>
      <c r="DP266" s="560"/>
      <c r="DQ266" s="554"/>
      <c r="DR266" s="67">
        <v>0</v>
      </c>
      <c r="DS266" s="66"/>
      <c r="DT266" s="67"/>
      <c r="DU266" s="560"/>
      <c r="DV266" s="554"/>
      <c r="DW266" s="67">
        <v>0</v>
      </c>
      <c r="DX266" s="66"/>
      <c r="DY266" s="67"/>
      <c r="DZ266" s="560"/>
      <c r="EA266" s="554"/>
      <c r="EB266" s="67">
        <v>0</v>
      </c>
      <c r="EC266" s="66"/>
      <c r="ED266" s="67"/>
      <c r="EE266" s="560"/>
      <c r="EF266" s="554"/>
      <c r="EG266" s="67">
        <v>0</v>
      </c>
      <c r="EH266" s="66"/>
      <c r="EI266" s="67"/>
      <c r="EJ266" s="560"/>
      <c r="EK266" s="554"/>
      <c r="EL266" s="67">
        <f>SUM(CD266:CI266)</f>
        <v>184140</v>
      </c>
      <c r="EM266" s="66"/>
      <c r="EN266" s="67"/>
      <c r="EO266" s="455"/>
      <c r="ER266" s="472"/>
      <c r="ES266" s="472"/>
    </row>
    <row r="267" spans="1:149" ht="12.75" customHeight="1" x14ac:dyDescent="0.2">
      <c r="A267" s="442"/>
      <c r="B267" s="442"/>
      <c r="D267" s="455" t="s">
        <v>352</v>
      </c>
      <c r="E267" s="582"/>
      <c r="F267" s="488"/>
      <c r="G267" s="113">
        <v>0</v>
      </c>
      <c r="H267" s="112"/>
      <c r="I267" s="67"/>
      <c r="J267" s="560"/>
      <c r="K267" s="488"/>
      <c r="L267" s="113">
        <v>0</v>
      </c>
      <c r="M267" s="112"/>
      <c r="N267" s="67"/>
      <c r="O267" s="560"/>
      <c r="P267" s="488"/>
      <c r="Q267" s="113">
        <v>0</v>
      </c>
      <c r="R267" s="112"/>
      <c r="S267" s="67"/>
      <c r="T267" s="560"/>
      <c r="U267" s="488"/>
      <c r="V267" s="113">
        <v>0</v>
      </c>
      <c r="W267" s="112"/>
      <c r="X267" s="67"/>
      <c r="Y267" s="560"/>
      <c r="Z267" s="488"/>
      <c r="AA267" s="113">
        <v>0</v>
      </c>
      <c r="AB267" s="112"/>
      <c r="AC267" s="67"/>
      <c r="AD267" s="560"/>
      <c r="AE267" s="488"/>
      <c r="AF267" s="113">
        <v>0</v>
      </c>
      <c r="AG267" s="112"/>
      <c r="AH267" s="67"/>
      <c r="AI267" s="560"/>
      <c r="AJ267" s="488"/>
      <c r="AK267" s="113">
        <v>0</v>
      </c>
      <c r="AL267" s="112"/>
      <c r="AM267" s="67"/>
      <c r="AN267" s="560"/>
      <c r="AO267" s="488"/>
      <c r="AP267" s="113">
        <v>0</v>
      </c>
      <c r="AQ267" s="112"/>
      <c r="AR267" s="67"/>
      <c r="AS267" s="560"/>
      <c r="AT267" s="569"/>
      <c r="AU267" s="113">
        <v>0</v>
      </c>
      <c r="AV267" s="112"/>
      <c r="AW267" s="67"/>
      <c r="AX267" s="560"/>
      <c r="AY267" s="569"/>
      <c r="AZ267" s="113">
        <v>0</v>
      </c>
      <c r="BA267" s="112"/>
      <c r="BB267" s="67"/>
      <c r="BC267" s="560"/>
      <c r="BD267" s="569"/>
      <c r="BE267" s="113">
        <v>0</v>
      </c>
      <c r="BF267" s="112"/>
      <c r="BG267" s="67"/>
      <c r="BH267" s="560"/>
      <c r="BI267" s="569"/>
      <c r="BJ267" s="113">
        <v>0</v>
      </c>
      <c r="BK267" s="112"/>
      <c r="BL267" s="67"/>
      <c r="BM267" s="560"/>
      <c r="BN267" s="569"/>
      <c r="BO267" s="113">
        <v>0</v>
      </c>
      <c r="BP267" s="112"/>
      <c r="BQ267" s="67"/>
      <c r="BR267" s="560"/>
      <c r="BS267" s="569"/>
      <c r="BT267" s="113">
        <f>SUM(L267:BO267)</f>
        <v>0</v>
      </c>
      <c r="BU267" s="112"/>
      <c r="BV267" s="67"/>
      <c r="BW267" s="560"/>
      <c r="BX267" s="569"/>
      <c r="BY267" s="113">
        <v>0</v>
      </c>
      <c r="BZ267" s="112"/>
      <c r="CA267" s="67"/>
      <c r="CB267" s="560"/>
      <c r="CC267" s="488"/>
      <c r="CD267" s="113">
        <v>0</v>
      </c>
      <c r="CE267" s="112"/>
      <c r="CF267" s="67"/>
      <c r="CG267" s="560"/>
      <c r="CH267" s="488"/>
      <c r="CI267" s="113">
        <v>0</v>
      </c>
      <c r="CJ267" s="112"/>
      <c r="CK267" s="67"/>
      <c r="CL267" s="560"/>
      <c r="CM267" s="488"/>
      <c r="CN267" s="113">
        <v>0</v>
      </c>
      <c r="CO267" s="112"/>
      <c r="CP267" s="67"/>
      <c r="CQ267" s="560"/>
      <c r="CR267" s="488"/>
      <c r="CS267" s="113">
        <v>0</v>
      </c>
      <c r="CT267" s="112"/>
      <c r="CU267" s="67"/>
      <c r="CV267" s="560"/>
      <c r="CW267" s="488"/>
      <c r="CX267" s="113">
        <v>0</v>
      </c>
      <c r="CY267" s="112"/>
      <c r="CZ267" s="67"/>
      <c r="DA267" s="560"/>
      <c r="DB267" s="488"/>
      <c r="DC267" s="113">
        <v>0</v>
      </c>
      <c r="DD267" s="112"/>
      <c r="DE267" s="67"/>
      <c r="DF267" s="560"/>
      <c r="DG267" s="488"/>
      <c r="DH267" s="113">
        <v>0</v>
      </c>
      <c r="DI267" s="112"/>
      <c r="DJ267" s="67"/>
      <c r="DK267" s="560"/>
      <c r="DL267" s="569"/>
      <c r="DM267" s="113">
        <v>0</v>
      </c>
      <c r="DN267" s="112"/>
      <c r="DO267" s="67"/>
      <c r="DP267" s="560"/>
      <c r="DQ267" s="569"/>
      <c r="DR267" s="113">
        <v>0</v>
      </c>
      <c r="DS267" s="112"/>
      <c r="DT267" s="67"/>
      <c r="DU267" s="560"/>
      <c r="DV267" s="569"/>
      <c r="DW267" s="113">
        <v>0</v>
      </c>
      <c r="DX267" s="112"/>
      <c r="DY267" s="67"/>
      <c r="DZ267" s="560"/>
      <c r="EA267" s="569"/>
      <c r="EB267" s="113">
        <v>0</v>
      </c>
      <c r="EC267" s="112"/>
      <c r="ED267" s="67"/>
      <c r="EE267" s="560"/>
      <c r="EF267" s="569"/>
      <c r="EG267" s="113">
        <v>0</v>
      </c>
      <c r="EH267" s="112"/>
      <c r="EI267" s="67"/>
      <c r="EJ267" s="560"/>
      <c r="EK267" s="569"/>
      <c r="EL267" s="113">
        <f>SUM(CD267:CI267)</f>
        <v>0</v>
      </c>
      <c r="EM267" s="112"/>
      <c r="EN267" s="67"/>
      <c r="EO267" s="455"/>
      <c r="ER267" s="472"/>
      <c r="ES267" s="472"/>
    </row>
    <row r="268" spans="1:149" ht="12.75" hidden="1" customHeight="1" x14ac:dyDescent="0.2">
      <c r="A268" s="442"/>
      <c r="B268" s="442"/>
      <c r="D268" s="455" t="s">
        <v>346</v>
      </c>
      <c r="E268" s="582"/>
      <c r="F268" s="585"/>
      <c r="G268" s="113">
        <v>0</v>
      </c>
      <c r="H268" s="112"/>
      <c r="I268" s="67"/>
      <c r="J268" s="560"/>
      <c r="K268" s="585"/>
      <c r="L268" s="113">
        <v>0</v>
      </c>
      <c r="M268" s="112"/>
      <c r="N268" s="67"/>
      <c r="O268" s="560"/>
      <c r="P268" s="585"/>
      <c r="Q268" s="113">
        <v>0</v>
      </c>
      <c r="R268" s="112"/>
      <c r="S268" s="67"/>
      <c r="T268" s="560"/>
      <c r="U268" s="585"/>
      <c r="V268" s="113">
        <v>0</v>
      </c>
      <c r="W268" s="112"/>
      <c r="X268" s="67"/>
      <c r="Y268" s="560"/>
      <c r="Z268" s="585"/>
      <c r="AA268" s="113">
        <v>0</v>
      </c>
      <c r="AB268" s="112"/>
      <c r="AC268" s="67"/>
      <c r="AD268" s="560"/>
      <c r="AE268" s="585"/>
      <c r="AF268" s="113">
        <v>0</v>
      </c>
      <c r="AG268" s="112"/>
      <c r="AH268" s="67"/>
      <c r="AI268" s="560"/>
      <c r="AJ268" s="585"/>
      <c r="AK268" s="113">
        <v>0</v>
      </c>
      <c r="AL268" s="112"/>
      <c r="AM268" s="67"/>
      <c r="AN268" s="560"/>
      <c r="AO268" s="585"/>
      <c r="AP268" s="113">
        <v>0</v>
      </c>
      <c r="AQ268" s="112"/>
      <c r="AR268" s="67"/>
      <c r="AS268" s="560"/>
      <c r="AT268" s="585"/>
      <c r="AU268" s="113">
        <v>0</v>
      </c>
      <c r="AV268" s="112"/>
      <c r="AW268" s="67"/>
      <c r="AX268" s="560"/>
      <c r="AY268" s="585"/>
      <c r="AZ268" s="113">
        <v>0</v>
      </c>
      <c r="BA268" s="112"/>
      <c r="BB268" s="67"/>
      <c r="BC268" s="560"/>
      <c r="BD268" s="585"/>
      <c r="BE268" s="113">
        <v>0</v>
      </c>
      <c r="BF268" s="112"/>
      <c r="BG268" s="67"/>
      <c r="BH268" s="560"/>
      <c r="BI268" s="585"/>
      <c r="BJ268" s="113">
        <v>0</v>
      </c>
      <c r="BK268" s="112"/>
      <c r="BL268" s="67"/>
      <c r="BM268" s="560"/>
      <c r="BN268" s="585"/>
      <c r="BO268" s="113">
        <v>0</v>
      </c>
      <c r="BP268" s="112"/>
      <c r="BQ268" s="67"/>
      <c r="BR268" s="560"/>
      <c r="BS268" s="585"/>
      <c r="BT268" s="113">
        <f>SUM(L268:BO268)</f>
        <v>0</v>
      </c>
      <c r="BU268" s="112"/>
      <c r="BV268" s="67"/>
      <c r="BW268" s="560"/>
      <c r="BX268" s="585"/>
      <c r="BY268" s="113">
        <f>SUM(Q268:BT268)</f>
        <v>0</v>
      </c>
      <c r="BZ268" s="112"/>
      <c r="CA268" s="67"/>
      <c r="CB268" s="560"/>
      <c r="CC268" s="585"/>
      <c r="CD268" s="113">
        <v>0</v>
      </c>
      <c r="CE268" s="112"/>
      <c r="CF268" s="67"/>
      <c r="CG268" s="560"/>
      <c r="CH268" s="585"/>
      <c r="CI268" s="113">
        <v>0</v>
      </c>
      <c r="CJ268" s="112"/>
      <c r="CK268" s="67"/>
      <c r="CL268" s="560"/>
      <c r="CM268" s="585"/>
      <c r="CN268" s="113">
        <v>0</v>
      </c>
      <c r="CO268" s="112"/>
      <c r="CP268" s="67"/>
      <c r="CQ268" s="560"/>
      <c r="CR268" s="585"/>
      <c r="CS268" s="113">
        <v>0</v>
      </c>
      <c r="CT268" s="112"/>
      <c r="CU268" s="67"/>
      <c r="CV268" s="560"/>
      <c r="CW268" s="585"/>
      <c r="CX268" s="113">
        <v>0</v>
      </c>
      <c r="CY268" s="112"/>
      <c r="CZ268" s="67"/>
      <c r="DA268" s="560"/>
      <c r="DB268" s="585"/>
      <c r="DC268" s="113">
        <v>0</v>
      </c>
      <c r="DD268" s="112"/>
      <c r="DE268" s="67"/>
      <c r="DF268" s="560"/>
      <c r="DG268" s="585"/>
      <c r="DH268" s="113">
        <v>0</v>
      </c>
      <c r="DI268" s="112"/>
      <c r="DJ268" s="67"/>
      <c r="DK268" s="560"/>
      <c r="DL268" s="585"/>
      <c r="DM268" s="113">
        <v>0</v>
      </c>
      <c r="DN268" s="112"/>
      <c r="DO268" s="67"/>
      <c r="DP268" s="560"/>
      <c r="DQ268" s="585"/>
      <c r="DR268" s="113">
        <v>0</v>
      </c>
      <c r="DS268" s="112"/>
      <c r="DT268" s="67"/>
      <c r="DU268" s="560"/>
      <c r="DV268" s="585"/>
      <c r="DW268" s="113">
        <v>0</v>
      </c>
      <c r="DX268" s="112"/>
      <c r="DY268" s="67"/>
      <c r="DZ268" s="560"/>
      <c r="EA268" s="585"/>
      <c r="EB268" s="113">
        <v>0</v>
      </c>
      <c r="EC268" s="112"/>
      <c r="ED268" s="67"/>
      <c r="EE268" s="560"/>
      <c r="EF268" s="585"/>
      <c r="EG268" s="113">
        <v>0</v>
      </c>
      <c r="EH268" s="112"/>
      <c r="EI268" s="67"/>
      <c r="EJ268" s="560"/>
      <c r="EK268" s="585"/>
      <c r="EL268" s="113">
        <f>SUM(CD268:EG268)</f>
        <v>0</v>
      </c>
      <c r="EM268" s="112"/>
      <c r="EN268" s="67"/>
      <c r="EO268" s="455"/>
      <c r="ER268" s="472"/>
      <c r="ES268" s="472"/>
    </row>
    <row r="269" spans="1:149" ht="12.75" customHeight="1" x14ac:dyDescent="0.2">
      <c r="A269" s="442"/>
      <c r="B269" s="442"/>
      <c r="D269" s="455"/>
      <c r="E269" s="582"/>
      <c r="F269" s="320"/>
      <c r="G269" s="67"/>
      <c r="H269" s="67"/>
      <c r="I269" s="67"/>
      <c r="J269" s="560"/>
      <c r="K269" s="320"/>
      <c r="L269" s="67"/>
      <c r="M269" s="67"/>
      <c r="N269" s="67"/>
      <c r="O269" s="560"/>
      <c r="P269" s="320"/>
      <c r="Q269" s="67"/>
      <c r="R269" s="67"/>
      <c r="S269" s="67"/>
      <c r="T269" s="560"/>
      <c r="U269" s="320"/>
      <c r="V269" s="67"/>
      <c r="W269" s="67"/>
      <c r="X269" s="67"/>
      <c r="Y269" s="560"/>
      <c r="Z269" s="320"/>
      <c r="AA269" s="67"/>
      <c r="AB269" s="67"/>
      <c r="AC269" s="67"/>
      <c r="AD269" s="560"/>
      <c r="AE269" s="320"/>
      <c r="AF269" s="67"/>
      <c r="AG269" s="67"/>
      <c r="AH269" s="67"/>
      <c r="AI269" s="560"/>
      <c r="AJ269" s="320"/>
      <c r="AK269" s="67"/>
      <c r="AL269" s="67"/>
      <c r="AM269" s="67"/>
      <c r="AN269" s="560"/>
      <c r="AO269" s="320"/>
      <c r="AP269" s="67"/>
      <c r="AQ269" s="67"/>
      <c r="AR269" s="67"/>
      <c r="AS269" s="560"/>
      <c r="AT269" s="320"/>
      <c r="AU269" s="67"/>
      <c r="AV269" s="67"/>
      <c r="AW269" s="67"/>
      <c r="AX269" s="560"/>
      <c r="AY269" s="320"/>
      <c r="AZ269" s="67"/>
      <c r="BA269" s="67"/>
      <c r="BB269" s="67"/>
      <c r="BC269" s="560"/>
      <c r="BD269" s="320"/>
      <c r="BE269" s="67"/>
      <c r="BF269" s="67"/>
      <c r="BG269" s="67"/>
      <c r="BH269" s="560"/>
      <c r="BI269" s="320"/>
      <c r="BJ269" s="67"/>
      <c r="BK269" s="67"/>
      <c r="BL269" s="67"/>
      <c r="BM269" s="560"/>
      <c r="BN269" s="320"/>
      <c r="BO269" s="67"/>
      <c r="BP269" s="67"/>
      <c r="BQ269" s="67"/>
      <c r="BR269" s="560"/>
      <c r="BS269" s="320"/>
      <c r="BT269" s="67"/>
      <c r="BU269" s="67"/>
      <c r="BV269" s="67"/>
      <c r="BW269" s="560"/>
      <c r="BX269" s="320"/>
      <c r="BY269" s="67"/>
      <c r="BZ269" s="67"/>
      <c r="CA269" s="67"/>
      <c r="CB269" s="560"/>
      <c r="CC269" s="320"/>
      <c r="CD269" s="67"/>
      <c r="CE269" s="67"/>
      <c r="CF269" s="67"/>
      <c r="CG269" s="560"/>
      <c r="CH269" s="320"/>
      <c r="CI269" s="67"/>
      <c r="CJ269" s="67"/>
      <c r="CK269" s="67"/>
      <c r="CL269" s="560"/>
      <c r="CM269" s="320"/>
      <c r="CN269" s="67"/>
      <c r="CO269" s="67"/>
      <c r="CP269" s="67"/>
      <c r="CQ269" s="560"/>
      <c r="CR269" s="320"/>
      <c r="CS269" s="67"/>
      <c r="CT269" s="67"/>
      <c r="CU269" s="67"/>
      <c r="CV269" s="560"/>
      <c r="CW269" s="320"/>
      <c r="CX269" s="67"/>
      <c r="CY269" s="67"/>
      <c r="CZ269" s="67"/>
      <c r="DA269" s="560"/>
      <c r="DB269" s="320"/>
      <c r="DC269" s="67"/>
      <c r="DD269" s="67"/>
      <c r="DE269" s="67"/>
      <c r="DF269" s="560"/>
      <c r="DG269" s="320"/>
      <c r="DH269" s="67"/>
      <c r="DI269" s="67"/>
      <c r="DJ269" s="67"/>
      <c r="DK269" s="560"/>
      <c r="DL269" s="320"/>
      <c r="DM269" s="67"/>
      <c r="DN269" s="67"/>
      <c r="DO269" s="67"/>
      <c r="DP269" s="560"/>
      <c r="DQ269" s="320"/>
      <c r="DR269" s="67"/>
      <c r="DS269" s="67"/>
      <c r="DT269" s="67"/>
      <c r="DU269" s="560"/>
      <c r="DV269" s="320"/>
      <c r="DW269" s="67"/>
      <c r="DX269" s="67"/>
      <c r="DY269" s="67"/>
      <c r="DZ269" s="560"/>
      <c r="EA269" s="320"/>
      <c r="EB269" s="67"/>
      <c r="EC269" s="67"/>
      <c r="ED269" s="67"/>
      <c r="EE269" s="560"/>
      <c r="EF269" s="320"/>
      <c r="EG269" s="67"/>
      <c r="EH269" s="67"/>
      <c r="EI269" s="67"/>
      <c r="EJ269" s="560"/>
      <c r="EK269" s="320"/>
      <c r="EL269" s="67"/>
      <c r="EM269" s="67"/>
      <c r="EN269" s="67"/>
      <c r="EO269" s="455"/>
      <c r="ER269" s="472"/>
      <c r="ES269" s="472"/>
    </row>
    <row r="270" spans="1:149" ht="12.75" customHeight="1" x14ac:dyDescent="0.2">
      <c r="A270" s="442"/>
      <c r="B270" s="442"/>
      <c r="D270" s="455" t="s">
        <v>399</v>
      </c>
      <c r="F270" s="442"/>
      <c r="G270" s="67">
        <f>SUM(G271:G273)</f>
        <v>0</v>
      </c>
      <c r="H270" s="67"/>
      <c r="I270" s="67"/>
      <c r="J270" s="560"/>
      <c r="K270" s="67"/>
      <c r="L270" s="67">
        <f>SUM(L271:L273)</f>
        <v>0</v>
      </c>
      <c r="M270" s="67"/>
      <c r="N270" s="67"/>
      <c r="O270" s="560"/>
      <c r="P270" s="67"/>
      <c r="Q270" s="67">
        <f>SUM(Q271:Q273)</f>
        <v>0</v>
      </c>
      <c r="R270" s="67"/>
      <c r="S270" s="67"/>
      <c r="T270" s="560"/>
      <c r="U270" s="67"/>
      <c r="V270" s="67">
        <f>SUM(V271:V273)</f>
        <v>0</v>
      </c>
      <c r="W270" s="67"/>
      <c r="X270" s="67"/>
      <c r="Y270" s="560"/>
      <c r="Z270" s="67"/>
      <c r="AA270" s="67">
        <f>SUM(AA271:AA273)</f>
        <v>0</v>
      </c>
      <c r="AB270" s="67"/>
      <c r="AC270" s="67"/>
      <c r="AD270" s="560"/>
      <c r="AE270" s="67"/>
      <c r="AF270" s="67">
        <f>SUM(AF271:AF273)</f>
        <v>0</v>
      </c>
      <c r="AG270" s="67"/>
      <c r="AH270" s="67"/>
      <c r="AI270" s="560"/>
      <c r="AJ270" s="67"/>
      <c r="AK270" s="67">
        <f>SUM(AK271:AK273)</f>
        <v>0</v>
      </c>
      <c r="AL270" s="67"/>
      <c r="AM270" s="67"/>
      <c r="AN270" s="560"/>
      <c r="AO270" s="67"/>
      <c r="AP270" s="67">
        <f>SUM(AP271:AP273)</f>
        <v>0</v>
      </c>
      <c r="AQ270" s="67"/>
      <c r="AR270" s="67"/>
      <c r="AS270" s="560"/>
      <c r="AT270" s="67"/>
      <c r="AU270" s="67">
        <f>SUM(AU271:AU273)</f>
        <v>0</v>
      </c>
      <c r="AV270" s="67"/>
      <c r="AW270" s="67"/>
      <c r="AX270" s="560"/>
      <c r="AY270" s="67"/>
      <c r="AZ270" s="67">
        <f>SUM(AZ271:AZ273)</f>
        <v>0</v>
      </c>
      <c r="BA270" s="67"/>
      <c r="BB270" s="67"/>
      <c r="BC270" s="560"/>
      <c r="BD270" s="67"/>
      <c r="BE270" s="67">
        <f>SUM(BE271:BE273)</f>
        <v>0</v>
      </c>
      <c r="BF270" s="67"/>
      <c r="BG270" s="67"/>
      <c r="BH270" s="560"/>
      <c r="BI270" s="67"/>
      <c r="BJ270" s="67">
        <f>SUM(BJ271:BJ273)</f>
        <v>0</v>
      </c>
      <c r="BK270" s="67"/>
      <c r="BL270" s="67"/>
      <c r="BM270" s="560"/>
      <c r="BN270" s="67"/>
      <c r="BO270" s="67">
        <f>SUM(BO271:BO273)</f>
        <v>0</v>
      </c>
      <c r="BP270" s="67"/>
      <c r="BQ270" s="67"/>
      <c r="BR270" s="560"/>
      <c r="BS270" s="67"/>
      <c r="BT270" s="67">
        <f>SUM(BT271:BT273)</f>
        <v>0</v>
      </c>
      <c r="BU270" s="67"/>
      <c r="BV270" s="67"/>
      <c r="BW270" s="560"/>
      <c r="BX270" s="67"/>
      <c r="BY270" s="67">
        <f>SUM(BY271:BY273)</f>
        <v>284188</v>
      </c>
      <c r="BZ270" s="67"/>
      <c r="CA270" s="67"/>
      <c r="CB270" s="560"/>
      <c r="CC270" s="67"/>
      <c r="CD270" s="67">
        <f>SUM(CD271:CD273)</f>
        <v>0</v>
      </c>
      <c r="CE270" s="67"/>
      <c r="CF270" s="67"/>
      <c r="CG270" s="560"/>
      <c r="CH270" s="67"/>
      <c r="CI270" s="67">
        <f>SUM(CI271:CI273)</f>
        <v>284188</v>
      </c>
      <c r="CJ270" s="67"/>
      <c r="CK270" s="67"/>
      <c r="CL270" s="560"/>
      <c r="CM270" s="67"/>
      <c r="CN270" s="67">
        <f>SUM(CN271:CN273)</f>
        <v>0</v>
      </c>
      <c r="CO270" s="67"/>
      <c r="CP270" s="67"/>
      <c r="CQ270" s="560"/>
      <c r="CR270" s="67"/>
      <c r="CS270" s="67">
        <f>SUM(CS271:CS273)</f>
        <v>0</v>
      </c>
      <c r="CT270" s="67"/>
      <c r="CU270" s="67"/>
      <c r="CV270" s="560"/>
      <c r="CW270" s="67"/>
      <c r="CX270" s="67">
        <f>SUM(CX271:CX273)</f>
        <v>0</v>
      </c>
      <c r="CY270" s="67"/>
      <c r="CZ270" s="67"/>
      <c r="DA270" s="560"/>
      <c r="DB270" s="67"/>
      <c r="DC270" s="67">
        <f>SUM(DC271:DC273)</f>
        <v>0</v>
      </c>
      <c r="DD270" s="67"/>
      <c r="DE270" s="67"/>
      <c r="DF270" s="560"/>
      <c r="DG270" s="67"/>
      <c r="DH270" s="67">
        <f>SUM(DH271:DH273)</f>
        <v>0</v>
      </c>
      <c r="DI270" s="67"/>
      <c r="DJ270" s="67"/>
      <c r="DK270" s="560"/>
      <c r="DL270" s="67"/>
      <c r="DM270" s="67">
        <f>SUM(DM271:DM273)</f>
        <v>0</v>
      </c>
      <c r="DN270" s="67"/>
      <c r="DO270" s="67"/>
      <c r="DP270" s="560"/>
      <c r="DQ270" s="67"/>
      <c r="DR270" s="67">
        <f>SUM(DR271:DR273)</f>
        <v>0</v>
      </c>
      <c r="DS270" s="67"/>
      <c r="DT270" s="67"/>
      <c r="DU270" s="560"/>
      <c r="DV270" s="67"/>
      <c r="DW270" s="67">
        <f>SUM(DW271:DW273)</f>
        <v>0</v>
      </c>
      <c r="DX270" s="67"/>
      <c r="DY270" s="67"/>
      <c r="DZ270" s="560"/>
      <c r="EA270" s="67"/>
      <c r="EB270" s="67">
        <f>SUM(EB271:EB273)</f>
        <v>0</v>
      </c>
      <c r="EC270" s="67"/>
      <c r="ED270" s="67"/>
      <c r="EE270" s="560"/>
      <c r="EF270" s="67"/>
      <c r="EG270" s="67">
        <f>SUM(EG271:EG273)</f>
        <v>0</v>
      </c>
      <c r="EH270" s="67"/>
      <c r="EI270" s="67"/>
      <c r="EJ270" s="560"/>
      <c r="EK270" s="67"/>
      <c r="EL270" s="67">
        <f>SUM(EL271:EL273)</f>
        <v>284188</v>
      </c>
      <c r="EM270" s="67"/>
      <c r="EN270" s="67"/>
      <c r="EO270" s="455"/>
      <c r="ER270" s="472"/>
      <c r="ES270" s="472"/>
    </row>
    <row r="271" spans="1:149" ht="12.75" customHeight="1" x14ac:dyDescent="0.2">
      <c r="A271" s="442"/>
      <c r="B271" s="442"/>
      <c r="D271" s="455" t="s">
        <v>342</v>
      </c>
      <c r="F271" s="473"/>
      <c r="G271" s="558">
        <v>0</v>
      </c>
      <c r="H271" s="559"/>
      <c r="I271" s="67"/>
      <c r="J271" s="560"/>
      <c r="K271" s="473"/>
      <c r="L271" s="558">
        <v>0</v>
      </c>
      <c r="M271" s="559"/>
      <c r="N271" s="67"/>
      <c r="O271" s="560"/>
      <c r="P271" s="473"/>
      <c r="Q271" s="558">
        <v>0</v>
      </c>
      <c r="R271" s="559"/>
      <c r="S271" s="67"/>
      <c r="T271" s="560"/>
      <c r="U271" s="473"/>
      <c r="V271" s="558">
        <v>0</v>
      </c>
      <c r="W271" s="559"/>
      <c r="X271" s="67"/>
      <c r="Y271" s="560"/>
      <c r="Z271" s="473"/>
      <c r="AA271" s="558">
        <v>0</v>
      </c>
      <c r="AB271" s="559"/>
      <c r="AC271" s="67"/>
      <c r="AD271" s="560"/>
      <c r="AE271" s="473"/>
      <c r="AF271" s="558">
        <v>0</v>
      </c>
      <c r="AG271" s="559"/>
      <c r="AH271" s="67"/>
      <c r="AI271" s="560"/>
      <c r="AJ271" s="473"/>
      <c r="AK271" s="558">
        <v>0</v>
      </c>
      <c r="AL271" s="559"/>
      <c r="AM271" s="67"/>
      <c r="AN271" s="560"/>
      <c r="AO271" s="473"/>
      <c r="AP271" s="558">
        <v>0</v>
      </c>
      <c r="AQ271" s="559"/>
      <c r="AR271" s="67"/>
      <c r="AS271" s="560"/>
      <c r="AT271" s="561"/>
      <c r="AU271" s="558">
        <v>0</v>
      </c>
      <c r="AV271" s="559"/>
      <c r="AW271" s="67"/>
      <c r="AX271" s="560"/>
      <c r="AY271" s="561"/>
      <c r="AZ271" s="558">
        <v>0</v>
      </c>
      <c r="BA271" s="559"/>
      <c r="BB271" s="67"/>
      <c r="BC271" s="560"/>
      <c r="BD271" s="561"/>
      <c r="BE271" s="558">
        <v>0</v>
      </c>
      <c r="BF271" s="559"/>
      <c r="BG271" s="67"/>
      <c r="BH271" s="560"/>
      <c r="BI271" s="561"/>
      <c r="BJ271" s="558">
        <v>0</v>
      </c>
      <c r="BK271" s="559"/>
      <c r="BL271" s="67"/>
      <c r="BM271" s="560"/>
      <c r="BN271" s="561"/>
      <c r="BO271" s="558">
        <v>0</v>
      </c>
      <c r="BP271" s="559"/>
      <c r="BQ271" s="67"/>
      <c r="BR271" s="560"/>
      <c r="BS271" s="561"/>
      <c r="BT271" s="558">
        <f>SUM(L271:BO271)</f>
        <v>0</v>
      </c>
      <c r="BU271" s="559"/>
      <c r="BV271" s="67"/>
      <c r="BW271" s="560"/>
      <c r="BX271" s="561"/>
      <c r="BY271" s="558">
        <v>261563</v>
      </c>
      <c r="BZ271" s="559"/>
      <c r="CA271" s="67"/>
      <c r="CB271" s="560"/>
      <c r="CC271" s="473"/>
      <c r="CD271" s="558">
        <v>0</v>
      </c>
      <c r="CE271" s="559"/>
      <c r="CF271" s="67"/>
      <c r="CG271" s="560"/>
      <c r="CH271" s="473"/>
      <c r="CI271" s="558">
        <f>284188-22625</f>
        <v>261563</v>
      </c>
      <c r="CJ271" s="559"/>
      <c r="CK271" s="67"/>
      <c r="CL271" s="560"/>
      <c r="CM271" s="473"/>
      <c r="CN271" s="558">
        <v>0</v>
      </c>
      <c r="CO271" s="559"/>
      <c r="CP271" s="67"/>
      <c r="CQ271" s="560"/>
      <c r="CR271" s="473"/>
      <c r="CS271" s="558">
        <v>0</v>
      </c>
      <c r="CT271" s="559"/>
      <c r="CU271" s="67"/>
      <c r="CV271" s="560"/>
      <c r="CW271" s="473"/>
      <c r="CX271" s="558">
        <v>0</v>
      </c>
      <c r="CY271" s="559"/>
      <c r="CZ271" s="67"/>
      <c r="DA271" s="560"/>
      <c r="DB271" s="473"/>
      <c r="DC271" s="558">
        <v>0</v>
      </c>
      <c r="DD271" s="559"/>
      <c r="DE271" s="67"/>
      <c r="DF271" s="560"/>
      <c r="DG271" s="473"/>
      <c r="DH271" s="558">
        <v>0</v>
      </c>
      <c r="DI271" s="559"/>
      <c r="DJ271" s="67"/>
      <c r="DK271" s="560"/>
      <c r="DL271" s="561"/>
      <c r="DM271" s="558">
        <v>0</v>
      </c>
      <c r="DN271" s="559"/>
      <c r="DO271" s="67"/>
      <c r="DP271" s="560"/>
      <c r="DQ271" s="561"/>
      <c r="DR271" s="558">
        <v>0</v>
      </c>
      <c r="DS271" s="559"/>
      <c r="DT271" s="67"/>
      <c r="DU271" s="560"/>
      <c r="DV271" s="561"/>
      <c r="DW271" s="558">
        <v>0</v>
      </c>
      <c r="DX271" s="559"/>
      <c r="DY271" s="67"/>
      <c r="DZ271" s="560"/>
      <c r="EA271" s="561"/>
      <c r="EB271" s="558">
        <v>0</v>
      </c>
      <c r="EC271" s="559"/>
      <c r="ED271" s="67"/>
      <c r="EE271" s="560"/>
      <c r="EF271" s="561"/>
      <c r="EG271" s="558">
        <v>0</v>
      </c>
      <c r="EH271" s="559"/>
      <c r="EI271" s="67"/>
      <c r="EJ271" s="560"/>
      <c r="EK271" s="561"/>
      <c r="EL271" s="558">
        <f>SUM(CD271:CI271)</f>
        <v>261563</v>
      </c>
      <c r="EM271" s="559"/>
      <c r="EN271" s="67"/>
      <c r="EO271" s="455"/>
      <c r="ER271" s="472"/>
      <c r="ES271" s="472"/>
    </row>
    <row r="272" spans="1:149" ht="12.75" customHeight="1" x14ac:dyDescent="0.2">
      <c r="A272" s="442"/>
      <c r="B272" s="442"/>
      <c r="D272" s="455" t="s">
        <v>344</v>
      </c>
      <c r="F272" s="465"/>
      <c r="G272" s="67">
        <v>0</v>
      </c>
      <c r="H272" s="66"/>
      <c r="I272" s="67"/>
      <c r="J272" s="560"/>
      <c r="K272" s="465"/>
      <c r="L272" s="67">
        <v>0</v>
      </c>
      <c r="M272" s="66"/>
      <c r="N272" s="67"/>
      <c r="O272" s="560"/>
      <c r="P272" s="465"/>
      <c r="Q272" s="67">
        <v>0</v>
      </c>
      <c r="R272" s="66"/>
      <c r="S272" s="67"/>
      <c r="T272" s="560"/>
      <c r="U272" s="465"/>
      <c r="V272" s="67">
        <v>0</v>
      </c>
      <c r="W272" s="66"/>
      <c r="X272" s="67"/>
      <c r="Y272" s="560"/>
      <c r="Z272" s="465"/>
      <c r="AA272" s="67">
        <v>0</v>
      </c>
      <c r="AB272" s="66"/>
      <c r="AC272" s="67"/>
      <c r="AD272" s="560"/>
      <c r="AE272" s="465"/>
      <c r="AF272" s="67">
        <v>0</v>
      </c>
      <c r="AG272" s="66"/>
      <c r="AH272" s="67"/>
      <c r="AI272" s="560"/>
      <c r="AJ272" s="465"/>
      <c r="AK272" s="67">
        <v>0</v>
      </c>
      <c r="AL272" s="66"/>
      <c r="AM272" s="67"/>
      <c r="AN272" s="560"/>
      <c r="AO272" s="465"/>
      <c r="AP272" s="67">
        <v>0</v>
      </c>
      <c r="AQ272" s="66"/>
      <c r="AR272" s="67"/>
      <c r="AS272" s="560"/>
      <c r="AT272" s="560"/>
      <c r="AU272" s="67">
        <v>0</v>
      </c>
      <c r="AV272" s="66"/>
      <c r="AW272" s="67"/>
      <c r="AX272" s="560"/>
      <c r="AY272" s="560"/>
      <c r="AZ272" s="67">
        <v>0</v>
      </c>
      <c r="BA272" s="66"/>
      <c r="BB272" s="67"/>
      <c r="BC272" s="560"/>
      <c r="BD272" s="560"/>
      <c r="BE272" s="67">
        <v>0</v>
      </c>
      <c r="BF272" s="66"/>
      <c r="BG272" s="67"/>
      <c r="BH272" s="560"/>
      <c r="BI272" s="560"/>
      <c r="BJ272" s="67">
        <v>0</v>
      </c>
      <c r="BK272" s="66"/>
      <c r="BL272" s="67"/>
      <c r="BM272" s="560"/>
      <c r="BN272" s="560"/>
      <c r="BO272" s="67">
        <v>0</v>
      </c>
      <c r="BP272" s="66"/>
      <c r="BQ272" s="67"/>
      <c r="BR272" s="560"/>
      <c r="BS272" s="560"/>
      <c r="BT272" s="67">
        <f>SUM(L272:BO272)</f>
        <v>0</v>
      </c>
      <c r="BU272" s="66"/>
      <c r="BV272" s="67"/>
      <c r="BW272" s="560"/>
      <c r="BX272" s="560"/>
      <c r="BY272" s="67">
        <v>22625</v>
      </c>
      <c r="BZ272" s="66"/>
      <c r="CA272" s="67"/>
      <c r="CB272" s="560"/>
      <c r="CC272" s="465"/>
      <c r="CD272" s="67">
        <v>0</v>
      </c>
      <c r="CE272" s="66"/>
      <c r="CF272" s="67"/>
      <c r="CG272" s="560"/>
      <c r="CH272" s="465"/>
      <c r="CI272" s="67">
        <v>22625</v>
      </c>
      <c r="CJ272" s="66"/>
      <c r="CK272" s="67"/>
      <c r="CL272" s="560"/>
      <c r="CM272" s="465"/>
      <c r="CN272" s="67">
        <v>0</v>
      </c>
      <c r="CO272" s="66"/>
      <c r="CP272" s="67"/>
      <c r="CQ272" s="560"/>
      <c r="CR272" s="465"/>
      <c r="CS272" s="67">
        <v>0</v>
      </c>
      <c r="CT272" s="66"/>
      <c r="CU272" s="67"/>
      <c r="CV272" s="560"/>
      <c r="CW272" s="465"/>
      <c r="CX272" s="67">
        <v>0</v>
      </c>
      <c r="CY272" s="66"/>
      <c r="CZ272" s="67"/>
      <c r="DA272" s="560"/>
      <c r="DB272" s="465"/>
      <c r="DC272" s="67">
        <v>0</v>
      </c>
      <c r="DD272" s="66"/>
      <c r="DE272" s="67"/>
      <c r="DF272" s="560"/>
      <c r="DG272" s="465"/>
      <c r="DH272" s="67">
        <v>0</v>
      </c>
      <c r="DI272" s="66"/>
      <c r="DJ272" s="67"/>
      <c r="DK272" s="560"/>
      <c r="DL272" s="560"/>
      <c r="DM272" s="67">
        <v>0</v>
      </c>
      <c r="DN272" s="66"/>
      <c r="DO272" s="67"/>
      <c r="DP272" s="560"/>
      <c r="DQ272" s="560"/>
      <c r="DR272" s="67">
        <v>0</v>
      </c>
      <c r="DS272" s="66"/>
      <c r="DT272" s="67"/>
      <c r="DU272" s="560"/>
      <c r="DV272" s="560"/>
      <c r="DW272" s="67">
        <v>0</v>
      </c>
      <c r="DX272" s="66"/>
      <c r="DY272" s="67"/>
      <c r="DZ272" s="560"/>
      <c r="EA272" s="560"/>
      <c r="EB272" s="67">
        <v>0</v>
      </c>
      <c r="EC272" s="66"/>
      <c r="ED272" s="67"/>
      <c r="EE272" s="560"/>
      <c r="EF272" s="560"/>
      <c r="EG272" s="67">
        <v>0</v>
      </c>
      <c r="EH272" s="66"/>
      <c r="EI272" s="67"/>
      <c r="EJ272" s="560"/>
      <c r="EK272" s="560"/>
      <c r="EL272" s="67">
        <f>SUM(CD272:CI272)</f>
        <v>22625</v>
      </c>
      <c r="EM272" s="66"/>
      <c r="EN272" s="67"/>
      <c r="EO272" s="455"/>
      <c r="ER272" s="472"/>
      <c r="ES272" s="472"/>
    </row>
    <row r="273" spans="1:149" ht="12.75" customHeight="1" x14ac:dyDescent="0.2">
      <c r="A273" s="442"/>
      <c r="B273" s="442"/>
      <c r="D273" s="455" t="s">
        <v>345</v>
      </c>
      <c r="F273" s="488"/>
      <c r="G273" s="113">
        <v>0</v>
      </c>
      <c r="H273" s="112"/>
      <c r="I273" s="67"/>
      <c r="J273" s="560"/>
      <c r="K273" s="488"/>
      <c r="L273" s="113">
        <v>0</v>
      </c>
      <c r="M273" s="112"/>
      <c r="N273" s="67"/>
      <c r="O273" s="560"/>
      <c r="P273" s="488"/>
      <c r="Q273" s="113">
        <v>0</v>
      </c>
      <c r="R273" s="112"/>
      <c r="S273" s="67"/>
      <c r="T273" s="560"/>
      <c r="U273" s="488"/>
      <c r="V273" s="113">
        <v>0</v>
      </c>
      <c r="W273" s="112"/>
      <c r="X273" s="67"/>
      <c r="Y273" s="560"/>
      <c r="Z273" s="488"/>
      <c r="AA273" s="113">
        <v>0</v>
      </c>
      <c r="AB273" s="112"/>
      <c r="AC273" s="67"/>
      <c r="AD273" s="560"/>
      <c r="AE273" s="488"/>
      <c r="AF273" s="113">
        <v>0</v>
      </c>
      <c r="AG273" s="112"/>
      <c r="AH273" s="67"/>
      <c r="AI273" s="560"/>
      <c r="AJ273" s="488"/>
      <c r="AK273" s="113">
        <v>0</v>
      </c>
      <c r="AL273" s="112"/>
      <c r="AM273" s="67"/>
      <c r="AN273" s="560"/>
      <c r="AO273" s="488"/>
      <c r="AP273" s="113">
        <v>0</v>
      </c>
      <c r="AQ273" s="112"/>
      <c r="AR273" s="67"/>
      <c r="AS273" s="560"/>
      <c r="AT273" s="569"/>
      <c r="AU273" s="113">
        <v>0</v>
      </c>
      <c r="AV273" s="112"/>
      <c r="AW273" s="67"/>
      <c r="AX273" s="560"/>
      <c r="AY273" s="569"/>
      <c r="AZ273" s="113">
        <v>0</v>
      </c>
      <c r="BA273" s="112"/>
      <c r="BB273" s="67"/>
      <c r="BC273" s="560"/>
      <c r="BD273" s="569"/>
      <c r="BE273" s="113">
        <v>0</v>
      </c>
      <c r="BF273" s="112"/>
      <c r="BG273" s="67"/>
      <c r="BH273" s="560"/>
      <c r="BI273" s="569"/>
      <c r="BJ273" s="113">
        <v>0</v>
      </c>
      <c r="BK273" s="112"/>
      <c r="BL273" s="67"/>
      <c r="BM273" s="560"/>
      <c r="BN273" s="569"/>
      <c r="BO273" s="113">
        <v>0</v>
      </c>
      <c r="BP273" s="112"/>
      <c r="BQ273" s="67"/>
      <c r="BR273" s="560"/>
      <c r="BS273" s="569"/>
      <c r="BT273" s="113">
        <f>SUM(L273:BO273)</f>
        <v>0</v>
      </c>
      <c r="BU273" s="112"/>
      <c r="BV273" s="67"/>
      <c r="BW273" s="560"/>
      <c r="BX273" s="569"/>
      <c r="BY273" s="113">
        <v>0</v>
      </c>
      <c r="BZ273" s="112"/>
      <c r="CA273" s="67"/>
      <c r="CB273" s="560"/>
      <c r="CC273" s="488"/>
      <c r="CD273" s="113">
        <v>0</v>
      </c>
      <c r="CE273" s="112"/>
      <c r="CF273" s="67"/>
      <c r="CG273" s="560"/>
      <c r="CH273" s="488"/>
      <c r="CI273" s="113">
        <v>0</v>
      </c>
      <c r="CJ273" s="112"/>
      <c r="CK273" s="67"/>
      <c r="CL273" s="560"/>
      <c r="CM273" s="488"/>
      <c r="CN273" s="113">
        <v>0</v>
      </c>
      <c r="CO273" s="112"/>
      <c r="CP273" s="67"/>
      <c r="CQ273" s="560"/>
      <c r="CR273" s="488"/>
      <c r="CS273" s="113">
        <v>0</v>
      </c>
      <c r="CT273" s="112"/>
      <c r="CU273" s="67"/>
      <c r="CV273" s="560"/>
      <c r="CW273" s="488"/>
      <c r="CX273" s="113">
        <v>0</v>
      </c>
      <c r="CY273" s="112"/>
      <c r="CZ273" s="67"/>
      <c r="DA273" s="560"/>
      <c r="DB273" s="488"/>
      <c r="DC273" s="113">
        <v>0</v>
      </c>
      <c r="DD273" s="112"/>
      <c r="DE273" s="67"/>
      <c r="DF273" s="560"/>
      <c r="DG273" s="488"/>
      <c r="DH273" s="113">
        <v>0</v>
      </c>
      <c r="DI273" s="112"/>
      <c r="DJ273" s="67"/>
      <c r="DK273" s="560"/>
      <c r="DL273" s="569"/>
      <c r="DM273" s="113">
        <v>0</v>
      </c>
      <c r="DN273" s="112"/>
      <c r="DO273" s="67"/>
      <c r="DP273" s="560"/>
      <c r="DQ273" s="569"/>
      <c r="DR273" s="113">
        <v>0</v>
      </c>
      <c r="DS273" s="112"/>
      <c r="DT273" s="67"/>
      <c r="DU273" s="560"/>
      <c r="DV273" s="569"/>
      <c r="DW273" s="113">
        <v>0</v>
      </c>
      <c r="DX273" s="112"/>
      <c r="DY273" s="67"/>
      <c r="DZ273" s="560"/>
      <c r="EA273" s="569"/>
      <c r="EB273" s="113">
        <v>0</v>
      </c>
      <c r="EC273" s="112"/>
      <c r="ED273" s="67"/>
      <c r="EE273" s="560"/>
      <c r="EF273" s="569"/>
      <c r="EG273" s="113">
        <v>0</v>
      </c>
      <c r="EH273" s="112"/>
      <c r="EI273" s="67"/>
      <c r="EJ273" s="560"/>
      <c r="EK273" s="569"/>
      <c r="EL273" s="113">
        <f>SUM(CD273:CI273)</f>
        <v>0</v>
      </c>
      <c r="EM273" s="112"/>
      <c r="EN273" s="67"/>
      <c r="EO273" s="455"/>
      <c r="ER273" s="472"/>
      <c r="ES273" s="472"/>
    </row>
    <row r="274" spans="1:149" ht="12.75" customHeight="1" x14ac:dyDescent="0.2">
      <c r="A274" s="442"/>
      <c r="B274" s="442"/>
      <c r="D274" s="455"/>
      <c r="F274" s="442"/>
      <c r="G274" s="67"/>
      <c r="H274" s="67"/>
      <c r="I274" s="67"/>
      <c r="J274" s="560"/>
      <c r="K274" s="442"/>
      <c r="L274" s="67"/>
      <c r="M274" s="67"/>
      <c r="N274" s="67"/>
      <c r="O274" s="560"/>
      <c r="P274" s="442"/>
      <c r="Q274" s="67"/>
      <c r="R274" s="67"/>
      <c r="S274" s="67"/>
      <c r="T274" s="560"/>
      <c r="U274" s="442"/>
      <c r="V274" s="67"/>
      <c r="W274" s="67"/>
      <c r="X274" s="67"/>
      <c r="Y274" s="560"/>
      <c r="Z274" s="442"/>
      <c r="AA274" s="67"/>
      <c r="AB274" s="67"/>
      <c r="AC274" s="67"/>
      <c r="AD274" s="560"/>
      <c r="AE274" s="442"/>
      <c r="AF274" s="67"/>
      <c r="AG274" s="67"/>
      <c r="AH274" s="67"/>
      <c r="AI274" s="560"/>
      <c r="AJ274" s="442"/>
      <c r="AK274" s="67"/>
      <c r="AL274" s="67"/>
      <c r="AM274" s="67"/>
      <c r="AN274" s="560"/>
      <c r="AO274" s="442"/>
      <c r="AP274" s="67"/>
      <c r="AQ274" s="67"/>
      <c r="AR274" s="67"/>
      <c r="AS274" s="560"/>
      <c r="AT274" s="67"/>
      <c r="AU274" s="67"/>
      <c r="AV274" s="67"/>
      <c r="AW274" s="67"/>
      <c r="AX274" s="560"/>
      <c r="AY274" s="67"/>
      <c r="AZ274" s="67"/>
      <c r="BA274" s="67"/>
      <c r="BB274" s="67"/>
      <c r="BC274" s="560"/>
      <c r="BD274" s="67"/>
      <c r="BE274" s="67"/>
      <c r="BF274" s="67"/>
      <c r="BG274" s="67"/>
      <c r="BH274" s="560"/>
      <c r="BI274" s="67"/>
      <c r="BJ274" s="67"/>
      <c r="BK274" s="67"/>
      <c r="BL274" s="67"/>
      <c r="BM274" s="560"/>
      <c r="BN274" s="67"/>
      <c r="BO274" s="67"/>
      <c r="BP274" s="67"/>
      <c r="BQ274" s="67"/>
      <c r="BR274" s="560"/>
      <c r="BS274" s="67"/>
      <c r="BT274" s="67"/>
      <c r="BU274" s="67"/>
      <c r="BV274" s="67"/>
      <c r="BW274" s="560"/>
      <c r="BX274" s="67"/>
      <c r="BY274" s="67"/>
      <c r="BZ274" s="67"/>
      <c r="CA274" s="67"/>
      <c r="CB274" s="560"/>
      <c r="CC274" s="442"/>
      <c r="CD274" s="67"/>
      <c r="CE274" s="67"/>
      <c r="CF274" s="67"/>
      <c r="CG274" s="560"/>
      <c r="CH274" s="442"/>
      <c r="CI274" s="67"/>
      <c r="CJ274" s="67"/>
      <c r="CK274" s="67"/>
      <c r="CL274" s="560"/>
      <c r="CM274" s="442"/>
      <c r="CN274" s="67"/>
      <c r="CO274" s="67"/>
      <c r="CP274" s="67"/>
      <c r="CQ274" s="560"/>
      <c r="CR274" s="442"/>
      <c r="CS274" s="67"/>
      <c r="CT274" s="67"/>
      <c r="CU274" s="67"/>
      <c r="CV274" s="560"/>
      <c r="CW274" s="442"/>
      <c r="CX274" s="67"/>
      <c r="CY274" s="67"/>
      <c r="CZ274" s="67"/>
      <c r="DA274" s="560"/>
      <c r="DB274" s="442"/>
      <c r="DC274" s="67"/>
      <c r="DD274" s="67"/>
      <c r="DE274" s="67"/>
      <c r="DF274" s="560"/>
      <c r="DG274" s="442"/>
      <c r="DH274" s="67"/>
      <c r="DI274" s="67"/>
      <c r="DJ274" s="67"/>
      <c r="DK274" s="560"/>
      <c r="DL274" s="67"/>
      <c r="DM274" s="67"/>
      <c r="DN274" s="67"/>
      <c r="DO274" s="67"/>
      <c r="DP274" s="560"/>
      <c r="DQ274" s="67"/>
      <c r="DR274" s="67"/>
      <c r="DS274" s="67"/>
      <c r="DT274" s="67"/>
      <c r="DU274" s="560"/>
      <c r="DV274" s="67"/>
      <c r="DW274" s="67"/>
      <c r="DX274" s="67"/>
      <c r="DY274" s="67"/>
      <c r="DZ274" s="560"/>
      <c r="EA274" s="67"/>
      <c r="EB274" s="67"/>
      <c r="EC274" s="67"/>
      <c r="ED274" s="67"/>
      <c r="EE274" s="560"/>
      <c r="EF274" s="67"/>
      <c r="EG274" s="67"/>
      <c r="EH274" s="67"/>
      <c r="EI274" s="67"/>
      <c r="EJ274" s="560"/>
      <c r="EK274" s="67"/>
      <c r="EL274" s="67"/>
      <c r="EM274" s="67"/>
      <c r="EN274" s="67"/>
      <c r="EO274" s="455"/>
      <c r="ER274" s="472"/>
      <c r="ES274" s="472"/>
    </row>
    <row r="275" spans="1:149" ht="12.75" customHeight="1" x14ac:dyDescent="0.2">
      <c r="A275" s="442"/>
      <c r="B275" s="442"/>
      <c r="D275" s="455" t="s">
        <v>400</v>
      </c>
      <c r="E275" s="582"/>
      <c r="F275" s="442"/>
      <c r="G275" s="67">
        <f>SUM(G276:G278)</f>
        <v>0</v>
      </c>
      <c r="H275" s="67"/>
      <c r="I275" s="67"/>
      <c r="J275" s="560"/>
      <c r="K275" s="442"/>
      <c r="L275" s="67">
        <f>SUM(L276:L278)</f>
        <v>0</v>
      </c>
      <c r="M275" s="67"/>
      <c r="N275" s="67"/>
      <c r="O275" s="560"/>
      <c r="P275" s="442"/>
      <c r="Q275" s="67">
        <f>SUM(Q276:Q278)</f>
        <v>0</v>
      </c>
      <c r="R275" s="67"/>
      <c r="S275" s="67"/>
      <c r="T275" s="560"/>
      <c r="U275" s="442"/>
      <c r="V275" s="67">
        <f>SUM(V276:V278)</f>
        <v>0</v>
      </c>
      <c r="W275" s="67"/>
      <c r="X275" s="67"/>
      <c r="Y275" s="560"/>
      <c r="Z275" s="442"/>
      <c r="AA275" s="67">
        <f>SUM(AA276:AA278)</f>
        <v>0</v>
      </c>
      <c r="AB275" s="67"/>
      <c r="AC275" s="67"/>
      <c r="AD275" s="560"/>
      <c r="AE275" s="442"/>
      <c r="AF275" s="67">
        <f>SUM(AF276:AF278)</f>
        <v>0</v>
      </c>
      <c r="AG275" s="67"/>
      <c r="AH275" s="67"/>
      <c r="AI275" s="560"/>
      <c r="AJ275" s="442"/>
      <c r="AK275" s="67">
        <f>SUM(AK276:AK278)</f>
        <v>0</v>
      </c>
      <c r="AL275" s="67"/>
      <c r="AM275" s="67"/>
      <c r="AN275" s="560"/>
      <c r="AO275" s="442"/>
      <c r="AP275" s="67">
        <f>SUM(AP276:AP278)</f>
        <v>0</v>
      </c>
      <c r="AQ275" s="67"/>
      <c r="AR275" s="67"/>
      <c r="AS275" s="560"/>
      <c r="AT275" s="442"/>
      <c r="AU275" s="67">
        <f>SUM(AU276:AU278)</f>
        <v>0</v>
      </c>
      <c r="AV275" s="67"/>
      <c r="AW275" s="67"/>
      <c r="AX275" s="560"/>
      <c r="AY275" s="442"/>
      <c r="AZ275" s="67">
        <f>SUM(AZ276:AZ278)</f>
        <v>0</v>
      </c>
      <c r="BA275" s="67"/>
      <c r="BB275" s="67"/>
      <c r="BC275" s="560"/>
      <c r="BD275" s="442"/>
      <c r="BE275" s="67">
        <f>SUM(BE276:BE278)</f>
        <v>0</v>
      </c>
      <c r="BF275" s="67"/>
      <c r="BG275" s="67"/>
      <c r="BH275" s="560"/>
      <c r="BI275" s="442"/>
      <c r="BJ275" s="67">
        <f>SUM(BJ276:BJ278)</f>
        <v>0</v>
      </c>
      <c r="BK275" s="67"/>
      <c r="BL275" s="67"/>
      <c r="BM275" s="560"/>
      <c r="BN275" s="442"/>
      <c r="BO275" s="67">
        <f>SUM(BO276:BO278)</f>
        <v>0</v>
      </c>
      <c r="BP275" s="67"/>
      <c r="BQ275" s="67"/>
      <c r="BR275" s="560"/>
      <c r="BS275" s="442"/>
      <c r="BT275" s="67">
        <f>SUM(BT276:BT278)</f>
        <v>0</v>
      </c>
      <c r="BU275" s="67"/>
      <c r="BV275" s="67"/>
      <c r="BW275" s="560"/>
      <c r="BX275" s="442"/>
      <c r="BY275" s="67">
        <f>SUM(BY276:BY278)</f>
        <v>1026241</v>
      </c>
      <c r="BZ275" s="67"/>
      <c r="CA275" s="67"/>
      <c r="CB275" s="560"/>
      <c r="CC275" s="442"/>
      <c r="CD275" s="67">
        <f>SUM(CD276:CD278)</f>
        <v>0</v>
      </c>
      <c r="CE275" s="67"/>
      <c r="CF275" s="67"/>
      <c r="CG275" s="560"/>
      <c r="CH275" s="442"/>
      <c r="CI275" s="67">
        <f>SUM(CI276:CI278)</f>
        <v>1026241</v>
      </c>
      <c r="CJ275" s="67"/>
      <c r="CK275" s="67"/>
      <c r="CL275" s="560"/>
      <c r="CM275" s="442"/>
      <c r="CN275" s="67">
        <f>SUM(CN276:CN278)</f>
        <v>0</v>
      </c>
      <c r="CO275" s="67"/>
      <c r="CP275" s="67"/>
      <c r="CQ275" s="560"/>
      <c r="CR275" s="442"/>
      <c r="CS275" s="67">
        <f>SUM(CS276:CS278)</f>
        <v>0</v>
      </c>
      <c r="CT275" s="67"/>
      <c r="CU275" s="67"/>
      <c r="CV275" s="560"/>
      <c r="CW275" s="442"/>
      <c r="CX275" s="67">
        <f>SUM(CX276:CX278)</f>
        <v>0</v>
      </c>
      <c r="CY275" s="67"/>
      <c r="CZ275" s="67"/>
      <c r="DA275" s="560"/>
      <c r="DB275" s="442"/>
      <c r="DC275" s="67">
        <f>SUM(DC276:DC278)</f>
        <v>0</v>
      </c>
      <c r="DD275" s="67"/>
      <c r="DE275" s="67"/>
      <c r="DF275" s="560"/>
      <c r="DG275" s="442"/>
      <c r="DH275" s="67">
        <f>SUM(DH276:DH278)</f>
        <v>0</v>
      </c>
      <c r="DI275" s="67"/>
      <c r="DJ275" s="67"/>
      <c r="DK275" s="560"/>
      <c r="DL275" s="442"/>
      <c r="DM275" s="67">
        <f>SUM(DM276:DM278)</f>
        <v>0</v>
      </c>
      <c r="DN275" s="67"/>
      <c r="DO275" s="67"/>
      <c r="DP275" s="560"/>
      <c r="DQ275" s="442"/>
      <c r="DR275" s="67">
        <f>SUM(DR276:DR278)</f>
        <v>0</v>
      </c>
      <c r="DS275" s="67"/>
      <c r="DT275" s="67"/>
      <c r="DU275" s="560"/>
      <c r="DV275" s="442"/>
      <c r="DW275" s="67">
        <f>SUM(DW276:DW278)</f>
        <v>0</v>
      </c>
      <c r="DX275" s="67"/>
      <c r="DY275" s="67"/>
      <c r="DZ275" s="560"/>
      <c r="EA275" s="442"/>
      <c r="EB275" s="67">
        <f>SUM(EB276:EB278)</f>
        <v>0</v>
      </c>
      <c r="EC275" s="67"/>
      <c r="ED275" s="67"/>
      <c r="EE275" s="560"/>
      <c r="EF275" s="442"/>
      <c r="EG275" s="67">
        <f>SUM(EG276:EG278)</f>
        <v>0</v>
      </c>
      <c r="EH275" s="67"/>
      <c r="EI275" s="67"/>
      <c r="EJ275" s="560"/>
      <c r="EK275" s="442"/>
      <c r="EL275" s="67">
        <f>SUM(EL276:EL278)</f>
        <v>1026241</v>
      </c>
      <c r="EM275" s="67"/>
      <c r="EN275" s="67"/>
      <c r="EO275" s="455"/>
      <c r="ER275" s="472"/>
      <c r="ES275" s="472"/>
    </row>
    <row r="276" spans="1:149" ht="12.75" customHeight="1" x14ac:dyDescent="0.2">
      <c r="A276" s="442"/>
      <c r="B276" s="442"/>
      <c r="D276" s="455" t="s">
        <v>342</v>
      </c>
      <c r="E276" s="582"/>
      <c r="F276" s="473"/>
      <c r="G276" s="558">
        <v>0</v>
      </c>
      <c r="H276" s="559"/>
      <c r="I276" s="67"/>
      <c r="J276" s="560"/>
      <c r="K276" s="473"/>
      <c r="L276" s="558">
        <v>0</v>
      </c>
      <c r="M276" s="559"/>
      <c r="N276" s="67"/>
      <c r="O276" s="560"/>
      <c r="P276" s="473"/>
      <c r="Q276" s="558">
        <v>0</v>
      </c>
      <c r="R276" s="559"/>
      <c r="S276" s="67"/>
      <c r="T276" s="560"/>
      <c r="U276" s="473"/>
      <c r="V276" s="558">
        <v>0</v>
      </c>
      <c r="W276" s="559"/>
      <c r="X276" s="67"/>
      <c r="Y276" s="560"/>
      <c r="Z276" s="473"/>
      <c r="AA276" s="558">
        <v>0</v>
      </c>
      <c r="AB276" s="559"/>
      <c r="AC276" s="67"/>
      <c r="AD276" s="560"/>
      <c r="AE276" s="473"/>
      <c r="AF276" s="558">
        <v>0</v>
      </c>
      <c r="AG276" s="559"/>
      <c r="AH276" s="67"/>
      <c r="AI276" s="560"/>
      <c r="AJ276" s="473"/>
      <c r="AK276" s="558">
        <v>0</v>
      </c>
      <c r="AL276" s="559"/>
      <c r="AM276" s="67"/>
      <c r="AN276" s="560"/>
      <c r="AO276" s="473"/>
      <c r="AP276" s="558">
        <v>0</v>
      </c>
      <c r="AQ276" s="559"/>
      <c r="AR276" s="67"/>
      <c r="AS276" s="560"/>
      <c r="AT276" s="473"/>
      <c r="AU276" s="558">
        <v>0</v>
      </c>
      <c r="AV276" s="559"/>
      <c r="AW276" s="67"/>
      <c r="AX276" s="560"/>
      <c r="AY276" s="473"/>
      <c r="AZ276" s="558">
        <v>0</v>
      </c>
      <c r="BA276" s="559"/>
      <c r="BB276" s="67"/>
      <c r="BC276" s="560"/>
      <c r="BD276" s="473"/>
      <c r="BE276" s="558">
        <v>0</v>
      </c>
      <c r="BF276" s="559"/>
      <c r="BG276" s="67"/>
      <c r="BH276" s="560"/>
      <c r="BI276" s="473"/>
      <c r="BJ276" s="558">
        <v>0</v>
      </c>
      <c r="BK276" s="559"/>
      <c r="BL276" s="67"/>
      <c r="BM276" s="560"/>
      <c r="BN276" s="473"/>
      <c r="BO276" s="558">
        <v>0</v>
      </c>
      <c r="BP276" s="559"/>
      <c r="BQ276" s="67"/>
      <c r="BR276" s="560"/>
      <c r="BS276" s="473"/>
      <c r="BT276" s="558">
        <f>SUM(L276:BO276)</f>
        <v>0</v>
      </c>
      <c r="BU276" s="559"/>
      <c r="BV276" s="67"/>
      <c r="BW276" s="560"/>
      <c r="BX276" s="473"/>
      <c r="BY276" s="558">
        <v>938161</v>
      </c>
      <c r="BZ276" s="559"/>
      <c r="CA276" s="67"/>
      <c r="CB276" s="560"/>
      <c r="CC276" s="473"/>
      <c r="CD276" s="558">
        <v>0</v>
      </c>
      <c r="CE276" s="559"/>
      <c r="CF276" s="67"/>
      <c r="CG276" s="560"/>
      <c r="CH276" s="473"/>
      <c r="CI276" s="558">
        <f>1026241-88080</f>
        <v>938161</v>
      </c>
      <c r="CJ276" s="559"/>
      <c r="CK276" s="67"/>
      <c r="CL276" s="560"/>
      <c r="CM276" s="473"/>
      <c r="CN276" s="558">
        <v>0</v>
      </c>
      <c r="CO276" s="559"/>
      <c r="CP276" s="67"/>
      <c r="CQ276" s="560"/>
      <c r="CR276" s="473"/>
      <c r="CS276" s="558">
        <v>0</v>
      </c>
      <c r="CT276" s="559"/>
      <c r="CU276" s="67"/>
      <c r="CV276" s="560"/>
      <c r="CW276" s="473"/>
      <c r="CX276" s="558">
        <v>0</v>
      </c>
      <c r="CY276" s="559"/>
      <c r="CZ276" s="67"/>
      <c r="DA276" s="560"/>
      <c r="DB276" s="473"/>
      <c r="DC276" s="558">
        <v>0</v>
      </c>
      <c r="DD276" s="559"/>
      <c r="DE276" s="67"/>
      <c r="DF276" s="560"/>
      <c r="DG276" s="473"/>
      <c r="DH276" s="558">
        <v>0</v>
      </c>
      <c r="DI276" s="559"/>
      <c r="DJ276" s="67"/>
      <c r="DK276" s="560"/>
      <c r="DL276" s="473"/>
      <c r="DM276" s="558">
        <v>0</v>
      </c>
      <c r="DN276" s="559"/>
      <c r="DO276" s="67"/>
      <c r="DP276" s="560"/>
      <c r="DQ276" s="473"/>
      <c r="DR276" s="558">
        <v>0</v>
      </c>
      <c r="DS276" s="559"/>
      <c r="DT276" s="67"/>
      <c r="DU276" s="560"/>
      <c r="DV276" s="473"/>
      <c r="DW276" s="558">
        <v>0</v>
      </c>
      <c r="DX276" s="559"/>
      <c r="DY276" s="67"/>
      <c r="DZ276" s="560"/>
      <c r="EA276" s="473"/>
      <c r="EB276" s="558">
        <v>0</v>
      </c>
      <c r="EC276" s="559"/>
      <c r="ED276" s="67"/>
      <c r="EE276" s="560"/>
      <c r="EF276" s="473"/>
      <c r="EG276" s="558">
        <v>0</v>
      </c>
      <c r="EH276" s="559"/>
      <c r="EI276" s="67"/>
      <c r="EJ276" s="560"/>
      <c r="EK276" s="473"/>
      <c r="EL276" s="558">
        <f>SUM(CD276:CI276)</f>
        <v>938161</v>
      </c>
      <c r="EM276" s="559"/>
      <c r="EN276" s="67"/>
      <c r="EO276" s="455"/>
      <c r="ER276" s="472"/>
      <c r="ES276" s="472"/>
    </row>
    <row r="277" spans="1:149" ht="12.75" customHeight="1" x14ac:dyDescent="0.2">
      <c r="A277" s="442"/>
      <c r="B277" s="442"/>
      <c r="D277" s="455" t="s">
        <v>344</v>
      </c>
      <c r="E277" s="582"/>
      <c r="F277" s="465"/>
      <c r="G277" s="67">
        <v>0</v>
      </c>
      <c r="H277" s="66"/>
      <c r="I277" s="67"/>
      <c r="J277" s="560"/>
      <c r="K277" s="465"/>
      <c r="L277" s="67">
        <v>0</v>
      </c>
      <c r="M277" s="66"/>
      <c r="N277" s="67"/>
      <c r="O277" s="560"/>
      <c r="P277" s="465"/>
      <c r="Q277" s="67">
        <v>0</v>
      </c>
      <c r="R277" s="66"/>
      <c r="S277" s="67"/>
      <c r="T277" s="560"/>
      <c r="U277" s="465"/>
      <c r="V277" s="67">
        <v>0</v>
      </c>
      <c r="W277" s="66"/>
      <c r="X277" s="67"/>
      <c r="Y277" s="560"/>
      <c r="Z277" s="465"/>
      <c r="AA277" s="67">
        <v>0</v>
      </c>
      <c r="AB277" s="66"/>
      <c r="AC277" s="67"/>
      <c r="AD277" s="560"/>
      <c r="AE277" s="465"/>
      <c r="AF277" s="67">
        <v>0</v>
      </c>
      <c r="AG277" s="66"/>
      <c r="AH277" s="67"/>
      <c r="AI277" s="560"/>
      <c r="AJ277" s="465"/>
      <c r="AK277" s="67">
        <v>0</v>
      </c>
      <c r="AL277" s="66"/>
      <c r="AM277" s="67"/>
      <c r="AN277" s="560"/>
      <c r="AO277" s="465"/>
      <c r="AP277" s="67">
        <v>0</v>
      </c>
      <c r="AQ277" s="66"/>
      <c r="AR277" s="67"/>
      <c r="AS277" s="560"/>
      <c r="AT277" s="465"/>
      <c r="AU277" s="67">
        <v>0</v>
      </c>
      <c r="AV277" s="66"/>
      <c r="AW277" s="67"/>
      <c r="AX277" s="560"/>
      <c r="AY277" s="465"/>
      <c r="AZ277" s="67">
        <v>0</v>
      </c>
      <c r="BA277" s="66"/>
      <c r="BB277" s="67"/>
      <c r="BC277" s="560"/>
      <c r="BD277" s="465"/>
      <c r="BE277" s="67">
        <v>0</v>
      </c>
      <c r="BF277" s="66"/>
      <c r="BG277" s="67"/>
      <c r="BH277" s="560"/>
      <c r="BI277" s="465"/>
      <c r="BJ277" s="67">
        <v>0</v>
      </c>
      <c r="BK277" s="66"/>
      <c r="BL277" s="67"/>
      <c r="BM277" s="560"/>
      <c r="BN277" s="465"/>
      <c r="BO277" s="67">
        <v>0</v>
      </c>
      <c r="BP277" s="66"/>
      <c r="BQ277" s="67"/>
      <c r="BR277" s="560"/>
      <c r="BS277" s="465"/>
      <c r="BT277" s="67">
        <f>SUM(L277:BO277)</f>
        <v>0</v>
      </c>
      <c r="BU277" s="66"/>
      <c r="BV277" s="67"/>
      <c r="BW277" s="560"/>
      <c r="BX277" s="465"/>
      <c r="BY277" s="67">
        <v>88080</v>
      </c>
      <c r="BZ277" s="66"/>
      <c r="CA277" s="67"/>
      <c r="CB277" s="560"/>
      <c r="CC277" s="465"/>
      <c r="CD277" s="67">
        <v>0</v>
      </c>
      <c r="CE277" s="66"/>
      <c r="CF277" s="67"/>
      <c r="CG277" s="560"/>
      <c r="CH277" s="465"/>
      <c r="CI277" s="67">
        <v>88080</v>
      </c>
      <c r="CJ277" s="66"/>
      <c r="CK277" s="67"/>
      <c r="CL277" s="560"/>
      <c r="CM277" s="465"/>
      <c r="CN277" s="67">
        <v>0</v>
      </c>
      <c r="CO277" s="66"/>
      <c r="CP277" s="67"/>
      <c r="CQ277" s="560"/>
      <c r="CR277" s="465"/>
      <c r="CS277" s="67">
        <v>0</v>
      </c>
      <c r="CT277" s="66"/>
      <c r="CU277" s="67"/>
      <c r="CV277" s="560"/>
      <c r="CW277" s="465"/>
      <c r="CX277" s="67">
        <v>0</v>
      </c>
      <c r="CY277" s="66"/>
      <c r="CZ277" s="67"/>
      <c r="DA277" s="560"/>
      <c r="DB277" s="465"/>
      <c r="DC277" s="67">
        <v>0</v>
      </c>
      <c r="DD277" s="66"/>
      <c r="DE277" s="67"/>
      <c r="DF277" s="560"/>
      <c r="DG277" s="465"/>
      <c r="DH277" s="67">
        <v>0</v>
      </c>
      <c r="DI277" s="66"/>
      <c r="DJ277" s="67"/>
      <c r="DK277" s="560"/>
      <c r="DL277" s="465"/>
      <c r="DM277" s="67">
        <v>0</v>
      </c>
      <c r="DN277" s="66"/>
      <c r="DO277" s="67"/>
      <c r="DP277" s="560"/>
      <c r="DQ277" s="465"/>
      <c r="DR277" s="67">
        <v>0</v>
      </c>
      <c r="DS277" s="66"/>
      <c r="DT277" s="67"/>
      <c r="DU277" s="560"/>
      <c r="DV277" s="465"/>
      <c r="DW277" s="67">
        <v>0</v>
      </c>
      <c r="DX277" s="66"/>
      <c r="DY277" s="67"/>
      <c r="DZ277" s="560"/>
      <c r="EA277" s="465"/>
      <c r="EB277" s="67">
        <v>0</v>
      </c>
      <c r="EC277" s="66"/>
      <c r="ED277" s="67"/>
      <c r="EE277" s="560"/>
      <c r="EF277" s="465"/>
      <c r="EG277" s="67">
        <v>0</v>
      </c>
      <c r="EH277" s="66"/>
      <c r="EI277" s="67"/>
      <c r="EJ277" s="560"/>
      <c r="EK277" s="465"/>
      <c r="EL277" s="67">
        <f>SUM(CD277:CI277)</f>
        <v>88080</v>
      </c>
      <c r="EM277" s="66"/>
      <c r="EN277" s="67"/>
      <c r="EO277" s="455"/>
      <c r="ER277" s="472"/>
      <c r="ES277" s="472"/>
    </row>
    <row r="278" spans="1:149" ht="12.75" customHeight="1" x14ac:dyDescent="0.2">
      <c r="A278" s="442"/>
      <c r="B278" s="442"/>
      <c r="D278" s="455" t="s">
        <v>345</v>
      </c>
      <c r="E278" s="582"/>
      <c r="F278" s="488"/>
      <c r="G278" s="113">
        <v>0</v>
      </c>
      <c r="H278" s="112"/>
      <c r="I278" s="67"/>
      <c r="J278" s="560"/>
      <c r="K278" s="488"/>
      <c r="L278" s="113">
        <v>0</v>
      </c>
      <c r="M278" s="112"/>
      <c r="N278" s="67"/>
      <c r="O278" s="560"/>
      <c r="P278" s="488"/>
      <c r="Q278" s="113">
        <v>0</v>
      </c>
      <c r="R278" s="112"/>
      <c r="S278" s="67"/>
      <c r="T278" s="560"/>
      <c r="U278" s="488"/>
      <c r="V278" s="113">
        <v>0</v>
      </c>
      <c r="W278" s="112"/>
      <c r="X278" s="67"/>
      <c r="Y278" s="560"/>
      <c r="Z278" s="488"/>
      <c r="AA278" s="113">
        <v>0</v>
      </c>
      <c r="AB278" s="112"/>
      <c r="AC278" s="67"/>
      <c r="AD278" s="560"/>
      <c r="AE278" s="488"/>
      <c r="AF278" s="113">
        <v>0</v>
      </c>
      <c r="AG278" s="112"/>
      <c r="AH278" s="67"/>
      <c r="AI278" s="560"/>
      <c r="AJ278" s="488"/>
      <c r="AK278" s="113">
        <v>0</v>
      </c>
      <c r="AL278" s="112"/>
      <c r="AM278" s="67"/>
      <c r="AN278" s="560"/>
      <c r="AO278" s="488"/>
      <c r="AP278" s="113">
        <v>0</v>
      </c>
      <c r="AQ278" s="112"/>
      <c r="AR278" s="67"/>
      <c r="AS278" s="560"/>
      <c r="AT278" s="488"/>
      <c r="AU278" s="113">
        <v>0</v>
      </c>
      <c r="AV278" s="112"/>
      <c r="AW278" s="67"/>
      <c r="AX278" s="560"/>
      <c r="AY278" s="488"/>
      <c r="AZ278" s="113">
        <v>0</v>
      </c>
      <c r="BA278" s="112"/>
      <c r="BB278" s="67"/>
      <c r="BC278" s="560"/>
      <c r="BD278" s="488"/>
      <c r="BE278" s="113">
        <v>0</v>
      </c>
      <c r="BF278" s="112"/>
      <c r="BG278" s="67"/>
      <c r="BH278" s="560"/>
      <c r="BI278" s="488"/>
      <c r="BJ278" s="113">
        <v>0</v>
      </c>
      <c r="BK278" s="112"/>
      <c r="BL278" s="67"/>
      <c r="BM278" s="560"/>
      <c r="BN278" s="488"/>
      <c r="BO278" s="113">
        <v>0</v>
      </c>
      <c r="BP278" s="112"/>
      <c r="BQ278" s="67"/>
      <c r="BR278" s="560"/>
      <c r="BS278" s="488"/>
      <c r="BT278" s="113">
        <f>SUM(L278:BO278)</f>
        <v>0</v>
      </c>
      <c r="BU278" s="112"/>
      <c r="BV278" s="67"/>
      <c r="BW278" s="560"/>
      <c r="BX278" s="488"/>
      <c r="BY278" s="113">
        <v>0</v>
      </c>
      <c r="BZ278" s="112"/>
      <c r="CA278" s="67"/>
      <c r="CB278" s="560"/>
      <c r="CC278" s="488"/>
      <c r="CD278" s="113">
        <v>0</v>
      </c>
      <c r="CE278" s="112"/>
      <c r="CF278" s="67"/>
      <c r="CG278" s="560"/>
      <c r="CH278" s="488"/>
      <c r="CI278" s="113">
        <v>0</v>
      </c>
      <c r="CJ278" s="112"/>
      <c r="CK278" s="67"/>
      <c r="CL278" s="560"/>
      <c r="CM278" s="488"/>
      <c r="CN278" s="113">
        <v>0</v>
      </c>
      <c r="CO278" s="112"/>
      <c r="CP278" s="67"/>
      <c r="CQ278" s="560"/>
      <c r="CR278" s="488"/>
      <c r="CS278" s="113">
        <v>0</v>
      </c>
      <c r="CT278" s="112"/>
      <c r="CU278" s="67"/>
      <c r="CV278" s="560"/>
      <c r="CW278" s="488"/>
      <c r="CX278" s="113">
        <v>0</v>
      </c>
      <c r="CY278" s="112"/>
      <c r="CZ278" s="67"/>
      <c r="DA278" s="560"/>
      <c r="DB278" s="488"/>
      <c r="DC278" s="113">
        <v>0</v>
      </c>
      <c r="DD278" s="112"/>
      <c r="DE278" s="67"/>
      <c r="DF278" s="560"/>
      <c r="DG278" s="488"/>
      <c r="DH278" s="113">
        <v>0</v>
      </c>
      <c r="DI278" s="112"/>
      <c r="DJ278" s="67"/>
      <c r="DK278" s="560"/>
      <c r="DL278" s="488"/>
      <c r="DM278" s="113">
        <v>0</v>
      </c>
      <c r="DN278" s="112"/>
      <c r="DO278" s="67"/>
      <c r="DP278" s="560"/>
      <c r="DQ278" s="488"/>
      <c r="DR278" s="113">
        <v>0</v>
      </c>
      <c r="DS278" s="112"/>
      <c r="DT278" s="67"/>
      <c r="DU278" s="560"/>
      <c r="DV278" s="488"/>
      <c r="DW278" s="113">
        <v>0</v>
      </c>
      <c r="DX278" s="112"/>
      <c r="DY278" s="67"/>
      <c r="DZ278" s="560"/>
      <c r="EA278" s="488"/>
      <c r="EB278" s="113">
        <v>0</v>
      </c>
      <c r="EC278" s="112"/>
      <c r="ED278" s="67"/>
      <c r="EE278" s="560"/>
      <c r="EF278" s="488"/>
      <c r="EG278" s="113">
        <v>0</v>
      </c>
      <c r="EH278" s="112"/>
      <c r="EI278" s="67"/>
      <c r="EJ278" s="560"/>
      <c r="EK278" s="488"/>
      <c r="EL278" s="113">
        <f>SUM(CD278:CI278)</f>
        <v>0</v>
      </c>
      <c r="EM278" s="112"/>
      <c r="EN278" s="67"/>
      <c r="EO278" s="455"/>
      <c r="ER278" s="472"/>
      <c r="ES278" s="472"/>
    </row>
    <row r="279" spans="1:149" ht="12.75" customHeight="1" x14ac:dyDescent="0.2">
      <c r="A279" s="442"/>
      <c r="B279" s="442"/>
      <c r="D279" s="455"/>
      <c r="E279" s="582"/>
      <c r="F279" s="442"/>
      <c r="G279" s="67"/>
      <c r="H279" s="67"/>
      <c r="I279" s="67"/>
      <c r="J279" s="560"/>
      <c r="K279" s="442"/>
      <c r="L279" s="67"/>
      <c r="M279" s="67"/>
      <c r="N279" s="67"/>
      <c r="O279" s="560"/>
      <c r="P279" s="442"/>
      <c r="Q279" s="67"/>
      <c r="R279" s="67"/>
      <c r="S279" s="67"/>
      <c r="T279" s="560"/>
      <c r="U279" s="442"/>
      <c r="V279" s="67"/>
      <c r="W279" s="67"/>
      <c r="X279" s="67"/>
      <c r="Y279" s="560"/>
      <c r="Z279" s="442"/>
      <c r="AA279" s="67"/>
      <c r="AB279" s="67"/>
      <c r="AC279" s="67"/>
      <c r="AD279" s="560"/>
      <c r="AE279" s="442"/>
      <c r="AF279" s="67"/>
      <c r="AG279" s="67"/>
      <c r="AH279" s="67"/>
      <c r="AI279" s="560"/>
      <c r="AJ279" s="442"/>
      <c r="AK279" s="67"/>
      <c r="AL279" s="67"/>
      <c r="AM279" s="67"/>
      <c r="AN279" s="560"/>
      <c r="AO279" s="442"/>
      <c r="AP279" s="67"/>
      <c r="AQ279" s="67"/>
      <c r="AR279" s="67"/>
      <c r="AS279" s="560"/>
      <c r="AT279" s="442"/>
      <c r="AU279" s="67"/>
      <c r="AV279" s="67"/>
      <c r="AW279" s="67"/>
      <c r="AX279" s="560"/>
      <c r="AY279" s="442"/>
      <c r="AZ279" s="67"/>
      <c r="BA279" s="67"/>
      <c r="BB279" s="67"/>
      <c r="BC279" s="560"/>
      <c r="BD279" s="442"/>
      <c r="BE279" s="67"/>
      <c r="BF279" s="67"/>
      <c r="BG279" s="67"/>
      <c r="BH279" s="560"/>
      <c r="BI279" s="442"/>
      <c r="BJ279" s="67"/>
      <c r="BK279" s="67"/>
      <c r="BL279" s="67"/>
      <c r="BM279" s="560"/>
      <c r="BN279" s="442"/>
      <c r="BO279" s="67"/>
      <c r="BP279" s="67"/>
      <c r="BQ279" s="67"/>
      <c r="BR279" s="560"/>
      <c r="BS279" s="442"/>
      <c r="BT279" s="67"/>
      <c r="BU279" s="67"/>
      <c r="BV279" s="67"/>
      <c r="BW279" s="560"/>
      <c r="BX279" s="442"/>
      <c r="BY279" s="67"/>
      <c r="BZ279" s="67"/>
      <c r="CA279" s="67"/>
      <c r="CB279" s="560"/>
      <c r="CC279" s="442"/>
      <c r="CD279" s="67"/>
      <c r="CE279" s="67"/>
      <c r="CF279" s="67"/>
      <c r="CG279" s="560"/>
      <c r="CH279" s="442"/>
      <c r="CI279" s="67"/>
      <c r="CJ279" s="67"/>
      <c r="CK279" s="67"/>
      <c r="CL279" s="560"/>
      <c r="CM279" s="442"/>
      <c r="CN279" s="67"/>
      <c r="CO279" s="67"/>
      <c r="CP279" s="67"/>
      <c r="CQ279" s="560"/>
      <c r="CR279" s="442"/>
      <c r="CS279" s="67"/>
      <c r="CT279" s="67"/>
      <c r="CU279" s="67"/>
      <c r="CV279" s="560"/>
      <c r="CW279" s="442"/>
      <c r="CX279" s="67"/>
      <c r="CY279" s="67"/>
      <c r="CZ279" s="67"/>
      <c r="DA279" s="560"/>
      <c r="DB279" s="442"/>
      <c r="DC279" s="67"/>
      <c r="DD279" s="67"/>
      <c r="DE279" s="67"/>
      <c r="DF279" s="560"/>
      <c r="DG279" s="442"/>
      <c r="DH279" s="67"/>
      <c r="DI279" s="67"/>
      <c r="DJ279" s="67"/>
      <c r="DK279" s="560"/>
      <c r="DL279" s="442"/>
      <c r="DM279" s="67"/>
      <c r="DN279" s="67"/>
      <c r="DO279" s="67"/>
      <c r="DP279" s="560"/>
      <c r="DQ279" s="442"/>
      <c r="DR279" s="67"/>
      <c r="DS279" s="67"/>
      <c r="DT279" s="67"/>
      <c r="DU279" s="560"/>
      <c r="DV279" s="442"/>
      <c r="DW279" s="67"/>
      <c r="DX279" s="67"/>
      <c r="DY279" s="67"/>
      <c r="DZ279" s="560"/>
      <c r="EA279" s="442"/>
      <c r="EB279" s="67"/>
      <c r="EC279" s="67"/>
      <c r="ED279" s="67"/>
      <c r="EE279" s="560"/>
      <c r="EF279" s="442"/>
      <c r="EG279" s="67"/>
      <c r="EH279" s="67"/>
      <c r="EI279" s="67"/>
      <c r="EJ279" s="560"/>
      <c r="EK279" s="442"/>
      <c r="EL279" s="67"/>
      <c r="EM279" s="67"/>
      <c r="EN279" s="67"/>
      <c r="EO279" s="455"/>
      <c r="ER279" s="472"/>
      <c r="ES279" s="472"/>
    </row>
    <row r="280" spans="1:149" ht="12.75" customHeight="1" x14ac:dyDescent="0.2">
      <c r="A280" s="442"/>
      <c r="B280" s="442"/>
      <c r="D280" s="455" t="s">
        <v>401</v>
      </c>
      <c r="F280" s="442"/>
      <c r="G280" s="67">
        <f>SUM(G281:G283)</f>
        <v>0</v>
      </c>
      <c r="H280" s="67"/>
      <c r="I280" s="67"/>
      <c r="J280" s="560"/>
      <c r="K280" s="67"/>
      <c r="L280" s="67">
        <f>SUM(L281:L283)</f>
        <v>0</v>
      </c>
      <c r="M280" s="67"/>
      <c r="N280" s="67"/>
      <c r="O280" s="560"/>
      <c r="P280" s="67"/>
      <c r="Q280" s="67">
        <f>SUM(Q281:Q283)</f>
        <v>0</v>
      </c>
      <c r="R280" s="67"/>
      <c r="S280" s="67"/>
      <c r="T280" s="560"/>
      <c r="U280" s="67"/>
      <c r="V280" s="67">
        <f>SUM(V281:V283)</f>
        <v>0</v>
      </c>
      <c r="W280" s="67"/>
      <c r="X280" s="67"/>
      <c r="Y280" s="560"/>
      <c r="Z280" s="67"/>
      <c r="AA280" s="67">
        <f>SUM(AA281:AA283)</f>
        <v>0</v>
      </c>
      <c r="AB280" s="67"/>
      <c r="AC280" s="67"/>
      <c r="AD280" s="560"/>
      <c r="AE280" s="67"/>
      <c r="AF280" s="67">
        <f>SUM(AF281:AF283)</f>
        <v>0</v>
      </c>
      <c r="AG280" s="67"/>
      <c r="AH280" s="67"/>
      <c r="AI280" s="560"/>
      <c r="AJ280" s="67"/>
      <c r="AK280" s="67">
        <f>SUM(AK281:AK283)</f>
        <v>0</v>
      </c>
      <c r="AL280" s="67"/>
      <c r="AM280" s="67"/>
      <c r="AN280" s="560"/>
      <c r="AO280" s="67"/>
      <c r="AP280" s="67">
        <f>SUM(AP281:AP283)</f>
        <v>0</v>
      </c>
      <c r="AQ280" s="67"/>
      <c r="AR280" s="67"/>
      <c r="AS280" s="560"/>
      <c r="AT280" s="67"/>
      <c r="AU280" s="67">
        <f>SUM(AU281:AU283)</f>
        <v>0</v>
      </c>
      <c r="AV280" s="67"/>
      <c r="AW280" s="67"/>
      <c r="AX280" s="560"/>
      <c r="AY280" s="67"/>
      <c r="AZ280" s="67">
        <f>SUM(AZ281:AZ283)</f>
        <v>0</v>
      </c>
      <c r="BA280" s="67"/>
      <c r="BB280" s="67"/>
      <c r="BC280" s="560"/>
      <c r="BD280" s="67"/>
      <c r="BE280" s="67">
        <f>SUM(BE281:BE283)</f>
        <v>0</v>
      </c>
      <c r="BF280" s="67"/>
      <c r="BG280" s="67"/>
      <c r="BH280" s="560"/>
      <c r="BI280" s="67"/>
      <c r="BJ280" s="67">
        <f>SUM(BJ281:BJ283)</f>
        <v>0</v>
      </c>
      <c r="BK280" s="67"/>
      <c r="BL280" s="67"/>
      <c r="BM280" s="560"/>
      <c r="BN280" s="67"/>
      <c r="BO280" s="67">
        <f>SUM(BO281:BO283)</f>
        <v>0</v>
      </c>
      <c r="BP280" s="67"/>
      <c r="BQ280" s="67"/>
      <c r="BR280" s="560"/>
      <c r="BS280" s="67"/>
      <c r="BT280" s="67">
        <f>SUM(BT281:BT283)</f>
        <v>0</v>
      </c>
      <c r="BU280" s="67"/>
      <c r="BV280" s="67"/>
      <c r="BW280" s="560"/>
      <c r="BX280" s="67"/>
      <c r="BY280" s="67">
        <f>SUM(BY281:BY283)</f>
        <v>2981219</v>
      </c>
      <c r="BZ280" s="67"/>
      <c r="CA280" s="67"/>
      <c r="CB280" s="560"/>
      <c r="CC280" s="67"/>
      <c r="CD280" s="67">
        <f>SUM(CD281:CD283)</f>
        <v>0</v>
      </c>
      <c r="CE280" s="67"/>
      <c r="CF280" s="67"/>
      <c r="CG280" s="560"/>
      <c r="CH280" s="67"/>
      <c r="CI280" s="67">
        <f>SUM(CI281:CI283)</f>
        <v>2981219</v>
      </c>
      <c r="CJ280" s="67"/>
      <c r="CK280" s="67"/>
      <c r="CL280" s="560"/>
      <c r="CM280" s="67"/>
      <c r="CN280" s="67">
        <f>SUM(CN281:CN283)</f>
        <v>0</v>
      </c>
      <c r="CO280" s="67"/>
      <c r="CP280" s="67"/>
      <c r="CQ280" s="560"/>
      <c r="CR280" s="67"/>
      <c r="CS280" s="67">
        <f>SUM(CS281:CS283)</f>
        <v>0</v>
      </c>
      <c r="CT280" s="67"/>
      <c r="CU280" s="67"/>
      <c r="CV280" s="560"/>
      <c r="CW280" s="67"/>
      <c r="CX280" s="67">
        <f>SUM(CX281:CX283)</f>
        <v>0</v>
      </c>
      <c r="CY280" s="67"/>
      <c r="CZ280" s="67"/>
      <c r="DA280" s="560"/>
      <c r="DB280" s="67"/>
      <c r="DC280" s="67">
        <f>SUM(DC281:DC283)</f>
        <v>0</v>
      </c>
      <c r="DD280" s="67"/>
      <c r="DE280" s="67"/>
      <c r="DF280" s="560"/>
      <c r="DG280" s="67"/>
      <c r="DH280" s="67">
        <f>SUM(DH281:DH283)</f>
        <v>0</v>
      </c>
      <c r="DI280" s="67"/>
      <c r="DJ280" s="67"/>
      <c r="DK280" s="560"/>
      <c r="DL280" s="67"/>
      <c r="DM280" s="67">
        <f>SUM(DM281:DM283)</f>
        <v>0</v>
      </c>
      <c r="DN280" s="67"/>
      <c r="DO280" s="67"/>
      <c r="DP280" s="560"/>
      <c r="DQ280" s="67"/>
      <c r="DR280" s="67">
        <f>SUM(DR281:DR283)</f>
        <v>0</v>
      </c>
      <c r="DS280" s="67"/>
      <c r="DT280" s="67"/>
      <c r="DU280" s="560"/>
      <c r="DV280" s="67"/>
      <c r="DW280" s="67">
        <f>SUM(DW281:DW283)</f>
        <v>0</v>
      </c>
      <c r="DX280" s="67"/>
      <c r="DY280" s="67"/>
      <c r="DZ280" s="560"/>
      <c r="EA280" s="67"/>
      <c r="EB280" s="67">
        <f>SUM(EB281:EB283)</f>
        <v>0</v>
      </c>
      <c r="EC280" s="67"/>
      <c r="ED280" s="67"/>
      <c r="EE280" s="560"/>
      <c r="EF280" s="67"/>
      <c r="EG280" s="67">
        <f>SUM(EG281:EG283)</f>
        <v>0</v>
      </c>
      <c r="EH280" s="67"/>
      <c r="EI280" s="67"/>
      <c r="EJ280" s="560"/>
      <c r="EK280" s="67"/>
      <c r="EL280" s="67">
        <f>SUM(EL281:EL283)</f>
        <v>2981219</v>
      </c>
      <c r="EM280" s="67"/>
      <c r="EN280" s="67"/>
      <c r="EO280" s="455"/>
      <c r="ER280" s="472"/>
      <c r="ES280" s="472"/>
    </row>
    <row r="281" spans="1:149" ht="12.75" customHeight="1" x14ac:dyDescent="0.2">
      <c r="A281" s="442"/>
      <c r="B281" s="442"/>
      <c r="D281" s="455" t="s">
        <v>342</v>
      </c>
      <c r="F281" s="473"/>
      <c r="G281" s="558">
        <v>0</v>
      </c>
      <c r="H281" s="559"/>
      <c r="I281" s="67"/>
      <c r="J281" s="560"/>
      <c r="K281" s="561"/>
      <c r="L281" s="558">
        <v>0</v>
      </c>
      <c r="M281" s="559"/>
      <c r="N281" s="67"/>
      <c r="O281" s="560"/>
      <c r="P281" s="561"/>
      <c r="Q281" s="558">
        <v>0</v>
      </c>
      <c r="R281" s="559"/>
      <c r="S281" s="67"/>
      <c r="T281" s="560"/>
      <c r="U281" s="561"/>
      <c r="V281" s="558">
        <v>0</v>
      </c>
      <c r="W281" s="559"/>
      <c r="X281" s="67"/>
      <c r="Y281" s="560"/>
      <c r="Z281" s="561"/>
      <c r="AA281" s="558">
        <v>0</v>
      </c>
      <c r="AB281" s="559"/>
      <c r="AC281" s="67"/>
      <c r="AD281" s="560"/>
      <c r="AE281" s="561"/>
      <c r="AF281" s="558">
        <v>0</v>
      </c>
      <c r="AG281" s="559"/>
      <c r="AH281" s="67"/>
      <c r="AI281" s="560"/>
      <c r="AJ281" s="561"/>
      <c r="AK281" s="558">
        <v>0</v>
      </c>
      <c r="AL281" s="559"/>
      <c r="AM281" s="67"/>
      <c r="AN281" s="560"/>
      <c r="AO281" s="561"/>
      <c r="AP281" s="558">
        <v>0</v>
      </c>
      <c r="AQ281" s="559"/>
      <c r="AR281" s="67"/>
      <c r="AS281" s="560"/>
      <c r="AT281" s="561"/>
      <c r="AU281" s="558">
        <v>0</v>
      </c>
      <c r="AV281" s="559"/>
      <c r="AW281" s="67"/>
      <c r="AX281" s="560"/>
      <c r="AY281" s="561"/>
      <c r="AZ281" s="558">
        <v>0</v>
      </c>
      <c r="BA281" s="559"/>
      <c r="BB281" s="67"/>
      <c r="BC281" s="560"/>
      <c r="BD281" s="561"/>
      <c r="BE281" s="558">
        <v>0</v>
      </c>
      <c r="BF281" s="559"/>
      <c r="BG281" s="67"/>
      <c r="BH281" s="560"/>
      <c r="BI281" s="561"/>
      <c r="BJ281" s="558">
        <v>0</v>
      </c>
      <c r="BK281" s="559"/>
      <c r="BL281" s="67"/>
      <c r="BM281" s="560"/>
      <c r="BN281" s="561"/>
      <c r="BO281" s="558">
        <v>0</v>
      </c>
      <c r="BP281" s="559"/>
      <c r="BQ281" s="67"/>
      <c r="BR281" s="560"/>
      <c r="BS281" s="561"/>
      <c r="BT281" s="558">
        <f>SUM(L281:BO281)</f>
        <v>0</v>
      </c>
      <c r="BU281" s="559"/>
      <c r="BV281" s="67"/>
      <c r="BW281" s="560"/>
      <c r="BX281" s="561"/>
      <c r="BY281" s="558">
        <v>2157480</v>
      </c>
      <c r="BZ281" s="559"/>
      <c r="CA281" s="67"/>
      <c r="CB281" s="560"/>
      <c r="CC281" s="561"/>
      <c r="CD281" s="558">
        <v>0</v>
      </c>
      <c r="CE281" s="559"/>
      <c r="CF281" s="67"/>
      <c r="CG281" s="560"/>
      <c r="CH281" s="561"/>
      <c r="CI281" s="558">
        <f>2981219-823739</f>
        <v>2157480</v>
      </c>
      <c r="CJ281" s="559"/>
      <c r="CK281" s="67"/>
      <c r="CL281" s="560"/>
      <c r="CM281" s="561"/>
      <c r="CN281" s="558">
        <v>0</v>
      </c>
      <c r="CO281" s="559"/>
      <c r="CP281" s="67"/>
      <c r="CQ281" s="560"/>
      <c r="CR281" s="561"/>
      <c r="CS281" s="558">
        <v>0</v>
      </c>
      <c r="CT281" s="559"/>
      <c r="CU281" s="67"/>
      <c r="CV281" s="560"/>
      <c r="CW281" s="561"/>
      <c r="CX281" s="558">
        <v>0</v>
      </c>
      <c r="CY281" s="559"/>
      <c r="CZ281" s="67"/>
      <c r="DA281" s="560"/>
      <c r="DB281" s="561"/>
      <c r="DC281" s="558">
        <v>0</v>
      </c>
      <c r="DD281" s="559"/>
      <c r="DE281" s="67"/>
      <c r="DF281" s="560"/>
      <c r="DG281" s="561"/>
      <c r="DH281" s="558">
        <v>0</v>
      </c>
      <c r="DI281" s="559"/>
      <c r="DJ281" s="67"/>
      <c r="DK281" s="560"/>
      <c r="DL281" s="561"/>
      <c r="DM281" s="558">
        <v>0</v>
      </c>
      <c r="DN281" s="559"/>
      <c r="DO281" s="67"/>
      <c r="DP281" s="560"/>
      <c r="DQ281" s="561"/>
      <c r="DR281" s="558">
        <v>0</v>
      </c>
      <c r="DS281" s="559"/>
      <c r="DT281" s="67"/>
      <c r="DU281" s="560"/>
      <c r="DV281" s="561"/>
      <c r="DW281" s="558">
        <v>0</v>
      </c>
      <c r="DX281" s="559"/>
      <c r="DY281" s="67"/>
      <c r="DZ281" s="560"/>
      <c r="EA281" s="561"/>
      <c r="EB281" s="558">
        <v>0</v>
      </c>
      <c r="EC281" s="559"/>
      <c r="ED281" s="67"/>
      <c r="EE281" s="560"/>
      <c r="EF281" s="561"/>
      <c r="EG281" s="558">
        <v>0</v>
      </c>
      <c r="EH281" s="559"/>
      <c r="EI281" s="67"/>
      <c r="EJ281" s="560"/>
      <c r="EK281" s="561"/>
      <c r="EL281" s="558">
        <f>SUM(CD281:CI281)</f>
        <v>2157480</v>
      </c>
      <c r="EM281" s="559"/>
      <c r="EN281" s="67"/>
      <c r="EO281" s="455"/>
      <c r="ER281" s="472"/>
      <c r="ES281" s="472"/>
    </row>
    <row r="282" spans="1:149" ht="12.75" customHeight="1" x14ac:dyDescent="0.2">
      <c r="A282" s="442"/>
      <c r="B282" s="442"/>
      <c r="D282" s="455" t="s">
        <v>344</v>
      </c>
      <c r="F282" s="465"/>
      <c r="G282" s="67">
        <v>0</v>
      </c>
      <c r="H282" s="66"/>
      <c r="I282" s="67"/>
      <c r="J282" s="560"/>
      <c r="K282" s="560"/>
      <c r="L282" s="67">
        <v>0</v>
      </c>
      <c r="M282" s="66"/>
      <c r="N282" s="67"/>
      <c r="O282" s="560"/>
      <c r="P282" s="560"/>
      <c r="Q282" s="67">
        <v>0</v>
      </c>
      <c r="R282" s="66"/>
      <c r="S282" s="67"/>
      <c r="T282" s="560"/>
      <c r="U282" s="560"/>
      <c r="V282" s="67">
        <v>0</v>
      </c>
      <c r="W282" s="66"/>
      <c r="X282" s="67"/>
      <c r="Y282" s="560"/>
      <c r="Z282" s="560"/>
      <c r="AA282" s="67">
        <v>0</v>
      </c>
      <c r="AB282" s="66"/>
      <c r="AC282" s="67"/>
      <c r="AD282" s="560"/>
      <c r="AE282" s="560"/>
      <c r="AF282" s="67">
        <v>0</v>
      </c>
      <c r="AG282" s="66"/>
      <c r="AH282" s="67"/>
      <c r="AI282" s="560"/>
      <c r="AJ282" s="560"/>
      <c r="AK282" s="67">
        <v>0</v>
      </c>
      <c r="AL282" s="66"/>
      <c r="AM282" s="67"/>
      <c r="AN282" s="560"/>
      <c r="AO282" s="560"/>
      <c r="AP282" s="67">
        <v>0</v>
      </c>
      <c r="AQ282" s="66"/>
      <c r="AR282" s="67"/>
      <c r="AS282" s="560"/>
      <c r="AT282" s="560"/>
      <c r="AU282" s="67">
        <v>0</v>
      </c>
      <c r="AV282" s="66"/>
      <c r="AW282" s="67"/>
      <c r="AX282" s="560"/>
      <c r="AY282" s="560"/>
      <c r="AZ282" s="67">
        <v>0</v>
      </c>
      <c r="BA282" s="66"/>
      <c r="BB282" s="67"/>
      <c r="BC282" s="560"/>
      <c r="BD282" s="560"/>
      <c r="BE282" s="67">
        <v>0</v>
      </c>
      <c r="BF282" s="66"/>
      <c r="BG282" s="67"/>
      <c r="BH282" s="560"/>
      <c r="BI282" s="560"/>
      <c r="BJ282" s="67">
        <v>0</v>
      </c>
      <c r="BK282" s="66"/>
      <c r="BL282" s="67"/>
      <c r="BM282" s="560"/>
      <c r="BN282" s="560"/>
      <c r="BO282" s="67">
        <v>0</v>
      </c>
      <c r="BP282" s="66"/>
      <c r="BQ282" s="67"/>
      <c r="BR282" s="560"/>
      <c r="BS282" s="560"/>
      <c r="BT282" s="67">
        <f>SUM(L282:BO282)</f>
        <v>0</v>
      </c>
      <c r="BU282" s="66"/>
      <c r="BV282" s="67"/>
      <c r="BW282" s="560"/>
      <c r="BX282" s="560"/>
      <c r="BY282" s="67">
        <v>823739</v>
      </c>
      <c r="BZ282" s="66"/>
      <c r="CA282" s="67"/>
      <c r="CB282" s="560"/>
      <c r="CC282" s="560"/>
      <c r="CD282" s="67">
        <v>0</v>
      </c>
      <c r="CE282" s="66"/>
      <c r="CF282" s="67"/>
      <c r="CG282" s="560"/>
      <c r="CH282" s="560"/>
      <c r="CI282" s="67">
        <v>823739</v>
      </c>
      <c r="CJ282" s="66"/>
      <c r="CK282" s="67"/>
      <c r="CL282" s="560"/>
      <c r="CM282" s="560"/>
      <c r="CN282" s="67">
        <v>0</v>
      </c>
      <c r="CO282" s="66"/>
      <c r="CP282" s="67"/>
      <c r="CQ282" s="560"/>
      <c r="CR282" s="560"/>
      <c r="CS282" s="67">
        <v>0</v>
      </c>
      <c r="CT282" s="66"/>
      <c r="CU282" s="67"/>
      <c r="CV282" s="560"/>
      <c r="CW282" s="560"/>
      <c r="CX282" s="67">
        <v>0</v>
      </c>
      <c r="CY282" s="66"/>
      <c r="CZ282" s="67"/>
      <c r="DA282" s="560"/>
      <c r="DB282" s="560"/>
      <c r="DC282" s="67">
        <v>0</v>
      </c>
      <c r="DD282" s="66"/>
      <c r="DE282" s="67"/>
      <c r="DF282" s="560"/>
      <c r="DG282" s="560"/>
      <c r="DH282" s="67">
        <v>0</v>
      </c>
      <c r="DI282" s="66"/>
      <c r="DJ282" s="67"/>
      <c r="DK282" s="560"/>
      <c r="DL282" s="560"/>
      <c r="DM282" s="67">
        <v>0</v>
      </c>
      <c r="DN282" s="66"/>
      <c r="DO282" s="67"/>
      <c r="DP282" s="560"/>
      <c r="DQ282" s="560"/>
      <c r="DR282" s="67">
        <v>0</v>
      </c>
      <c r="DS282" s="66"/>
      <c r="DT282" s="67"/>
      <c r="DU282" s="560"/>
      <c r="DV282" s="560"/>
      <c r="DW282" s="67">
        <v>0</v>
      </c>
      <c r="DX282" s="66"/>
      <c r="DY282" s="67"/>
      <c r="DZ282" s="560"/>
      <c r="EA282" s="560"/>
      <c r="EB282" s="67">
        <v>0</v>
      </c>
      <c r="EC282" s="66"/>
      <c r="ED282" s="67"/>
      <c r="EE282" s="560"/>
      <c r="EF282" s="560"/>
      <c r="EG282" s="67">
        <v>0</v>
      </c>
      <c r="EH282" s="66"/>
      <c r="EI282" s="67"/>
      <c r="EJ282" s="560"/>
      <c r="EK282" s="560"/>
      <c r="EL282" s="67">
        <f>SUM(CD282:CI282)</f>
        <v>823739</v>
      </c>
      <c r="EM282" s="66"/>
      <c r="EN282" s="67"/>
      <c r="EO282" s="455"/>
      <c r="ER282" s="472"/>
      <c r="ES282" s="472"/>
    </row>
    <row r="283" spans="1:149" ht="12.75" customHeight="1" x14ac:dyDescent="0.2">
      <c r="A283" s="442"/>
      <c r="B283" s="442"/>
      <c r="D283" s="455" t="s">
        <v>345</v>
      </c>
      <c r="F283" s="488"/>
      <c r="G283" s="113">
        <v>0</v>
      </c>
      <c r="H283" s="112"/>
      <c r="I283" s="67"/>
      <c r="J283" s="560"/>
      <c r="K283" s="569"/>
      <c r="L283" s="113">
        <v>0</v>
      </c>
      <c r="M283" s="112"/>
      <c r="N283" s="67"/>
      <c r="O283" s="560"/>
      <c r="P283" s="569"/>
      <c r="Q283" s="113">
        <v>0</v>
      </c>
      <c r="R283" s="112"/>
      <c r="S283" s="67"/>
      <c r="T283" s="560"/>
      <c r="U283" s="569"/>
      <c r="V283" s="113">
        <v>0</v>
      </c>
      <c r="W283" s="112"/>
      <c r="X283" s="67"/>
      <c r="Y283" s="560"/>
      <c r="Z283" s="569"/>
      <c r="AA283" s="113">
        <v>0</v>
      </c>
      <c r="AB283" s="112"/>
      <c r="AC283" s="67"/>
      <c r="AD283" s="560"/>
      <c r="AE283" s="569"/>
      <c r="AF283" s="113">
        <v>0</v>
      </c>
      <c r="AG283" s="112"/>
      <c r="AH283" s="67"/>
      <c r="AI283" s="560"/>
      <c r="AJ283" s="569"/>
      <c r="AK283" s="113">
        <v>0</v>
      </c>
      <c r="AL283" s="112"/>
      <c r="AM283" s="67"/>
      <c r="AN283" s="560"/>
      <c r="AO283" s="569"/>
      <c r="AP283" s="113">
        <v>0</v>
      </c>
      <c r="AQ283" s="112"/>
      <c r="AR283" s="67"/>
      <c r="AS283" s="560"/>
      <c r="AT283" s="569"/>
      <c r="AU283" s="113">
        <v>0</v>
      </c>
      <c r="AV283" s="112"/>
      <c r="AW283" s="67"/>
      <c r="AX283" s="560"/>
      <c r="AY283" s="569"/>
      <c r="AZ283" s="113">
        <v>0</v>
      </c>
      <c r="BA283" s="112"/>
      <c r="BB283" s="67"/>
      <c r="BC283" s="560"/>
      <c r="BD283" s="569"/>
      <c r="BE283" s="113">
        <v>0</v>
      </c>
      <c r="BF283" s="112"/>
      <c r="BG283" s="67"/>
      <c r="BH283" s="560"/>
      <c r="BI283" s="569"/>
      <c r="BJ283" s="113">
        <v>0</v>
      </c>
      <c r="BK283" s="112"/>
      <c r="BL283" s="67"/>
      <c r="BM283" s="560"/>
      <c r="BN283" s="569"/>
      <c r="BO283" s="113">
        <v>0</v>
      </c>
      <c r="BP283" s="112"/>
      <c r="BQ283" s="67"/>
      <c r="BR283" s="560"/>
      <c r="BS283" s="569"/>
      <c r="BT283" s="113">
        <f>SUM(L283:BO283)</f>
        <v>0</v>
      </c>
      <c r="BU283" s="112"/>
      <c r="BV283" s="67"/>
      <c r="BW283" s="560"/>
      <c r="BX283" s="569"/>
      <c r="BY283" s="113">
        <v>0</v>
      </c>
      <c r="BZ283" s="112"/>
      <c r="CA283" s="67"/>
      <c r="CB283" s="560"/>
      <c r="CC283" s="569"/>
      <c r="CD283" s="113">
        <v>0</v>
      </c>
      <c r="CE283" s="112"/>
      <c r="CF283" s="67"/>
      <c r="CG283" s="560"/>
      <c r="CH283" s="569"/>
      <c r="CI283" s="113">
        <v>0</v>
      </c>
      <c r="CJ283" s="112"/>
      <c r="CK283" s="67"/>
      <c r="CL283" s="560"/>
      <c r="CM283" s="569"/>
      <c r="CN283" s="113">
        <v>0</v>
      </c>
      <c r="CO283" s="112"/>
      <c r="CP283" s="67"/>
      <c r="CQ283" s="560"/>
      <c r="CR283" s="569"/>
      <c r="CS283" s="113">
        <v>0</v>
      </c>
      <c r="CT283" s="112"/>
      <c r="CU283" s="67"/>
      <c r="CV283" s="560"/>
      <c r="CW283" s="569"/>
      <c r="CX283" s="113">
        <v>0</v>
      </c>
      <c r="CY283" s="112"/>
      <c r="CZ283" s="67"/>
      <c r="DA283" s="560"/>
      <c r="DB283" s="569"/>
      <c r="DC283" s="113">
        <v>0</v>
      </c>
      <c r="DD283" s="112"/>
      <c r="DE283" s="67"/>
      <c r="DF283" s="560"/>
      <c r="DG283" s="569"/>
      <c r="DH283" s="113">
        <v>0</v>
      </c>
      <c r="DI283" s="112"/>
      <c r="DJ283" s="67"/>
      <c r="DK283" s="560"/>
      <c r="DL283" s="569"/>
      <c r="DM283" s="113">
        <v>0</v>
      </c>
      <c r="DN283" s="112"/>
      <c r="DO283" s="67"/>
      <c r="DP283" s="560"/>
      <c r="DQ283" s="569"/>
      <c r="DR283" s="113">
        <v>0</v>
      </c>
      <c r="DS283" s="112"/>
      <c r="DT283" s="67"/>
      <c r="DU283" s="560"/>
      <c r="DV283" s="569"/>
      <c r="DW283" s="113">
        <v>0</v>
      </c>
      <c r="DX283" s="112"/>
      <c r="DY283" s="67"/>
      <c r="DZ283" s="560"/>
      <c r="EA283" s="569"/>
      <c r="EB283" s="113">
        <v>0</v>
      </c>
      <c r="EC283" s="112"/>
      <c r="ED283" s="67"/>
      <c r="EE283" s="560"/>
      <c r="EF283" s="569"/>
      <c r="EG283" s="113">
        <v>0</v>
      </c>
      <c r="EH283" s="112"/>
      <c r="EI283" s="67"/>
      <c r="EJ283" s="560"/>
      <c r="EK283" s="569"/>
      <c r="EL283" s="113">
        <f>SUM(CD283:CI283)</f>
        <v>0</v>
      </c>
      <c r="EM283" s="112"/>
      <c r="EN283" s="67"/>
      <c r="EO283" s="455"/>
      <c r="ER283" s="472"/>
      <c r="ES283" s="472"/>
    </row>
    <row r="284" spans="1:149" x14ac:dyDescent="0.2">
      <c r="A284" s="442"/>
      <c r="B284" s="442"/>
      <c r="D284" s="455"/>
      <c r="E284" s="582"/>
      <c r="F284" s="442"/>
      <c r="G284" s="67"/>
      <c r="H284" s="67"/>
      <c r="I284" s="67"/>
      <c r="J284" s="560"/>
      <c r="K284" s="442"/>
      <c r="L284" s="67"/>
      <c r="M284" s="67"/>
      <c r="N284" s="67"/>
      <c r="O284" s="560"/>
      <c r="P284" s="442"/>
      <c r="Q284" s="67"/>
      <c r="R284" s="67"/>
      <c r="S284" s="67"/>
      <c r="T284" s="560"/>
      <c r="U284" s="442"/>
      <c r="V284" s="67"/>
      <c r="W284" s="67"/>
      <c r="X284" s="67"/>
      <c r="Y284" s="560"/>
      <c r="Z284" s="442"/>
      <c r="AA284" s="67"/>
      <c r="AB284" s="67"/>
      <c r="AC284" s="67"/>
      <c r="AD284" s="560"/>
      <c r="AE284" s="442"/>
      <c r="AF284" s="67"/>
      <c r="AG284" s="67"/>
      <c r="AH284" s="67"/>
      <c r="AI284" s="560"/>
      <c r="AJ284" s="442"/>
      <c r="AK284" s="67"/>
      <c r="AL284" s="67"/>
      <c r="AM284" s="67"/>
      <c r="AN284" s="560"/>
      <c r="AO284" s="442"/>
      <c r="AP284" s="67"/>
      <c r="AQ284" s="67"/>
      <c r="AR284" s="67"/>
      <c r="AS284" s="560"/>
      <c r="AT284" s="442"/>
      <c r="AU284" s="67"/>
      <c r="AV284" s="67"/>
      <c r="AW284" s="67"/>
      <c r="AX284" s="560"/>
      <c r="AY284" s="442"/>
      <c r="AZ284" s="67"/>
      <c r="BA284" s="67"/>
      <c r="BB284" s="67"/>
      <c r="BC284" s="560"/>
      <c r="BD284" s="442"/>
      <c r="BE284" s="67"/>
      <c r="BF284" s="67"/>
      <c r="BG284" s="67"/>
      <c r="BH284" s="560"/>
      <c r="BI284" s="442"/>
      <c r="BJ284" s="67"/>
      <c r="BK284" s="67"/>
      <c r="BL284" s="67"/>
      <c r="BM284" s="560"/>
      <c r="BN284" s="442"/>
      <c r="BO284" s="67"/>
      <c r="BP284" s="67"/>
      <c r="BQ284" s="67"/>
      <c r="BR284" s="560"/>
      <c r="BS284" s="442"/>
      <c r="BT284" s="67"/>
      <c r="BU284" s="67"/>
      <c r="BV284" s="67"/>
      <c r="BW284" s="560"/>
      <c r="BX284" s="442"/>
      <c r="BY284" s="67"/>
      <c r="BZ284" s="67"/>
      <c r="CA284" s="67"/>
      <c r="CB284" s="560"/>
      <c r="CC284" s="442"/>
      <c r="CD284" s="67"/>
      <c r="CE284" s="67"/>
      <c r="CF284" s="67"/>
      <c r="CG284" s="560"/>
      <c r="CH284" s="442"/>
      <c r="CI284" s="67"/>
      <c r="CJ284" s="67"/>
      <c r="CK284" s="67"/>
      <c r="CL284" s="560"/>
      <c r="CM284" s="442"/>
      <c r="CN284" s="67"/>
      <c r="CO284" s="67"/>
      <c r="CP284" s="67"/>
      <c r="CQ284" s="560"/>
      <c r="CR284" s="442"/>
      <c r="CS284" s="67"/>
      <c r="CT284" s="67"/>
      <c r="CU284" s="67"/>
      <c r="CV284" s="560"/>
      <c r="CW284" s="442"/>
      <c r="CX284" s="67"/>
      <c r="CY284" s="67"/>
      <c r="CZ284" s="67"/>
      <c r="DA284" s="560"/>
      <c r="DB284" s="442"/>
      <c r="DC284" s="67"/>
      <c r="DD284" s="67"/>
      <c r="DE284" s="67"/>
      <c r="DF284" s="560"/>
      <c r="DG284" s="442"/>
      <c r="DH284" s="67"/>
      <c r="DI284" s="67"/>
      <c r="DJ284" s="67"/>
      <c r="DK284" s="560"/>
      <c r="DL284" s="442"/>
      <c r="DM284" s="67"/>
      <c r="DN284" s="67"/>
      <c r="DO284" s="67"/>
      <c r="DP284" s="560"/>
      <c r="DQ284" s="442"/>
      <c r="DR284" s="67"/>
      <c r="DS284" s="67"/>
      <c r="DT284" s="67"/>
      <c r="DU284" s="560"/>
      <c r="DV284" s="442"/>
      <c r="DW284" s="67"/>
      <c r="DX284" s="67"/>
      <c r="DY284" s="67"/>
      <c r="DZ284" s="560"/>
      <c r="EA284" s="442"/>
      <c r="EB284" s="67"/>
      <c r="EC284" s="67"/>
      <c r="ED284" s="67"/>
      <c r="EE284" s="560"/>
      <c r="EF284" s="442"/>
      <c r="EG284" s="67"/>
      <c r="EH284" s="67"/>
      <c r="EI284" s="67"/>
      <c r="EJ284" s="560"/>
      <c r="EK284" s="442"/>
      <c r="EL284" s="67"/>
      <c r="EM284" s="67"/>
      <c r="EN284" s="67"/>
      <c r="EO284" s="455"/>
      <c r="ER284" s="472"/>
      <c r="ES284" s="472"/>
    </row>
    <row r="285" spans="1:149" s="472" customFormat="1" x14ac:dyDescent="0.2">
      <c r="A285" s="443"/>
      <c r="B285" s="443"/>
      <c r="D285" s="309" t="s">
        <v>335</v>
      </c>
      <c r="E285" s="587"/>
      <c r="F285" s="310"/>
      <c r="G285" s="58">
        <f>SUM(G286:G286)</f>
        <v>0</v>
      </c>
      <c r="H285" s="58"/>
      <c r="I285" s="58"/>
      <c r="J285" s="556"/>
      <c r="K285" s="58"/>
      <c r="L285" s="58">
        <f>SUM(L286:L286)</f>
        <v>487336</v>
      </c>
      <c r="M285" s="58"/>
      <c r="N285" s="58"/>
      <c r="O285" s="556"/>
      <c r="P285" s="58"/>
      <c r="Q285" s="58">
        <f>SUM(Q286:Q286)</f>
        <v>29682</v>
      </c>
      <c r="R285" s="58"/>
      <c r="S285" s="58"/>
      <c r="T285" s="556"/>
      <c r="U285" s="58"/>
      <c r="V285" s="58">
        <f>SUM(V286:V286)</f>
        <v>0</v>
      </c>
      <c r="W285" s="58"/>
      <c r="X285" s="58"/>
      <c r="Y285" s="556"/>
      <c r="Z285" s="58"/>
      <c r="AA285" s="58">
        <f>SUM(AA286:AA286)</f>
        <v>0</v>
      </c>
      <c r="AB285" s="58"/>
      <c r="AC285" s="58"/>
      <c r="AD285" s="556"/>
      <c r="AE285" s="58"/>
      <c r="AF285" s="58">
        <f>SUM(AF286:AF286)</f>
        <v>0</v>
      </c>
      <c r="AG285" s="58"/>
      <c r="AH285" s="58"/>
      <c r="AI285" s="556"/>
      <c r="AJ285" s="58"/>
      <c r="AK285" s="58">
        <f>SUM(AK286:AK286)</f>
        <v>0</v>
      </c>
      <c r="AL285" s="58"/>
      <c r="AM285" s="58"/>
      <c r="AN285" s="556"/>
      <c r="AO285" s="320"/>
      <c r="AP285" s="58">
        <f>SUM(AP286:AP286)</f>
        <v>0</v>
      </c>
      <c r="AQ285" s="67"/>
      <c r="AR285" s="58"/>
      <c r="AS285" s="556"/>
      <c r="AT285" s="58"/>
      <c r="AU285" s="58">
        <f>SUM(AU286:AU286)</f>
        <v>0</v>
      </c>
      <c r="AV285" s="58"/>
      <c r="AW285" s="58"/>
      <c r="AX285" s="556"/>
      <c r="AY285" s="58"/>
      <c r="AZ285" s="58">
        <f>SUM(AZ286:AZ286)</f>
        <v>0</v>
      </c>
      <c r="BA285" s="58"/>
      <c r="BB285" s="58"/>
      <c r="BC285" s="556"/>
      <c r="BD285" s="58"/>
      <c r="BE285" s="58">
        <f>SUM(BE286:BE286)</f>
        <v>0</v>
      </c>
      <c r="BF285" s="58"/>
      <c r="BG285" s="58"/>
      <c r="BH285" s="556"/>
      <c r="BI285" s="58"/>
      <c r="BJ285" s="58">
        <f>SUM(BJ286:BJ286)</f>
        <v>0</v>
      </c>
      <c r="BK285" s="58"/>
      <c r="BL285" s="58"/>
      <c r="BM285" s="556"/>
      <c r="BN285" s="58"/>
      <c r="BO285" s="58">
        <f>SUM(BO286:BO286)</f>
        <v>0</v>
      </c>
      <c r="BP285" s="58"/>
      <c r="BQ285" s="58"/>
      <c r="BR285" s="556"/>
      <c r="BS285" s="58"/>
      <c r="BT285" s="58">
        <f>SUM(BT286:BT286)</f>
        <v>517018</v>
      </c>
      <c r="BU285" s="58"/>
      <c r="BV285" s="58"/>
      <c r="BW285" s="556"/>
      <c r="BX285" s="58"/>
      <c r="BY285" s="58">
        <f>SUM(BY286:BY286)</f>
        <v>4361282</v>
      </c>
      <c r="BZ285" s="58"/>
      <c r="CA285" s="58"/>
      <c r="CB285" s="556"/>
      <c r="CC285" s="58"/>
      <c r="CD285" s="58">
        <f>SUM(CD286:CD286)</f>
        <v>3109689</v>
      </c>
      <c r="CE285" s="58"/>
      <c r="CF285" s="58"/>
      <c r="CG285" s="556"/>
      <c r="CH285" s="58"/>
      <c r="CI285" s="58">
        <f>SUM(CI286:CI286)</f>
        <v>0</v>
      </c>
      <c r="CJ285" s="58"/>
      <c r="CK285" s="58"/>
      <c r="CL285" s="556"/>
      <c r="CM285" s="58"/>
      <c r="CN285" s="58">
        <f>SUM(CN286:CN286)</f>
        <v>0</v>
      </c>
      <c r="CO285" s="58"/>
      <c r="CP285" s="58"/>
      <c r="CQ285" s="556"/>
      <c r="CR285" s="58"/>
      <c r="CS285" s="58">
        <f>SUM(CS286:CS286)</f>
        <v>0</v>
      </c>
      <c r="CT285" s="58"/>
      <c r="CU285" s="58"/>
      <c r="CV285" s="556"/>
      <c r="CW285" s="58"/>
      <c r="CX285" s="58">
        <f>SUM(CX286:CX286)</f>
        <v>289217</v>
      </c>
      <c r="CY285" s="58"/>
      <c r="CZ285" s="58"/>
      <c r="DA285" s="556"/>
      <c r="DB285" s="58"/>
      <c r="DC285" s="58">
        <f>SUM(DC286:DC286)</f>
        <v>235010</v>
      </c>
      <c r="DD285" s="58"/>
      <c r="DE285" s="58"/>
      <c r="DF285" s="556"/>
      <c r="DG285" s="320"/>
      <c r="DH285" s="58">
        <f>SUM(DH286:DH286)</f>
        <v>0</v>
      </c>
      <c r="DI285" s="67"/>
      <c r="DJ285" s="58"/>
      <c r="DK285" s="556"/>
      <c r="DL285" s="58"/>
      <c r="DM285" s="58">
        <f>SUM(DM286:DM286)</f>
        <v>64127</v>
      </c>
      <c r="DN285" s="58"/>
      <c r="DO285" s="58"/>
      <c r="DP285" s="556"/>
      <c r="DQ285" s="58"/>
      <c r="DR285" s="58">
        <f>SUM(DR286:DR286)</f>
        <v>0</v>
      </c>
      <c r="DS285" s="58"/>
      <c r="DT285" s="58"/>
      <c r="DU285" s="556"/>
      <c r="DV285" s="58"/>
      <c r="DW285" s="58">
        <f>SUM(DW286:DW286)</f>
        <v>0</v>
      </c>
      <c r="DX285" s="58"/>
      <c r="DY285" s="58"/>
      <c r="DZ285" s="556"/>
      <c r="EA285" s="58"/>
      <c r="EB285" s="58">
        <f>SUM(EB286:EB286)</f>
        <v>0</v>
      </c>
      <c r="EC285" s="58"/>
      <c r="ED285" s="58"/>
      <c r="EE285" s="556"/>
      <c r="EF285" s="58"/>
      <c r="EG285" s="58">
        <f>SUM(EG286:EG286)</f>
        <v>663239</v>
      </c>
      <c r="EH285" s="58"/>
      <c r="EI285" s="58"/>
      <c r="EJ285" s="556"/>
      <c r="EK285" s="58"/>
      <c r="EL285" s="58">
        <f>SUM(EL286:EL286)</f>
        <v>3109689</v>
      </c>
      <c r="EM285" s="58"/>
      <c r="EN285" s="58"/>
      <c r="EO285" s="466"/>
      <c r="EQ285" s="53"/>
    </row>
    <row r="286" spans="1:149" x14ac:dyDescent="0.2">
      <c r="A286" s="442"/>
      <c r="B286" s="442"/>
      <c r="D286" s="455" t="s">
        <v>342</v>
      </c>
      <c r="E286" s="582"/>
      <c r="F286" s="588"/>
      <c r="G286" s="564">
        <f>G292+G295+G327+G298+G304+G307+G310+G313+G315+G324+G330+G333+G336+G339+G342+G345+G348+G289+G320+G301</f>
        <v>0</v>
      </c>
      <c r="H286" s="565"/>
      <c r="I286" s="67"/>
      <c r="J286" s="560"/>
      <c r="K286" s="566"/>
      <c r="L286" s="564">
        <f>L292+L295+L327+L298+L304+L307+L310+L313+L315+L324+L330+L333+L336+L339+L342+L345+L348+L289+L320+L301</f>
        <v>487336</v>
      </c>
      <c r="M286" s="565"/>
      <c r="N286" s="67"/>
      <c r="O286" s="560"/>
      <c r="P286" s="566"/>
      <c r="Q286" s="564">
        <f>Q292+Q295+Q327+Q298+Q304+Q307+Q310+Q313+Q315+Q324+Q330+Q333+Q336+Q339+Q342+Q345+Q348+Q289+Q320+Q301</f>
        <v>29682</v>
      </c>
      <c r="R286" s="565"/>
      <c r="S286" s="67"/>
      <c r="T286" s="560"/>
      <c r="U286" s="566"/>
      <c r="V286" s="564">
        <f>V292+V295+V327+V298+V304+V307+V310+V313+V315+V324+V330+V333+V336+V339+V342+V345+V348+V289+V320+V301</f>
        <v>0</v>
      </c>
      <c r="W286" s="565"/>
      <c r="X286" s="67"/>
      <c r="Y286" s="560"/>
      <c r="Z286" s="566"/>
      <c r="AA286" s="564">
        <f>AA292+AA295+AA327+AA298+AA304+AA307+AA310+AA313+AA315+AA324+AA330+AA333+AA336+AA339+AA342+AA345+AA348+AA289+AA320+AA301</f>
        <v>0</v>
      </c>
      <c r="AB286" s="565"/>
      <c r="AC286" s="67"/>
      <c r="AD286" s="560"/>
      <c r="AE286" s="566"/>
      <c r="AF286" s="564">
        <f>AF292+AF295+AF327+AF298+AF304+AF307+AF310+AF313+AF315+AF324+AF330+AF333+AF336+AF339+AF342+AF345+AF348+AF289+AF320+AF301</f>
        <v>0</v>
      </c>
      <c r="AG286" s="565"/>
      <c r="AH286" s="67"/>
      <c r="AI286" s="560"/>
      <c r="AJ286" s="566"/>
      <c r="AK286" s="564">
        <f>AK292+AK295+AK327+AK298+AK304+AK307+AK310+AK313+AK315+AK324+AK330+AK333+AK336+AK339+AK342+AK345+AK348+AK289+AK320+AK301</f>
        <v>0</v>
      </c>
      <c r="AL286" s="565"/>
      <c r="AM286" s="67"/>
      <c r="AN286" s="560"/>
      <c r="AO286" s="566"/>
      <c r="AP286" s="564">
        <f>AP292+AP295+AP327+AP298+AP304+AP307+AP310+AP313+AP315+AP324+AP330+AP333+AP336+AP339+AP342+AP345+AP348+AP289+AP320+AP301</f>
        <v>0</v>
      </c>
      <c r="AQ286" s="565"/>
      <c r="AR286" s="67"/>
      <c r="AS286" s="560"/>
      <c r="AT286" s="566"/>
      <c r="AU286" s="564">
        <f>AU292+AU295+AU327+AU298+AU304+AU307+AU310+AU313+AU315+AU324+AU330+AU333+AU336+AU339+AU342+AU345+AU348+AU289+AU320+AU301</f>
        <v>0</v>
      </c>
      <c r="AV286" s="565"/>
      <c r="AW286" s="67"/>
      <c r="AX286" s="560"/>
      <c r="AY286" s="566"/>
      <c r="AZ286" s="564">
        <v>0</v>
      </c>
      <c r="BA286" s="565"/>
      <c r="BB286" s="67"/>
      <c r="BC286" s="560"/>
      <c r="BD286" s="566"/>
      <c r="BE286" s="564">
        <v>0</v>
      </c>
      <c r="BF286" s="565"/>
      <c r="BG286" s="67"/>
      <c r="BH286" s="560"/>
      <c r="BI286" s="566"/>
      <c r="BJ286" s="564">
        <v>0</v>
      </c>
      <c r="BK286" s="565"/>
      <c r="BL286" s="67"/>
      <c r="BM286" s="560"/>
      <c r="BN286" s="566"/>
      <c r="BO286" s="564">
        <f>BO292+BO295+BO327+BO298+BO304+BO307+BO310+BO313+BO315+BO324+BO330+BO333+BO336+BO339+BO342+BO345+BO348+BO289+BO320+BO301</f>
        <v>0</v>
      </c>
      <c r="BP286" s="565"/>
      <c r="BQ286" s="67"/>
      <c r="BR286" s="560"/>
      <c r="BS286" s="566"/>
      <c r="BT286" s="589">
        <f>BT292+BT295+BT327+BT298+BT304+BT307+BT310+BT313+BT315+BT324+BT330+BT333+BT336+BT339+BT342+BT345+BT348+BT289+BT320+BT301</f>
        <v>517018</v>
      </c>
      <c r="BU286" s="565"/>
      <c r="BV286" s="67"/>
      <c r="BW286" s="560"/>
      <c r="BX286" s="566"/>
      <c r="BY286" s="589">
        <f>BY292+BY295+BY327+BY298+BY304+BY307+BY310+BY313+BY315+BY324+BY330+BY333+BY336+BY339+BY342+BY345+BY348+BY289+BY320+BY301</f>
        <v>4361282</v>
      </c>
      <c r="BZ286" s="565"/>
      <c r="CA286" s="67"/>
      <c r="CB286" s="560"/>
      <c r="CC286" s="566"/>
      <c r="CD286" s="564">
        <f>CD292+CD295+CD327+CD298+CD304+CD307+CD310+CD313+CD315+CD324+CD330+CD333+CD336+CD339+CD342+CD345+CD348+CD289+CD320+CD301</f>
        <v>3109689</v>
      </c>
      <c r="CE286" s="565"/>
      <c r="CF286" s="67"/>
      <c r="CG286" s="560"/>
      <c r="CH286" s="566"/>
      <c r="CI286" s="564">
        <f>CI292+CI295+CI327+CI298+CI304+CI307+CI310+CI313+CI315+CI324+CI330+CI333+CI336+CI339+CI342+CI345+CI348+CI289+CI320+CI301</f>
        <v>0</v>
      </c>
      <c r="CJ286" s="565"/>
      <c r="CK286" s="67"/>
      <c r="CL286" s="560"/>
      <c r="CM286" s="566"/>
      <c r="CN286" s="564">
        <f>CN292+CN295+CN327+CN298+CN304+CN307+CN310+CN313+CN315+CN324+CN330+CN333+CN336+CN339+CN342+CN345+CN348+CN289+CN320+CN301</f>
        <v>0</v>
      </c>
      <c r="CO286" s="565"/>
      <c r="CP286" s="67"/>
      <c r="CQ286" s="560"/>
      <c r="CR286" s="566"/>
      <c r="CS286" s="564">
        <f>CS292+CS295+CS327+CS298+CS304+CS307+CS310+CS313+CS315+CS324+CS330+CS333+CS336+CS339+CS342+CS345+CS348+CS289+CS320+CS301</f>
        <v>0</v>
      </c>
      <c r="CT286" s="565"/>
      <c r="CU286" s="67"/>
      <c r="CV286" s="560"/>
      <c r="CW286" s="566"/>
      <c r="CX286" s="564">
        <f>CX292+CX295+CX327+CX298+CX304+CX307+CX310+CX313+CX315+CX324+CX330+CX333+CX336+CX339+CX342+CX345+CX348+CX289+CX320+CX301</f>
        <v>289217</v>
      </c>
      <c r="CY286" s="565"/>
      <c r="CZ286" s="67"/>
      <c r="DA286" s="560"/>
      <c r="DB286" s="566"/>
      <c r="DC286" s="564">
        <f>DC292+DC295+DC327+DC298+DC304+DC307+DC310+DC313+DC315+DC324+DC330+DC333+DC336+DC339+DC342+DC345+DC348+DC289+DC320+DC301</f>
        <v>235010</v>
      </c>
      <c r="DD286" s="565"/>
      <c r="DE286" s="67"/>
      <c r="DF286" s="560"/>
      <c r="DG286" s="566"/>
      <c r="DH286" s="564">
        <f>DH292+DH295+DH327+DH298+DH304+DH307+DH310+DH313+DH315+DH324+DH330+DH333+DH336+DH339+DH342+DH345+DH348+DH289+DH320+DH301</f>
        <v>0</v>
      </c>
      <c r="DI286" s="565"/>
      <c r="DJ286" s="67"/>
      <c r="DK286" s="560"/>
      <c r="DL286" s="566"/>
      <c r="DM286" s="564">
        <f>DM292+DM295+DM327+DM298+DM304+DM307+DM310+DM313+DM315+DM324+DM330+DM333+DM336+DM339+DM342+DM345+DM348+DM289+DM320+DM301</f>
        <v>64127</v>
      </c>
      <c r="DN286" s="565"/>
      <c r="DO286" s="67"/>
      <c r="DP286" s="560"/>
      <c r="DQ286" s="566"/>
      <c r="DR286" s="564">
        <v>0</v>
      </c>
      <c r="DS286" s="565"/>
      <c r="DT286" s="67"/>
      <c r="DU286" s="560"/>
      <c r="DV286" s="566"/>
      <c r="DW286" s="564">
        <v>0</v>
      </c>
      <c r="DX286" s="565"/>
      <c r="DY286" s="67"/>
      <c r="DZ286" s="560"/>
      <c r="EA286" s="566"/>
      <c r="EB286" s="564">
        <v>0</v>
      </c>
      <c r="EC286" s="565"/>
      <c r="ED286" s="67"/>
      <c r="EE286" s="560"/>
      <c r="EF286" s="566"/>
      <c r="EG286" s="564">
        <f>EG292+EG295+EG327+EG298+EG304+EG307+EG310+EG313+EG315+EG324+EG330+EG333+EG336+EG339+EG342+EG345+EG348+EG289+EG320+EG301</f>
        <v>663239</v>
      </c>
      <c r="EH286" s="565"/>
      <c r="EI286" s="67"/>
      <c r="EJ286" s="560"/>
      <c r="EK286" s="566"/>
      <c r="EL286" s="589">
        <f>EL292+EL295+EL327+EL298+EL304+EL307+EL310+EL313+EL315+EL324+EL330+EL333+EL336+EL339+EL342+EL345+EL348+EL289+EL320+EL301</f>
        <v>3109689</v>
      </c>
      <c r="EM286" s="565"/>
      <c r="EN286" s="67"/>
      <c r="EO286" s="455"/>
      <c r="ER286" s="472"/>
      <c r="ES286" s="472"/>
    </row>
    <row r="287" spans="1:149" x14ac:dyDescent="0.2">
      <c r="A287" s="442"/>
      <c r="B287" s="442"/>
      <c r="D287" s="455"/>
      <c r="E287" s="582"/>
      <c r="F287" s="320"/>
      <c r="G287" s="67"/>
      <c r="H287" s="67"/>
      <c r="I287" s="67"/>
      <c r="J287" s="560"/>
      <c r="K287" s="67"/>
      <c r="L287" s="67"/>
      <c r="M287" s="67"/>
      <c r="N287" s="67"/>
      <c r="O287" s="560"/>
      <c r="P287" s="67"/>
      <c r="Q287" s="67"/>
      <c r="R287" s="67"/>
      <c r="S287" s="67"/>
      <c r="T287" s="560"/>
      <c r="U287" s="67"/>
      <c r="V287" s="67"/>
      <c r="W287" s="67"/>
      <c r="X287" s="67"/>
      <c r="Y287" s="560"/>
      <c r="Z287" s="67"/>
      <c r="AA287" s="67"/>
      <c r="AB287" s="67"/>
      <c r="AC287" s="67"/>
      <c r="AD287" s="560"/>
      <c r="AE287" s="67"/>
      <c r="AF287" s="67"/>
      <c r="AG287" s="67"/>
      <c r="AH287" s="67"/>
      <c r="AI287" s="560"/>
      <c r="AJ287" s="67"/>
      <c r="AK287" s="67"/>
      <c r="AL287" s="67"/>
      <c r="AM287" s="67"/>
      <c r="AN287" s="560"/>
      <c r="AO287" s="67"/>
      <c r="AP287" s="67"/>
      <c r="AQ287" s="67"/>
      <c r="AR287" s="67"/>
      <c r="AS287" s="560"/>
      <c r="AT287" s="67"/>
      <c r="AU287" s="67"/>
      <c r="AV287" s="67"/>
      <c r="AW287" s="67"/>
      <c r="AX287" s="560"/>
      <c r="AY287" s="67"/>
      <c r="AZ287" s="67"/>
      <c r="BA287" s="67"/>
      <c r="BB287" s="67"/>
      <c r="BC287" s="560"/>
      <c r="BD287" s="67"/>
      <c r="BE287" s="67"/>
      <c r="BF287" s="67"/>
      <c r="BG287" s="67"/>
      <c r="BH287" s="560"/>
      <c r="BI287" s="67"/>
      <c r="BJ287" s="67"/>
      <c r="BK287" s="67"/>
      <c r="BL287" s="67"/>
      <c r="BM287" s="560"/>
      <c r="BN287" s="67"/>
      <c r="BO287" s="67"/>
      <c r="BP287" s="67"/>
      <c r="BQ287" s="67"/>
      <c r="BR287" s="560"/>
      <c r="BS287" s="67"/>
      <c r="BT287" s="67"/>
      <c r="BU287" s="67"/>
      <c r="BV287" s="67"/>
      <c r="BW287" s="560"/>
      <c r="BX287" s="67"/>
      <c r="BY287" s="67"/>
      <c r="BZ287" s="67"/>
      <c r="CA287" s="67"/>
      <c r="CB287" s="560"/>
      <c r="CC287" s="67"/>
      <c r="CD287" s="67"/>
      <c r="CE287" s="67"/>
      <c r="CF287" s="67"/>
      <c r="CG287" s="560"/>
      <c r="CH287" s="67"/>
      <c r="CI287" s="67"/>
      <c r="CJ287" s="67"/>
      <c r="CK287" s="67"/>
      <c r="CL287" s="560"/>
      <c r="CM287" s="67"/>
      <c r="CN287" s="67"/>
      <c r="CO287" s="67"/>
      <c r="CP287" s="67"/>
      <c r="CQ287" s="560"/>
      <c r="CR287" s="67"/>
      <c r="CS287" s="67"/>
      <c r="CT287" s="67"/>
      <c r="CU287" s="67"/>
      <c r="CV287" s="560"/>
      <c r="CW287" s="67"/>
      <c r="CX287" s="67"/>
      <c r="CY287" s="67"/>
      <c r="CZ287" s="67"/>
      <c r="DA287" s="560"/>
      <c r="DB287" s="67"/>
      <c r="DC287" s="67"/>
      <c r="DD287" s="67"/>
      <c r="DE287" s="67"/>
      <c r="DF287" s="560"/>
      <c r="DG287" s="67"/>
      <c r="DH287" s="67"/>
      <c r="DI287" s="67"/>
      <c r="DJ287" s="67"/>
      <c r="DK287" s="560"/>
      <c r="DL287" s="67"/>
      <c r="DM287" s="67"/>
      <c r="DN287" s="67"/>
      <c r="DO287" s="67"/>
      <c r="DP287" s="560"/>
      <c r="DQ287" s="67"/>
      <c r="DR287" s="67"/>
      <c r="DS287" s="67"/>
      <c r="DT287" s="67"/>
      <c r="DU287" s="560"/>
      <c r="DV287" s="67"/>
      <c r="DW287" s="67"/>
      <c r="DX287" s="67"/>
      <c r="DY287" s="67"/>
      <c r="DZ287" s="560"/>
      <c r="EA287" s="67"/>
      <c r="EB287" s="67"/>
      <c r="EC287" s="67"/>
      <c r="ED287" s="67"/>
      <c r="EE287" s="560"/>
      <c r="EF287" s="67"/>
      <c r="EG287" s="67"/>
      <c r="EH287" s="67"/>
      <c r="EI287" s="67"/>
      <c r="EJ287" s="560"/>
      <c r="EK287" s="67"/>
      <c r="EL287" s="67"/>
      <c r="EM287" s="67"/>
      <c r="EN287" s="67"/>
      <c r="EO287" s="455"/>
      <c r="ER287" s="472"/>
      <c r="ES287" s="472"/>
    </row>
    <row r="288" spans="1:149" ht="12.75" hidden="1" customHeight="1" x14ac:dyDescent="0.2">
      <c r="A288" s="442"/>
      <c r="B288" s="442"/>
      <c r="D288" s="455" t="s">
        <v>402</v>
      </c>
      <c r="F288" s="442"/>
      <c r="G288" s="67">
        <v>0</v>
      </c>
      <c r="H288" s="67"/>
      <c r="I288" s="67"/>
      <c r="J288" s="560"/>
      <c r="K288" s="67"/>
      <c r="L288" s="67">
        <f>SUM(L289:L289)</f>
        <v>0</v>
      </c>
      <c r="M288" s="67"/>
      <c r="N288" s="67"/>
      <c r="O288" s="560"/>
      <c r="P288" s="67"/>
      <c r="Q288" s="67">
        <f>SUM(Q289:Q289)</f>
        <v>0</v>
      </c>
      <c r="R288" s="67"/>
      <c r="S288" s="67"/>
      <c r="T288" s="560"/>
      <c r="U288" s="67"/>
      <c r="V288" s="67">
        <f>SUM(V289:V289)</f>
        <v>0</v>
      </c>
      <c r="W288" s="67"/>
      <c r="X288" s="67"/>
      <c r="Y288" s="560"/>
      <c r="Z288" s="67"/>
      <c r="AA288" s="67">
        <f>SUM(AA289:AA289)</f>
        <v>0</v>
      </c>
      <c r="AB288" s="67"/>
      <c r="AC288" s="67"/>
      <c r="AD288" s="560"/>
      <c r="AE288" s="67"/>
      <c r="AF288" s="67">
        <f>SUM(AF289:AF289)</f>
        <v>0</v>
      </c>
      <c r="AG288" s="67"/>
      <c r="AH288" s="67"/>
      <c r="AI288" s="560"/>
      <c r="AJ288" s="67"/>
      <c r="AK288" s="67">
        <f>SUM(AK289:AK289)</f>
        <v>0</v>
      </c>
      <c r="AL288" s="67"/>
      <c r="AM288" s="67"/>
      <c r="AN288" s="560"/>
      <c r="AO288" s="67"/>
      <c r="AP288" s="67">
        <f>SUM(AP289:AP289)</f>
        <v>0</v>
      </c>
      <c r="AQ288" s="67"/>
      <c r="AR288" s="67"/>
      <c r="AS288" s="560"/>
      <c r="AT288" s="67"/>
      <c r="AU288" s="67">
        <f>SUM(AU289:AU289)</f>
        <v>0</v>
      </c>
      <c r="AV288" s="67"/>
      <c r="AW288" s="67"/>
      <c r="AX288" s="560"/>
      <c r="AY288" s="67"/>
      <c r="AZ288" s="67">
        <f>SUM(AZ289:AZ289)</f>
        <v>0</v>
      </c>
      <c r="BA288" s="67"/>
      <c r="BB288" s="67"/>
      <c r="BC288" s="560"/>
      <c r="BD288" s="67"/>
      <c r="BE288" s="67">
        <f>SUM(BE289:BE289)</f>
        <v>0</v>
      </c>
      <c r="BF288" s="67"/>
      <c r="BG288" s="67"/>
      <c r="BH288" s="560"/>
      <c r="BI288" s="67"/>
      <c r="BJ288" s="67">
        <f>SUM(BJ289:BJ289)</f>
        <v>0</v>
      </c>
      <c r="BK288" s="67"/>
      <c r="BL288" s="67"/>
      <c r="BM288" s="560"/>
      <c r="BN288" s="67"/>
      <c r="BO288" s="67">
        <f>SUM(BO289:BO289)</f>
        <v>0</v>
      </c>
      <c r="BP288" s="67"/>
      <c r="BQ288" s="67"/>
      <c r="BR288" s="560"/>
      <c r="BS288" s="67"/>
      <c r="BT288" s="67">
        <f>SUM(BT289:BT289)</f>
        <v>0</v>
      </c>
      <c r="BU288" s="67"/>
      <c r="BV288" s="67"/>
      <c r="BW288" s="560"/>
      <c r="BX288" s="67"/>
      <c r="BY288" s="67">
        <f>SUM(BY289:BY289)</f>
        <v>0</v>
      </c>
      <c r="BZ288" s="67"/>
      <c r="CA288" s="67"/>
      <c r="CB288" s="560"/>
      <c r="CC288" s="67"/>
      <c r="CD288" s="67">
        <f>SUM(CD289:CD289)</f>
        <v>0</v>
      </c>
      <c r="CE288" s="67"/>
      <c r="CF288" s="67"/>
      <c r="CG288" s="560"/>
      <c r="CH288" s="67"/>
      <c r="CI288" s="67">
        <f>SUM(CI289:CI289)</f>
        <v>0</v>
      </c>
      <c r="CJ288" s="67"/>
      <c r="CK288" s="67"/>
      <c r="CL288" s="560"/>
      <c r="CM288" s="67"/>
      <c r="CN288" s="67">
        <f>SUM(CN289:CN289)</f>
        <v>0</v>
      </c>
      <c r="CO288" s="67"/>
      <c r="CP288" s="67"/>
      <c r="CQ288" s="560"/>
      <c r="CR288" s="67"/>
      <c r="CS288" s="67">
        <f>SUM(CS289:CS289)</f>
        <v>0</v>
      </c>
      <c r="CT288" s="67"/>
      <c r="CU288" s="67"/>
      <c r="CV288" s="560"/>
      <c r="CW288" s="67"/>
      <c r="CX288" s="67">
        <f>SUM(CX289:CX289)</f>
        <v>0</v>
      </c>
      <c r="CY288" s="67"/>
      <c r="CZ288" s="67"/>
      <c r="DA288" s="560"/>
      <c r="DB288" s="67"/>
      <c r="DC288" s="67">
        <f>SUM(DC289:DC289)</f>
        <v>0</v>
      </c>
      <c r="DD288" s="67"/>
      <c r="DE288" s="67"/>
      <c r="DF288" s="560"/>
      <c r="DG288" s="67"/>
      <c r="DH288" s="67">
        <f>SUM(DH289:DH289)</f>
        <v>0</v>
      </c>
      <c r="DI288" s="67"/>
      <c r="DJ288" s="67"/>
      <c r="DK288" s="560"/>
      <c r="DL288" s="67"/>
      <c r="DM288" s="67">
        <f>SUM(DM289:DM289)</f>
        <v>0</v>
      </c>
      <c r="DN288" s="67"/>
      <c r="DO288" s="67"/>
      <c r="DP288" s="560"/>
      <c r="DQ288" s="67"/>
      <c r="DR288" s="67">
        <f>SUM(DR289:DR289)</f>
        <v>0</v>
      </c>
      <c r="DS288" s="67"/>
      <c r="DT288" s="67"/>
      <c r="DU288" s="560"/>
      <c r="DV288" s="67"/>
      <c r="DW288" s="67">
        <f>SUM(DW289:DW289)</f>
        <v>0</v>
      </c>
      <c r="DX288" s="67"/>
      <c r="DY288" s="67"/>
      <c r="DZ288" s="560"/>
      <c r="EA288" s="67"/>
      <c r="EB288" s="67">
        <f>SUM(EB289:EB289)</f>
        <v>0</v>
      </c>
      <c r="EC288" s="67"/>
      <c r="ED288" s="67"/>
      <c r="EE288" s="560"/>
      <c r="EF288" s="67"/>
      <c r="EG288" s="67">
        <f>SUM(EG289:EG289)</f>
        <v>0</v>
      </c>
      <c r="EH288" s="67"/>
      <c r="EI288" s="67"/>
      <c r="EJ288" s="560"/>
      <c r="EK288" s="67"/>
      <c r="EL288" s="67">
        <f>SUM(EL289:EL289)</f>
        <v>0</v>
      </c>
      <c r="EM288" s="67"/>
      <c r="EN288" s="67"/>
      <c r="EO288" s="455"/>
      <c r="ER288" s="472"/>
      <c r="ES288" s="472"/>
    </row>
    <row r="289" spans="1:149" ht="12.75" hidden="1" customHeight="1" x14ac:dyDescent="0.2">
      <c r="A289" s="442"/>
      <c r="B289" s="442"/>
      <c r="D289" s="455" t="s">
        <v>342</v>
      </c>
      <c r="F289" s="563"/>
      <c r="G289" s="564">
        <v>0</v>
      </c>
      <c r="H289" s="565"/>
      <c r="I289" s="67"/>
      <c r="J289" s="560"/>
      <c r="K289" s="566"/>
      <c r="L289" s="564">
        <v>0</v>
      </c>
      <c r="M289" s="565"/>
      <c r="N289" s="67"/>
      <c r="O289" s="560"/>
      <c r="P289" s="566"/>
      <c r="Q289" s="564">
        <v>0</v>
      </c>
      <c r="R289" s="565"/>
      <c r="S289" s="67"/>
      <c r="T289" s="560"/>
      <c r="U289" s="566"/>
      <c r="V289" s="564">
        <v>0</v>
      </c>
      <c r="W289" s="565"/>
      <c r="X289" s="67"/>
      <c r="Y289" s="560"/>
      <c r="Z289" s="566"/>
      <c r="AA289" s="564">
        <v>0</v>
      </c>
      <c r="AB289" s="565"/>
      <c r="AC289" s="67"/>
      <c r="AD289" s="560"/>
      <c r="AE289" s="566"/>
      <c r="AF289" s="564">
        <v>0</v>
      </c>
      <c r="AG289" s="565"/>
      <c r="AH289" s="67"/>
      <c r="AI289" s="560"/>
      <c r="AJ289" s="566"/>
      <c r="AK289" s="564">
        <v>0</v>
      </c>
      <c r="AL289" s="565"/>
      <c r="AM289" s="67"/>
      <c r="AN289" s="560"/>
      <c r="AO289" s="566"/>
      <c r="AP289" s="564">
        <v>0</v>
      </c>
      <c r="AQ289" s="565"/>
      <c r="AR289" s="67"/>
      <c r="AS289" s="560"/>
      <c r="AT289" s="566"/>
      <c r="AU289" s="564">
        <v>0</v>
      </c>
      <c r="AV289" s="565"/>
      <c r="AW289" s="67"/>
      <c r="AX289" s="560"/>
      <c r="AY289" s="566"/>
      <c r="AZ289" s="564">
        <v>0</v>
      </c>
      <c r="BA289" s="565"/>
      <c r="BB289" s="67"/>
      <c r="BC289" s="560"/>
      <c r="BD289" s="566"/>
      <c r="BE289" s="564">
        <v>0</v>
      </c>
      <c r="BF289" s="565"/>
      <c r="BG289" s="67"/>
      <c r="BH289" s="560"/>
      <c r="BI289" s="566"/>
      <c r="BJ289" s="564">
        <v>0</v>
      </c>
      <c r="BK289" s="565"/>
      <c r="BL289" s="67"/>
      <c r="BM289" s="560"/>
      <c r="BN289" s="566"/>
      <c r="BO289" s="564">
        <v>0</v>
      </c>
      <c r="BP289" s="565"/>
      <c r="BQ289" s="67"/>
      <c r="BR289" s="560"/>
      <c r="BS289" s="566"/>
      <c r="BT289" s="564">
        <f>SUM(L289:BO289)</f>
        <v>0</v>
      </c>
      <c r="BU289" s="565"/>
      <c r="BV289" s="67"/>
      <c r="BW289" s="560"/>
      <c r="BX289" s="566"/>
      <c r="BY289" s="564">
        <f>SUM(Q289:BT289)</f>
        <v>0</v>
      </c>
      <c r="BZ289" s="565"/>
      <c r="CA289" s="67"/>
      <c r="CB289" s="560"/>
      <c r="CC289" s="566"/>
      <c r="CD289" s="564">
        <v>0</v>
      </c>
      <c r="CE289" s="565"/>
      <c r="CF289" s="67"/>
      <c r="CG289" s="560"/>
      <c r="CH289" s="566"/>
      <c r="CI289" s="564">
        <v>0</v>
      </c>
      <c r="CJ289" s="565"/>
      <c r="CK289" s="67"/>
      <c r="CL289" s="560"/>
      <c r="CM289" s="566"/>
      <c r="CN289" s="564">
        <v>0</v>
      </c>
      <c r="CO289" s="565"/>
      <c r="CP289" s="67"/>
      <c r="CQ289" s="560"/>
      <c r="CR289" s="566"/>
      <c r="CS289" s="564">
        <v>0</v>
      </c>
      <c r="CT289" s="565"/>
      <c r="CU289" s="67"/>
      <c r="CV289" s="560"/>
      <c r="CW289" s="566"/>
      <c r="CX289" s="564">
        <v>0</v>
      </c>
      <c r="CY289" s="565"/>
      <c r="CZ289" s="67"/>
      <c r="DA289" s="560"/>
      <c r="DB289" s="566"/>
      <c r="DC289" s="564">
        <v>0</v>
      </c>
      <c r="DD289" s="565"/>
      <c r="DE289" s="67"/>
      <c r="DF289" s="560"/>
      <c r="DG289" s="566"/>
      <c r="DH289" s="564">
        <v>0</v>
      </c>
      <c r="DI289" s="565"/>
      <c r="DJ289" s="67"/>
      <c r="DK289" s="560"/>
      <c r="DL289" s="566"/>
      <c r="DM289" s="564">
        <v>0</v>
      </c>
      <c r="DN289" s="565"/>
      <c r="DO289" s="67"/>
      <c r="DP289" s="560"/>
      <c r="DQ289" s="566"/>
      <c r="DR289" s="564">
        <v>0</v>
      </c>
      <c r="DS289" s="565"/>
      <c r="DT289" s="67"/>
      <c r="DU289" s="560"/>
      <c r="DV289" s="566"/>
      <c r="DW289" s="564">
        <v>0</v>
      </c>
      <c r="DX289" s="565"/>
      <c r="DY289" s="67"/>
      <c r="DZ289" s="560"/>
      <c r="EA289" s="566"/>
      <c r="EB289" s="564">
        <v>0</v>
      </c>
      <c r="EC289" s="565"/>
      <c r="ED289" s="67"/>
      <c r="EE289" s="560"/>
      <c r="EF289" s="566"/>
      <c r="EG289" s="564">
        <v>0</v>
      </c>
      <c r="EH289" s="565"/>
      <c r="EI289" s="67"/>
      <c r="EJ289" s="560"/>
      <c r="EK289" s="566"/>
      <c r="EL289" s="564">
        <f>SUM(CD289:EG289)</f>
        <v>0</v>
      </c>
      <c r="EM289" s="565"/>
      <c r="EN289" s="67"/>
      <c r="EO289" s="455"/>
      <c r="ER289" s="472"/>
      <c r="ES289" s="472"/>
    </row>
    <row r="290" spans="1:149" ht="12.75" hidden="1" customHeight="1" x14ac:dyDescent="0.2">
      <c r="A290" s="442"/>
      <c r="B290" s="442"/>
      <c r="D290" s="455"/>
      <c r="E290" s="582"/>
      <c r="F290" s="320"/>
      <c r="G290" s="67"/>
      <c r="H290" s="67"/>
      <c r="I290" s="67"/>
      <c r="J290" s="560"/>
      <c r="K290" s="67"/>
      <c r="L290" s="67"/>
      <c r="M290" s="67"/>
      <c r="N290" s="67"/>
      <c r="O290" s="560"/>
      <c r="P290" s="67"/>
      <c r="Q290" s="67"/>
      <c r="R290" s="67"/>
      <c r="S290" s="67"/>
      <c r="T290" s="560"/>
      <c r="U290" s="67"/>
      <c r="V290" s="67"/>
      <c r="W290" s="67"/>
      <c r="X290" s="67"/>
      <c r="Y290" s="560"/>
      <c r="Z290" s="67"/>
      <c r="AA290" s="67"/>
      <c r="AB290" s="67"/>
      <c r="AC290" s="67"/>
      <c r="AD290" s="560"/>
      <c r="AE290" s="67"/>
      <c r="AF290" s="67"/>
      <c r="AG290" s="67"/>
      <c r="AH290" s="67"/>
      <c r="AI290" s="560"/>
      <c r="AJ290" s="67"/>
      <c r="AK290" s="67"/>
      <c r="AL290" s="67"/>
      <c r="AM290" s="67"/>
      <c r="AN290" s="560"/>
      <c r="AO290" s="67"/>
      <c r="AP290" s="67"/>
      <c r="AQ290" s="67"/>
      <c r="AR290" s="67"/>
      <c r="AS290" s="560"/>
      <c r="AT290" s="67"/>
      <c r="AU290" s="67"/>
      <c r="AV290" s="67"/>
      <c r="AW290" s="67"/>
      <c r="AX290" s="560"/>
      <c r="AY290" s="67"/>
      <c r="AZ290" s="67"/>
      <c r="BA290" s="67"/>
      <c r="BB290" s="67"/>
      <c r="BC290" s="560"/>
      <c r="BD290" s="67"/>
      <c r="BE290" s="67"/>
      <c r="BF290" s="67"/>
      <c r="BG290" s="67"/>
      <c r="BH290" s="560"/>
      <c r="BI290" s="67"/>
      <c r="BJ290" s="67"/>
      <c r="BK290" s="67"/>
      <c r="BL290" s="67"/>
      <c r="BM290" s="560"/>
      <c r="BN290" s="67"/>
      <c r="BO290" s="67"/>
      <c r="BP290" s="67"/>
      <c r="BQ290" s="67"/>
      <c r="BR290" s="560"/>
      <c r="BS290" s="67"/>
      <c r="BT290" s="67"/>
      <c r="BU290" s="67"/>
      <c r="BV290" s="67"/>
      <c r="BW290" s="560"/>
      <c r="BX290" s="67"/>
      <c r="BY290" s="67"/>
      <c r="BZ290" s="67"/>
      <c r="CA290" s="67"/>
      <c r="CB290" s="560"/>
      <c r="CC290" s="67"/>
      <c r="CD290" s="67"/>
      <c r="CE290" s="67"/>
      <c r="CF290" s="67"/>
      <c r="CG290" s="560"/>
      <c r="CH290" s="67"/>
      <c r="CI290" s="67"/>
      <c r="CJ290" s="67"/>
      <c r="CK290" s="67"/>
      <c r="CL290" s="560"/>
      <c r="CM290" s="67"/>
      <c r="CN290" s="67"/>
      <c r="CO290" s="67"/>
      <c r="CP290" s="67"/>
      <c r="CQ290" s="560"/>
      <c r="CR290" s="67"/>
      <c r="CS290" s="67"/>
      <c r="CT290" s="67"/>
      <c r="CU290" s="67"/>
      <c r="CV290" s="560"/>
      <c r="CW290" s="67"/>
      <c r="CX290" s="67"/>
      <c r="CY290" s="67"/>
      <c r="CZ290" s="67"/>
      <c r="DA290" s="560"/>
      <c r="DB290" s="67"/>
      <c r="DC290" s="67"/>
      <c r="DD290" s="67"/>
      <c r="DE290" s="67"/>
      <c r="DF290" s="560"/>
      <c r="DG290" s="67"/>
      <c r="DH290" s="67"/>
      <c r="DI290" s="67"/>
      <c r="DJ290" s="67"/>
      <c r="DK290" s="560"/>
      <c r="DL290" s="67"/>
      <c r="DM290" s="67"/>
      <c r="DN290" s="67"/>
      <c r="DO290" s="67"/>
      <c r="DP290" s="560"/>
      <c r="DQ290" s="67"/>
      <c r="DR290" s="67"/>
      <c r="DS290" s="67"/>
      <c r="DT290" s="67"/>
      <c r="DU290" s="560"/>
      <c r="DV290" s="67"/>
      <c r="DW290" s="67"/>
      <c r="DX290" s="67"/>
      <c r="DY290" s="67"/>
      <c r="DZ290" s="560"/>
      <c r="EA290" s="67"/>
      <c r="EB290" s="67"/>
      <c r="EC290" s="67"/>
      <c r="ED290" s="67"/>
      <c r="EE290" s="560"/>
      <c r="EF290" s="67"/>
      <c r="EG290" s="67"/>
      <c r="EH290" s="67"/>
      <c r="EI290" s="67"/>
      <c r="EJ290" s="560"/>
      <c r="EK290" s="67"/>
      <c r="EL290" s="67"/>
      <c r="EM290" s="67"/>
      <c r="EN290" s="67"/>
      <c r="EO290" s="455"/>
      <c r="ER290" s="472"/>
      <c r="ES290" s="472"/>
    </row>
    <row r="291" spans="1:149" x14ac:dyDescent="0.2">
      <c r="A291" s="442"/>
      <c r="B291" s="442"/>
      <c r="D291" s="455" t="s">
        <v>369</v>
      </c>
      <c r="F291" s="442"/>
      <c r="G291" s="67">
        <f>SUM(G292:G292)</f>
        <v>0</v>
      </c>
      <c r="H291" s="67"/>
      <c r="I291" s="67"/>
      <c r="J291" s="560"/>
      <c r="K291" s="67"/>
      <c r="L291" s="67">
        <f>SUM(L292:L292)</f>
        <v>487336</v>
      </c>
      <c r="M291" s="67"/>
      <c r="N291" s="67"/>
      <c r="O291" s="560"/>
      <c r="P291" s="67"/>
      <c r="Q291" s="67">
        <f>SUM(Q292:Q292)</f>
        <v>0</v>
      </c>
      <c r="R291" s="67"/>
      <c r="S291" s="67"/>
      <c r="T291" s="560"/>
      <c r="U291" s="67"/>
      <c r="V291" s="67">
        <f>SUM(V292:V292)</f>
        <v>0</v>
      </c>
      <c r="W291" s="67"/>
      <c r="X291" s="67"/>
      <c r="Y291" s="560"/>
      <c r="Z291" s="67"/>
      <c r="AA291" s="67">
        <f>SUM(AA292:AA292)</f>
        <v>0</v>
      </c>
      <c r="AB291" s="67"/>
      <c r="AC291" s="67"/>
      <c r="AD291" s="560"/>
      <c r="AE291" s="67"/>
      <c r="AF291" s="67">
        <f>SUM(AF292:AF292)</f>
        <v>0</v>
      </c>
      <c r="AG291" s="67"/>
      <c r="AH291" s="67"/>
      <c r="AI291" s="560"/>
      <c r="AJ291" s="67"/>
      <c r="AK291" s="67">
        <f>SUM(AK292:AK292)</f>
        <v>0</v>
      </c>
      <c r="AL291" s="67"/>
      <c r="AM291" s="67"/>
      <c r="AN291" s="560"/>
      <c r="AO291" s="67"/>
      <c r="AP291" s="67">
        <f>SUM(AP292:AP292)</f>
        <v>0</v>
      </c>
      <c r="AQ291" s="67"/>
      <c r="AR291" s="67"/>
      <c r="AS291" s="560"/>
      <c r="AT291" s="67"/>
      <c r="AU291" s="67">
        <f>SUM(AU292:AU292)</f>
        <v>0</v>
      </c>
      <c r="AV291" s="67"/>
      <c r="AW291" s="67"/>
      <c r="AX291" s="560"/>
      <c r="AY291" s="67"/>
      <c r="AZ291" s="67">
        <f>SUM(AZ292:AZ292)</f>
        <v>0</v>
      </c>
      <c r="BA291" s="67"/>
      <c r="BB291" s="67"/>
      <c r="BC291" s="560"/>
      <c r="BD291" s="67"/>
      <c r="BE291" s="67">
        <f>SUM(BE292:BE292)</f>
        <v>0</v>
      </c>
      <c r="BF291" s="67"/>
      <c r="BG291" s="67"/>
      <c r="BH291" s="560"/>
      <c r="BI291" s="67"/>
      <c r="BJ291" s="67">
        <f>SUM(BJ292:BJ292)</f>
        <v>0</v>
      </c>
      <c r="BK291" s="67"/>
      <c r="BL291" s="67"/>
      <c r="BM291" s="560"/>
      <c r="BN291" s="67"/>
      <c r="BO291" s="67">
        <f>SUM(BO292:BO292)</f>
        <v>0</v>
      </c>
      <c r="BP291" s="67"/>
      <c r="BQ291" s="67"/>
      <c r="BR291" s="560"/>
      <c r="BS291" s="67"/>
      <c r="BT291" s="67">
        <f>SUM(BT292:BT292)</f>
        <v>487336</v>
      </c>
      <c r="BU291" s="67"/>
      <c r="BV291" s="67"/>
      <c r="BW291" s="560"/>
      <c r="BX291" s="67"/>
      <c r="BY291" s="67">
        <f>SUM(BY292:BY292)</f>
        <v>89569</v>
      </c>
      <c r="BZ291" s="67"/>
      <c r="CA291" s="67"/>
      <c r="CB291" s="560"/>
      <c r="CC291" s="67"/>
      <c r="CD291" s="67">
        <f>SUM(CD292:CD292)</f>
        <v>0</v>
      </c>
      <c r="CE291" s="67"/>
      <c r="CF291" s="67"/>
      <c r="CG291" s="560"/>
      <c r="CH291" s="67"/>
      <c r="CI291" s="67">
        <f>SUM(CI292:CI292)</f>
        <v>0</v>
      </c>
      <c r="CJ291" s="67"/>
      <c r="CK291" s="67"/>
      <c r="CL291" s="560"/>
      <c r="CM291" s="67"/>
      <c r="CN291" s="67">
        <f>SUM(CN292:CN292)</f>
        <v>0</v>
      </c>
      <c r="CO291" s="67"/>
      <c r="CP291" s="67"/>
      <c r="CQ291" s="560"/>
      <c r="CR291" s="67"/>
      <c r="CS291" s="67">
        <f>SUM(CS292:CS292)</f>
        <v>0</v>
      </c>
      <c r="CT291" s="67"/>
      <c r="CU291" s="67"/>
      <c r="CV291" s="560"/>
      <c r="CW291" s="67"/>
      <c r="CX291" s="67">
        <f>SUM(CX292:CX292)</f>
        <v>0</v>
      </c>
      <c r="CY291" s="67"/>
      <c r="CZ291" s="67"/>
      <c r="DA291" s="560"/>
      <c r="DB291" s="67"/>
      <c r="DC291" s="67">
        <f>SUM(DC292:DC292)</f>
        <v>0</v>
      </c>
      <c r="DD291" s="67"/>
      <c r="DE291" s="67"/>
      <c r="DF291" s="560"/>
      <c r="DG291" s="67"/>
      <c r="DH291" s="67">
        <f>SUM(DH292:DH292)</f>
        <v>0</v>
      </c>
      <c r="DI291" s="67"/>
      <c r="DJ291" s="67"/>
      <c r="DK291" s="560"/>
      <c r="DL291" s="67"/>
      <c r="DM291" s="67">
        <f>SUM(DM292:DM292)</f>
        <v>0</v>
      </c>
      <c r="DN291" s="67"/>
      <c r="DO291" s="67"/>
      <c r="DP291" s="560"/>
      <c r="DQ291" s="67"/>
      <c r="DR291" s="67">
        <f>SUM(DR292:DR292)</f>
        <v>0</v>
      </c>
      <c r="DS291" s="67"/>
      <c r="DT291" s="67"/>
      <c r="DU291" s="560"/>
      <c r="DV291" s="67"/>
      <c r="DW291" s="67">
        <f>SUM(DW292:DW292)</f>
        <v>0</v>
      </c>
      <c r="DX291" s="67"/>
      <c r="DY291" s="67"/>
      <c r="DZ291" s="560"/>
      <c r="EA291" s="67"/>
      <c r="EB291" s="67">
        <f>SUM(EB292:EB292)</f>
        <v>0</v>
      </c>
      <c r="EC291" s="67"/>
      <c r="ED291" s="67"/>
      <c r="EE291" s="560"/>
      <c r="EF291" s="67"/>
      <c r="EG291" s="67">
        <f>SUM(EG292:EG292)</f>
        <v>89569</v>
      </c>
      <c r="EH291" s="67"/>
      <c r="EI291" s="67"/>
      <c r="EJ291" s="560"/>
      <c r="EK291" s="67"/>
      <c r="EL291" s="67">
        <f>SUM(EL292:EL292)</f>
        <v>0</v>
      </c>
      <c r="EM291" s="67"/>
      <c r="EN291" s="67"/>
      <c r="EO291" s="455"/>
      <c r="ER291" s="472"/>
      <c r="ES291" s="472"/>
    </row>
    <row r="292" spans="1:149" x14ac:dyDescent="0.2">
      <c r="A292" s="442"/>
      <c r="B292" s="442"/>
      <c r="D292" s="455" t="s">
        <v>342</v>
      </c>
      <c r="F292" s="563"/>
      <c r="G292" s="564">
        <v>0</v>
      </c>
      <c r="H292" s="565"/>
      <c r="I292" s="67"/>
      <c r="J292" s="560"/>
      <c r="K292" s="566"/>
      <c r="L292" s="564">
        <v>487336</v>
      </c>
      <c r="M292" s="565"/>
      <c r="N292" s="67"/>
      <c r="O292" s="560"/>
      <c r="P292" s="566"/>
      <c r="Q292" s="564">
        <v>0</v>
      </c>
      <c r="R292" s="565"/>
      <c r="S292" s="67"/>
      <c r="T292" s="560"/>
      <c r="U292" s="566"/>
      <c r="V292" s="564">
        <v>0</v>
      </c>
      <c r="W292" s="565"/>
      <c r="X292" s="67"/>
      <c r="Y292" s="560"/>
      <c r="Z292" s="566"/>
      <c r="AA292" s="564">
        <v>0</v>
      </c>
      <c r="AB292" s="565"/>
      <c r="AC292" s="67"/>
      <c r="AD292" s="560"/>
      <c r="AE292" s="566"/>
      <c r="AF292" s="564">
        <v>0</v>
      </c>
      <c r="AG292" s="565"/>
      <c r="AH292" s="67"/>
      <c r="AI292" s="560"/>
      <c r="AJ292" s="566"/>
      <c r="AK292" s="564">
        <v>0</v>
      </c>
      <c r="AL292" s="565"/>
      <c r="AM292" s="67"/>
      <c r="AN292" s="560"/>
      <c r="AO292" s="566"/>
      <c r="AP292" s="564">
        <v>0</v>
      </c>
      <c r="AQ292" s="565"/>
      <c r="AR292" s="67"/>
      <c r="AS292" s="560"/>
      <c r="AT292" s="566"/>
      <c r="AU292" s="564">
        <v>0</v>
      </c>
      <c r="AV292" s="565"/>
      <c r="AW292" s="67"/>
      <c r="AX292" s="560"/>
      <c r="AY292" s="566"/>
      <c r="AZ292" s="564">
        <v>0</v>
      </c>
      <c r="BA292" s="565"/>
      <c r="BB292" s="67"/>
      <c r="BC292" s="560"/>
      <c r="BD292" s="566"/>
      <c r="BE292" s="564">
        <v>0</v>
      </c>
      <c r="BF292" s="565"/>
      <c r="BG292" s="67"/>
      <c r="BH292" s="560"/>
      <c r="BI292" s="566"/>
      <c r="BJ292" s="564">
        <v>0</v>
      </c>
      <c r="BK292" s="565"/>
      <c r="BL292" s="67"/>
      <c r="BM292" s="560"/>
      <c r="BN292" s="566"/>
      <c r="BO292" s="564">
        <v>0</v>
      </c>
      <c r="BP292" s="565"/>
      <c r="BQ292" s="67"/>
      <c r="BR292" s="560"/>
      <c r="BS292" s="566"/>
      <c r="BT292" s="564">
        <f>SUM(L292:BO292)</f>
        <v>487336</v>
      </c>
      <c r="BU292" s="565"/>
      <c r="BV292" s="67"/>
      <c r="BW292" s="560"/>
      <c r="BX292" s="566"/>
      <c r="BY292" s="564">
        <v>89569</v>
      </c>
      <c r="BZ292" s="565"/>
      <c r="CA292" s="67"/>
      <c r="CB292" s="560"/>
      <c r="CC292" s="566"/>
      <c r="CD292" s="564">
        <v>0</v>
      </c>
      <c r="CE292" s="565"/>
      <c r="CF292" s="67"/>
      <c r="CG292" s="560"/>
      <c r="CH292" s="566"/>
      <c r="CI292" s="564">
        <v>0</v>
      </c>
      <c r="CJ292" s="565"/>
      <c r="CK292" s="67"/>
      <c r="CL292" s="560"/>
      <c r="CM292" s="566"/>
      <c r="CN292" s="564">
        <v>0</v>
      </c>
      <c r="CO292" s="565"/>
      <c r="CP292" s="67"/>
      <c r="CQ292" s="560"/>
      <c r="CR292" s="566"/>
      <c r="CS292" s="564">
        <v>0</v>
      </c>
      <c r="CT292" s="565"/>
      <c r="CU292" s="67"/>
      <c r="CV292" s="560"/>
      <c r="CW292" s="566"/>
      <c r="CX292" s="564">
        <v>0</v>
      </c>
      <c r="CY292" s="565"/>
      <c r="CZ292" s="67"/>
      <c r="DA292" s="560"/>
      <c r="DB292" s="566"/>
      <c r="DC292" s="564">
        <v>0</v>
      </c>
      <c r="DD292" s="565"/>
      <c r="DE292" s="67"/>
      <c r="DF292" s="560"/>
      <c r="DG292" s="566"/>
      <c r="DH292" s="564">
        <v>0</v>
      </c>
      <c r="DI292" s="565"/>
      <c r="DJ292" s="67"/>
      <c r="DK292" s="560"/>
      <c r="DL292" s="566"/>
      <c r="DM292" s="564">
        <v>0</v>
      </c>
      <c r="DN292" s="565"/>
      <c r="DO292" s="67"/>
      <c r="DP292" s="560"/>
      <c r="DQ292" s="566"/>
      <c r="DR292" s="564">
        <v>0</v>
      </c>
      <c r="DS292" s="565"/>
      <c r="DT292" s="67"/>
      <c r="DU292" s="560"/>
      <c r="DV292" s="566"/>
      <c r="DW292" s="564">
        <v>0</v>
      </c>
      <c r="DX292" s="565"/>
      <c r="DY292" s="67"/>
      <c r="DZ292" s="560"/>
      <c r="EA292" s="566"/>
      <c r="EB292" s="564">
        <v>0</v>
      </c>
      <c r="EC292" s="565"/>
      <c r="ED292" s="67"/>
      <c r="EE292" s="560"/>
      <c r="EF292" s="566"/>
      <c r="EG292" s="564">
        <v>89569</v>
      </c>
      <c r="EH292" s="565"/>
      <c r="EI292" s="67"/>
      <c r="EJ292" s="560"/>
      <c r="EK292" s="566"/>
      <c r="EL292" s="564">
        <f>SUM(CD292:CI292)</f>
        <v>0</v>
      </c>
      <c r="EM292" s="565"/>
      <c r="EN292" s="67"/>
      <c r="EO292" s="455"/>
      <c r="ER292" s="472"/>
      <c r="ES292" s="472"/>
    </row>
    <row r="293" spans="1:149" x14ac:dyDescent="0.2">
      <c r="A293" s="442"/>
      <c r="B293" s="442"/>
      <c r="D293" s="455"/>
      <c r="F293" s="442"/>
      <c r="G293" s="67"/>
      <c r="H293" s="67"/>
      <c r="I293" s="67"/>
      <c r="J293" s="560"/>
      <c r="K293" s="67"/>
      <c r="L293" s="67"/>
      <c r="M293" s="67"/>
      <c r="N293" s="67"/>
      <c r="O293" s="560"/>
      <c r="P293" s="67"/>
      <c r="Q293" s="67"/>
      <c r="R293" s="67"/>
      <c r="S293" s="67"/>
      <c r="T293" s="560"/>
      <c r="U293" s="67"/>
      <c r="V293" s="67"/>
      <c r="W293" s="67"/>
      <c r="X293" s="67"/>
      <c r="Y293" s="560"/>
      <c r="Z293" s="67"/>
      <c r="AA293" s="67"/>
      <c r="AB293" s="67"/>
      <c r="AC293" s="67"/>
      <c r="AD293" s="560"/>
      <c r="AE293" s="67"/>
      <c r="AF293" s="67"/>
      <c r="AG293" s="67"/>
      <c r="AH293" s="67"/>
      <c r="AI293" s="560"/>
      <c r="AJ293" s="67"/>
      <c r="AK293" s="67"/>
      <c r="AL293" s="67"/>
      <c r="AM293" s="67"/>
      <c r="AN293" s="560"/>
      <c r="AO293" s="67"/>
      <c r="AP293" s="67"/>
      <c r="AQ293" s="67"/>
      <c r="AR293" s="67"/>
      <c r="AS293" s="560"/>
      <c r="AT293" s="67"/>
      <c r="AU293" s="67"/>
      <c r="AV293" s="67"/>
      <c r="AW293" s="67"/>
      <c r="AX293" s="560"/>
      <c r="AY293" s="67"/>
      <c r="AZ293" s="67"/>
      <c r="BA293" s="67"/>
      <c r="BB293" s="67"/>
      <c r="BC293" s="560"/>
      <c r="BD293" s="67"/>
      <c r="BE293" s="67"/>
      <c r="BF293" s="67"/>
      <c r="BG293" s="67"/>
      <c r="BH293" s="560"/>
      <c r="BI293" s="67"/>
      <c r="BJ293" s="67"/>
      <c r="BK293" s="67"/>
      <c r="BL293" s="67"/>
      <c r="BM293" s="560"/>
      <c r="BN293" s="67"/>
      <c r="BO293" s="67"/>
      <c r="BP293" s="67"/>
      <c r="BQ293" s="67"/>
      <c r="BR293" s="560"/>
      <c r="BS293" s="67"/>
      <c r="BT293" s="67"/>
      <c r="BU293" s="67"/>
      <c r="BV293" s="67"/>
      <c r="BW293" s="560"/>
      <c r="BX293" s="67"/>
      <c r="BY293" s="67"/>
      <c r="BZ293" s="67"/>
      <c r="CA293" s="67"/>
      <c r="CB293" s="560"/>
      <c r="CC293" s="67"/>
      <c r="CD293" s="67"/>
      <c r="CE293" s="67"/>
      <c r="CF293" s="67"/>
      <c r="CG293" s="560"/>
      <c r="CH293" s="67"/>
      <c r="CI293" s="67"/>
      <c r="CJ293" s="67"/>
      <c r="CK293" s="67"/>
      <c r="CL293" s="560"/>
      <c r="CM293" s="67"/>
      <c r="CN293" s="67"/>
      <c r="CO293" s="67"/>
      <c r="CP293" s="67"/>
      <c r="CQ293" s="560"/>
      <c r="CR293" s="67"/>
      <c r="CS293" s="67"/>
      <c r="CT293" s="67"/>
      <c r="CU293" s="67"/>
      <c r="CV293" s="560"/>
      <c r="CW293" s="67"/>
      <c r="CX293" s="67"/>
      <c r="CY293" s="67"/>
      <c r="CZ293" s="67"/>
      <c r="DA293" s="560"/>
      <c r="DB293" s="67"/>
      <c r="DC293" s="67"/>
      <c r="DD293" s="67"/>
      <c r="DE293" s="67"/>
      <c r="DF293" s="560"/>
      <c r="DG293" s="67"/>
      <c r="DH293" s="67"/>
      <c r="DI293" s="67"/>
      <c r="DJ293" s="67"/>
      <c r="DK293" s="560"/>
      <c r="DL293" s="67"/>
      <c r="DM293" s="67"/>
      <c r="DN293" s="67"/>
      <c r="DO293" s="67"/>
      <c r="DP293" s="560"/>
      <c r="DQ293" s="67"/>
      <c r="DR293" s="67"/>
      <c r="DS293" s="67"/>
      <c r="DT293" s="67"/>
      <c r="DU293" s="560"/>
      <c r="DV293" s="67"/>
      <c r="DW293" s="67"/>
      <c r="DX293" s="67"/>
      <c r="DY293" s="67"/>
      <c r="DZ293" s="560"/>
      <c r="EA293" s="67"/>
      <c r="EB293" s="67"/>
      <c r="EC293" s="67"/>
      <c r="ED293" s="67"/>
      <c r="EE293" s="560"/>
      <c r="EF293" s="67"/>
      <c r="EG293" s="67"/>
      <c r="EH293" s="67"/>
      <c r="EI293" s="67"/>
      <c r="EJ293" s="560"/>
      <c r="EK293" s="67"/>
      <c r="EL293" s="67"/>
      <c r="EM293" s="67"/>
      <c r="EN293" s="67"/>
      <c r="EO293" s="455"/>
      <c r="ER293" s="472"/>
      <c r="ES293" s="472"/>
    </row>
    <row r="294" spans="1:149" ht="12.75" customHeight="1" x14ac:dyDescent="0.2">
      <c r="A294" s="442"/>
      <c r="B294" s="442"/>
      <c r="D294" s="455" t="s">
        <v>403</v>
      </c>
      <c r="F294" s="442"/>
      <c r="G294" s="67">
        <f>SUM(G295:G295)</f>
        <v>0</v>
      </c>
      <c r="H294" s="67"/>
      <c r="I294" s="67"/>
      <c r="J294" s="560"/>
      <c r="K294" s="67"/>
      <c r="L294" s="67">
        <f>SUM(L295:L295)</f>
        <v>0</v>
      </c>
      <c r="M294" s="67"/>
      <c r="N294" s="67"/>
      <c r="O294" s="560"/>
      <c r="P294" s="67"/>
      <c r="Q294" s="67">
        <f>SUM(Q295:Q295)</f>
        <v>0</v>
      </c>
      <c r="R294" s="67"/>
      <c r="S294" s="67"/>
      <c r="T294" s="560"/>
      <c r="U294" s="67"/>
      <c r="V294" s="67">
        <f>SUM(V295:V295)</f>
        <v>0</v>
      </c>
      <c r="W294" s="67"/>
      <c r="X294" s="67"/>
      <c r="Y294" s="560"/>
      <c r="Z294" s="67"/>
      <c r="AA294" s="67">
        <f>SUM(AA295:AA295)</f>
        <v>0</v>
      </c>
      <c r="AB294" s="67"/>
      <c r="AC294" s="67"/>
      <c r="AD294" s="560"/>
      <c r="AE294" s="67"/>
      <c r="AF294" s="67">
        <f>SUM(AF295:AF295)</f>
        <v>0</v>
      </c>
      <c r="AG294" s="67"/>
      <c r="AH294" s="67"/>
      <c r="AI294" s="560"/>
      <c r="AJ294" s="67"/>
      <c r="AK294" s="67">
        <f>SUM(AK295:AK295)</f>
        <v>0</v>
      </c>
      <c r="AL294" s="67"/>
      <c r="AM294" s="67"/>
      <c r="AN294" s="560"/>
      <c r="AO294" s="67"/>
      <c r="AP294" s="67">
        <f>SUM(AP295:AP295)</f>
        <v>0</v>
      </c>
      <c r="AQ294" s="67"/>
      <c r="AR294" s="67"/>
      <c r="AS294" s="560"/>
      <c r="AT294" s="67"/>
      <c r="AU294" s="67">
        <f>SUM(AU295:AU295)</f>
        <v>0</v>
      </c>
      <c r="AV294" s="67"/>
      <c r="AW294" s="67"/>
      <c r="AX294" s="560"/>
      <c r="AY294" s="67"/>
      <c r="AZ294" s="67">
        <f>SUM(AZ295:AZ295)</f>
        <v>0</v>
      </c>
      <c r="BA294" s="67"/>
      <c r="BB294" s="67"/>
      <c r="BC294" s="560"/>
      <c r="BD294" s="67"/>
      <c r="BE294" s="67">
        <f>SUM(BE295:BE295)</f>
        <v>0</v>
      </c>
      <c r="BF294" s="67"/>
      <c r="BG294" s="67"/>
      <c r="BH294" s="560"/>
      <c r="BI294" s="67"/>
      <c r="BJ294" s="67">
        <f>SUM(BJ295:BJ295)</f>
        <v>0</v>
      </c>
      <c r="BK294" s="67"/>
      <c r="BL294" s="67"/>
      <c r="BM294" s="560"/>
      <c r="BN294" s="67"/>
      <c r="BO294" s="67">
        <f>SUM(BO295:BO295)</f>
        <v>0</v>
      </c>
      <c r="BP294" s="67"/>
      <c r="BQ294" s="67"/>
      <c r="BR294" s="560"/>
      <c r="BS294" s="67"/>
      <c r="BT294" s="67">
        <f>SUM(BT295:BT295)</f>
        <v>0</v>
      </c>
      <c r="BU294" s="67"/>
      <c r="BV294" s="67"/>
      <c r="BW294" s="560"/>
      <c r="BX294" s="67"/>
      <c r="BY294" s="67">
        <f>SUM(BY295:BY295)</f>
        <v>0</v>
      </c>
      <c r="BZ294" s="67"/>
      <c r="CA294" s="67"/>
      <c r="CB294" s="560"/>
      <c r="CC294" s="67"/>
      <c r="CD294" s="67">
        <f>SUM(CD295:CD295)</f>
        <v>0</v>
      </c>
      <c r="CE294" s="67"/>
      <c r="CF294" s="67"/>
      <c r="CG294" s="560"/>
      <c r="CH294" s="67"/>
      <c r="CI294" s="67">
        <f>SUM(CI295:CI295)</f>
        <v>0</v>
      </c>
      <c r="CJ294" s="67"/>
      <c r="CK294" s="67"/>
      <c r="CL294" s="560"/>
      <c r="CM294" s="67"/>
      <c r="CN294" s="67">
        <f>SUM(CN295:CN295)</f>
        <v>0</v>
      </c>
      <c r="CO294" s="67"/>
      <c r="CP294" s="67"/>
      <c r="CQ294" s="560"/>
      <c r="CR294" s="67"/>
      <c r="CS294" s="67">
        <f>SUM(CS295:CS295)</f>
        <v>0</v>
      </c>
      <c r="CT294" s="67"/>
      <c r="CU294" s="67"/>
      <c r="CV294" s="560"/>
      <c r="CW294" s="67"/>
      <c r="CX294" s="67">
        <f>SUM(CX295:CX295)</f>
        <v>0</v>
      </c>
      <c r="CY294" s="67"/>
      <c r="CZ294" s="67"/>
      <c r="DA294" s="560"/>
      <c r="DB294" s="67"/>
      <c r="DC294" s="67">
        <f>SUM(DC295:DC295)</f>
        <v>0</v>
      </c>
      <c r="DD294" s="67"/>
      <c r="DE294" s="67"/>
      <c r="DF294" s="560"/>
      <c r="DG294" s="67"/>
      <c r="DH294" s="67">
        <f>SUM(DH295:DH295)</f>
        <v>0</v>
      </c>
      <c r="DI294" s="67"/>
      <c r="DJ294" s="67"/>
      <c r="DK294" s="560"/>
      <c r="DL294" s="67"/>
      <c r="DM294" s="67">
        <f>SUM(DM295:DM295)</f>
        <v>0</v>
      </c>
      <c r="DN294" s="67"/>
      <c r="DO294" s="67"/>
      <c r="DP294" s="560"/>
      <c r="DQ294" s="67"/>
      <c r="DR294" s="67">
        <f>SUM(DR295:DR295)</f>
        <v>0</v>
      </c>
      <c r="DS294" s="67"/>
      <c r="DT294" s="67"/>
      <c r="DU294" s="560"/>
      <c r="DV294" s="67"/>
      <c r="DW294" s="67">
        <f>SUM(DW295:DW295)</f>
        <v>0</v>
      </c>
      <c r="DX294" s="67"/>
      <c r="DY294" s="67"/>
      <c r="DZ294" s="560"/>
      <c r="EA294" s="67"/>
      <c r="EB294" s="67">
        <f>SUM(EB295:EB295)</f>
        <v>0</v>
      </c>
      <c r="EC294" s="67"/>
      <c r="ED294" s="67"/>
      <c r="EE294" s="560"/>
      <c r="EF294" s="67"/>
      <c r="EG294" s="67">
        <f>SUM(EG295:EG295)</f>
        <v>0</v>
      </c>
      <c r="EH294" s="67"/>
      <c r="EI294" s="67"/>
      <c r="EJ294" s="560"/>
      <c r="EK294" s="67"/>
      <c r="EL294" s="67">
        <f>SUM(EL295:EL295)</f>
        <v>0</v>
      </c>
      <c r="EM294" s="67"/>
      <c r="EN294" s="67"/>
      <c r="EO294" s="455"/>
      <c r="ER294" s="472"/>
      <c r="ES294" s="472"/>
    </row>
    <row r="295" spans="1:149" ht="12.75" customHeight="1" x14ac:dyDescent="0.2">
      <c r="A295" s="442"/>
      <c r="B295" s="442"/>
      <c r="D295" s="455" t="s">
        <v>342</v>
      </c>
      <c r="F295" s="563"/>
      <c r="G295" s="564">
        <v>0</v>
      </c>
      <c r="H295" s="565"/>
      <c r="I295" s="67"/>
      <c r="J295" s="560"/>
      <c r="K295" s="566"/>
      <c r="L295" s="564">
        <v>0</v>
      </c>
      <c r="M295" s="565"/>
      <c r="N295" s="67"/>
      <c r="O295" s="560"/>
      <c r="P295" s="566"/>
      <c r="Q295" s="564">
        <v>0</v>
      </c>
      <c r="R295" s="565"/>
      <c r="S295" s="67"/>
      <c r="T295" s="560"/>
      <c r="U295" s="566"/>
      <c r="V295" s="564">
        <v>0</v>
      </c>
      <c r="W295" s="565"/>
      <c r="X295" s="67"/>
      <c r="Y295" s="560"/>
      <c r="Z295" s="566"/>
      <c r="AA295" s="564">
        <v>0</v>
      </c>
      <c r="AB295" s="565"/>
      <c r="AC295" s="67"/>
      <c r="AD295" s="560"/>
      <c r="AE295" s="566"/>
      <c r="AF295" s="564">
        <v>0</v>
      </c>
      <c r="AG295" s="565"/>
      <c r="AH295" s="67"/>
      <c r="AI295" s="560"/>
      <c r="AJ295" s="566"/>
      <c r="AK295" s="564">
        <v>0</v>
      </c>
      <c r="AL295" s="565"/>
      <c r="AM295" s="67"/>
      <c r="AN295" s="560"/>
      <c r="AO295" s="566"/>
      <c r="AP295" s="564">
        <v>0</v>
      </c>
      <c r="AQ295" s="565"/>
      <c r="AR295" s="67"/>
      <c r="AS295" s="560"/>
      <c r="AT295" s="566"/>
      <c r="AU295" s="564">
        <v>0</v>
      </c>
      <c r="AV295" s="565"/>
      <c r="AW295" s="67"/>
      <c r="AX295" s="560"/>
      <c r="AY295" s="566"/>
      <c r="AZ295" s="564">
        <v>0</v>
      </c>
      <c r="BA295" s="565"/>
      <c r="BB295" s="67"/>
      <c r="BC295" s="560"/>
      <c r="BD295" s="566"/>
      <c r="BE295" s="564">
        <v>0</v>
      </c>
      <c r="BF295" s="565"/>
      <c r="BG295" s="67"/>
      <c r="BH295" s="560"/>
      <c r="BI295" s="566"/>
      <c r="BJ295" s="564">
        <v>0</v>
      </c>
      <c r="BK295" s="565"/>
      <c r="BL295" s="67"/>
      <c r="BM295" s="560"/>
      <c r="BN295" s="566"/>
      <c r="BO295" s="564">
        <v>0</v>
      </c>
      <c r="BP295" s="565"/>
      <c r="BQ295" s="67"/>
      <c r="BR295" s="560"/>
      <c r="BS295" s="566"/>
      <c r="BT295" s="564">
        <f>SUM(L295:BO295)</f>
        <v>0</v>
      </c>
      <c r="BU295" s="565"/>
      <c r="BV295" s="67"/>
      <c r="BW295" s="560"/>
      <c r="BX295" s="566"/>
      <c r="BY295" s="564">
        <v>0</v>
      </c>
      <c r="BZ295" s="565"/>
      <c r="CA295" s="67"/>
      <c r="CB295" s="560"/>
      <c r="CC295" s="566"/>
      <c r="CD295" s="564">
        <v>0</v>
      </c>
      <c r="CE295" s="565"/>
      <c r="CF295" s="67"/>
      <c r="CG295" s="560"/>
      <c r="CH295" s="566"/>
      <c r="CI295" s="564">
        <v>0</v>
      </c>
      <c r="CJ295" s="565"/>
      <c r="CK295" s="67"/>
      <c r="CL295" s="560"/>
      <c r="CM295" s="566"/>
      <c r="CN295" s="564">
        <v>0</v>
      </c>
      <c r="CO295" s="565"/>
      <c r="CP295" s="67"/>
      <c r="CQ295" s="560"/>
      <c r="CR295" s="566"/>
      <c r="CS295" s="564">
        <v>0</v>
      </c>
      <c r="CT295" s="565"/>
      <c r="CU295" s="67"/>
      <c r="CV295" s="560"/>
      <c r="CW295" s="566"/>
      <c r="CX295" s="564">
        <v>0</v>
      </c>
      <c r="CY295" s="565"/>
      <c r="CZ295" s="67"/>
      <c r="DA295" s="560"/>
      <c r="DB295" s="566"/>
      <c r="DC295" s="564">
        <v>0</v>
      </c>
      <c r="DD295" s="565"/>
      <c r="DE295" s="67"/>
      <c r="DF295" s="560"/>
      <c r="DG295" s="566"/>
      <c r="DH295" s="564">
        <v>0</v>
      </c>
      <c r="DI295" s="565"/>
      <c r="DJ295" s="67"/>
      <c r="DK295" s="560"/>
      <c r="DL295" s="566"/>
      <c r="DM295" s="564">
        <v>0</v>
      </c>
      <c r="DN295" s="565"/>
      <c r="DO295" s="67"/>
      <c r="DP295" s="560"/>
      <c r="DQ295" s="566"/>
      <c r="DR295" s="564">
        <v>0</v>
      </c>
      <c r="DS295" s="565"/>
      <c r="DT295" s="67"/>
      <c r="DU295" s="560"/>
      <c r="DV295" s="566"/>
      <c r="DW295" s="564">
        <v>0</v>
      </c>
      <c r="DX295" s="565"/>
      <c r="DY295" s="67"/>
      <c r="DZ295" s="560"/>
      <c r="EA295" s="566"/>
      <c r="EB295" s="564">
        <v>0</v>
      </c>
      <c r="EC295" s="565"/>
      <c r="ED295" s="67"/>
      <c r="EE295" s="560"/>
      <c r="EF295" s="566"/>
      <c r="EG295" s="564">
        <v>0</v>
      </c>
      <c r="EH295" s="565"/>
      <c r="EI295" s="67"/>
      <c r="EJ295" s="560"/>
      <c r="EK295" s="566"/>
      <c r="EL295" s="564">
        <f>SUM(CD295:CI295)</f>
        <v>0</v>
      </c>
      <c r="EM295" s="565"/>
      <c r="EN295" s="67"/>
      <c r="EO295" s="455"/>
      <c r="ER295" s="472"/>
      <c r="ES295" s="472"/>
    </row>
    <row r="296" spans="1:149" ht="12.75" customHeight="1" x14ac:dyDescent="0.2">
      <c r="A296" s="442"/>
      <c r="B296" s="442"/>
      <c r="D296" s="455"/>
      <c r="F296" s="442"/>
      <c r="G296" s="67"/>
      <c r="H296" s="67"/>
      <c r="I296" s="67"/>
      <c r="J296" s="560"/>
      <c r="K296" s="67"/>
      <c r="L296" s="67"/>
      <c r="M296" s="67"/>
      <c r="N296" s="67"/>
      <c r="O296" s="560"/>
      <c r="P296" s="67"/>
      <c r="Q296" s="67"/>
      <c r="R296" s="67"/>
      <c r="S296" s="67"/>
      <c r="T296" s="560"/>
      <c r="U296" s="67"/>
      <c r="V296" s="67"/>
      <c r="W296" s="67"/>
      <c r="X296" s="67"/>
      <c r="Y296" s="560"/>
      <c r="Z296" s="67"/>
      <c r="AA296" s="67"/>
      <c r="AB296" s="67"/>
      <c r="AC296" s="67"/>
      <c r="AD296" s="560"/>
      <c r="AE296" s="67"/>
      <c r="AF296" s="67"/>
      <c r="AG296" s="67"/>
      <c r="AH296" s="67"/>
      <c r="AI296" s="560"/>
      <c r="AJ296" s="67"/>
      <c r="AK296" s="67"/>
      <c r="AL296" s="67"/>
      <c r="AM296" s="67"/>
      <c r="AN296" s="560"/>
      <c r="AO296" s="67"/>
      <c r="AP296" s="67"/>
      <c r="AQ296" s="67"/>
      <c r="AR296" s="67"/>
      <c r="AS296" s="560"/>
      <c r="AT296" s="67"/>
      <c r="AU296" s="67"/>
      <c r="AV296" s="67"/>
      <c r="AW296" s="67"/>
      <c r="AX296" s="560"/>
      <c r="AY296" s="67"/>
      <c r="AZ296" s="67"/>
      <c r="BA296" s="67"/>
      <c r="BB296" s="67"/>
      <c r="BC296" s="560"/>
      <c r="BD296" s="67"/>
      <c r="BE296" s="67"/>
      <c r="BF296" s="67"/>
      <c r="BG296" s="67"/>
      <c r="BH296" s="560"/>
      <c r="BI296" s="67"/>
      <c r="BJ296" s="67"/>
      <c r="BK296" s="67"/>
      <c r="BL296" s="67"/>
      <c r="BM296" s="560"/>
      <c r="BN296" s="67"/>
      <c r="BO296" s="67"/>
      <c r="BP296" s="67"/>
      <c r="BQ296" s="67"/>
      <c r="BR296" s="560"/>
      <c r="BS296" s="67"/>
      <c r="BT296" s="67"/>
      <c r="BU296" s="67"/>
      <c r="BV296" s="67"/>
      <c r="BW296" s="560"/>
      <c r="BX296" s="67"/>
      <c r="BY296" s="67"/>
      <c r="BZ296" s="67"/>
      <c r="CA296" s="67"/>
      <c r="CB296" s="560"/>
      <c r="CC296" s="67"/>
      <c r="CD296" s="67"/>
      <c r="CE296" s="67"/>
      <c r="CF296" s="67"/>
      <c r="CG296" s="560"/>
      <c r="CH296" s="67"/>
      <c r="CI296" s="67"/>
      <c r="CJ296" s="67"/>
      <c r="CK296" s="67"/>
      <c r="CL296" s="560"/>
      <c r="CM296" s="67"/>
      <c r="CN296" s="67"/>
      <c r="CO296" s="67"/>
      <c r="CP296" s="67"/>
      <c r="CQ296" s="560"/>
      <c r="CR296" s="67"/>
      <c r="CS296" s="67"/>
      <c r="CT296" s="67"/>
      <c r="CU296" s="67"/>
      <c r="CV296" s="560"/>
      <c r="CW296" s="67"/>
      <c r="CX296" s="67"/>
      <c r="CY296" s="67"/>
      <c r="CZ296" s="67"/>
      <c r="DA296" s="560"/>
      <c r="DB296" s="67"/>
      <c r="DC296" s="67"/>
      <c r="DD296" s="67"/>
      <c r="DE296" s="67"/>
      <c r="DF296" s="560"/>
      <c r="DG296" s="67"/>
      <c r="DH296" s="67"/>
      <c r="DI296" s="67"/>
      <c r="DJ296" s="67"/>
      <c r="DK296" s="560"/>
      <c r="DL296" s="67"/>
      <c r="DM296" s="67"/>
      <c r="DN296" s="67"/>
      <c r="DO296" s="67"/>
      <c r="DP296" s="560"/>
      <c r="DQ296" s="67"/>
      <c r="DR296" s="67"/>
      <c r="DS296" s="67"/>
      <c r="DT296" s="67"/>
      <c r="DU296" s="560"/>
      <c r="DV296" s="67"/>
      <c r="DW296" s="67"/>
      <c r="DX296" s="67"/>
      <c r="DY296" s="67"/>
      <c r="DZ296" s="560"/>
      <c r="EA296" s="67"/>
      <c r="EB296" s="67"/>
      <c r="EC296" s="67"/>
      <c r="ED296" s="67"/>
      <c r="EE296" s="560"/>
      <c r="EF296" s="67"/>
      <c r="EG296" s="67"/>
      <c r="EH296" s="67"/>
      <c r="EI296" s="67"/>
      <c r="EJ296" s="560"/>
      <c r="EK296" s="67"/>
      <c r="EL296" s="67"/>
      <c r="EM296" s="67"/>
      <c r="EN296" s="67"/>
      <c r="EO296" s="455"/>
      <c r="ER296" s="472"/>
      <c r="ES296" s="472"/>
    </row>
    <row r="297" spans="1:149" x14ac:dyDescent="0.2">
      <c r="A297" s="442"/>
      <c r="B297" s="442"/>
      <c r="D297" s="455" t="s">
        <v>353</v>
      </c>
      <c r="F297" s="442"/>
      <c r="G297" s="67">
        <f>SUM(G298:G298)</f>
        <v>0</v>
      </c>
      <c r="H297" s="67"/>
      <c r="I297" s="67"/>
      <c r="J297" s="560"/>
      <c r="K297" s="67"/>
      <c r="L297" s="67">
        <f>SUM(L298:L298)</f>
        <v>0</v>
      </c>
      <c r="M297" s="67"/>
      <c r="N297" s="67"/>
      <c r="O297" s="560"/>
      <c r="P297" s="67"/>
      <c r="Q297" s="67">
        <f>SUM(Q298:Q298)</f>
        <v>29682</v>
      </c>
      <c r="R297" s="67"/>
      <c r="S297" s="67"/>
      <c r="T297" s="560"/>
      <c r="U297" s="67"/>
      <c r="V297" s="67">
        <f>SUM(V298:V298)</f>
        <v>0</v>
      </c>
      <c r="W297" s="67"/>
      <c r="X297" s="67"/>
      <c r="Y297" s="560"/>
      <c r="Z297" s="67"/>
      <c r="AA297" s="67">
        <f>SUM(AA298:AA298)</f>
        <v>0</v>
      </c>
      <c r="AB297" s="67"/>
      <c r="AC297" s="67"/>
      <c r="AD297" s="560"/>
      <c r="AE297" s="67"/>
      <c r="AF297" s="67">
        <f>SUM(AF298:AF298)</f>
        <v>0</v>
      </c>
      <c r="AG297" s="67"/>
      <c r="AH297" s="67"/>
      <c r="AI297" s="560"/>
      <c r="AJ297" s="67"/>
      <c r="AK297" s="67">
        <f>SUM(AK298:AK298)</f>
        <v>0</v>
      </c>
      <c r="AL297" s="67"/>
      <c r="AM297" s="67"/>
      <c r="AN297" s="560"/>
      <c r="AO297" s="67"/>
      <c r="AP297" s="67">
        <f>SUM(AP298:AP298)</f>
        <v>0</v>
      </c>
      <c r="AQ297" s="67"/>
      <c r="AR297" s="67"/>
      <c r="AS297" s="560"/>
      <c r="AT297" s="67"/>
      <c r="AU297" s="67">
        <f>SUM(AU298:AU298)</f>
        <v>0</v>
      </c>
      <c r="AV297" s="67"/>
      <c r="AW297" s="67"/>
      <c r="AX297" s="560"/>
      <c r="AY297" s="67"/>
      <c r="AZ297" s="67">
        <f>SUM(AZ298:AZ298)</f>
        <v>0</v>
      </c>
      <c r="BA297" s="67"/>
      <c r="BB297" s="67"/>
      <c r="BC297" s="560"/>
      <c r="BD297" s="67"/>
      <c r="BE297" s="67">
        <f>SUM(BE298:BE298)</f>
        <v>0</v>
      </c>
      <c r="BF297" s="67"/>
      <c r="BG297" s="67"/>
      <c r="BH297" s="560"/>
      <c r="BI297" s="67"/>
      <c r="BJ297" s="67">
        <f>SUM(BJ298:BJ298)</f>
        <v>0</v>
      </c>
      <c r="BK297" s="67"/>
      <c r="BL297" s="67"/>
      <c r="BM297" s="560"/>
      <c r="BN297" s="67"/>
      <c r="BO297" s="67">
        <f>SUM(BO298:BO298)</f>
        <v>0</v>
      </c>
      <c r="BP297" s="67"/>
      <c r="BQ297" s="67"/>
      <c r="BR297" s="560"/>
      <c r="BS297" s="67"/>
      <c r="BT297" s="67">
        <f>SUM(BT298:BT298)</f>
        <v>29682</v>
      </c>
      <c r="BU297" s="67"/>
      <c r="BV297" s="67"/>
      <c r="BW297" s="560"/>
      <c r="BX297" s="67"/>
      <c r="BY297" s="67">
        <f>SUM(BY298:BY298)</f>
        <v>3225244</v>
      </c>
      <c r="BZ297" s="67"/>
      <c r="CA297" s="67"/>
      <c r="CB297" s="560"/>
      <c r="CC297" s="67"/>
      <c r="CD297" s="67">
        <f>SUM(CD298:CD298)</f>
        <v>3109689</v>
      </c>
      <c r="CE297" s="67"/>
      <c r="CF297" s="67"/>
      <c r="CG297" s="560"/>
      <c r="CH297" s="67"/>
      <c r="CI297" s="67">
        <f>SUM(CI298:CI298)</f>
        <v>0</v>
      </c>
      <c r="CJ297" s="67"/>
      <c r="CK297" s="67"/>
      <c r="CL297" s="560"/>
      <c r="CM297" s="67"/>
      <c r="CN297" s="67">
        <f>SUM(CN298:CN298)</f>
        <v>0</v>
      </c>
      <c r="CO297" s="67"/>
      <c r="CP297" s="67"/>
      <c r="CQ297" s="560"/>
      <c r="CR297" s="67"/>
      <c r="CS297" s="67">
        <f>SUM(CS298:CS298)</f>
        <v>0</v>
      </c>
      <c r="CT297" s="67"/>
      <c r="CU297" s="67"/>
      <c r="CV297" s="560"/>
      <c r="CW297" s="67"/>
      <c r="CX297" s="67">
        <f>SUM(CX298:CX298)</f>
        <v>0</v>
      </c>
      <c r="CY297" s="67"/>
      <c r="CZ297" s="67"/>
      <c r="DA297" s="560"/>
      <c r="DB297" s="67"/>
      <c r="DC297" s="67">
        <f>SUM(DC298:DC298)</f>
        <v>115555</v>
      </c>
      <c r="DD297" s="67"/>
      <c r="DE297" s="67"/>
      <c r="DF297" s="560"/>
      <c r="DG297" s="67"/>
      <c r="DH297" s="67">
        <f>SUM(DH298:DH298)</f>
        <v>0</v>
      </c>
      <c r="DI297" s="67"/>
      <c r="DJ297" s="67"/>
      <c r="DK297" s="560"/>
      <c r="DL297" s="67"/>
      <c r="DM297" s="67">
        <f>SUM(DM298:DM298)</f>
        <v>0</v>
      </c>
      <c r="DN297" s="67"/>
      <c r="DO297" s="67"/>
      <c r="DP297" s="560"/>
      <c r="DQ297" s="67"/>
      <c r="DR297" s="67">
        <f>SUM(DR298:DR298)</f>
        <v>0</v>
      </c>
      <c r="DS297" s="67"/>
      <c r="DT297" s="67"/>
      <c r="DU297" s="560"/>
      <c r="DV297" s="67"/>
      <c r="DW297" s="67">
        <f>SUM(DW298:DW298)</f>
        <v>0</v>
      </c>
      <c r="DX297" s="67"/>
      <c r="DY297" s="67"/>
      <c r="DZ297" s="560"/>
      <c r="EA297" s="67"/>
      <c r="EB297" s="67">
        <f>SUM(EB298:EB298)</f>
        <v>0</v>
      </c>
      <c r="EC297" s="67"/>
      <c r="ED297" s="67"/>
      <c r="EE297" s="560"/>
      <c r="EF297" s="67"/>
      <c r="EG297" s="67">
        <f>SUM(EG298:EG298)</f>
        <v>0</v>
      </c>
      <c r="EH297" s="67"/>
      <c r="EI297" s="67"/>
      <c r="EJ297" s="560"/>
      <c r="EK297" s="67"/>
      <c r="EL297" s="67">
        <f>SUM(EL298:EL298)</f>
        <v>3109689</v>
      </c>
      <c r="EM297" s="67"/>
      <c r="EN297" s="67"/>
      <c r="EO297" s="455"/>
      <c r="ER297" s="472"/>
      <c r="ES297" s="472"/>
    </row>
    <row r="298" spans="1:149" x14ac:dyDescent="0.2">
      <c r="A298" s="442"/>
      <c r="B298" s="442"/>
      <c r="D298" s="455" t="s">
        <v>342</v>
      </c>
      <c r="F298" s="563"/>
      <c r="G298" s="564">
        <v>0</v>
      </c>
      <c r="H298" s="565"/>
      <c r="I298" s="67"/>
      <c r="J298" s="560"/>
      <c r="K298" s="566"/>
      <c r="L298" s="564">
        <v>0</v>
      </c>
      <c r="M298" s="565"/>
      <c r="N298" s="67"/>
      <c r="O298" s="560"/>
      <c r="P298" s="566"/>
      <c r="Q298" s="564">
        <v>29682</v>
      </c>
      <c r="R298" s="565"/>
      <c r="S298" s="67"/>
      <c r="T298" s="560"/>
      <c r="U298" s="566"/>
      <c r="V298" s="564">
        <v>0</v>
      </c>
      <c r="W298" s="565"/>
      <c r="X298" s="67"/>
      <c r="Y298" s="560"/>
      <c r="Z298" s="566"/>
      <c r="AA298" s="564">
        <v>0</v>
      </c>
      <c r="AB298" s="565"/>
      <c r="AC298" s="67"/>
      <c r="AD298" s="560"/>
      <c r="AE298" s="566"/>
      <c r="AF298" s="564">
        <v>0</v>
      </c>
      <c r="AG298" s="565"/>
      <c r="AH298" s="67"/>
      <c r="AI298" s="560"/>
      <c r="AJ298" s="566"/>
      <c r="AK298" s="564">
        <v>0</v>
      </c>
      <c r="AL298" s="565"/>
      <c r="AM298" s="67"/>
      <c r="AN298" s="560"/>
      <c r="AO298" s="566"/>
      <c r="AP298" s="564">
        <v>0</v>
      </c>
      <c r="AQ298" s="565"/>
      <c r="AR298" s="67"/>
      <c r="AS298" s="560"/>
      <c r="AT298" s="566"/>
      <c r="AU298" s="564">
        <v>0</v>
      </c>
      <c r="AV298" s="565"/>
      <c r="AW298" s="67"/>
      <c r="AX298" s="560"/>
      <c r="AY298" s="566"/>
      <c r="AZ298" s="564">
        <v>0</v>
      </c>
      <c r="BA298" s="565"/>
      <c r="BB298" s="67"/>
      <c r="BC298" s="560"/>
      <c r="BD298" s="566"/>
      <c r="BE298" s="564">
        <v>0</v>
      </c>
      <c r="BF298" s="565"/>
      <c r="BG298" s="67"/>
      <c r="BH298" s="560"/>
      <c r="BI298" s="566"/>
      <c r="BJ298" s="564">
        <v>0</v>
      </c>
      <c r="BK298" s="565"/>
      <c r="BL298" s="67"/>
      <c r="BM298" s="560"/>
      <c r="BN298" s="566"/>
      <c r="BO298" s="564">
        <v>0</v>
      </c>
      <c r="BP298" s="565"/>
      <c r="BQ298" s="67"/>
      <c r="BR298" s="560"/>
      <c r="BS298" s="566"/>
      <c r="BT298" s="564">
        <f>SUM(L298:BO298)</f>
        <v>29682</v>
      </c>
      <c r="BU298" s="565"/>
      <c r="BV298" s="67"/>
      <c r="BW298" s="560"/>
      <c r="BX298" s="566"/>
      <c r="BY298" s="564">
        <v>3225244</v>
      </c>
      <c r="BZ298" s="565"/>
      <c r="CA298" s="67"/>
      <c r="CB298" s="560"/>
      <c r="CC298" s="566"/>
      <c r="CD298" s="564">
        <v>3109689</v>
      </c>
      <c r="CE298" s="565"/>
      <c r="CF298" s="67"/>
      <c r="CG298" s="560"/>
      <c r="CH298" s="566"/>
      <c r="CI298" s="564">
        <v>0</v>
      </c>
      <c r="CJ298" s="565"/>
      <c r="CK298" s="67"/>
      <c r="CL298" s="560"/>
      <c r="CM298" s="566"/>
      <c r="CN298" s="564">
        <v>0</v>
      </c>
      <c r="CO298" s="565"/>
      <c r="CP298" s="67"/>
      <c r="CQ298" s="560"/>
      <c r="CR298" s="566"/>
      <c r="CS298" s="564">
        <v>0</v>
      </c>
      <c r="CT298" s="565"/>
      <c r="CU298" s="67"/>
      <c r="CV298" s="560"/>
      <c r="CW298" s="566"/>
      <c r="CX298" s="564">
        <v>0</v>
      </c>
      <c r="CY298" s="565"/>
      <c r="CZ298" s="67"/>
      <c r="DA298" s="560"/>
      <c r="DB298" s="566"/>
      <c r="DC298" s="564">
        <v>115555</v>
      </c>
      <c r="DD298" s="565"/>
      <c r="DE298" s="67"/>
      <c r="DF298" s="560"/>
      <c r="DG298" s="566"/>
      <c r="DH298" s="564">
        <v>0</v>
      </c>
      <c r="DI298" s="565"/>
      <c r="DJ298" s="67"/>
      <c r="DK298" s="560"/>
      <c r="DL298" s="566"/>
      <c r="DM298" s="564">
        <v>0</v>
      </c>
      <c r="DN298" s="565"/>
      <c r="DO298" s="67"/>
      <c r="DP298" s="560"/>
      <c r="DQ298" s="566"/>
      <c r="DR298" s="564">
        <v>0</v>
      </c>
      <c r="DS298" s="565"/>
      <c r="DT298" s="67"/>
      <c r="DU298" s="560"/>
      <c r="DV298" s="566"/>
      <c r="DW298" s="564">
        <v>0</v>
      </c>
      <c r="DX298" s="565"/>
      <c r="DY298" s="67"/>
      <c r="DZ298" s="560"/>
      <c r="EA298" s="566"/>
      <c r="EB298" s="564">
        <v>0</v>
      </c>
      <c r="EC298" s="565"/>
      <c r="ED298" s="67"/>
      <c r="EE298" s="560"/>
      <c r="EF298" s="566"/>
      <c r="EG298" s="564">
        <v>0</v>
      </c>
      <c r="EH298" s="565"/>
      <c r="EI298" s="67"/>
      <c r="EJ298" s="560"/>
      <c r="EK298" s="566"/>
      <c r="EL298" s="564">
        <f>SUM(CD298:CI298)</f>
        <v>3109689</v>
      </c>
      <c r="EM298" s="565"/>
      <c r="EN298" s="67"/>
      <c r="EO298" s="455"/>
      <c r="ER298" s="472"/>
      <c r="ES298" s="472"/>
    </row>
    <row r="299" spans="1:149" x14ac:dyDescent="0.2">
      <c r="A299" s="442"/>
      <c r="B299" s="442"/>
      <c r="D299" s="455"/>
      <c r="F299" s="442"/>
      <c r="G299" s="67"/>
      <c r="H299" s="67"/>
      <c r="I299" s="67"/>
      <c r="J299" s="560"/>
      <c r="K299" s="67"/>
      <c r="L299" s="67"/>
      <c r="M299" s="67"/>
      <c r="N299" s="67"/>
      <c r="O299" s="560"/>
      <c r="P299" s="67"/>
      <c r="Q299" s="67"/>
      <c r="R299" s="67"/>
      <c r="S299" s="67"/>
      <c r="T299" s="560"/>
      <c r="U299" s="67"/>
      <c r="V299" s="67"/>
      <c r="W299" s="67"/>
      <c r="X299" s="67"/>
      <c r="Y299" s="560"/>
      <c r="Z299" s="67"/>
      <c r="AA299" s="67"/>
      <c r="AB299" s="67"/>
      <c r="AC299" s="67"/>
      <c r="AD299" s="560"/>
      <c r="AE299" s="67"/>
      <c r="AF299" s="67"/>
      <c r="AG299" s="67"/>
      <c r="AH299" s="67"/>
      <c r="AI299" s="560"/>
      <c r="AJ299" s="67"/>
      <c r="AK299" s="67"/>
      <c r="AL299" s="67"/>
      <c r="AM299" s="67"/>
      <c r="AN299" s="560"/>
      <c r="AO299" s="67"/>
      <c r="AP299" s="67"/>
      <c r="AQ299" s="67"/>
      <c r="AR299" s="67"/>
      <c r="AS299" s="560"/>
      <c r="AT299" s="67"/>
      <c r="AU299" s="67"/>
      <c r="AV299" s="67"/>
      <c r="AW299" s="67"/>
      <c r="AX299" s="560"/>
      <c r="AY299" s="67"/>
      <c r="AZ299" s="67"/>
      <c r="BA299" s="67"/>
      <c r="BB299" s="67"/>
      <c r="BC299" s="560"/>
      <c r="BD299" s="67"/>
      <c r="BE299" s="67"/>
      <c r="BF299" s="67"/>
      <c r="BG299" s="67"/>
      <c r="BH299" s="560"/>
      <c r="BI299" s="67"/>
      <c r="BJ299" s="67"/>
      <c r="BK299" s="67"/>
      <c r="BL299" s="67"/>
      <c r="BM299" s="560"/>
      <c r="BN299" s="67"/>
      <c r="BO299" s="67"/>
      <c r="BP299" s="67"/>
      <c r="BQ299" s="67"/>
      <c r="BR299" s="560"/>
      <c r="BS299" s="67"/>
      <c r="BT299" s="67"/>
      <c r="BU299" s="67"/>
      <c r="BV299" s="67"/>
      <c r="BW299" s="560"/>
      <c r="BX299" s="67"/>
      <c r="BY299" s="67"/>
      <c r="BZ299" s="67"/>
      <c r="CA299" s="67"/>
      <c r="CB299" s="560"/>
      <c r="CC299" s="67"/>
      <c r="CD299" s="67"/>
      <c r="CE299" s="67"/>
      <c r="CF299" s="67"/>
      <c r="CG299" s="560"/>
      <c r="CH299" s="67"/>
      <c r="CI299" s="67"/>
      <c r="CJ299" s="67"/>
      <c r="CK299" s="67"/>
      <c r="CL299" s="560"/>
      <c r="CM299" s="67"/>
      <c r="CN299" s="67"/>
      <c r="CO299" s="67"/>
      <c r="CP299" s="67"/>
      <c r="CQ299" s="560"/>
      <c r="CR299" s="67"/>
      <c r="CS299" s="67"/>
      <c r="CT299" s="67"/>
      <c r="CU299" s="67"/>
      <c r="CV299" s="560"/>
      <c r="CW299" s="67"/>
      <c r="CX299" s="67"/>
      <c r="CY299" s="67"/>
      <c r="CZ299" s="67"/>
      <c r="DA299" s="560"/>
      <c r="DB299" s="67"/>
      <c r="DC299" s="67"/>
      <c r="DD299" s="67"/>
      <c r="DE299" s="67"/>
      <c r="DF299" s="560"/>
      <c r="DG299" s="67"/>
      <c r="DH299" s="67"/>
      <c r="DI299" s="67"/>
      <c r="DJ299" s="67"/>
      <c r="DK299" s="560"/>
      <c r="DL299" s="67"/>
      <c r="DM299" s="67"/>
      <c r="DN299" s="67"/>
      <c r="DO299" s="67"/>
      <c r="DP299" s="560"/>
      <c r="DQ299" s="67"/>
      <c r="DR299" s="67"/>
      <c r="DS299" s="67"/>
      <c r="DT299" s="67"/>
      <c r="DU299" s="560"/>
      <c r="DV299" s="67"/>
      <c r="DW299" s="67"/>
      <c r="DX299" s="67"/>
      <c r="DY299" s="67"/>
      <c r="DZ299" s="560"/>
      <c r="EA299" s="67"/>
      <c r="EB299" s="67"/>
      <c r="EC299" s="67"/>
      <c r="ED299" s="67"/>
      <c r="EE299" s="560"/>
      <c r="EF299" s="67"/>
      <c r="EG299" s="67"/>
      <c r="EH299" s="67"/>
      <c r="EI299" s="67"/>
      <c r="EJ299" s="560"/>
      <c r="EK299" s="67"/>
      <c r="EL299" s="67"/>
      <c r="EM299" s="67"/>
      <c r="EN299" s="67"/>
      <c r="EO299" s="455"/>
      <c r="ER299" s="472"/>
      <c r="ES299" s="472"/>
    </row>
    <row r="300" spans="1:149" ht="12.75" hidden="1" customHeight="1" x14ac:dyDescent="0.2">
      <c r="A300" s="442"/>
      <c r="B300" s="442"/>
      <c r="D300" s="455" t="s">
        <v>368</v>
      </c>
      <c r="F300" s="442"/>
      <c r="G300" s="67">
        <f>SUM(G301:G301)</f>
        <v>0</v>
      </c>
      <c r="H300" s="67"/>
      <c r="I300" s="67"/>
      <c r="J300" s="560"/>
      <c r="K300" s="67"/>
      <c r="L300" s="67">
        <f>SUM(L301:L301)</f>
        <v>0</v>
      </c>
      <c r="M300" s="67"/>
      <c r="N300" s="67"/>
      <c r="O300" s="560"/>
      <c r="P300" s="67"/>
      <c r="Q300" s="67">
        <f>SUM(Q301:Q301)</f>
        <v>0</v>
      </c>
      <c r="R300" s="67"/>
      <c r="S300" s="67"/>
      <c r="T300" s="560"/>
      <c r="U300" s="67"/>
      <c r="V300" s="67"/>
      <c r="W300" s="67"/>
      <c r="X300" s="67"/>
      <c r="Y300" s="560"/>
      <c r="Z300" s="67"/>
      <c r="AA300" s="67">
        <f>+AA301</f>
        <v>0</v>
      </c>
      <c r="AB300" s="67"/>
      <c r="AC300" s="67"/>
      <c r="AD300" s="560"/>
      <c r="AE300" s="67"/>
      <c r="AF300" s="67"/>
      <c r="AG300" s="67"/>
      <c r="AH300" s="67"/>
      <c r="AI300" s="560"/>
      <c r="AJ300" s="67"/>
      <c r="AK300" s="67">
        <f>SUM(AK301:AK301)</f>
        <v>0</v>
      </c>
      <c r="AL300" s="67"/>
      <c r="AM300" s="67"/>
      <c r="AN300" s="560"/>
      <c r="AO300" s="67"/>
      <c r="AP300" s="67"/>
      <c r="AQ300" s="67"/>
      <c r="AR300" s="67"/>
      <c r="AS300" s="560"/>
      <c r="AT300" s="67"/>
      <c r="AU300" s="67"/>
      <c r="AV300" s="67"/>
      <c r="AW300" s="67"/>
      <c r="AX300" s="560"/>
      <c r="AY300" s="67"/>
      <c r="AZ300" s="67"/>
      <c r="BA300" s="67"/>
      <c r="BB300" s="67"/>
      <c r="BC300" s="560"/>
      <c r="BD300" s="67"/>
      <c r="BE300" s="67">
        <f>SUM(BE301:BE301)</f>
        <v>0</v>
      </c>
      <c r="BF300" s="67"/>
      <c r="BG300" s="67"/>
      <c r="BH300" s="560"/>
      <c r="BI300" s="67"/>
      <c r="BJ300" s="67">
        <f>SUM(BJ301:BJ301)</f>
        <v>0</v>
      </c>
      <c r="BK300" s="67"/>
      <c r="BL300" s="67"/>
      <c r="BM300" s="560"/>
      <c r="BN300" s="67"/>
      <c r="BO300" s="67">
        <f>SUM(BO301:BO301)</f>
        <v>0</v>
      </c>
      <c r="BP300" s="67"/>
      <c r="BQ300" s="67"/>
      <c r="BR300" s="560"/>
      <c r="BS300" s="67"/>
      <c r="BT300" s="67">
        <f>SUM(BT301:BT301)</f>
        <v>0</v>
      </c>
      <c r="BU300" s="67"/>
      <c r="BV300" s="67"/>
      <c r="BW300" s="560"/>
      <c r="BX300" s="67"/>
      <c r="BY300" s="67">
        <f>SUM(BY301:BY301)</f>
        <v>0</v>
      </c>
      <c r="BZ300" s="67"/>
      <c r="CA300" s="67"/>
      <c r="CB300" s="560"/>
      <c r="CC300" s="67"/>
      <c r="CD300" s="67">
        <f>SUM(CD301:CD301)</f>
        <v>0</v>
      </c>
      <c r="CE300" s="67"/>
      <c r="CF300" s="67"/>
      <c r="CG300" s="560"/>
      <c r="CH300" s="67"/>
      <c r="CI300" s="67">
        <f>SUM(CI301:CI301)</f>
        <v>0</v>
      </c>
      <c r="CJ300" s="67"/>
      <c r="CK300" s="67"/>
      <c r="CL300" s="560"/>
      <c r="CM300" s="67"/>
      <c r="CN300" s="67"/>
      <c r="CO300" s="67"/>
      <c r="CP300" s="67"/>
      <c r="CQ300" s="560"/>
      <c r="CR300" s="67"/>
      <c r="CS300" s="67">
        <f>+CS301</f>
        <v>0</v>
      </c>
      <c r="CT300" s="67"/>
      <c r="CU300" s="67"/>
      <c r="CV300" s="560"/>
      <c r="CW300" s="67"/>
      <c r="CX300" s="67"/>
      <c r="CY300" s="67"/>
      <c r="CZ300" s="67"/>
      <c r="DA300" s="560"/>
      <c r="DB300" s="67"/>
      <c r="DC300" s="67">
        <f>SUM(DC301:DC301)</f>
        <v>0</v>
      </c>
      <c r="DD300" s="67"/>
      <c r="DE300" s="67"/>
      <c r="DF300" s="560"/>
      <c r="DG300" s="67"/>
      <c r="DH300" s="67"/>
      <c r="DI300" s="67"/>
      <c r="DJ300" s="67"/>
      <c r="DK300" s="560"/>
      <c r="DL300" s="67"/>
      <c r="DM300" s="67"/>
      <c r="DN300" s="67"/>
      <c r="DO300" s="67"/>
      <c r="DP300" s="560"/>
      <c r="DQ300" s="67"/>
      <c r="DR300" s="67"/>
      <c r="DS300" s="67"/>
      <c r="DT300" s="67"/>
      <c r="DU300" s="560"/>
      <c r="DV300" s="67"/>
      <c r="DW300" s="67">
        <f>SUM(DW301:DW301)</f>
        <v>0</v>
      </c>
      <c r="DX300" s="67"/>
      <c r="DY300" s="67"/>
      <c r="DZ300" s="560"/>
      <c r="EA300" s="67"/>
      <c r="EB300" s="67">
        <f>SUM(EB301:EB301)</f>
        <v>0</v>
      </c>
      <c r="EC300" s="67"/>
      <c r="ED300" s="67"/>
      <c r="EE300" s="560"/>
      <c r="EF300" s="67"/>
      <c r="EG300" s="67">
        <f>SUM(EG301:EG301)</f>
        <v>0</v>
      </c>
      <c r="EH300" s="67"/>
      <c r="EI300" s="67"/>
      <c r="EJ300" s="560"/>
      <c r="EK300" s="67"/>
      <c r="EL300" s="67">
        <f>SUM(EL301:EL301)</f>
        <v>0</v>
      </c>
      <c r="EM300" s="67"/>
      <c r="EN300" s="67"/>
      <c r="EO300" s="455"/>
      <c r="ER300" s="472"/>
      <c r="ES300" s="472"/>
    </row>
    <row r="301" spans="1:149" ht="12.75" hidden="1" customHeight="1" x14ac:dyDescent="0.2">
      <c r="A301" s="442"/>
      <c r="B301" s="442"/>
      <c r="D301" s="455" t="s">
        <v>342</v>
      </c>
      <c r="F301" s="563"/>
      <c r="G301" s="564">
        <v>0</v>
      </c>
      <c r="H301" s="565"/>
      <c r="I301" s="67"/>
      <c r="J301" s="560"/>
      <c r="K301" s="566"/>
      <c r="L301" s="590">
        <v>0</v>
      </c>
      <c r="M301" s="565"/>
      <c r="N301" s="67"/>
      <c r="O301" s="560"/>
      <c r="P301" s="566"/>
      <c r="Q301" s="590">
        <v>0</v>
      </c>
      <c r="R301" s="565"/>
      <c r="S301" s="67"/>
      <c r="T301" s="560"/>
      <c r="U301" s="566"/>
      <c r="V301" s="590">
        <v>0</v>
      </c>
      <c r="W301" s="565"/>
      <c r="X301" s="66"/>
      <c r="Y301" s="560"/>
      <c r="Z301" s="566"/>
      <c r="AA301" s="590">
        <v>0</v>
      </c>
      <c r="AB301" s="565"/>
      <c r="AC301" s="63"/>
      <c r="AD301" s="560"/>
      <c r="AE301" s="566"/>
      <c r="AF301" s="590">
        <v>0</v>
      </c>
      <c r="AG301" s="565"/>
      <c r="AH301" s="67"/>
      <c r="AI301" s="560"/>
      <c r="AJ301" s="566"/>
      <c r="AK301" s="590">
        <v>0</v>
      </c>
      <c r="AL301" s="565"/>
      <c r="AM301" s="67"/>
      <c r="AN301" s="560"/>
      <c r="AO301" s="566"/>
      <c r="AP301" s="590">
        <v>0</v>
      </c>
      <c r="AQ301" s="565"/>
      <c r="AR301" s="67"/>
      <c r="AS301" s="560"/>
      <c r="AT301" s="566"/>
      <c r="AU301" s="590">
        <v>0</v>
      </c>
      <c r="AV301" s="565"/>
      <c r="AW301" s="67"/>
      <c r="AX301" s="560"/>
      <c r="AY301" s="566"/>
      <c r="AZ301" s="590">
        <v>0</v>
      </c>
      <c r="BA301" s="565"/>
      <c r="BB301" s="67"/>
      <c r="BC301" s="560"/>
      <c r="BD301" s="566"/>
      <c r="BE301" s="590">
        <v>0</v>
      </c>
      <c r="BF301" s="565"/>
      <c r="BG301" s="67"/>
      <c r="BH301" s="560"/>
      <c r="BI301" s="566"/>
      <c r="BJ301" s="590">
        <v>0</v>
      </c>
      <c r="BK301" s="565"/>
      <c r="BL301" s="67"/>
      <c r="BM301" s="560"/>
      <c r="BN301" s="566"/>
      <c r="BO301" s="590">
        <v>0</v>
      </c>
      <c r="BP301" s="565"/>
      <c r="BQ301" s="67"/>
      <c r="BR301" s="560"/>
      <c r="BS301" s="563"/>
      <c r="BT301" s="590">
        <f>SUM(L301:BO301)</f>
        <v>0</v>
      </c>
      <c r="BU301" s="565"/>
      <c r="BV301" s="67"/>
      <c r="BW301" s="63"/>
      <c r="BX301" s="563"/>
      <c r="BY301" s="590">
        <v>0</v>
      </c>
      <c r="BZ301" s="565"/>
      <c r="CA301" s="67"/>
      <c r="CB301" s="560"/>
      <c r="CC301" s="566"/>
      <c r="CD301" s="590">
        <v>0</v>
      </c>
      <c r="CE301" s="565"/>
      <c r="CF301" s="67"/>
      <c r="CG301" s="560"/>
      <c r="CH301" s="566"/>
      <c r="CI301" s="590">
        <v>0</v>
      </c>
      <c r="CJ301" s="565"/>
      <c r="CK301" s="67"/>
      <c r="CL301" s="560"/>
      <c r="CM301" s="566"/>
      <c r="CN301" s="590">
        <v>0</v>
      </c>
      <c r="CO301" s="565"/>
      <c r="CP301" s="66"/>
      <c r="CQ301" s="560"/>
      <c r="CR301" s="566"/>
      <c r="CS301" s="590">
        <v>0</v>
      </c>
      <c r="CT301" s="565"/>
      <c r="CU301" s="63"/>
      <c r="CV301" s="560"/>
      <c r="CW301" s="566"/>
      <c r="CX301" s="590">
        <v>0</v>
      </c>
      <c r="CY301" s="565"/>
      <c r="CZ301" s="67"/>
      <c r="DA301" s="560"/>
      <c r="DB301" s="566"/>
      <c r="DC301" s="590">
        <v>0</v>
      </c>
      <c r="DD301" s="565"/>
      <c r="DE301" s="67"/>
      <c r="DF301" s="560"/>
      <c r="DG301" s="566"/>
      <c r="DH301" s="590">
        <v>0</v>
      </c>
      <c r="DI301" s="565"/>
      <c r="DJ301" s="67"/>
      <c r="DK301" s="560"/>
      <c r="DL301" s="566"/>
      <c r="DM301" s="590">
        <v>0</v>
      </c>
      <c r="DN301" s="565"/>
      <c r="DO301" s="67"/>
      <c r="DP301" s="560"/>
      <c r="DQ301" s="566"/>
      <c r="DR301" s="590">
        <v>0</v>
      </c>
      <c r="DS301" s="565"/>
      <c r="DT301" s="67"/>
      <c r="DU301" s="560"/>
      <c r="DV301" s="566"/>
      <c r="DW301" s="590">
        <v>0</v>
      </c>
      <c r="DX301" s="565"/>
      <c r="DY301" s="67"/>
      <c r="DZ301" s="560"/>
      <c r="EA301" s="566"/>
      <c r="EB301" s="590">
        <v>0</v>
      </c>
      <c r="EC301" s="565"/>
      <c r="ED301" s="67"/>
      <c r="EE301" s="560"/>
      <c r="EF301" s="566"/>
      <c r="EG301" s="590">
        <v>0</v>
      </c>
      <c r="EH301" s="565"/>
      <c r="EI301" s="67"/>
      <c r="EJ301" s="560"/>
      <c r="EK301" s="566"/>
      <c r="EL301" s="590">
        <f>SUM(CD301:EG301)</f>
        <v>0</v>
      </c>
      <c r="EM301" s="565"/>
      <c r="EN301" s="591"/>
      <c r="EO301" s="455"/>
      <c r="ER301" s="472"/>
      <c r="ES301" s="472"/>
    </row>
    <row r="302" spans="1:149" ht="12.75" hidden="1" customHeight="1" x14ac:dyDescent="0.2">
      <c r="A302" s="442"/>
      <c r="B302" s="442"/>
      <c r="D302" s="455"/>
      <c r="F302" s="442"/>
      <c r="G302" s="67"/>
      <c r="H302" s="67"/>
      <c r="I302" s="67"/>
      <c r="J302" s="560"/>
      <c r="K302" s="67"/>
      <c r="L302" s="67"/>
      <c r="M302" s="67"/>
      <c r="N302" s="67"/>
      <c r="O302" s="560"/>
      <c r="P302" s="67"/>
      <c r="Q302" s="67"/>
      <c r="R302" s="67"/>
      <c r="S302" s="67"/>
      <c r="T302" s="560"/>
      <c r="U302" s="67"/>
      <c r="V302" s="67"/>
      <c r="W302" s="67"/>
      <c r="X302" s="67"/>
      <c r="Y302" s="560"/>
      <c r="Z302" s="67"/>
      <c r="AA302" s="67"/>
      <c r="AB302" s="67"/>
      <c r="AC302" s="67"/>
      <c r="AD302" s="560"/>
      <c r="AE302" s="67"/>
      <c r="AF302" s="67"/>
      <c r="AG302" s="67"/>
      <c r="AH302" s="67"/>
      <c r="AI302" s="560"/>
      <c r="AJ302" s="67"/>
      <c r="AK302" s="67"/>
      <c r="AL302" s="67"/>
      <c r="AM302" s="67"/>
      <c r="AN302" s="560"/>
      <c r="AO302" s="67"/>
      <c r="AP302" s="67"/>
      <c r="AQ302" s="67"/>
      <c r="AR302" s="67"/>
      <c r="AS302" s="560"/>
      <c r="AT302" s="67"/>
      <c r="AU302" s="67"/>
      <c r="AV302" s="67"/>
      <c r="AW302" s="67"/>
      <c r="AX302" s="560"/>
      <c r="AY302" s="67"/>
      <c r="AZ302" s="67"/>
      <c r="BA302" s="67"/>
      <c r="BB302" s="67"/>
      <c r="BC302" s="560"/>
      <c r="BD302" s="67"/>
      <c r="BE302" s="67"/>
      <c r="BF302" s="67"/>
      <c r="BG302" s="67"/>
      <c r="BH302" s="560"/>
      <c r="BI302" s="67"/>
      <c r="BJ302" s="67"/>
      <c r="BK302" s="67"/>
      <c r="BL302" s="67"/>
      <c r="BM302" s="560"/>
      <c r="BN302" s="67"/>
      <c r="BO302" s="67"/>
      <c r="BP302" s="67"/>
      <c r="BQ302" s="67"/>
      <c r="BR302" s="560"/>
      <c r="BS302" s="67"/>
      <c r="BT302" s="67"/>
      <c r="BU302" s="67"/>
      <c r="BV302" s="67"/>
      <c r="BW302" s="560"/>
      <c r="BX302" s="67"/>
      <c r="BY302" s="67"/>
      <c r="BZ302" s="67"/>
      <c r="CA302" s="67"/>
      <c r="CB302" s="560"/>
      <c r="CC302" s="67"/>
      <c r="CD302" s="67"/>
      <c r="CE302" s="67"/>
      <c r="CF302" s="67"/>
      <c r="CG302" s="560"/>
      <c r="CH302" s="67"/>
      <c r="CI302" s="67"/>
      <c r="CJ302" s="67"/>
      <c r="CK302" s="67"/>
      <c r="CL302" s="560"/>
      <c r="CM302" s="67"/>
      <c r="CN302" s="67"/>
      <c r="CO302" s="67"/>
      <c r="CP302" s="67"/>
      <c r="CQ302" s="560"/>
      <c r="CR302" s="67"/>
      <c r="CS302" s="67"/>
      <c r="CT302" s="67"/>
      <c r="CU302" s="67"/>
      <c r="CV302" s="560"/>
      <c r="CW302" s="67"/>
      <c r="CX302" s="67"/>
      <c r="CY302" s="67"/>
      <c r="CZ302" s="67"/>
      <c r="DA302" s="560"/>
      <c r="DB302" s="67"/>
      <c r="DC302" s="67"/>
      <c r="DD302" s="67"/>
      <c r="DE302" s="67"/>
      <c r="DF302" s="560"/>
      <c r="DG302" s="67"/>
      <c r="DH302" s="67"/>
      <c r="DI302" s="67"/>
      <c r="DJ302" s="67"/>
      <c r="DK302" s="560"/>
      <c r="DL302" s="67"/>
      <c r="DM302" s="67"/>
      <c r="DN302" s="67"/>
      <c r="DO302" s="67"/>
      <c r="DP302" s="560"/>
      <c r="DQ302" s="67"/>
      <c r="DR302" s="67"/>
      <c r="DS302" s="67"/>
      <c r="DT302" s="67"/>
      <c r="DU302" s="560"/>
      <c r="DV302" s="67"/>
      <c r="DW302" s="67"/>
      <c r="DX302" s="67"/>
      <c r="DY302" s="67"/>
      <c r="DZ302" s="560"/>
      <c r="EA302" s="67"/>
      <c r="EB302" s="67"/>
      <c r="EC302" s="67"/>
      <c r="ED302" s="67"/>
      <c r="EE302" s="560"/>
      <c r="EF302" s="67"/>
      <c r="EG302" s="67"/>
      <c r="EH302" s="67"/>
      <c r="EI302" s="67"/>
      <c r="EJ302" s="560"/>
      <c r="EK302" s="67"/>
      <c r="EL302" s="67"/>
      <c r="EM302" s="67"/>
      <c r="EN302" s="67"/>
      <c r="EO302" s="455"/>
      <c r="ER302" s="472"/>
      <c r="ES302" s="472"/>
    </row>
    <row r="303" spans="1:149" x14ac:dyDescent="0.2">
      <c r="A303" s="442"/>
      <c r="B303" s="442"/>
      <c r="D303" s="455" t="s">
        <v>375</v>
      </c>
      <c r="F303" s="442"/>
      <c r="G303" s="67">
        <f>SUM(G304:G304)</f>
        <v>0</v>
      </c>
      <c r="H303" s="67"/>
      <c r="I303" s="67"/>
      <c r="J303" s="560"/>
      <c r="K303" s="67"/>
      <c r="L303" s="67">
        <f>SUM(L304:L304)</f>
        <v>0</v>
      </c>
      <c r="M303" s="67"/>
      <c r="N303" s="67"/>
      <c r="O303" s="560"/>
      <c r="P303" s="67"/>
      <c r="Q303" s="67">
        <f>SUM(Q304:Q304)</f>
        <v>0</v>
      </c>
      <c r="R303" s="67"/>
      <c r="S303" s="67"/>
      <c r="T303" s="560"/>
      <c r="U303" s="67"/>
      <c r="V303" s="67">
        <f>SUM(V304:V304)</f>
        <v>0</v>
      </c>
      <c r="W303" s="67"/>
      <c r="X303" s="67"/>
      <c r="Y303" s="560"/>
      <c r="Z303" s="67"/>
      <c r="AA303" s="67">
        <f>SUM(AA304:AA304)</f>
        <v>0</v>
      </c>
      <c r="AB303" s="67"/>
      <c r="AC303" s="67"/>
      <c r="AD303" s="560"/>
      <c r="AE303" s="67"/>
      <c r="AF303" s="67">
        <f>SUM(AF304:AF304)</f>
        <v>0</v>
      </c>
      <c r="AG303" s="67"/>
      <c r="AH303" s="67"/>
      <c r="AI303" s="560"/>
      <c r="AJ303" s="67"/>
      <c r="AK303" s="67">
        <f>SUM(AK304:AK304)</f>
        <v>0</v>
      </c>
      <c r="AL303" s="67"/>
      <c r="AM303" s="67"/>
      <c r="AN303" s="560"/>
      <c r="AO303" s="67"/>
      <c r="AP303" s="67">
        <f>SUM(AP304:AP304)</f>
        <v>0</v>
      </c>
      <c r="AQ303" s="67"/>
      <c r="AR303" s="67"/>
      <c r="AS303" s="560"/>
      <c r="AT303" s="67"/>
      <c r="AU303" s="67">
        <f>SUM(AU304:AU304)</f>
        <v>0</v>
      </c>
      <c r="AV303" s="67"/>
      <c r="AW303" s="67"/>
      <c r="AX303" s="560"/>
      <c r="AY303" s="67"/>
      <c r="AZ303" s="67">
        <f>SUM(AZ304:AZ304)</f>
        <v>0</v>
      </c>
      <c r="BA303" s="67"/>
      <c r="BB303" s="67"/>
      <c r="BC303" s="560"/>
      <c r="BD303" s="67"/>
      <c r="BE303" s="67">
        <f>SUM(BE304:BE304)</f>
        <v>0</v>
      </c>
      <c r="BF303" s="67"/>
      <c r="BG303" s="67"/>
      <c r="BH303" s="560"/>
      <c r="BI303" s="67"/>
      <c r="BJ303" s="67">
        <f>SUM(BJ304:BJ304)</f>
        <v>0</v>
      </c>
      <c r="BK303" s="67"/>
      <c r="BL303" s="67"/>
      <c r="BM303" s="560"/>
      <c r="BN303" s="67"/>
      <c r="BO303" s="67">
        <f>SUM(BO304:BO304)</f>
        <v>0</v>
      </c>
      <c r="BP303" s="67"/>
      <c r="BQ303" s="67"/>
      <c r="BR303" s="560"/>
      <c r="BS303" s="67"/>
      <c r="BT303" s="67">
        <f>SUM(BT304:BT304)</f>
        <v>0</v>
      </c>
      <c r="BU303" s="67"/>
      <c r="BV303" s="67"/>
      <c r="BW303" s="560"/>
      <c r="BX303" s="67"/>
      <c r="BY303" s="67">
        <f>SUM(BY304:BY304)</f>
        <v>54098</v>
      </c>
      <c r="BZ303" s="67"/>
      <c r="CA303" s="67"/>
      <c r="CB303" s="560"/>
      <c r="CC303" s="67"/>
      <c r="CD303" s="67">
        <f>SUM(CD304:CD304)</f>
        <v>0</v>
      </c>
      <c r="CE303" s="67"/>
      <c r="CF303" s="67"/>
      <c r="CG303" s="560"/>
      <c r="CH303" s="67"/>
      <c r="CI303" s="67">
        <f>SUM(CI304:CI304)</f>
        <v>0</v>
      </c>
      <c r="CJ303" s="67"/>
      <c r="CK303" s="67"/>
      <c r="CL303" s="560"/>
      <c r="CM303" s="67"/>
      <c r="CN303" s="67">
        <f>SUM(CN304:CN304)</f>
        <v>0</v>
      </c>
      <c r="CO303" s="67"/>
      <c r="CP303" s="67"/>
      <c r="CQ303" s="560"/>
      <c r="CR303" s="67"/>
      <c r="CS303" s="67">
        <f>SUM(CS304:CS304)</f>
        <v>0</v>
      </c>
      <c r="CT303" s="67"/>
      <c r="CU303" s="67"/>
      <c r="CV303" s="560"/>
      <c r="CW303" s="67"/>
      <c r="CX303" s="67">
        <f>SUM(CX304:CX304)</f>
        <v>0</v>
      </c>
      <c r="CY303" s="67"/>
      <c r="CZ303" s="67"/>
      <c r="DA303" s="560"/>
      <c r="DB303" s="67"/>
      <c r="DC303" s="67">
        <f>SUM(DC304:DC304)</f>
        <v>0</v>
      </c>
      <c r="DD303" s="67"/>
      <c r="DE303" s="67"/>
      <c r="DF303" s="560"/>
      <c r="DG303" s="67"/>
      <c r="DH303" s="67">
        <f>SUM(DH304:DH304)</f>
        <v>0</v>
      </c>
      <c r="DI303" s="67"/>
      <c r="DJ303" s="67"/>
      <c r="DK303" s="560"/>
      <c r="DL303" s="67"/>
      <c r="DM303" s="67">
        <f>SUM(DM304:DM304)</f>
        <v>0</v>
      </c>
      <c r="DN303" s="67"/>
      <c r="DO303" s="67"/>
      <c r="DP303" s="560"/>
      <c r="DQ303" s="67"/>
      <c r="DR303" s="67">
        <f>SUM(DR304:DR304)</f>
        <v>0</v>
      </c>
      <c r="DS303" s="67"/>
      <c r="DT303" s="67"/>
      <c r="DU303" s="560"/>
      <c r="DV303" s="67"/>
      <c r="DW303" s="67">
        <f>SUM(DW304:DW304)</f>
        <v>0</v>
      </c>
      <c r="DX303" s="67"/>
      <c r="DY303" s="67"/>
      <c r="DZ303" s="560"/>
      <c r="EA303" s="67"/>
      <c r="EB303" s="67">
        <f>SUM(EB304:EB304)</f>
        <v>0</v>
      </c>
      <c r="EC303" s="67"/>
      <c r="ED303" s="67"/>
      <c r="EE303" s="560"/>
      <c r="EF303" s="67"/>
      <c r="EG303" s="67">
        <f>SUM(EG304:EG304)</f>
        <v>54098</v>
      </c>
      <c r="EH303" s="67"/>
      <c r="EI303" s="67"/>
      <c r="EJ303" s="560"/>
      <c r="EK303" s="67"/>
      <c r="EL303" s="67">
        <f>SUM(EL304:EL304)</f>
        <v>0</v>
      </c>
      <c r="EM303" s="67"/>
      <c r="EN303" s="67"/>
      <c r="EO303" s="455"/>
      <c r="ER303" s="472"/>
      <c r="ES303" s="472"/>
    </row>
    <row r="304" spans="1:149" x14ac:dyDescent="0.2">
      <c r="A304" s="442"/>
      <c r="B304" s="442"/>
      <c r="D304" s="455" t="s">
        <v>342</v>
      </c>
      <c r="F304" s="563"/>
      <c r="G304" s="564">
        <v>0</v>
      </c>
      <c r="H304" s="565"/>
      <c r="I304" s="67"/>
      <c r="J304" s="560"/>
      <c r="K304" s="566"/>
      <c r="L304" s="590">
        <v>0</v>
      </c>
      <c r="M304" s="565"/>
      <c r="N304" s="67"/>
      <c r="O304" s="560"/>
      <c r="P304" s="566"/>
      <c r="Q304" s="590">
        <v>0</v>
      </c>
      <c r="R304" s="565"/>
      <c r="S304" s="67"/>
      <c r="T304" s="560"/>
      <c r="U304" s="566"/>
      <c r="V304" s="590">
        <v>0</v>
      </c>
      <c r="W304" s="565"/>
      <c r="X304" s="66"/>
      <c r="Y304" s="560"/>
      <c r="Z304" s="566"/>
      <c r="AA304" s="590">
        <v>0</v>
      </c>
      <c r="AB304" s="565"/>
      <c r="AC304" s="63"/>
      <c r="AD304" s="560"/>
      <c r="AE304" s="566"/>
      <c r="AF304" s="590">
        <v>0</v>
      </c>
      <c r="AG304" s="565"/>
      <c r="AH304" s="67"/>
      <c r="AI304" s="560"/>
      <c r="AJ304" s="566"/>
      <c r="AK304" s="590">
        <v>0</v>
      </c>
      <c r="AL304" s="565"/>
      <c r="AM304" s="67"/>
      <c r="AN304" s="560"/>
      <c r="AO304" s="566"/>
      <c r="AP304" s="590">
        <v>0</v>
      </c>
      <c r="AQ304" s="565"/>
      <c r="AR304" s="67"/>
      <c r="AS304" s="560"/>
      <c r="AT304" s="566"/>
      <c r="AU304" s="590">
        <v>0</v>
      </c>
      <c r="AV304" s="565"/>
      <c r="AW304" s="67"/>
      <c r="AX304" s="560"/>
      <c r="AY304" s="566"/>
      <c r="AZ304" s="590">
        <v>0</v>
      </c>
      <c r="BA304" s="565"/>
      <c r="BB304" s="67"/>
      <c r="BC304" s="560"/>
      <c r="BD304" s="566"/>
      <c r="BE304" s="590">
        <v>0</v>
      </c>
      <c r="BF304" s="565"/>
      <c r="BG304" s="67"/>
      <c r="BH304" s="560"/>
      <c r="BI304" s="566"/>
      <c r="BJ304" s="590">
        <v>0</v>
      </c>
      <c r="BK304" s="565"/>
      <c r="BL304" s="67"/>
      <c r="BM304" s="560"/>
      <c r="BN304" s="566"/>
      <c r="BO304" s="590">
        <v>0</v>
      </c>
      <c r="BP304" s="565">
        <v>0</v>
      </c>
      <c r="BQ304" s="67"/>
      <c r="BR304" s="560"/>
      <c r="BS304" s="563">
        <v>54207</v>
      </c>
      <c r="BT304" s="590">
        <f>SUM(L304:BO304)</f>
        <v>0</v>
      </c>
      <c r="BU304" s="565">
        <v>0</v>
      </c>
      <c r="BV304" s="67"/>
      <c r="BW304" s="63"/>
      <c r="BX304" s="563"/>
      <c r="BY304" s="590">
        <v>54098</v>
      </c>
      <c r="BZ304" s="565"/>
      <c r="CA304" s="67"/>
      <c r="CB304" s="560"/>
      <c r="CC304" s="566"/>
      <c r="CD304" s="590">
        <v>0</v>
      </c>
      <c r="CE304" s="565"/>
      <c r="CF304" s="67"/>
      <c r="CG304" s="560"/>
      <c r="CH304" s="566"/>
      <c r="CI304" s="590">
        <v>0</v>
      </c>
      <c r="CJ304" s="565"/>
      <c r="CK304" s="67"/>
      <c r="CL304" s="560"/>
      <c r="CM304" s="566"/>
      <c r="CN304" s="590">
        <v>0</v>
      </c>
      <c r="CO304" s="565"/>
      <c r="CP304" s="66"/>
      <c r="CQ304" s="560"/>
      <c r="CR304" s="566"/>
      <c r="CS304" s="590">
        <v>0</v>
      </c>
      <c r="CT304" s="565"/>
      <c r="CU304" s="63"/>
      <c r="CV304" s="560"/>
      <c r="CW304" s="566"/>
      <c r="CX304" s="590">
        <v>0</v>
      </c>
      <c r="CY304" s="565"/>
      <c r="CZ304" s="67"/>
      <c r="DA304" s="560"/>
      <c r="DB304" s="566"/>
      <c r="DC304" s="590">
        <v>0</v>
      </c>
      <c r="DD304" s="565"/>
      <c r="DE304" s="67"/>
      <c r="DF304" s="560"/>
      <c r="DG304" s="566"/>
      <c r="DH304" s="590">
        <v>0</v>
      </c>
      <c r="DI304" s="565"/>
      <c r="DJ304" s="67"/>
      <c r="DK304" s="560"/>
      <c r="DL304" s="566"/>
      <c r="DM304" s="590">
        <v>0</v>
      </c>
      <c r="DN304" s="565"/>
      <c r="DO304" s="67"/>
      <c r="DP304" s="560"/>
      <c r="DQ304" s="566"/>
      <c r="DR304" s="590">
        <v>0</v>
      </c>
      <c r="DS304" s="565"/>
      <c r="DT304" s="67"/>
      <c r="DU304" s="560"/>
      <c r="DV304" s="566"/>
      <c r="DW304" s="590">
        <v>0</v>
      </c>
      <c r="DX304" s="565"/>
      <c r="DY304" s="67"/>
      <c r="DZ304" s="560"/>
      <c r="EA304" s="566"/>
      <c r="EB304" s="590">
        <v>0</v>
      </c>
      <c r="EC304" s="565"/>
      <c r="ED304" s="67"/>
      <c r="EE304" s="560"/>
      <c r="EF304" s="566"/>
      <c r="EG304" s="590">
        <v>54098</v>
      </c>
      <c r="EH304" s="565">
        <v>0</v>
      </c>
      <c r="EI304" s="67"/>
      <c r="EJ304" s="560"/>
      <c r="EK304" s="566">
        <v>54207</v>
      </c>
      <c r="EL304" s="590">
        <f>SUM(CD304:CI304)</f>
        <v>0</v>
      </c>
      <c r="EM304" s="565">
        <v>0</v>
      </c>
      <c r="EN304" s="591"/>
      <c r="EO304" s="455"/>
      <c r="ER304" s="472"/>
      <c r="ES304" s="472"/>
    </row>
    <row r="305" spans="1:149" x14ac:dyDescent="0.2">
      <c r="A305" s="442"/>
      <c r="B305" s="442"/>
      <c r="D305" s="455"/>
      <c r="F305" s="442"/>
      <c r="G305" s="67"/>
      <c r="H305" s="67"/>
      <c r="I305" s="67"/>
      <c r="J305" s="560"/>
      <c r="K305" s="67"/>
      <c r="L305" s="67"/>
      <c r="M305" s="67"/>
      <c r="N305" s="67"/>
      <c r="O305" s="560"/>
      <c r="P305" s="67"/>
      <c r="Q305" s="67"/>
      <c r="R305" s="67"/>
      <c r="S305" s="67"/>
      <c r="T305" s="560"/>
      <c r="U305" s="67"/>
      <c r="V305" s="67"/>
      <c r="W305" s="67"/>
      <c r="X305" s="67"/>
      <c r="Y305" s="560"/>
      <c r="Z305" s="67"/>
      <c r="AA305" s="67"/>
      <c r="AB305" s="67"/>
      <c r="AC305" s="67"/>
      <c r="AD305" s="560"/>
      <c r="AE305" s="67"/>
      <c r="AF305" s="67"/>
      <c r="AG305" s="67"/>
      <c r="AH305" s="67"/>
      <c r="AI305" s="560"/>
      <c r="AJ305" s="67"/>
      <c r="AK305" s="67"/>
      <c r="AL305" s="67"/>
      <c r="AM305" s="67"/>
      <c r="AN305" s="560"/>
      <c r="AO305" s="67"/>
      <c r="AP305" s="67"/>
      <c r="AQ305" s="67"/>
      <c r="AR305" s="67"/>
      <c r="AS305" s="560"/>
      <c r="AT305" s="67"/>
      <c r="AU305" s="67"/>
      <c r="AV305" s="67"/>
      <c r="AW305" s="67"/>
      <c r="AX305" s="560"/>
      <c r="AY305" s="67"/>
      <c r="AZ305" s="67"/>
      <c r="BA305" s="67"/>
      <c r="BB305" s="67"/>
      <c r="BC305" s="560"/>
      <c r="BD305" s="67"/>
      <c r="BE305" s="67"/>
      <c r="BF305" s="67"/>
      <c r="BG305" s="67"/>
      <c r="BH305" s="560"/>
      <c r="BI305" s="67"/>
      <c r="BJ305" s="67"/>
      <c r="BK305" s="67"/>
      <c r="BL305" s="67"/>
      <c r="BM305" s="560"/>
      <c r="BN305" s="67"/>
      <c r="BO305" s="67"/>
      <c r="BP305" s="67"/>
      <c r="BQ305" s="67"/>
      <c r="BR305" s="560"/>
      <c r="BS305" s="67"/>
      <c r="BT305" s="67"/>
      <c r="BU305" s="67"/>
      <c r="BV305" s="67"/>
      <c r="BW305" s="560"/>
      <c r="BX305" s="67"/>
      <c r="BY305" s="67"/>
      <c r="BZ305" s="67"/>
      <c r="CA305" s="67"/>
      <c r="CB305" s="560"/>
      <c r="CC305" s="67"/>
      <c r="CD305" s="67"/>
      <c r="CE305" s="67"/>
      <c r="CF305" s="67"/>
      <c r="CG305" s="560"/>
      <c r="CH305" s="67"/>
      <c r="CI305" s="67"/>
      <c r="CJ305" s="67"/>
      <c r="CK305" s="67"/>
      <c r="CL305" s="560"/>
      <c r="CM305" s="67"/>
      <c r="CN305" s="67"/>
      <c r="CO305" s="67"/>
      <c r="CP305" s="67"/>
      <c r="CQ305" s="560"/>
      <c r="CR305" s="67"/>
      <c r="CS305" s="67"/>
      <c r="CT305" s="67"/>
      <c r="CU305" s="67"/>
      <c r="CV305" s="560"/>
      <c r="CW305" s="67"/>
      <c r="CX305" s="67"/>
      <c r="CY305" s="67"/>
      <c r="CZ305" s="67"/>
      <c r="DA305" s="560"/>
      <c r="DB305" s="67"/>
      <c r="DC305" s="67"/>
      <c r="DD305" s="67"/>
      <c r="DE305" s="67"/>
      <c r="DF305" s="560"/>
      <c r="DG305" s="67"/>
      <c r="DH305" s="67"/>
      <c r="DI305" s="67"/>
      <c r="DJ305" s="67"/>
      <c r="DK305" s="560"/>
      <c r="DL305" s="67"/>
      <c r="DM305" s="67"/>
      <c r="DN305" s="67"/>
      <c r="DO305" s="67"/>
      <c r="DP305" s="560"/>
      <c r="DQ305" s="67"/>
      <c r="DR305" s="67"/>
      <c r="DS305" s="67"/>
      <c r="DT305" s="67"/>
      <c r="DU305" s="560"/>
      <c r="DV305" s="67"/>
      <c r="DW305" s="67"/>
      <c r="DX305" s="67"/>
      <c r="DY305" s="67"/>
      <c r="DZ305" s="560"/>
      <c r="EA305" s="67"/>
      <c r="EB305" s="67"/>
      <c r="EC305" s="67"/>
      <c r="ED305" s="67"/>
      <c r="EE305" s="560"/>
      <c r="EF305" s="67"/>
      <c r="EG305" s="67"/>
      <c r="EH305" s="67"/>
      <c r="EI305" s="67"/>
      <c r="EJ305" s="560"/>
      <c r="EK305" s="67"/>
      <c r="EL305" s="67"/>
      <c r="EM305" s="67"/>
      <c r="EN305" s="67"/>
      <c r="EO305" s="455"/>
      <c r="ER305" s="472"/>
      <c r="ES305" s="472"/>
    </row>
    <row r="306" spans="1:149" ht="12.75" customHeight="1" x14ac:dyDescent="0.2">
      <c r="A306" s="442"/>
      <c r="B306" s="442"/>
      <c r="D306" s="455" t="s">
        <v>355</v>
      </c>
      <c r="F306" s="442"/>
      <c r="G306" s="67">
        <f>SUM(G307)</f>
        <v>0</v>
      </c>
      <c r="H306" s="67"/>
      <c r="I306" s="67"/>
      <c r="J306" s="560"/>
      <c r="K306" s="67"/>
      <c r="L306" s="67">
        <f>SUM(L307:L307)</f>
        <v>0</v>
      </c>
      <c r="M306" s="67"/>
      <c r="N306" s="67"/>
      <c r="O306" s="560"/>
      <c r="P306" s="67"/>
      <c r="Q306" s="67">
        <f>SUM(Q307:Q307)</f>
        <v>0</v>
      </c>
      <c r="R306" s="67"/>
      <c r="S306" s="67"/>
      <c r="T306" s="560"/>
      <c r="U306" s="67"/>
      <c r="V306" s="67">
        <f>SUM(V307:V307)</f>
        <v>0</v>
      </c>
      <c r="W306" s="67"/>
      <c r="X306" s="67"/>
      <c r="Y306" s="560"/>
      <c r="Z306" s="67"/>
      <c r="AA306" s="67">
        <f>SUM(AA307:AA307)</f>
        <v>0</v>
      </c>
      <c r="AB306" s="67"/>
      <c r="AC306" s="67"/>
      <c r="AD306" s="560"/>
      <c r="AE306" s="67"/>
      <c r="AF306" s="67">
        <f>SUM(AF307:AF307)</f>
        <v>0</v>
      </c>
      <c r="AG306" s="67"/>
      <c r="AH306" s="67"/>
      <c r="AI306" s="560"/>
      <c r="AJ306" s="67"/>
      <c r="AK306" s="67">
        <f>SUM(AK307:AK307)</f>
        <v>0</v>
      </c>
      <c r="AL306" s="67"/>
      <c r="AM306" s="67"/>
      <c r="AN306" s="560"/>
      <c r="AO306" s="67"/>
      <c r="AP306" s="67">
        <f>SUM(AP307:AP307)</f>
        <v>0</v>
      </c>
      <c r="AQ306" s="67"/>
      <c r="AR306" s="67"/>
      <c r="AS306" s="560"/>
      <c r="AT306" s="67"/>
      <c r="AU306" s="67">
        <f>SUM(AU307:AU307)</f>
        <v>0</v>
      </c>
      <c r="AV306" s="67"/>
      <c r="AW306" s="67"/>
      <c r="AX306" s="560"/>
      <c r="AY306" s="67"/>
      <c r="AZ306" s="67">
        <f>SUM(AZ307:AZ307)</f>
        <v>0</v>
      </c>
      <c r="BA306" s="67"/>
      <c r="BB306" s="67"/>
      <c r="BC306" s="560"/>
      <c r="BD306" s="67"/>
      <c r="BE306" s="67">
        <f>SUM(BE307:BE307)</f>
        <v>0</v>
      </c>
      <c r="BF306" s="67"/>
      <c r="BG306" s="67"/>
      <c r="BH306" s="560"/>
      <c r="BI306" s="67"/>
      <c r="BJ306" s="67">
        <f>SUM(BJ307:BJ307)</f>
        <v>0</v>
      </c>
      <c r="BK306" s="67"/>
      <c r="BL306" s="67"/>
      <c r="BM306" s="560"/>
      <c r="BN306" s="67"/>
      <c r="BO306" s="67">
        <f>SUM(BO307:BO307)</f>
        <v>0</v>
      </c>
      <c r="BP306" s="67"/>
      <c r="BQ306" s="67"/>
      <c r="BR306" s="560"/>
      <c r="BS306" s="67"/>
      <c r="BT306" s="67">
        <f>SUM(BT307:BT307)</f>
        <v>0</v>
      </c>
      <c r="BU306" s="67"/>
      <c r="BV306" s="67"/>
      <c r="BW306" s="560"/>
      <c r="BX306" s="67"/>
      <c r="BY306" s="67">
        <f>SUM(BY307:BY307)</f>
        <v>183582</v>
      </c>
      <c r="BZ306" s="67"/>
      <c r="CA306" s="67"/>
      <c r="CB306" s="560"/>
      <c r="CC306" s="67"/>
      <c r="CD306" s="67">
        <f>SUM(CD307:CD307)</f>
        <v>0</v>
      </c>
      <c r="CE306" s="67"/>
      <c r="CF306" s="67"/>
      <c r="CG306" s="560"/>
      <c r="CH306" s="67"/>
      <c r="CI306" s="67">
        <f>SUM(CI307:CI307)</f>
        <v>0</v>
      </c>
      <c r="CJ306" s="67"/>
      <c r="CK306" s="67"/>
      <c r="CL306" s="560"/>
      <c r="CM306" s="67"/>
      <c r="CN306" s="67">
        <f>SUM(CN307:CN307)</f>
        <v>0</v>
      </c>
      <c r="CO306" s="67"/>
      <c r="CP306" s="67"/>
      <c r="CQ306" s="560"/>
      <c r="CR306" s="67"/>
      <c r="CS306" s="67">
        <f>SUM(CS307:CS307)</f>
        <v>0</v>
      </c>
      <c r="CT306" s="67"/>
      <c r="CU306" s="67"/>
      <c r="CV306" s="560"/>
      <c r="CW306" s="67"/>
      <c r="CX306" s="67">
        <f>SUM(CX307:CX307)</f>
        <v>0</v>
      </c>
      <c r="CY306" s="67"/>
      <c r="CZ306" s="67"/>
      <c r="DA306" s="560"/>
      <c r="DB306" s="67"/>
      <c r="DC306" s="67">
        <f>SUM(DC307:DC307)</f>
        <v>119455</v>
      </c>
      <c r="DD306" s="67"/>
      <c r="DE306" s="67"/>
      <c r="DF306" s="560"/>
      <c r="DG306" s="67"/>
      <c r="DH306" s="67">
        <f>SUM(DH307:DH307)</f>
        <v>0</v>
      </c>
      <c r="DI306" s="67"/>
      <c r="DJ306" s="67"/>
      <c r="DK306" s="560"/>
      <c r="DL306" s="67"/>
      <c r="DM306" s="67">
        <f>SUM(DM307:DM307)</f>
        <v>64127</v>
      </c>
      <c r="DN306" s="67"/>
      <c r="DO306" s="67"/>
      <c r="DP306" s="560"/>
      <c r="DQ306" s="67"/>
      <c r="DR306" s="67">
        <f>SUM(DR307:DR307)</f>
        <v>0</v>
      </c>
      <c r="DS306" s="67"/>
      <c r="DT306" s="67"/>
      <c r="DU306" s="560"/>
      <c r="DV306" s="67"/>
      <c r="DW306" s="67">
        <f>SUM(DW307:DW307)</f>
        <v>0</v>
      </c>
      <c r="DX306" s="67"/>
      <c r="DY306" s="67"/>
      <c r="DZ306" s="560"/>
      <c r="EA306" s="67"/>
      <c r="EB306" s="67">
        <f>SUM(EB307:EB307)</f>
        <v>0</v>
      </c>
      <c r="EC306" s="67"/>
      <c r="ED306" s="67"/>
      <c r="EE306" s="560"/>
      <c r="EF306" s="67"/>
      <c r="EG306" s="67">
        <f>SUM(EG307:EG307)</f>
        <v>0</v>
      </c>
      <c r="EH306" s="67"/>
      <c r="EI306" s="67"/>
      <c r="EJ306" s="560"/>
      <c r="EK306" s="67"/>
      <c r="EL306" s="67">
        <f>SUM(EL307:EL307)</f>
        <v>0</v>
      </c>
      <c r="EM306" s="67"/>
      <c r="EN306" s="67"/>
      <c r="EO306" s="455"/>
      <c r="ER306" s="472"/>
      <c r="ES306" s="472"/>
    </row>
    <row r="307" spans="1:149" ht="12.75" customHeight="1" x14ac:dyDescent="0.2">
      <c r="A307" s="442"/>
      <c r="B307" s="442"/>
      <c r="D307" s="455" t="s">
        <v>342</v>
      </c>
      <c r="F307" s="563"/>
      <c r="G307" s="564">
        <v>0</v>
      </c>
      <c r="H307" s="565"/>
      <c r="I307" s="67"/>
      <c r="J307" s="560"/>
      <c r="K307" s="566"/>
      <c r="L307" s="564">
        <v>0</v>
      </c>
      <c r="M307" s="565"/>
      <c r="N307" s="67"/>
      <c r="O307" s="560"/>
      <c r="P307" s="566"/>
      <c r="Q307" s="564">
        <v>0</v>
      </c>
      <c r="R307" s="565"/>
      <c r="S307" s="67"/>
      <c r="T307" s="560"/>
      <c r="U307" s="566"/>
      <c r="V307" s="564">
        <v>0</v>
      </c>
      <c r="W307" s="565"/>
      <c r="X307" s="67"/>
      <c r="Y307" s="560"/>
      <c r="Z307" s="566"/>
      <c r="AA307" s="564">
        <v>0</v>
      </c>
      <c r="AB307" s="565"/>
      <c r="AC307" s="67"/>
      <c r="AD307" s="560"/>
      <c r="AE307" s="566"/>
      <c r="AF307" s="564">
        <v>0</v>
      </c>
      <c r="AG307" s="565"/>
      <c r="AH307" s="67"/>
      <c r="AI307" s="560"/>
      <c r="AJ307" s="566"/>
      <c r="AK307" s="564">
        <v>0</v>
      </c>
      <c r="AL307" s="565"/>
      <c r="AM307" s="67"/>
      <c r="AN307" s="560"/>
      <c r="AO307" s="566"/>
      <c r="AP307" s="564">
        <v>0</v>
      </c>
      <c r="AQ307" s="565"/>
      <c r="AR307" s="67"/>
      <c r="AS307" s="560"/>
      <c r="AT307" s="566"/>
      <c r="AU307" s="564">
        <v>0</v>
      </c>
      <c r="AV307" s="565"/>
      <c r="AW307" s="67"/>
      <c r="AX307" s="560"/>
      <c r="AY307" s="566"/>
      <c r="AZ307" s="564">
        <v>0</v>
      </c>
      <c r="BA307" s="565"/>
      <c r="BB307" s="67"/>
      <c r="BC307" s="560"/>
      <c r="BD307" s="566"/>
      <c r="BE307" s="564">
        <v>0</v>
      </c>
      <c r="BF307" s="565"/>
      <c r="BG307" s="67"/>
      <c r="BH307" s="560"/>
      <c r="BI307" s="566"/>
      <c r="BJ307" s="564">
        <v>0</v>
      </c>
      <c r="BK307" s="565"/>
      <c r="BL307" s="67"/>
      <c r="BM307" s="560"/>
      <c r="BN307" s="566"/>
      <c r="BO307" s="564">
        <v>0</v>
      </c>
      <c r="BP307" s="565"/>
      <c r="BQ307" s="67"/>
      <c r="BR307" s="560"/>
      <c r="BS307" s="566"/>
      <c r="BT307" s="564">
        <f>SUM(L307:BO307)</f>
        <v>0</v>
      </c>
      <c r="BU307" s="565"/>
      <c r="BV307" s="67"/>
      <c r="BW307" s="560"/>
      <c r="BX307" s="566"/>
      <c r="BY307" s="564">
        <v>183582</v>
      </c>
      <c r="BZ307" s="565"/>
      <c r="CA307" s="67"/>
      <c r="CB307" s="560"/>
      <c r="CC307" s="566"/>
      <c r="CD307" s="564">
        <v>0</v>
      </c>
      <c r="CE307" s="565"/>
      <c r="CF307" s="67"/>
      <c r="CG307" s="560"/>
      <c r="CH307" s="566"/>
      <c r="CI307" s="564">
        <v>0</v>
      </c>
      <c r="CJ307" s="565"/>
      <c r="CK307" s="67"/>
      <c r="CL307" s="560"/>
      <c r="CM307" s="566"/>
      <c r="CN307" s="564">
        <v>0</v>
      </c>
      <c r="CO307" s="565"/>
      <c r="CP307" s="67"/>
      <c r="CQ307" s="560"/>
      <c r="CR307" s="566"/>
      <c r="CS307" s="564">
        <v>0</v>
      </c>
      <c r="CT307" s="565"/>
      <c r="CU307" s="67"/>
      <c r="CV307" s="560"/>
      <c r="CW307" s="566"/>
      <c r="CX307" s="564">
        <v>0</v>
      </c>
      <c r="CY307" s="565"/>
      <c r="CZ307" s="67"/>
      <c r="DA307" s="560"/>
      <c r="DB307" s="566"/>
      <c r="DC307" s="564">
        <v>119455</v>
      </c>
      <c r="DD307" s="565"/>
      <c r="DE307" s="67"/>
      <c r="DF307" s="560"/>
      <c r="DG307" s="566"/>
      <c r="DH307" s="564">
        <v>0</v>
      </c>
      <c r="DI307" s="565"/>
      <c r="DJ307" s="67"/>
      <c r="DK307" s="560"/>
      <c r="DL307" s="566"/>
      <c r="DM307" s="564">
        <v>64127</v>
      </c>
      <c r="DN307" s="565"/>
      <c r="DO307" s="67"/>
      <c r="DP307" s="560"/>
      <c r="DQ307" s="566"/>
      <c r="DR307" s="564">
        <v>0</v>
      </c>
      <c r="DS307" s="565"/>
      <c r="DT307" s="67"/>
      <c r="DU307" s="560"/>
      <c r="DV307" s="566"/>
      <c r="DW307" s="564">
        <v>0</v>
      </c>
      <c r="DX307" s="565"/>
      <c r="DY307" s="67"/>
      <c r="DZ307" s="560"/>
      <c r="EA307" s="566"/>
      <c r="EB307" s="564">
        <v>0</v>
      </c>
      <c r="EC307" s="565"/>
      <c r="ED307" s="67"/>
      <c r="EE307" s="560"/>
      <c r="EF307" s="566"/>
      <c r="EG307" s="564">
        <v>0</v>
      </c>
      <c r="EH307" s="565"/>
      <c r="EI307" s="67"/>
      <c r="EJ307" s="560"/>
      <c r="EK307" s="566"/>
      <c r="EL307" s="564">
        <f>SUM(CD307:CI307)</f>
        <v>0</v>
      </c>
      <c r="EM307" s="565"/>
      <c r="EN307" s="67"/>
      <c r="EO307" s="455"/>
      <c r="ER307" s="472"/>
      <c r="ES307" s="472"/>
    </row>
    <row r="308" spans="1:149" ht="12.75" hidden="1" customHeight="1" x14ac:dyDescent="0.2">
      <c r="A308" s="442"/>
      <c r="B308" s="442"/>
      <c r="D308" s="455"/>
      <c r="F308" s="442"/>
      <c r="G308" s="67"/>
      <c r="H308" s="67"/>
      <c r="I308" s="67"/>
      <c r="J308" s="560"/>
      <c r="K308" s="67"/>
      <c r="L308" s="67"/>
      <c r="M308" s="67"/>
      <c r="N308" s="67"/>
      <c r="O308" s="560"/>
      <c r="P308" s="67"/>
      <c r="Q308" s="67"/>
      <c r="R308" s="67"/>
      <c r="S308" s="67"/>
      <c r="T308" s="560"/>
      <c r="U308" s="67"/>
      <c r="V308" s="67"/>
      <c r="W308" s="67"/>
      <c r="X308" s="67"/>
      <c r="Y308" s="560"/>
      <c r="Z308" s="67"/>
      <c r="AA308" s="67"/>
      <c r="AB308" s="67"/>
      <c r="AC308" s="67"/>
      <c r="AD308" s="560"/>
      <c r="AE308" s="67"/>
      <c r="AF308" s="67"/>
      <c r="AG308" s="67"/>
      <c r="AH308" s="67"/>
      <c r="AI308" s="560"/>
      <c r="AJ308" s="67"/>
      <c r="AK308" s="67"/>
      <c r="AL308" s="67"/>
      <c r="AM308" s="67"/>
      <c r="AN308" s="560"/>
      <c r="AO308" s="67"/>
      <c r="AP308" s="67"/>
      <c r="AQ308" s="67"/>
      <c r="AR308" s="67"/>
      <c r="AS308" s="560"/>
      <c r="AT308" s="67"/>
      <c r="AU308" s="67"/>
      <c r="AV308" s="67"/>
      <c r="AW308" s="67"/>
      <c r="AX308" s="560"/>
      <c r="AY308" s="67"/>
      <c r="AZ308" s="67"/>
      <c r="BA308" s="67"/>
      <c r="BB308" s="67"/>
      <c r="BC308" s="560"/>
      <c r="BD308" s="67"/>
      <c r="BE308" s="67"/>
      <c r="BF308" s="67"/>
      <c r="BG308" s="67"/>
      <c r="BH308" s="560"/>
      <c r="BI308" s="67"/>
      <c r="BJ308" s="67"/>
      <c r="BK308" s="67"/>
      <c r="BL308" s="67"/>
      <c r="BM308" s="560"/>
      <c r="BN308" s="67"/>
      <c r="BO308" s="67"/>
      <c r="BP308" s="67"/>
      <c r="BQ308" s="67"/>
      <c r="BR308" s="560"/>
      <c r="BS308" s="67"/>
      <c r="BT308" s="67"/>
      <c r="BU308" s="67"/>
      <c r="BV308" s="67"/>
      <c r="BW308" s="560"/>
      <c r="BX308" s="67"/>
      <c r="BY308" s="67"/>
      <c r="BZ308" s="67"/>
      <c r="CA308" s="67"/>
      <c r="CB308" s="560"/>
      <c r="CC308" s="67"/>
      <c r="CD308" s="67"/>
      <c r="CE308" s="67"/>
      <c r="CF308" s="67"/>
      <c r="CG308" s="560"/>
      <c r="CH308" s="67"/>
      <c r="CI308" s="67"/>
      <c r="CJ308" s="67"/>
      <c r="CK308" s="67"/>
      <c r="CL308" s="560"/>
      <c r="CM308" s="67"/>
      <c r="CN308" s="67"/>
      <c r="CO308" s="67"/>
      <c r="CP308" s="67"/>
      <c r="CQ308" s="560"/>
      <c r="CR308" s="67"/>
      <c r="CS308" s="67"/>
      <c r="CT308" s="67"/>
      <c r="CU308" s="67"/>
      <c r="CV308" s="560"/>
      <c r="CW308" s="67"/>
      <c r="CX308" s="67"/>
      <c r="CY308" s="67"/>
      <c r="CZ308" s="67"/>
      <c r="DA308" s="560"/>
      <c r="DB308" s="67"/>
      <c r="DC308" s="67"/>
      <c r="DD308" s="67"/>
      <c r="DE308" s="67"/>
      <c r="DF308" s="560"/>
      <c r="DG308" s="67"/>
      <c r="DH308" s="67"/>
      <c r="DI308" s="67"/>
      <c r="DJ308" s="67"/>
      <c r="DK308" s="560"/>
      <c r="DL308" s="67"/>
      <c r="DM308" s="67"/>
      <c r="DN308" s="67"/>
      <c r="DO308" s="67"/>
      <c r="DP308" s="560"/>
      <c r="DQ308" s="67"/>
      <c r="DR308" s="67"/>
      <c r="DS308" s="67"/>
      <c r="DT308" s="67"/>
      <c r="DU308" s="560"/>
      <c r="DV308" s="67"/>
      <c r="DW308" s="67"/>
      <c r="DX308" s="67"/>
      <c r="DY308" s="67"/>
      <c r="DZ308" s="560"/>
      <c r="EA308" s="67"/>
      <c r="EB308" s="67"/>
      <c r="EC308" s="67"/>
      <c r="ED308" s="67"/>
      <c r="EE308" s="560"/>
      <c r="EF308" s="67"/>
      <c r="EG308" s="67"/>
      <c r="EH308" s="67"/>
      <c r="EI308" s="67"/>
      <c r="EJ308" s="560"/>
      <c r="EK308" s="67"/>
      <c r="EL308" s="67"/>
      <c r="EM308" s="67"/>
      <c r="EN308" s="67"/>
      <c r="EO308" s="455"/>
      <c r="ER308" s="472"/>
      <c r="ES308" s="472"/>
    </row>
    <row r="309" spans="1:149" hidden="1" x14ac:dyDescent="0.2">
      <c r="A309" s="442"/>
      <c r="B309" s="442"/>
      <c r="D309" s="455" t="s">
        <v>404</v>
      </c>
      <c r="F309" s="442"/>
      <c r="G309" s="67">
        <v>0</v>
      </c>
      <c r="H309" s="67"/>
      <c r="I309" s="67"/>
      <c r="J309" s="560"/>
      <c r="K309" s="442"/>
      <c r="L309" s="67">
        <f>SUM(L310)</f>
        <v>0</v>
      </c>
      <c r="M309" s="67"/>
      <c r="N309" s="67"/>
      <c r="O309" s="560"/>
      <c r="P309" s="442"/>
      <c r="Q309" s="67">
        <f>SUM(Q310)</f>
        <v>0</v>
      </c>
      <c r="R309" s="67"/>
      <c r="S309" s="67"/>
      <c r="T309" s="560"/>
      <c r="U309" s="442"/>
      <c r="V309" s="67">
        <f>SUM(V310)</f>
        <v>0</v>
      </c>
      <c r="W309" s="67"/>
      <c r="X309" s="67"/>
      <c r="Y309" s="560"/>
      <c r="Z309" s="442"/>
      <c r="AA309" s="67">
        <f>SUM(AA310)</f>
        <v>0</v>
      </c>
      <c r="AB309" s="67"/>
      <c r="AC309" s="67"/>
      <c r="AD309" s="560"/>
      <c r="AE309" s="442"/>
      <c r="AF309" s="67">
        <f>SUM(AF310)</f>
        <v>0</v>
      </c>
      <c r="AG309" s="67"/>
      <c r="AH309" s="67"/>
      <c r="AI309" s="560"/>
      <c r="AJ309" s="442"/>
      <c r="AK309" s="67">
        <f>SUM(AK310)</f>
        <v>0</v>
      </c>
      <c r="AL309" s="67"/>
      <c r="AM309" s="67"/>
      <c r="AN309" s="560"/>
      <c r="AO309" s="442"/>
      <c r="AP309" s="67">
        <f>SUM(AP310)</f>
        <v>0</v>
      </c>
      <c r="AQ309" s="67"/>
      <c r="AR309" s="67"/>
      <c r="AS309" s="560"/>
      <c r="AT309" s="442"/>
      <c r="AU309" s="67">
        <f>SUM(AU310)</f>
        <v>0</v>
      </c>
      <c r="AV309" s="67"/>
      <c r="AW309" s="67"/>
      <c r="AX309" s="560"/>
      <c r="AY309" s="442"/>
      <c r="AZ309" s="67">
        <f>SUM(AZ310)</f>
        <v>0</v>
      </c>
      <c r="BA309" s="67"/>
      <c r="BB309" s="67"/>
      <c r="BC309" s="560"/>
      <c r="BD309" s="442"/>
      <c r="BE309" s="67">
        <f>SUM(BE310)</f>
        <v>0</v>
      </c>
      <c r="BF309" s="67"/>
      <c r="BG309" s="67"/>
      <c r="BH309" s="560"/>
      <c r="BI309" s="442"/>
      <c r="BJ309" s="67">
        <f>SUM(BJ310)</f>
        <v>0</v>
      </c>
      <c r="BK309" s="67"/>
      <c r="BL309" s="67"/>
      <c r="BM309" s="560"/>
      <c r="BN309" s="442"/>
      <c r="BO309" s="67">
        <f>SUM(BO310)</f>
        <v>0</v>
      </c>
      <c r="BP309" s="67"/>
      <c r="BQ309" s="67"/>
      <c r="BR309" s="560"/>
      <c r="BS309" s="442"/>
      <c r="BT309" s="67">
        <f>SUM(BT310:BT310)</f>
        <v>0</v>
      </c>
      <c r="BU309" s="67"/>
      <c r="BV309" s="67"/>
      <c r="BW309" s="560"/>
      <c r="BX309" s="442"/>
      <c r="BY309" s="67">
        <f>SUM(BY310:BY310)</f>
        <v>0</v>
      </c>
      <c r="BZ309" s="67"/>
      <c r="CA309" s="67"/>
      <c r="CB309" s="560"/>
      <c r="CC309" s="442"/>
      <c r="CD309" s="67">
        <f>SUM(CD310)</f>
        <v>0</v>
      </c>
      <c r="CE309" s="67"/>
      <c r="CF309" s="67"/>
      <c r="CG309" s="560"/>
      <c r="CH309" s="442"/>
      <c r="CI309" s="67">
        <f>SUM(CI310)</f>
        <v>0</v>
      </c>
      <c r="CJ309" s="67"/>
      <c r="CK309" s="67"/>
      <c r="CL309" s="560"/>
      <c r="CM309" s="442"/>
      <c r="CN309" s="67">
        <f>SUM(CN310)</f>
        <v>0</v>
      </c>
      <c r="CO309" s="67"/>
      <c r="CP309" s="67"/>
      <c r="CQ309" s="560"/>
      <c r="CR309" s="442"/>
      <c r="CS309" s="67">
        <f>SUM(CS310)</f>
        <v>0</v>
      </c>
      <c r="CT309" s="67"/>
      <c r="CU309" s="67"/>
      <c r="CV309" s="560"/>
      <c r="CW309" s="442"/>
      <c r="CX309" s="67">
        <f>SUM(CX310)</f>
        <v>0</v>
      </c>
      <c r="CY309" s="67"/>
      <c r="CZ309" s="67"/>
      <c r="DA309" s="560"/>
      <c r="DB309" s="442"/>
      <c r="DC309" s="67">
        <f>SUM(DC310)</f>
        <v>0</v>
      </c>
      <c r="DD309" s="67"/>
      <c r="DE309" s="67"/>
      <c r="DF309" s="560"/>
      <c r="DG309" s="442"/>
      <c r="DH309" s="67">
        <f>SUM(DH310)</f>
        <v>0</v>
      </c>
      <c r="DI309" s="67"/>
      <c r="DJ309" s="67"/>
      <c r="DK309" s="560"/>
      <c r="DL309" s="442"/>
      <c r="DM309" s="67">
        <f>SUM(DM310)</f>
        <v>0</v>
      </c>
      <c r="DN309" s="67"/>
      <c r="DO309" s="67"/>
      <c r="DP309" s="560"/>
      <c r="DQ309" s="442"/>
      <c r="DR309" s="67">
        <f>SUM(DR310)</f>
        <v>0</v>
      </c>
      <c r="DS309" s="67"/>
      <c r="DT309" s="67"/>
      <c r="DU309" s="560"/>
      <c r="DV309" s="442"/>
      <c r="DW309" s="67">
        <f>SUM(DW310)</f>
        <v>0</v>
      </c>
      <c r="DX309" s="67"/>
      <c r="DY309" s="67"/>
      <c r="DZ309" s="560"/>
      <c r="EA309" s="442"/>
      <c r="EB309" s="67">
        <f>SUM(EB310)</f>
        <v>0</v>
      </c>
      <c r="EC309" s="67"/>
      <c r="ED309" s="67"/>
      <c r="EE309" s="560"/>
      <c r="EF309" s="442"/>
      <c r="EG309" s="67">
        <f>SUM(EG310)</f>
        <v>0</v>
      </c>
      <c r="EH309" s="67"/>
      <c r="EI309" s="67"/>
      <c r="EJ309" s="560"/>
      <c r="EK309" s="442"/>
      <c r="EL309" s="67">
        <f>SUM(EL310:EL310)</f>
        <v>0</v>
      </c>
      <c r="EM309" s="67"/>
      <c r="EN309" s="67"/>
      <c r="EO309" s="455"/>
      <c r="ER309" s="472"/>
      <c r="ES309" s="472"/>
    </row>
    <row r="310" spans="1:149" hidden="1" x14ac:dyDescent="0.2">
      <c r="A310" s="442"/>
      <c r="B310" s="442"/>
      <c r="D310" s="455" t="s">
        <v>342</v>
      </c>
      <c r="F310" s="563"/>
      <c r="G310" s="564">
        <v>0</v>
      </c>
      <c r="H310" s="565"/>
      <c r="I310" s="67"/>
      <c r="J310" s="560"/>
      <c r="K310" s="563"/>
      <c r="L310" s="564">
        <v>0</v>
      </c>
      <c r="M310" s="565"/>
      <c r="N310" s="67"/>
      <c r="O310" s="560"/>
      <c r="P310" s="563"/>
      <c r="Q310" s="564">
        <v>0</v>
      </c>
      <c r="R310" s="565"/>
      <c r="S310" s="67"/>
      <c r="T310" s="560"/>
      <c r="U310" s="563"/>
      <c r="V310" s="564">
        <v>0</v>
      </c>
      <c r="W310" s="565"/>
      <c r="X310" s="67"/>
      <c r="Y310" s="560"/>
      <c r="Z310" s="563"/>
      <c r="AA310" s="564">
        <v>0</v>
      </c>
      <c r="AB310" s="565"/>
      <c r="AC310" s="67"/>
      <c r="AD310" s="560"/>
      <c r="AE310" s="563"/>
      <c r="AF310" s="564">
        <v>0</v>
      </c>
      <c r="AG310" s="565"/>
      <c r="AH310" s="67"/>
      <c r="AI310" s="560"/>
      <c r="AJ310" s="563"/>
      <c r="AK310" s="564">
        <v>0</v>
      </c>
      <c r="AL310" s="565"/>
      <c r="AM310" s="67"/>
      <c r="AN310" s="560"/>
      <c r="AO310" s="563"/>
      <c r="AP310" s="564">
        <v>0</v>
      </c>
      <c r="AQ310" s="565"/>
      <c r="AR310" s="67"/>
      <c r="AS310" s="560"/>
      <c r="AT310" s="563"/>
      <c r="AU310" s="564">
        <v>0</v>
      </c>
      <c r="AV310" s="565"/>
      <c r="AW310" s="67"/>
      <c r="AX310" s="560"/>
      <c r="AY310" s="563"/>
      <c r="AZ310" s="564">
        <v>0</v>
      </c>
      <c r="BA310" s="565"/>
      <c r="BB310" s="67"/>
      <c r="BC310" s="560"/>
      <c r="BD310" s="563"/>
      <c r="BE310" s="564">
        <v>0</v>
      </c>
      <c r="BF310" s="565"/>
      <c r="BG310" s="67"/>
      <c r="BH310" s="560"/>
      <c r="BI310" s="563"/>
      <c r="BJ310" s="564">
        <v>0</v>
      </c>
      <c r="BK310" s="565"/>
      <c r="BL310" s="67"/>
      <c r="BM310" s="560"/>
      <c r="BN310" s="563"/>
      <c r="BO310" s="564">
        <v>0</v>
      </c>
      <c r="BP310" s="565"/>
      <c r="BQ310" s="67"/>
      <c r="BR310" s="560"/>
      <c r="BS310" s="563"/>
      <c r="BT310" s="564">
        <f>SUM(L310:BO310)</f>
        <v>0</v>
      </c>
      <c r="BU310" s="565"/>
      <c r="BV310" s="67"/>
      <c r="BW310" s="560"/>
      <c r="BX310" s="563"/>
      <c r="BY310" s="564">
        <v>0</v>
      </c>
      <c r="BZ310" s="565"/>
      <c r="CA310" s="67"/>
      <c r="CB310" s="560"/>
      <c r="CC310" s="563"/>
      <c r="CD310" s="564">
        <v>0</v>
      </c>
      <c r="CE310" s="565"/>
      <c r="CF310" s="67"/>
      <c r="CG310" s="560"/>
      <c r="CH310" s="563"/>
      <c r="CI310" s="564">
        <v>0</v>
      </c>
      <c r="CJ310" s="565"/>
      <c r="CK310" s="67"/>
      <c r="CL310" s="560"/>
      <c r="CM310" s="563"/>
      <c r="CN310" s="564">
        <v>0</v>
      </c>
      <c r="CO310" s="565"/>
      <c r="CP310" s="67"/>
      <c r="CQ310" s="560"/>
      <c r="CR310" s="563"/>
      <c r="CS310" s="564">
        <v>0</v>
      </c>
      <c r="CT310" s="565"/>
      <c r="CU310" s="67"/>
      <c r="CV310" s="560"/>
      <c r="CW310" s="563"/>
      <c r="CX310" s="564">
        <v>0</v>
      </c>
      <c r="CY310" s="565"/>
      <c r="CZ310" s="67"/>
      <c r="DA310" s="560"/>
      <c r="DB310" s="563"/>
      <c r="DC310" s="564">
        <v>0</v>
      </c>
      <c r="DD310" s="565"/>
      <c r="DE310" s="67"/>
      <c r="DF310" s="560"/>
      <c r="DG310" s="563"/>
      <c r="DH310" s="564">
        <v>0</v>
      </c>
      <c r="DI310" s="565"/>
      <c r="DJ310" s="67"/>
      <c r="DK310" s="560"/>
      <c r="DL310" s="563"/>
      <c r="DM310" s="564">
        <v>0</v>
      </c>
      <c r="DN310" s="565"/>
      <c r="DO310" s="67"/>
      <c r="DP310" s="560"/>
      <c r="DQ310" s="563"/>
      <c r="DR310" s="564">
        <v>0</v>
      </c>
      <c r="DS310" s="565"/>
      <c r="DT310" s="67"/>
      <c r="DU310" s="560"/>
      <c r="DV310" s="563"/>
      <c r="DW310" s="564">
        <v>0</v>
      </c>
      <c r="DX310" s="565"/>
      <c r="DY310" s="67"/>
      <c r="DZ310" s="560"/>
      <c r="EA310" s="563"/>
      <c r="EB310" s="564">
        <v>0</v>
      </c>
      <c r="EC310" s="565"/>
      <c r="ED310" s="67"/>
      <c r="EE310" s="560"/>
      <c r="EF310" s="563"/>
      <c r="EG310" s="564">
        <v>0</v>
      </c>
      <c r="EH310" s="565"/>
      <c r="EI310" s="67"/>
      <c r="EJ310" s="560"/>
      <c r="EK310" s="563"/>
      <c r="EL310" s="564">
        <f>SUM(CD310:CI310)</f>
        <v>0</v>
      </c>
      <c r="EM310" s="565"/>
      <c r="EN310" s="67"/>
      <c r="EO310" s="455"/>
      <c r="ER310" s="472"/>
      <c r="ES310" s="472"/>
    </row>
    <row r="311" spans="1:149" hidden="1" x14ac:dyDescent="0.2">
      <c r="A311" s="442"/>
      <c r="B311" s="442"/>
      <c r="D311" s="455"/>
      <c r="F311" s="442"/>
      <c r="G311" s="67"/>
      <c r="H311" s="67"/>
      <c r="I311" s="67"/>
      <c r="J311" s="560"/>
      <c r="K311" s="67"/>
      <c r="L311" s="67"/>
      <c r="M311" s="67"/>
      <c r="N311" s="67"/>
      <c r="O311" s="560"/>
      <c r="P311" s="67"/>
      <c r="Q311" s="67"/>
      <c r="R311" s="67"/>
      <c r="S311" s="67"/>
      <c r="T311" s="560"/>
      <c r="U311" s="67"/>
      <c r="V311" s="67"/>
      <c r="W311" s="67"/>
      <c r="X311" s="67"/>
      <c r="Y311" s="560"/>
      <c r="Z311" s="67"/>
      <c r="AA311" s="67"/>
      <c r="AB311" s="67"/>
      <c r="AC311" s="67"/>
      <c r="AD311" s="560"/>
      <c r="AE311" s="67"/>
      <c r="AF311" s="67"/>
      <c r="AG311" s="67"/>
      <c r="AH311" s="67"/>
      <c r="AI311" s="560"/>
      <c r="AJ311" s="67"/>
      <c r="AK311" s="67"/>
      <c r="AL311" s="67"/>
      <c r="AM311" s="67"/>
      <c r="AN311" s="560"/>
      <c r="AO311" s="67"/>
      <c r="AP311" s="67"/>
      <c r="AQ311" s="67"/>
      <c r="AR311" s="67"/>
      <c r="AS311" s="560"/>
      <c r="AT311" s="67"/>
      <c r="AU311" s="67"/>
      <c r="AV311" s="67"/>
      <c r="AW311" s="67"/>
      <c r="AX311" s="560"/>
      <c r="AY311" s="67"/>
      <c r="AZ311" s="67"/>
      <c r="BA311" s="67"/>
      <c r="BB311" s="67"/>
      <c r="BC311" s="560"/>
      <c r="BD311" s="67"/>
      <c r="BE311" s="67"/>
      <c r="BF311" s="67"/>
      <c r="BG311" s="67"/>
      <c r="BH311" s="560"/>
      <c r="BI311" s="67"/>
      <c r="BJ311" s="67"/>
      <c r="BK311" s="67"/>
      <c r="BL311" s="67"/>
      <c r="BM311" s="560"/>
      <c r="BN311" s="67"/>
      <c r="BO311" s="67"/>
      <c r="BP311" s="67"/>
      <c r="BQ311" s="67"/>
      <c r="BR311" s="560"/>
      <c r="BS311" s="67"/>
      <c r="BT311" s="67"/>
      <c r="BU311" s="67"/>
      <c r="BV311" s="67"/>
      <c r="BW311" s="560"/>
      <c r="BX311" s="67"/>
      <c r="BY311" s="67"/>
      <c r="BZ311" s="67"/>
      <c r="CA311" s="67"/>
      <c r="CB311" s="560"/>
      <c r="CC311" s="67"/>
      <c r="CD311" s="67"/>
      <c r="CE311" s="67"/>
      <c r="CF311" s="67"/>
      <c r="CG311" s="560"/>
      <c r="CH311" s="67"/>
      <c r="CI311" s="67"/>
      <c r="CJ311" s="67"/>
      <c r="CK311" s="67"/>
      <c r="CL311" s="560"/>
      <c r="CM311" s="67"/>
      <c r="CN311" s="67"/>
      <c r="CO311" s="67"/>
      <c r="CP311" s="67"/>
      <c r="CQ311" s="560"/>
      <c r="CR311" s="67"/>
      <c r="CS311" s="67"/>
      <c r="CT311" s="67"/>
      <c r="CU311" s="67"/>
      <c r="CV311" s="560"/>
      <c r="CW311" s="67"/>
      <c r="CX311" s="67"/>
      <c r="CY311" s="67"/>
      <c r="CZ311" s="67"/>
      <c r="DA311" s="560"/>
      <c r="DB311" s="67"/>
      <c r="DC311" s="67"/>
      <c r="DD311" s="67"/>
      <c r="DE311" s="67"/>
      <c r="DF311" s="560"/>
      <c r="DG311" s="67"/>
      <c r="DH311" s="67"/>
      <c r="DI311" s="67"/>
      <c r="DJ311" s="67"/>
      <c r="DK311" s="560"/>
      <c r="DL311" s="67"/>
      <c r="DM311" s="67"/>
      <c r="DN311" s="67"/>
      <c r="DO311" s="67"/>
      <c r="DP311" s="560"/>
      <c r="DQ311" s="67"/>
      <c r="DR311" s="67"/>
      <c r="DS311" s="67"/>
      <c r="DT311" s="67"/>
      <c r="DU311" s="560"/>
      <c r="DV311" s="67"/>
      <c r="DW311" s="67"/>
      <c r="DX311" s="67"/>
      <c r="DY311" s="67"/>
      <c r="DZ311" s="560"/>
      <c r="EA311" s="67"/>
      <c r="EB311" s="67"/>
      <c r="EC311" s="67"/>
      <c r="ED311" s="67"/>
      <c r="EE311" s="560"/>
      <c r="EF311" s="67"/>
      <c r="EG311" s="67"/>
      <c r="EH311" s="67"/>
      <c r="EI311" s="67"/>
      <c r="EJ311" s="560"/>
      <c r="EK311" s="67"/>
      <c r="EL311" s="67"/>
      <c r="EM311" s="67"/>
      <c r="EN311" s="67"/>
      <c r="EO311" s="455"/>
      <c r="ER311" s="472"/>
      <c r="ES311" s="472"/>
    </row>
    <row r="312" spans="1:149" ht="12.75" hidden="1" customHeight="1" x14ac:dyDescent="0.2">
      <c r="A312" s="442"/>
      <c r="B312" s="442"/>
      <c r="D312" s="455" t="s">
        <v>405</v>
      </c>
      <c r="F312" s="442"/>
      <c r="G312" s="67">
        <v>0</v>
      </c>
      <c r="H312" s="67"/>
      <c r="I312" s="67"/>
      <c r="J312" s="560"/>
      <c r="K312" s="67"/>
      <c r="L312" s="67">
        <f>SUM(L313:L313)</f>
        <v>0</v>
      </c>
      <c r="M312" s="67"/>
      <c r="N312" s="67"/>
      <c r="O312" s="560"/>
      <c r="P312" s="67"/>
      <c r="Q312" s="67">
        <f>SUM(Q313:Q313)</f>
        <v>0</v>
      </c>
      <c r="R312" s="67"/>
      <c r="S312" s="67"/>
      <c r="T312" s="560"/>
      <c r="U312" s="67"/>
      <c r="V312" s="67">
        <f>SUM(V313:V313)</f>
        <v>0</v>
      </c>
      <c r="W312" s="67"/>
      <c r="X312" s="67"/>
      <c r="Y312" s="560"/>
      <c r="Z312" s="67"/>
      <c r="AA312" s="67">
        <f>SUM(AA313:AA313)</f>
        <v>0</v>
      </c>
      <c r="AB312" s="67"/>
      <c r="AC312" s="67"/>
      <c r="AD312" s="560"/>
      <c r="AE312" s="67"/>
      <c r="AF312" s="67">
        <f>SUM(AF313:AF313)</f>
        <v>0</v>
      </c>
      <c r="AG312" s="67"/>
      <c r="AH312" s="67"/>
      <c r="AI312" s="560"/>
      <c r="AJ312" s="67"/>
      <c r="AK312" s="67">
        <f>SUM(AK313:AK313)</f>
        <v>0</v>
      </c>
      <c r="AL312" s="67"/>
      <c r="AM312" s="67"/>
      <c r="AN312" s="560"/>
      <c r="AO312" s="67"/>
      <c r="AP312" s="67">
        <f>SUM(AP313:AP313)</f>
        <v>0</v>
      </c>
      <c r="AQ312" s="67"/>
      <c r="AR312" s="67"/>
      <c r="AS312" s="560"/>
      <c r="AT312" s="67"/>
      <c r="AU312" s="67">
        <f>SUM(AU313:AU313)</f>
        <v>0</v>
      </c>
      <c r="AV312" s="67"/>
      <c r="AW312" s="67"/>
      <c r="AX312" s="560"/>
      <c r="AY312" s="67"/>
      <c r="AZ312" s="67">
        <f>SUM(AZ313:AZ313)</f>
        <v>0</v>
      </c>
      <c r="BA312" s="67"/>
      <c r="BB312" s="67"/>
      <c r="BC312" s="560"/>
      <c r="BD312" s="67"/>
      <c r="BE312" s="67">
        <f>SUM(BE313:BE313)</f>
        <v>0</v>
      </c>
      <c r="BF312" s="67"/>
      <c r="BG312" s="67"/>
      <c r="BH312" s="560"/>
      <c r="BI312" s="67"/>
      <c r="BJ312" s="67">
        <f>SUM(BJ313:BJ313)</f>
        <v>0</v>
      </c>
      <c r="BK312" s="67"/>
      <c r="BL312" s="67"/>
      <c r="BM312" s="560"/>
      <c r="BN312" s="67"/>
      <c r="BO312" s="67">
        <f>SUM(BO313:BO313)</f>
        <v>0</v>
      </c>
      <c r="BP312" s="67"/>
      <c r="BQ312" s="67"/>
      <c r="BR312" s="560"/>
      <c r="BS312" s="67"/>
      <c r="BT312" s="67">
        <f>SUM(BT313:BT313)</f>
        <v>0</v>
      </c>
      <c r="BU312" s="67"/>
      <c r="BV312" s="67"/>
      <c r="BW312" s="560"/>
      <c r="BX312" s="67"/>
      <c r="BY312" s="67">
        <f>SUM(BY313:BY313)</f>
        <v>0</v>
      </c>
      <c r="BZ312" s="67"/>
      <c r="CA312" s="67"/>
      <c r="CB312" s="560"/>
      <c r="CC312" s="67"/>
      <c r="CD312" s="67">
        <f>SUM(CD313:CD313)</f>
        <v>0</v>
      </c>
      <c r="CE312" s="67"/>
      <c r="CF312" s="67"/>
      <c r="CG312" s="560"/>
      <c r="CH312" s="67"/>
      <c r="CI312" s="67">
        <f>SUM(CI313:CI313)</f>
        <v>0</v>
      </c>
      <c r="CJ312" s="67"/>
      <c r="CK312" s="67"/>
      <c r="CL312" s="560"/>
      <c r="CM312" s="67"/>
      <c r="CN312" s="67">
        <f>SUM(CN313:CN313)</f>
        <v>0</v>
      </c>
      <c r="CO312" s="67"/>
      <c r="CP312" s="67"/>
      <c r="CQ312" s="560"/>
      <c r="CR312" s="67"/>
      <c r="CS312" s="67">
        <f>SUM(CS313:CS313)</f>
        <v>0</v>
      </c>
      <c r="CT312" s="67"/>
      <c r="CU312" s="67"/>
      <c r="CV312" s="560"/>
      <c r="CW312" s="67"/>
      <c r="CX312" s="67">
        <f>SUM(CX313:CX313)</f>
        <v>0</v>
      </c>
      <c r="CY312" s="67"/>
      <c r="CZ312" s="67"/>
      <c r="DA312" s="560"/>
      <c r="DB312" s="67"/>
      <c r="DC312" s="67">
        <f>SUM(DC313:DC313)</f>
        <v>0</v>
      </c>
      <c r="DD312" s="67"/>
      <c r="DE312" s="67"/>
      <c r="DF312" s="560"/>
      <c r="DG312" s="67"/>
      <c r="DH312" s="67">
        <f>SUM(DH313:DH313)</f>
        <v>0</v>
      </c>
      <c r="DI312" s="67"/>
      <c r="DJ312" s="67"/>
      <c r="DK312" s="560"/>
      <c r="DL312" s="67"/>
      <c r="DM312" s="67">
        <f>SUM(DM313:DM313)</f>
        <v>0</v>
      </c>
      <c r="DN312" s="67"/>
      <c r="DO312" s="67"/>
      <c r="DP312" s="560"/>
      <c r="DQ312" s="67"/>
      <c r="DR312" s="67">
        <f>SUM(DR313:DR313)</f>
        <v>0</v>
      </c>
      <c r="DS312" s="67"/>
      <c r="DT312" s="67"/>
      <c r="DU312" s="560"/>
      <c r="DV312" s="67"/>
      <c r="DW312" s="67">
        <f>SUM(DW313:DW313)</f>
        <v>0</v>
      </c>
      <c r="DX312" s="67"/>
      <c r="DY312" s="67"/>
      <c r="DZ312" s="560"/>
      <c r="EA312" s="67"/>
      <c r="EB312" s="67">
        <f>SUM(EB313:EB313)</f>
        <v>0</v>
      </c>
      <c r="EC312" s="67"/>
      <c r="ED312" s="67"/>
      <c r="EE312" s="560"/>
      <c r="EF312" s="67"/>
      <c r="EG312" s="67">
        <f>SUM(EG313:EG313)</f>
        <v>0</v>
      </c>
      <c r="EH312" s="67"/>
      <c r="EI312" s="67"/>
      <c r="EJ312" s="560"/>
      <c r="EK312" s="67"/>
      <c r="EL312" s="67">
        <f>SUM(EL313:EL313)</f>
        <v>0</v>
      </c>
      <c r="EM312" s="67"/>
      <c r="EN312" s="67"/>
      <c r="EO312" s="455"/>
      <c r="ER312" s="472"/>
      <c r="ES312" s="472"/>
    </row>
    <row r="313" spans="1:149" ht="12.75" hidden="1" customHeight="1" x14ac:dyDescent="0.2">
      <c r="A313" s="442"/>
      <c r="B313" s="442"/>
      <c r="D313" s="455" t="s">
        <v>342</v>
      </c>
      <c r="F313" s="563"/>
      <c r="G313" s="564">
        <v>0</v>
      </c>
      <c r="H313" s="565"/>
      <c r="I313" s="67"/>
      <c r="J313" s="560"/>
      <c r="K313" s="566"/>
      <c r="L313" s="564">
        <v>0</v>
      </c>
      <c r="M313" s="565"/>
      <c r="N313" s="67"/>
      <c r="O313" s="560"/>
      <c r="P313" s="566"/>
      <c r="Q313" s="564">
        <v>0</v>
      </c>
      <c r="R313" s="565"/>
      <c r="S313" s="67"/>
      <c r="T313" s="560"/>
      <c r="U313" s="566"/>
      <c r="V313" s="564">
        <v>0</v>
      </c>
      <c r="W313" s="565"/>
      <c r="X313" s="67"/>
      <c r="Y313" s="560"/>
      <c r="Z313" s="566"/>
      <c r="AA313" s="564">
        <v>0</v>
      </c>
      <c r="AB313" s="565"/>
      <c r="AC313" s="67"/>
      <c r="AD313" s="560"/>
      <c r="AE313" s="566"/>
      <c r="AF313" s="564">
        <v>0</v>
      </c>
      <c r="AG313" s="565"/>
      <c r="AH313" s="67"/>
      <c r="AI313" s="560"/>
      <c r="AJ313" s="566"/>
      <c r="AK313" s="564">
        <v>0</v>
      </c>
      <c r="AL313" s="565"/>
      <c r="AM313" s="67"/>
      <c r="AN313" s="560"/>
      <c r="AO313" s="566"/>
      <c r="AP313" s="564">
        <v>0</v>
      </c>
      <c r="AQ313" s="565"/>
      <c r="AR313" s="67"/>
      <c r="AS313" s="560"/>
      <c r="AT313" s="566"/>
      <c r="AU313" s="564">
        <v>0</v>
      </c>
      <c r="AV313" s="565"/>
      <c r="AW313" s="67"/>
      <c r="AX313" s="560"/>
      <c r="AY313" s="566"/>
      <c r="AZ313" s="564">
        <v>0</v>
      </c>
      <c r="BA313" s="565"/>
      <c r="BB313" s="67"/>
      <c r="BC313" s="560"/>
      <c r="BD313" s="566"/>
      <c r="BE313" s="564">
        <v>0</v>
      </c>
      <c r="BF313" s="565"/>
      <c r="BG313" s="67"/>
      <c r="BH313" s="560"/>
      <c r="BI313" s="566"/>
      <c r="BJ313" s="564">
        <v>0</v>
      </c>
      <c r="BK313" s="565"/>
      <c r="BL313" s="67"/>
      <c r="BM313" s="560"/>
      <c r="BN313" s="566"/>
      <c r="BO313" s="564">
        <v>0</v>
      </c>
      <c r="BP313" s="565"/>
      <c r="BQ313" s="67"/>
      <c r="BR313" s="560"/>
      <c r="BS313" s="566"/>
      <c r="BT313" s="564">
        <f>SUM(L313:BO313)</f>
        <v>0</v>
      </c>
      <c r="BU313" s="565"/>
      <c r="BV313" s="67"/>
      <c r="BW313" s="560"/>
      <c r="BX313" s="566"/>
      <c r="BY313" s="564">
        <v>0</v>
      </c>
      <c r="BZ313" s="565"/>
      <c r="CA313" s="67"/>
      <c r="CB313" s="560"/>
      <c r="CC313" s="566"/>
      <c r="CD313" s="564">
        <v>0</v>
      </c>
      <c r="CE313" s="565"/>
      <c r="CF313" s="67"/>
      <c r="CG313" s="560"/>
      <c r="CH313" s="566"/>
      <c r="CI313" s="564">
        <v>0</v>
      </c>
      <c r="CJ313" s="565"/>
      <c r="CK313" s="67"/>
      <c r="CL313" s="560"/>
      <c r="CM313" s="566"/>
      <c r="CN313" s="564">
        <v>0</v>
      </c>
      <c r="CO313" s="565"/>
      <c r="CP313" s="67"/>
      <c r="CQ313" s="560"/>
      <c r="CR313" s="566"/>
      <c r="CS313" s="564">
        <v>0</v>
      </c>
      <c r="CT313" s="565"/>
      <c r="CU313" s="67"/>
      <c r="CV313" s="560"/>
      <c r="CW313" s="566"/>
      <c r="CX313" s="564">
        <v>0</v>
      </c>
      <c r="CY313" s="565"/>
      <c r="CZ313" s="67"/>
      <c r="DA313" s="560"/>
      <c r="DB313" s="566"/>
      <c r="DC313" s="564">
        <v>0</v>
      </c>
      <c r="DD313" s="565"/>
      <c r="DE313" s="67"/>
      <c r="DF313" s="560"/>
      <c r="DG313" s="566"/>
      <c r="DH313" s="564">
        <v>0</v>
      </c>
      <c r="DI313" s="565"/>
      <c r="DJ313" s="67"/>
      <c r="DK313" s="560"/>
      <c r="DL313" s="566"/>
      <c r="DM313" s="564">
        <v>0</v>
      </c>
      <c r="DN313" s="565"/>
      <c r="DO313" s="67"/>
      <c r="DP313" s="560"/>
      <c r="DQ313" s="566"/>
      <c r="DR313" s="564">
        <v>0</v>
      </c>
      <c r="DS313" s="565"/>
      <c r="DT313" s="67"/>
      <c r="DU313" s="560"/>
      <c r="DV313" s="566"/>
      <c r="DW313" s="564">
        <v>0</v>
      </c>
      <c r="DX313" s="565"/>
      <c r="DY313" s="67"/>
      <c r="DZ313" s="560"/>
      <c r="EA313" s="566"/>
      <c r="EB313" s="564">
        <v>0</v>
      </c>
      <c r="EC313" s="565"/>
      <c r="ED313" s="67"/>
      <c r="EE313" s="560"/>
      <c r="EF313" s="566"/>
      <c r="EG313" s="564">
        <v>0</v>
      </c>
      <c r="EH313" s="565"/>
      <c r="EI313" s="67"/>
      <c r="EJ313" s="560"/>
      <c r="EK313" s="563"/>
      <c r="EL313" s="564">
        <f>SUM(CD313:CI313)</f>
        <v>0</v>
      </c>
      <c r="EM313" s="565"/>
      <c r="EN313" s="67"/>
      <c r="EO313" s="455"/>
      <c r="ER313" s="472"/>
      <c r="ES313" s="472"/>
    </row>
    <row r="314" spans="1:149" ht="12.75" hidden="1" customHeight="1" x14ac:dyDescent="0.2">
      <c r="A314" s="442"/>
      <c r="B314" s="442"/>
      <c r="D314" s="455"/>
      <c r="F314" s="442"/>
      <c r="G314" s="67"/>
      <c r="H314" s="67"/>
      <c r="I314" s="67"/>
      <c r="J314" s="560"/>
      <c r="K314" s="67"/>
      <c r="L314" s="67"/>
      <c r="M314" s="67"/>
      <c r="N314" s="67"/>
      <c r="O314" s="560"/>
      <c r="P314" s="67"/>
      <c r="Q314" s="67"/>
      <c r="R314" s="67"/>
      <c r="S314" s="67"/>
      <c r="T314" s="560"/>
      <c r="U314" s="67"/>
      <c r="V314" s="67"/>
      <c r="W314" s="67"/>
      <c r="X314" s="67"/>
      <c r="Y314" s="560"/>
      <c r="Z314" s="67"/>
      <c r="AA314" s="67"/>
      <c r="AB314" s="67"/>
      <c r="AC314" s="67"/>
      <c r="AD314" s="560"/>
      <c r="AE314" s="67"/>
      <c r="AF314" s="67"/>
      <c r="AG314" s="67"/>
      <c r="AH314" s="67"/>
      <c r="AI314" s="560"/>
      <c r="AJ314" s="67"/>
      <c r="AK314" s="67"/>
      <c r="AL314" s="67"/>
      <c r="AM314" s="67"/>
      <c r="AN314" s="560"/>
      <c r="AO314" s="67"/>
      <c r="AP314" s="67"/>
      <c r="AQ314" s="67"/>
      <c r="AR314" s="67"/>
      <c r="AS314" s="560"/>
      <c r="AT314" s="67"/>
      <c r="AU314" s="67"/>
      <c r="AV314" s="67"/>
      <c r="AW314" s="67"/>
      <c r="AX314" s="560"/>
      <c r="AY314" s="67"/>
      <c r="AZ314" s="67"/>
      <c r="BA314" s="67"/>
      <c r="BB314" s="67"/>
      <c r="BC314" s="560"/>
      <c r="BD314" s="67"/>
      <c r="BE314" s="67"/>
      <c r="BF314" s="67"/>
      <c r="BG314" s="67"/>
      <c r="BH314" s="560"/>
      <c r="BI314" s="67"/>
      <c r="BJ314" s="67"/>
      <c r="BK314" s="67"/>
      <c r="BL314" s="67"/>
      <c r="BM314" s="560"/>
      <c r="BN314" s="67"/>
      <c r="BO314" s="67"/>
      <c r="BP314" s="67"/>
      <c r="BQ314" s="67"/>
      <c r="BR314" s="560"/>
      <c r="BS314" s="67"/>
      <c r="BT314" s="67"/>
      <c r="BU314" s="67"/>
      <c r="BV314" s="67"/>
      <c r="BW314" s="560"/>
      <c r="BX314" s="67"/>
      <c r="BY314" s="67"/>
      <c r="BZ314" s="67"/>
      <c r="CA314" s="67"/>
      <c r="CB314" s="560"/>
      <c r="CC314" s="67"/>
      <c r="CD314" s="67"/>
      <c r="CE314" s="67"/>
      <c r="CF314" s="67"/>
      <c r="CG314" s="560"/>
      <c r="CH314" s="67"/>
      <c r="CI314" s="67"/>
      <c r="CJ314" s="67"/>
      <c r="CK314" s="67"/>
      <c r="CL314" s="560"/>
      <c r="CM314" s="67"/>
      <c r="CN314" s="67"/>
      <c r="CO314" s="67"/>
      <c r="CP314" s="67"/>
      <c r="CQ314" s="560"/>
      <c r="CR314" s="67"/>
      <c r="CS314" s="67"/>
      <c r="CT314" s="67"/>
      <c r="CU314" s="67"/>
      <c r="CV314" s="560"/>
      <c r="CW314" s="67"/>
      <c r="CX314" s="67"/>
      <c r="CY314" s="67"/>
      <c r="CZ314" s="67"/>
      <c r="DA314" s="560"/>
      <c r="DB314" s="67"/>
      <c r="DC314" s="67"/>
      <c r="DD314" s="67"/>
      <c r="DE314" s="67"/>
      <c r="DF314" s="560"/>
      <c r="DG314" s="67"/>
      <c r="DH314" s="67"/>
      <c r="DI314" s="67"/>
      <c r="DJ314" s="67"/>
      <c r="DK314" s="560"/>
      <c r="DL314" s="67"/>
      <c r="DM314" s="67"/>
      <c r="DN314" s="67"/>
      <c r="DO314" s="67"/>
      <c r="DP314" s="560"/>
      <c r="DQ314" s="67"/>
      <c r="DR314" s="67"/>
      <c r="DS314" s="67"/>
      <c r="DT314" s="67"/>
      <c r="DU314" s="560"/>
      <c r="DV314" s="67"/>
      <c r="DW314" s="67"/>
      <c r="DX314" s="67"/>
      <c r="DY314" s="67"/>
      <c r="DZ314" s="560"/>
      <c r="EA314" s="67"/>
      <c r="EB314" s="67"/>
      <c r="EC314" s="67"/>
      <c r="ED314" s="67"/>
      <c r="EE314" s="560"/>
      <c r="EF314" s="67"/>
      <c r="EG314" s="67"/>
      <c r="EH314" s="67"/>
      <c r="EI314" s="67"/>
      <c r="EJ314" s="560"/>
      <c r="EK314" s="67"/>
      <c r="EL314" s="67"/>
      <c r="EM314" s="67"/>
      <c r="EN314" s="67"/>
      <c r="EO314" s="455"/>
      <c r="ER314" s="472"/>
      <c r="ES314" s="472"/>
    </row>
    <row r="315" spans="1:149" s="472" customFormat="1" ht="12.75" hidden="1" customHeight="1" x14ac:dyDescent="0.2">
      <c r="A315" s="443"/>
      <c r="B315" s="443"/>
      <c r="D315" s="309" t="s">
        <v>336</v>
      </c>
      <c r="E315" s="587"/>
      <c r="F315" s="310"/>
      <c r="G315" s="67">
        <f>SUM(G316)</f>
        <v>0</v>
      </c>
      <c r="H315" s="67"/>
      <c r="I315" s="67"/>
      <c r="J315" s="560"/>
      <c r="K315" s="67"/>
      <c r="L315" s="67">
        <f>SUM(L316:L316)</f>
        <v>0</v>
      </c>
      <c r="M315" s="67"/>
      <c r="N315" s="67"/>
      <c r="O315" s="560"/>
      <c r="P315" s="67"/>
      <c r="Q315" s="67">
        <f>SUM(Q316:Q316)</f>
        <v>0</v>
      </c>
      <c r="R315" s="67"/>
      <c r="S315" s="67"/>
      <c r="T315" s="560"/>
      <c r="U315" s="67"/>
      <c r="V315" s="67">
        <f>SUM(V316:V316)</f>
        <v>0</v>
      </c>
      <c r="W315" s="67"/>
      <c r="X315" s="67"/>
      <c r="Y315" s="560"/>
      <c r="Z315" s="67"/>
      <c r="AA315" s="67">
        <f>SUM(AA316:AA316)</f>
        <v>0</v>
      </c>
      <c r="AB315" s="67"/>
      <c r="AC315" s="67"/>
      <c r="AD315" s="560"/>
      <c r="AE315" s="67"/>
      <c r="AF315" s="67">
        <f>SUM(AF316:AF316)</f>
        <v>0</v>
      </c>
      <c r="AG315" s="67"/>
      <c r="AH315" s="67"/>
      <c r="AI315" s="560"/>
      <c r="AJ315" s="67"/>
      <c r="AK315" s="67">
        <f>SUM(AK316:AK316)</f>
        <v>0</v>
      </c>
      <c r="AL315" s="67"/>
      <c r="AM315" s="67"/>
      <c r="AN315" s="560"/>
      <c r="AO315" s="67"/>
      <c r="AP315" s="67">
        <f>SUM(AP316:AP316)</f>
        <v>0</v>
      </c>
      <c r="AQ315" s="67"/>
      <c r="AR315" s="67"/>
      <c r="AS315" s="560"/>
      <c r="AT315" s="67"/>
      <c r="AU315" s="67">
        <f>SUM(AU316:AU316)</f>
        <v>0</v>
      </c>
      <c r="AV315" s="67"/>
      <c r="AW315" s="67"/>
      <c r="AX315" s="560"/>
      <c r="AY315" s="67"/>
      <c r="AZ315" s="67">
        <f>SUM(AZ316:AZ316)</f>
        <v>0</v>
      </c>
      <c r="BA315" s="67"/>
      <c r="BB315" s="67"/>
      <c r="BC315" s="560"/>
      <c r="BD315" s="67"/>
      <c r="BE315" s="67">
        <f>SUM(BE316:BE316)</f>
        <v>0</v>
      </c>
      <c r="BF315" s="67"/>
      <c r="BG315" s="67"/>
      <c r="BH315" s="560"/>
      <c r="BI315" s="67"/>
      <c r="BJ315" s="67">
        <f>SUM(BJ316:BJ316)</f>
        <v>0</v>
      </c>
      <c r="BK315" s="67"/>
      <c r="BL315" s="67"/>
      <c r="BM315" s="560"/>
      <c r="BN315" s="67"/>
      <c r="BO315" s="67">
        <f>SUM(BO316:BO316)</f>
        <v>0</v>
      </c>
      <c r="BP315" s="67"/>
      <c r="BQ315" s="67"/>
      <c r="BR315" s="560"/>
      <c r="BS315" s="67"/>
      <c r="BT315" s="67">
        <f>SUM(BT316:BT316)</f>
        <v>0</v>
      </c>
      <c r="BU315" s="67"/>
      <c r="BV315" s="67"/>
      <c r="BW315" s="560"/>
      <c r="BX315" s="67"/>
      <c r="BY315" s="67">
        <f>SUM(BY316:BY316)</f>
        <v>0</v>
      </c>
      <c r="BZ315" s="67"/>
      <c r="CA315" s="67"/>
      <c r="CB315" s="560"/>
      <c r="CC315" s="67"/>
      <c r="CD315" s="67">
        <f>SUM(CD316:CD316)</f>
        <v>0</v>
      </c>
      <c r="CE315" s="67"/>
      <c r="CF315" s="67"/>
      <c r="CG315" s="560"/>
      <c r="CH315" s="67"/>
      <c r="CI315" s="67">
        <f>SUM(CI316:CI316)</f>
        <v>0</v>
      </c>
      <c r="CJ315" s="67"/>
      <c r="CK315" s="67"/>
      <c r="CL315" s="560"/>
      <c r="CM315" s="67"/>
      <c r="CN315" s="67">
        <f>SUM(CN316:CN316)</f>
        <v>0</v>
      </c>
      <c r="CO315" s="67"/>
      <c r="CP315" s="67"/>
      <c r="CQ315" s="560"/>
      <c r="CR315" s="67"/>
      <c r="CS315" s="67">
        <f>SUM(CS316:CS316)</f>
        <v>0</v>
      </c>
      <c r="CT315" s="67"/>
      <c r="CU315" s="67"/>
      <c r="CV315" s="560"/>
      <c r="CW315" s="67"/>
      <c r="CX315" s="67">
        <f>SUM(CX316:CX316)</f>
        <v>0</v>
      </c>
      <c r="CY315" s="67"/>
      <c r="CZ315" s="67"/>
      <c r="DA315" s="560"/>
      <c r="DB315" s="67"/>
      <c r="DC315" s="67">
        <f>SUM(DC316:DC316)</f>
        <v>0</v>
      </c>
      <c r="DD315" s="67"/>
      <c r="DE315" s="67"/>
      <c r="DF315" s="560"/>
      <c r="DG315" s="67"/>
      <c r="DH315" s="67">
        <f>SUM(DH316:DH316)</f>
        <v>0</v>
      </c>
      <c r="DI315" s="67"/>
      <c r="DJ315" s="67"/>
      <c r="DK315" s="560"/>
      <c r="DL315" s="67"/>
      <c r="DM315" s="67">
        <f>SUM(DM316:DM316)</f>
        <v>0</v>
      </c>
      <c r="DN315" s="67"/>
      <c r="DO315" s="67"/>
      <c r="DP315" s="560"/>
      <c r="DQ315" s="67"/>
      <c r="DR315" s="67">
        <f>SUM(DR316:DR316)</f>
        <v>0</v>
      </c>
      <c r="DS315" s="67"/>
      <c r="DT315" s="67"/>
      <c r="DU315" s="560"/>
      <c r="DV315" s="67"/>
      <c r="DW315" s="67">
        <f>SUM(DW316:DW316)</f>
        <v>0</v>
      </c>
      <c r="DX315" s="67"/>
      <c r="DY315" s="67"/>
      <c r="DZ315" s="560"/>
      <c r="EA315" s="67"/>
      <c r="EB315" s="67">
        <f>SUM(EB316:EB316)</f>
        <v>0</v>
      </c>
      <c r="EC315" s="67"/>
      <c r="ED315" s="67"/>
      <c r="EE315" s="560"/>
      <c r="EF315" s="67"/>
      <c r="EG315" s="67">
        <f>SUM(EG316:EG316)</f>
        <v>0</v>
      </c>
      <c r="EH315" s="67"/>
      <c r="EI315" s="67"/>
      <c r="EJ315" s="560"/>
      <c r="EK315" s="67"/>
      <c r="EL315" s="67">
        <f>SUM(EL316:EL316)</f>
        <v>0</v>
      </c>
      <c r="EM315" s="67"/>
      <c r="EN315" s="58"/>
      <c r="EO315" s="466"/>
      <c r="EQ315" s="53"/>
    </row>
    <row r="316" spans="1:149" ht="12.75" hidden="1" customHeight="1" x14ac:dyDescent="0.2">
      <c r="A316" s="442"/>
      <c r="B316" s="442"/>
      <c r="D316" s="455" t="s">
        <v>342</v>
      </c>
      <c r="E316" s="582"/>
      <c r="F316" s="588"/>
      <c r="G316" s="564">
        <v>0</v>
      </c>
      <c r="H316" s="565"/>
      <c r="I316" s="67"/>
      <c r="J316" s="560"/>
      <c r="K316" s="566"/>
      <c r="L316" s="564">
        <f>L320</f>
        <v>0</v>
      </c>
      <c r="M316" s="565"/>
      <c r="N316" s="67"/>
      <c r="O316" s="560"/>
      <c r="P316" s="566"/>
      <c r="Q316" s="564">
        <f>Q320</f>
        <v>0</v>
      </c>
      <c r="R316" s="565"/>
      <c r="S316" s="67"/>
      <c r="T316" s="560"/>
      <c r="U316" s="566"/>
      <c r="V316" s="564">
        <f>V320</f>
        <v>0</v>
      </c>
      <c r="W316" s="565"/>
      <c r="X316" s="67"/>
      <c r="Y316" s="560"/>
      <c r="Z316" s="566"/>
      <c r="AA316" s="564">
        <f>AA320</f>
        <v>0</v>
      </c>
      <c r="AB316" s="565"/>
      <c r="AC316" s="67"/>
      <c r="AD316" s="560"/>
      <c r="AE316" s="566"/>
      <c r="AF316" s="564">
        <v>0</v>
      </c>
      <c r="AG316" s="565"/>
      <c r="AH316" s="67"/>
      <c r="AI316" s="560"/>
      <c r="AJ316" s="566"/>
      <c r="AK316" s="564">
        <f>AK320</f>
        <v>0</v>
      </c>
      <c r="AL316" s="565"/>
      <c r="AM316" s="67"/>
      <c r="AN316" s="560"/>
      <c r="AO316" s="566"/>
      <c r="AP316" s="564">
        <f>AP320</f>
        <v>0</v>
      </c>
      <c r="AQ316" s="565"/>
      <c r="AR316" s="67"/>
      <c r="AS316" s="560"/>
      <c r="AT316" s="566"/>
      <c r="AU316" s="564">
        <f>AU320</f>
        <v>0</v>
      </c>
      <c r="AV316" s="565"/>
      <c r="AW316" s="67"/>
      <c r="AX316" s="560"/>
      <c r="AY316" s="566"/>
      <c r="AZ316" s="564">
        <f>AZ320</f>
        <v>0</v>
      </c>
      <c r="BA316" s="565"/>
      <c r="BB316" s="67"/>
      <c r="BC316" s="560"/>
      <c r="BD316" s="566"/>
      <c r="BE316" s="564">
        <f>BE320</f>
        <v>0</v>
      </c>
      <c r="BF316" s="565"/>
      <c r="BG316" s="67"/>
      <c r="BH316" s="560"/>
      <c r="BI316" s="566"/>
      <c r="BJ316" s="564">
        <f>BJ320</f>
        <v>0</v>
      </c>
      <c r="BK316" s="565"/>
      <c r="BL316" s="67"/>
      <c r="BM316" s="560"/>
      <c r="BN316" s="566"/>
      <c r="BO316" s="564">
        <f>BO320</f>
        <v>0</v>
      </c>
      <c r="BP316" s="565"/>
      <c r="BQ316" s="67"/>
      <c r="BR316" s="560"/>
      <c r="BS316" s="566"/>
      <c r="BT316" s="564">
        <f>SUM(L316:BO316)</f>
        <v>0</v>
      </c>
      <c r="BU316" s="565"/>
      <c r="BV316" s="67"/>
      <c r="BW316" s="560"/>
      <c r="BX316" s="566"/>
      <c r="BY316" s="564">
        <v>0</v>
      </c>
      <c r="BZ316" s="565"/>
      <c r="CA316" s="67"/>
      <c r="CB316" s="560"/>
      <c r="CC316" s="566"/>
      <c r="CD316" s="564">
        <f>CD320</f>
        <v>0</v>
      </c>
      <c r="CE316" s="565"/>
      <c r="CF316" s="67"/>
      <c r="CG316" s="560"/>
      <c r="CH316" s="566"/>
      <c r="CI316" s="564">
        <f>CI320</f>
        <v>0</v>
      </c>
      <c r="CJ316" s="565"/>
      <c r="CK316" s="67"/>
      <c r="CL316" s="560"/>
      <c r="CM316" s="566"/>
      <c r="CN316" s="564">
        <f>CN320</f>
        <v>0</v>
      </c>
      <c r="CO316" s="565"/>
      <c r="CP316" s="67"/>
      <c r="CQ316" s="560"/>
      <c r="CR316" s="566"/>
      <c r="CS316" s="564">
        <f>CS320</f>
        <v>0</v>
      </c>
      <c r="CT316" s="565"/>
      <c r="CU316" s="67"/>
      <c r="CV316" s="560"/>
      <c r="CW316" s="566"/>
      <c r="CX316" s="564">
        <v>0</v>
      </c>
      <c r="CY316" s="565"/>
      <c r="CZ316" s="67"/>
      <c r="DA316" s="560"/>
      <c r="DB316" s="566"/>
      <c r="DC316" s="564">
        <f>DC320</f>
        <v>0</v>
      </c>
      <c r="DD316" s="565"/>
      <c r="DE316" s="67"/>
      <c r="DF316" s="560"/>
      <c r="DG316" s="566"/>
      <c r="DH316" s="564">
        <f>DH320</f>
        <v>0</v>
      </c>
      <c r="DI316" s="565"/>
      <c r="DJ316" s="67"/>
      <c r="DK316" s="560"/>
      <c r="DL316" s="566"/>
      <c r="DM316" s="564">
        <f>DM320</f>
        <v>0</v>
      </c>
      <c r="DN316" s="565"/>
      <c r="DO316" s="67"/>
      <c r="DP316" s="560"/>
      <c r="DQ316" s="566"/>
      <c r="DR316" s="564">
        <f>DR320</f>
        <v>0</v>
      </c>
      <c r="DS316" s="565"/>
      <c r="DT316" s="67"/>
      <c r="DU316" s="560"/>
      <c r="DV316" s="566"/>
      <c r="DW316" s="564">
        <f>DW320</f>
        <v>0</v>
      </c>
      <c r="DX316" s="565"/>
      <c r="DY316" s="67"/>
      <c r="DZ316" s="560"/>
      <c r="EA316" s="566"/>
      <c r="EB316" s="564">
        <f>EB320</f>
        <v>0</v>
      </c>
      <c r="EC316" s="565"/>
      <c r="ED316" s="67"/>
      <c r="EE316" s="560"/>
      <c r="EF316" s="566"/>
      <c r="EG316" s="564">
        <f>EG320</f>
        <v>0</v>
      </c>
      <c r="EH316" s="565"/>
      <c r="EI316" s="67"/>
      <c r="EJ316" s="560"/>
      <c r="EK316" s="566"/>
      <c r="EL316" s="564">
        <f>SUM(CD316:EG316)</f>
        <v>0</v>
      </c>
      <c r="EM316" s="565"/>
      <c r="EN316" s="67"/>
      <c r="EO316" s="455"/>
      <c r="ER316" s="472"/>
      <c r="ES316" s="472"/>
    </row>
    <row r="317" spans="1:149" ht="12.75" hidden="1" customHeight="1" x14ac:dyDescent="0.2">
      <c r="A317" s="442"/>
      <c r="B317" s="442"/>
      <c r="D317" s="455"/>
      <c r="F317" s="442"/>
      <c r="G317" s="67"/>
      <c r="H317" s="67"/>
      <c r="I317" s="67"/>
      <c r="J317" s="560"/>
      <c r="K317" s="67"/>
      <c r="L317" s="442"/>
      <c r="M317" s="442"/>
      <c r="N317" s="442"/>
      <c r="O317" s="465"/>
      <c r="P317" s="442"/>
      <c r="Q317" s="442"/>
      <c r="R317" s="442"/>
      <c r="S317" s="442"/>
      <c r="T317" s="465"/>
      <c r="U317" s="442"/>
      <c r="V317" s="442"/>
      <c r="W317" s="442"/>
      <c r="X317" s="442"/>
      <c r="Y317" s="465"/>
      <c r="Z317" s="442"/>
      <c r="AA317" s="442"/>
      <c r="AB317" s="442"/>
      <c r="AC317" s="442"/>
      <c r="AD317" s="465"/>
      <c r="AE317" s="442"/>
      <c r="AF317" s="442"/>
      <c r="AG317" s="442"/>
      <c r="AH317" s="442"/>
      <c r="AI317" s="465"/>
      <c r="AJ317" s="442"/>
      <c r="AK317" s="442"/>
      <c r="AL317" s="442"/>
      <c r="AM317" s="442"/>
      <c r="AN317" s="465"/>
      <c r="AO317" s="442"/>
      <c r="AP317" s="442"/>
      <c r="AQ317" s="442"/>
      <c r="AR317" s="442"/>
      <c r="AS317" s="465"/>
      <c r="AT317" s="442"/>
      <c r="AU317" s="442"/>
      <c r="AV317" s="442"/>
      <c r="AW317" s="442"/>
      <c r="AX317" s="465"/>
      <c r="AY317" s="442"/>
      <c r="AZ317" s="442"/>
      <c r="BA317" s="442"/>
      <c r="BB317" s="442"/>
      <c r="BC317" s="465"/>
      <c r="BD317" s="442"/>
      <c r="BE317" s="442"/>
      <c r="BF317" s="442"/>
      <c r="BG317" s="442"/>
      <c r="BH317" s="465"/>
      <c r="BI317" s="442"/>
      <c r="BJ317" s="442"/>
      <c r="BK317" s="442"/>
      <c r="BL317" s="442"/>
      <c r="BM317" s="465"/>
      <c r="BN317" s="442"/>
      <c r="BO317" s="442"/>
      <c r="BP317" s="442"/>
      <c r="BQ317" s="442"/>
      <c r="BR317" s="465"/>
      <c r="BS317" s="442"/>
      <c r="BT317" s="442"/>
      <c r="BU317" s="442"/>
      <c r="BV317" s="442"/>
      <c r="BW317" s="465"/>
      <c r="BX317" s="442"/>
      <c r="BY317" s="442"/>
      <c r="BZ317" s="67"/>
      <c r="CA317" s="67"/>
      <c r="CB317" s="560"/>
      <c r="CC317" s="67"/>
      <c r="CD317" s="442"/>
      <c r="CE317" s="442"/>
      <c r="CF317" s="442"/>
      <c r="CG317" s="465"/>
      <c r="CH317" s="442"/>
      <c r="CI317" s="442"/>
      <c r="CJ317" s="442"/>
      <c r="CK317" s="442"/>
      <c r="CL317" s="465"/>
      <c r="CM317" s="442"/>
      <c r="CN317" s="442"/>
      <c r="CO317" s="442"/>
      <c r="CP317" s="442"/>
      <c r="CQ317" s="465"/>
      <c r="CR317" s="442"/>
      <c r="CS317" s="442"/>
      <c r="CT317" s="442"/>
      <c r="CU317" s="442"/>
      <c r="CV317" s="465"/>
      <c r="CW317" s="442"/>
      <c r="CX317" s="442"/>
      <c r="CY317" s="442"/>
      <c r="CZ317" s="442"/>
      <c r="DA317" s="465"/>
      <c r="DB317" s="442"/>
      <c r="DC317" s="442"/>
      <c r="DD317" s="442"/>
      <c r="DE317" s="442"/>
      <c r="DF317" s="465"/>
      <c r="DG317" s="442"/>
      <c r="DH317" s="442"/>
      <c r="DI317" s="442"/>
      <c r="DJ317" s="442"/>
      <c r="DK317" s="465"/>
      <c r="DL317" s="442"/>
      <c r="DM317" s="442"/>
      <c r="DN317" s="442"/>
      <c r="DO317" s="442"/>
      <c r="DP317" s="465"/>
      <c r="DQ317" s="442"/>
      <c r="DR317" s="442"/>
      <c r="DS317" s="442"/>
      <c r="DT317" s="442"/>
      <c r="DU317" s="465"/>
      <c r="DV317" s="442"/>
      <c r="DW317" s="442"/>
      <c r="DX317" s="442"/>
      <c r="DY317" s="442"/>
      <c r="DZ317" s="465"/>
      <c r="EA317" s="442"/>
      <c r="EB317" s="442"/>
      <c r="EC317" s="442"/>
      <c r="ED317" s="442"/>
      <c r="EE317" s="465"/>
      <c r="EF317" s="442"/>
      <c r="EG317" s="442"/>
      <c r="EH317" s="442"/>
      <c r="EI317" s="442"/>
      <c r="EJ317" s="465"/>
      <c r="EK317" s="442"/>
      <c r="EL317" s="442"/>
      <c r="EM317" s="442"/>
      <c r="EN317" s="442"/>
      <c r="EO317" s="455"/>
      <c r="ER317" s="472"/>
      <c r="ES317" s="472"/>
    </row>
    <row r="318" spans="1:149" ht="12.75" hidden="1" customHeight="1" x14ac:dyDescent="0.2">
      <c r="A318" s="442"/>
      <c r="B318" s="442"/>
      <c r="D318" s="455"/>
      <c r="F318" s="442"/>
      <c r="G318" s="67"/>
      <c r="H318" s="67"/>
      <c r="I318" s="67"/>
      <c r="J318" s="560"/>
      <c r="K318" s="67"/>
      <c r="L318" s="67"/>
      <c r="M318" s="67"/>
      <c r="N318" s="67"/>
      <c r="O318" s="560"/>
      <c r="P318" s="67"/>
      <c r="Q318" s="67"/>
      <c r="R318" s="67"/>
      <c r="S318" s="67"/>
      <c r="T318" s="560"/>
      <c r="U318" s="67"/>
      <c r="V318" s="67"/>
      <c r="W318" s="67"/>
      <c r="X318" s="67"/>
      <c r="Y318" s="560"/>
      <c r="Z318" s="67"/>
      <c r="AA318" s="67"/>
      <c r="AB318" s="67"/>
      <c r="AC318" s="67"/>
      <c r="AD318" s="560"/>
      <c r="AE318" s="67"/>
      <c r="AF318" s="67"/>
      <c r="AG318" s="67"/>
      <c r="AH318" s="67"/>
      <c r="AI318" s="560"/>
      <c r="AJ318" s="67"/>
      <c r="AK318" s="67"/>
      <c r="AL318" s="67"/>
      <c r="AM318" s="67"/>
      <c r="AN318" s="560"/>
      <c r="AO318" s="67"/>
      <c r="AP318" s="67"/>
      <c r="AQ318" s="67"/>
      <c r="AR318" s="67"/>
      <c r="AS318" s="560"/>
      <c r="AT318" s="67"/>
      <c r="AU318" s="67"/>
      <c r="AV318" s="67"/>
      <c r="AW318" s="67"/>
      <c r="AX318" s="560"/>
      <c r="AY318" s="67"/>
      <c r="AZ318" s="67"/>
      <c r="BA318" s="67"/>
      <c r="BB318" s="67"/>
      <c r="BC318" s="560"/>
      <c r="BD318" s="67"/>
      <c r="BE318" s="67"/>
      <c r="BF318" s="67"/>
      <c r="BG318" s="67"/>
      <c r="BH318" s="560"/>
      <c r="BI318" s="67"/>
      <c r="BJ318" s="67"/>
      <c r="BK318" s="67"/>
      <c r="BL318" s="67"/>
      <c r="BM318" s="560"/>
      <c r="BN318" s="67"/>
      <c r="BO318" s="67"/>
      <c r="BP318" s="67"/>
      <c r="BQ318" s="67"/>
      <c r="BR318" s="560"/>
      <c r="BS318" s="67"/>
      <c r="BT318" s="67"/>
      <c r="BU318" s="67"/>
      <c r="BV318" s="67"/>
      <c r="BW318" s="560"/>
      <c r="BX318" s="67"/>
      <c r="BY318" s="67"/>
      <c r="BZ318" s="67"/>
      <c r="CA318" s="67"/>
      <c r="CB318" s="560"/>
      <c r="CC318" s="67"/>
      <c r="CD318" s="67"/>
      <c r="CE318" s="67"/>
      <c r="CF318" s="67"/>
      <c r="CG318" s="560"/>
      <c r="CH318" s="67"/>
      <c r="CI318" s="67"/>
      <c r="CJ318" s="67"/>
      <c r="CK318" s="67"/>
      <c r="CL318" s="560"/>
      <c r="CM318" s="67"/>
      <c r="CN318" s="67"/>
      <c r="CO318" s="67"/>
      <c r="CP318" s="67"/>
      <c r="CQ318" s="560"/>
      <c r="CR318" s="67"/>
      <c r="CS318" s="67"/>
      <c r="CT318" s="67"/>
      <c r="CU318" s="67"/>
      <c r="CV318" s="560"/>
      <c r="CW318" s="67"/>
      <c r="CX318" s="67"/>
      <c r="CY318" s="67"/>
      <c r="CZ318" s="67"/>
      <c r="DA318" s="560"/>
      <c r="DB318" s="67"/>
      <c r="DC318" s="67"/>
      <c r="DD318" s="67"/>
      <c r="DE318" s="67"/>
      <c r="DF318" s="560"/>
      <c r="DG318" s="67"/>
      <c r="DH318" s="67"/>
      <c r="DI318" s="67"/>
      <c r="DJ318" s="67"/>
      <c r="DK318" s="560"/>
      <c r="DL318" s="67"/>
      <c r="DM318" s="67"/>
      <c r="DN318" s="67"/>
      <c r="DO318" s="67"/>
      <c r="DP318" s="560"/>
      <c r="DQ318" s="67"/>
      <c r="DR318" s="67"/>
      <c r="DS318" s="67"/>
      <c r="DT318" s="67"/>
      <c r="DU318" s="560"/>
      <c r="DV318" s="67"/>
      <c r="DW318" s="67"/>
      <c r="DX318" s="67"/>
      <c r="DY318" s="67"/>
      <c r="DZ318" s="560"/>
      <c r="EA318" s="67"/>
      <c r="EB318" s="67"/>
      <c r="EC318" s="67"/>
      <c r="ED318" s="67"/>
      <c r="EE318" s="560"/>
      <c r="EF318" s="67"/>
      <c r="EG318" s="67"/>
      <c r="EH318" s="67"/>
      <c r="EI318" s="67"/>
      <c r="EJ318" s="560"/>
      <c r="EK318" s="67"/>
      <c r="EL318" s="67"/>
      <c r="EM318" s="67"/>
      <c r="EN318" s="67"/>
      <c r="EO318" s="455"/>
      <c r="ER318" s="472"/>
      <c r="ES318" s="472"/>
    </row>
    <row r="319" spans="1:149" ht="12.75" hidden="1" customHeight="1" x14ac:dyDescent="0.2">
      <c r="A319" s="442"/>
      <c r="B319" s="442"/>
      <c r="D319" s="455" t="str">
        <f>[12]domredemp!D86</f>
        <v xml:space="preserve">  I2029 (1.875%  2029/03/31)</v>
      </c>
      <c r="F319" s="442"/>
      <c r="G319" s="67">
        <v>0</v>
      </c>
      <c r="H319" s="67"/>
      <c r="I319" s="67"/>
      <c r="J319" s="560"/>
      <c r="K319" s="67"/>
      <c r="L319" s="67">
        <f>SUM(L320:L320)</f>
        <v>0</v>
      </c>
      <c r="M319" s="67"/>
      <c r="N319" s="67"/>
      <c r="O319" s="560"/>
      <c r="P319" s="67"/>
      <c r="Q319" s="67">
        <f>SUM(Q320:Q320)</f>
        <v>0</v>
      </c>
      <c r="R319" s="67"/>
      <c r="S319" s="67"/>
      <c r="T319" s="560"/>
      <c r="U319" s="67"/>
      <c r="V319" s="67">
        <f>SUM(V320:V320)</f>
        <v>0</v>
      </c>
      <c r="W319" s="67"/>
      <c r="X319" s="67"/>
      <c r="Y319" s="560"/>
      <c r="Z319" s="67"/>
      <c r="AA319" s="67">
        <f>SUM(AA320:AA320)</f>
        <v>0</v>
      </c>
      <c r="AB319" s="67"/>
      <c r="AC319" s="67"/>
      <c r="AD319" s="560"/>
      <c r="AE319" s="67"/>
      <c r="AF319" s="67">
        <f>SUM(AF320:AF320)</f>
        <v>0</v>
      </c>
      <c r="AG319" s="67"/>
      <c r="AH319" s="67"/>
      <c r="AI319" s="560"/>
      <c r="AJ319" s="67"/>
      <c r="AK319" s="67">
        <f>SUM(AK320:AK320)</f>
        <v>0</v>
      </c>
      <c r="AL319" s="67"/>
      <c r="AM319" s="67"/>
      <c r="AN319" s="560"/>
      <c r="AO319" s="67"/>
      <c r="AP319" s="67">
        <f>SUM(AP320:AP320)</f>
        <v>0</v>
      </c>
      <c r="AQ319" s="67"/>
      <c r="AR319" s="67"/>
      <c r="AS319" s="560"/>
      <c r="AT319" s="67"/>
      <c r="AU319" s="67">
        <f>SUM(AU320:AU320)</f>
        <v>0</v>
      </c>
      <c r="AV319" s="67"/>
      <c r="AW319" s="67"/>
      <c r="AX319" s="560"/>
      <c r="AY319" s="67"/>
      <c r="AZ319" s="67">
        <f>SUM(AZ320:AZ320)</f>
        <v>0</v>
      </c>
      <c r="BA319" s="67"/>
      <c r="BB319" s="67"/>
      <c r="BC319" s="560"/>
      <c r="BD319" s="67"/>
      <c r="BE319" s="67">
        <f>SUM(BE320:BE320)</f>
        <v>0</v>
      </c>
      <c r="BF319" s="67"/>
      <c r="BG319" s="67"/>
      <c r="BH319" s="560"/>
      <c r="BI319" s="67"/>
      <c r="BJ319" s="67">
        <f>SUM(BJ320:BJ320)</f>
        <v>0</v>
      </c>
      <c r="BK319" s="67"/>
      <c r="BL319" s="67"/>
      <c r="BM319" s="560"/>
      <c r="BN319" s="67"/>
      <c r="BO319" s="67">
        <f>SUM(BO320:BO320)</f>
        <v>0</v>
      </c>
      <c r="BP319" s="67"/>
      <c r="BQ319" s="67"/>
      <c r="BR319" s="560"/>
      <c r="BS319" s="67"/>
      <c r="BT319" s="67">
        <f>SUM(BT320:BT320)</f>
        <v>0</v>
      </c>
      <c r="BU319" s="67"/>
      <c r="BV319" s="67"/>
      <c r="BW319" s="560"/>
      <c r="BX319" s="67"/>
      <c r="BY319" s="67">
        <f>SUM(BY320:BY320)</f>
        <v>0</v>
      </c>
      <c r="BZ319" s="67"/>
      <c r="CA319" s="67"/>
      <c r="CB319" s="560"/>
      <c r="CC319" s="67"/>
      <c r="CD319" s="67">
        <f>SUM(CD320:CD320)</f>
        <v>0</v>
      </c>
      <c r="CE319" s="67"/>
      <c r="CF319" s="67"/>
      <c r="CG319" s="560"/>
      <c r="CH319" s="67"/>
      <c r="CI319" s="67">
        <f>SUM(CI320:CI320)</f>
        <v>0</v>
      </c>
      <c r="CJ319" s="67"/>
      <c r="CK319" s="67"/>
      <c r="CL319" s="560"/>
      <c r="CM319" s="67"/>
      <c r="CN319" s="67">
        <f>SUM(CN320:CN320)</f>
        <v>0</v>
      </c>
      <c r="CO319" s="67"/>
      <c r="CP319" s="67"/>
      <c r="CQ319" s="560"/>
      <c r="CR319" s="67"/>
      <c r="CS319" s="67">
        <f>SUM(CS320:CS320)</f>
        <v>0</v>
      </c>
      <c r="CT319" s="67"/>
      <c r="CU319" s="67"/>
      <c r="CV319" s="560"/>
      <c r="CW319" s="67"/>
      <c r="CX319" s="67">
        <f>SUM(CX320:CX320)</f>
        <v>0</v>
      </c>
      <c r="CY319" s="67"/>
      <c r="CZ319" s="67"/>
      <c r="DA319" s="560"/>
      <c r="DB319" s="67"/>
      <c r="DC319" s="67">
        <f>SUM(DC320:DC320)</f>
        <v>0</v>
      </c>
      <c r="DD319" s="67"/>
      <c r="DE319" s="67"/>
      <c r="DF319" s="560"/>
      <c r="DG319" s="67"/>
      <c r="DH319" s="67">
        <f>SUM(DH320:DH320)</f>
        <v>0</v>
      </c>
      <c r="DI319" s="67"/>
      <c r="DJ319" s="67"/>
      <c r="DK319" s="560"/>
      <c r="DL319" s="67"/>
      <c r="DM319" s="67">
        <f>SUM(DM320:DM320)</f>
        <v>0</v>
      </c>
      <c r="DN319" s="67"/>
      <c r="DO319" s="67"/>
      <c r="DP319" s="560"/>
      <c r="DQ319" s="67"/>
      <c r="DR319" s="67">
        <f>SUM(DR320:DR320)</f>
        <v>0</v>
      </c>
      <c r="DS319" s="67"/>
      <c r="DT319" s="67"/>
      <c r="DU319" s="560"/>
      <c r="DV319" s="67"/>
      <c r="DW319" s="67">
        <f>SUM(DW320:DW320)</f>
        <v>0</v>
      </c>
      <c r="DX319" s="67"/>
      <c r="DY319" s="67"/>
      <c r="DZ319" s="560"/>
      <c r="EA319" s="67"/>
      <c r="EB319" s="67">
        <f>SUM(EB320:EB320)</f>
        <v>0</v>
      </c>
      <c r="EC319" s="67"/>
      <c r="ED319" s="67"/>
      <c r="EE319" s="560"/>
      <c r="EF319" s="67"/>
      <c r="EG319" s="67">
        <f>SUM(EG320:EG320)</f>
        <v>0</v>
      </c>
      <c r="EH319" s="67"/>
      <c r="EI319" s="67"/>
      <c r="EJ319" s="560"/>
      <c r="EK319" s="67"/>
      <c r="EL319" s="67">
        <f>SUM(EL320:EL320)</f>
        <v>0</v>
      </c>
      <c r="EM319" s="67"/>
      <c r="EN319" s="67"/>
      <c r="EO319" s="455"/>
      <c r="ER319" s="472"/>
      <c r="ES319" s="472"/>
    </row>
    <row r="320" spans="1:149" ht="12.75" hidden="1" customHeight="1" x14ac:dyDescent="0.2">
      <c r="A320" s="442"/>
      <c r="B320" s="442"/>
      <c r="D320" s="455" t="s">
        <v>342</v>
      </c>
      <c r="F320" s="563"/>
      <c r="G320" s="564">
        <v>0</v>
      </c>
      <c r="H320" s="565"/>
      <c r="I320" s="67"/>
      <c r="J320" s="560"/>
      <c r="K320" s="566"/>
      <c r="L320" s="564">
        <v>0</v>
      </c>
      <c r="M320" s="565"/>
      <c r="N320" s="67"/>
      <c r="O320" s="560"/>
      <c r="P320" s="566"/>
      <c r="Q320" s="564">
        <v>0</v>
      </c>
      <c r="R320" s="565"/>
      <c r="S320" s="67"/>
      <c r="T320" s="560"/>
      <c r="U320" s="566"/>
      <c r="V320" s="564">
        <v>0</v>
      </c>
      <c r="W320" s="565"/>
      <c r="X320" s="67"/>
      <c r="Y320" s="560"/>
      <c r="Z320" s="566"/>
      <c r="AA320" s="564">
        <v>0</v>
      </c>
      <c r="AB320" s="565"/>
      <c r="AC320" s="67"/>
      <c r="AD320" s="560"/>
      <c r="AE320" s="566"/>
      <c r="AF320" s="564">
        <v>0</v>
      </c>
      <c r="AG320" s="565"/>
      <c r="AH320" s="67"/>
      <c r="AI320" s="560"/>
      <c r="AJ320" s="566"/>
      <c r="AK320" s="564">
        <v>0</v>
      </c>
      <c r="AL320" s="565"/>
      <c r="AM320" s="67"/>
      <c r="AN320" s="560"/>
      <c r="AO320" s="566"/>
      <c r="AP320" s="564">
        <v>0</v>
      </c>
      <c r="AQ320" s="565"/>
      <c r="AR320" s="67"/>
      <c r="AS320" s="560"/>
      <c r="AT320" s="566"/>
      <c r="AU320" s="564">
        <v>0</v>
      </c>
      <c r="AV320" s="565"/>
      <c r="AW320" s="67"/>
      <c r="AX320" s="560"/>
      <c r="AY320" s="566"/>
      <c r="AZ320" s="564">
        <v>0</v>
      </c>
      <c r="BA320" s="565"/>
      <c r="BB320" s="67"/>
      <c r="BC320" s="560"/>
      <c r="BD320" s="566"/>
      <c r="BE320" s="564">
        <v>0</v>
      </c>
      <c r="BF320" s="565"/>
      <c r="BG320" s="67"/>
      <c r="BH320" s="560"/>
      <c r="BI320" s="566"/>
      <c r="BJ320" s="564">
        <v>0</v>
      </c>
      <c r="BK320" s="565"/>
      <c r="BL320" s="67"/>
      <c r="BM320" s="560"/>
      <c r="BN320" s="566"/>
      <c r="BO320" s="564">
        <v>0</v>
      </c>
      <c r="BP320" s="565"/>
      <c r="BQ320" s="67"/>
      <c r="BR320" s="560"/>
      <c r="BS320" s="566"/>
      <c r="BT320" s="564">
        <f>SUM(L320:BO320)</f>
        <v>0</v>
      </c>
      <c r="BU320" s="565"/>
      <c r="BV320" s="67"/>
      <c r="BW320" s="560"/>
      <c r="BX320" s="566"/>
      <c r="BY320" s="564">
        <v>0</v>
      </c>
      <c r="BZ320" s="565"/>
      <c r="CA320" s="67"/>
      <c r="CB320" s="560"/>
      <c r="CC320" s="566"/>
      <c r="CD320" s="564">
        <v>0</v>
      </c>
      <c r="CE320" s="565"/>
      <c r="CF320" s="67"/>
      <c r="CG320" s="560"/>
      <c r="CH320" s="566"/>
      <c r="CI320" s="564">
        <v>0</v>
      </c>
      <c r="CJ320" s="565"/>
      <c r="CK320" s="67"/>
      <c r="CL320" s="560"/>
      <c r="CM320" s="566"/>
      <c r="CN320" s="564">
        <v>0</v>
      </c>
      <c r="CO320" s="565"/>
      <c r="CP320" s="67"/>
      <c r="CQ320" s="560"/>
      <c r="CR320" s="566"/>
      <c r="CS320" s="564">
        <v>0</v>
      </c>
      <c r="CT320" s="565"/>
      <c r="CU320" s="67"/>
      <c r="CV320" s="560"/>
      <c r="CW320" s="566"/>
      <c r="CX320" s="564">
        <v>0</v>
      </c>
      <c r="CY320" s="565"/>
      <c r="CZ320" s="67"/>
      <c r="DA320" s="560"/>
      <c r="DB320" s="566"/>
      <c r="DC320" s="564">
        <v>0</v>
      </c>
      <c r="DD320" s="565"/>
      <c r="DE320" s="67"/>
      <c r="DF320" s="560"/>
      <c r="DG320" s="566"/>
      <c r="DH320" s="564">
        <v>0</v>
      </c>
      <c r="DI320" s="565"/>
      <c r="DJ320" s="67"/>
      <c r="DK320" s="560"/>
      <c r="DL320" s="566"/>
      <c r="DM320" s="564">
        <v>0</v>
      </c>
      <c r="DN320" s="565"/>
      <c r="DO320" s="67"/>
      <c r="DP320" s="560"/>
      <c r="DQ320" s="566"/>
      <c r="DR320" s="564">
        <v>0</v>
      </c>
      <c r="DS320" s="565"/>
      <c r="DT320" s="67"/>
      <c r="DU320" s="560"/>
      <c r="DV320" s="566"/>
      <c r="DW320" s="564">
        <v>0</v>
      </c>
      <c r="DX320" s="565"/>
      <c r="DY320" s="67"/>
      <c r="DZ320" s="560"/>
      <c r="EA320" s="566"/>
      <c r="EB320" s="564">
        <v>0</v>
      </c>
      <c r="EC320" s="565"/>
      <c r="ED320" s="67"/>
      <c r="EE320" s="560"/>
      <c r="EF320" s="566"/>
      <c r="EG320" s="564">
        <v>0</v>
      </c>
      <c r="EH320" s="565"/>
      <c r="EI320" s="67"/>
      <c r="EJ320" s="560"/>
      <c r="EK320" s="566"/>
      <c r="EL320" s="564">
        <f>SUM(CD320:CN320)</f>
        <v>0</v>
      </c>
      <c r="EM320" s="565"/>
      <c r="EN320" s="67"/>
      <c r="EO320" s="455"/>
      <c r="ER320" s="472"/>
      <c r="ES320" s="472"/>
    </row>
    <row r="321" spans="1:149" ht="12.75" hidden="1" customHeight="1" x14ac:dyDescent="0.2">
      <c r="A321" s="442"/>
      <c r="B321" s="442"/>
      <c r="D321" s="455"/>
      <c r="F321" s="442"/>
      <c r="G321" s="67"/>
      <c r="H321" s="67"/>
      <c r="I321" s="67"/>
      <c r="J321" s="560"/>
      <c r="K321" s="67"/>
      <c r="L321" s="67"/>
      <c r="M321" s="67"/>
      <c r="N321" s="67"/>
      <c r="O321" s="560"/>
      <c r="P321" s="67"/>
      <c r="Q321" s="67"/>
      <c r="R321" s="67"/>
      <c r="S321" s="67"/>
      <c r="T321" s="560"/>
      <c r="U321" s="67"/>
      <c r="V321" s="67"/>
      <c r="W321" s="67"/>
      <c r="X321" s="67"/>
      <c r="Y321" s="560"/>
      <c r="Z321" s="67"/>
      <c r="AA321" s="67"/>
      <c r="AB321" s="67"/>
      <c r="AC321" s="67"/>
      <c r="AD321" s="560"/>
      <c r="AE321" s="67"/>
      <c r="AF321" s="67"/>
      <c r="AG321" s="67"/>
      <c r="AH321" s="67"/>
      <c r="AI321" s="560"/>
      <c r="AJ321" s="67"/>
      <c r="AK321" s="67"/>
      <c r="AL321" s="67"/>
      <c r="AM321" s="67"/>
      <c r="AN321" s="560"/>
      <c r="AO321" s="67"/>
      <c r="AP321" s="67"/>
      <c r="AQ321" s="67"/>
      <c r="AR321" s="67"/>
      <c r="AS321" s="560"/>
      <c r="AT321" s="67"/>
      <c r="AU321" s="67"/>
      <c r="AV321" s="67"/>
      <c r="AW321" s="67"/>
      <c r="AX321" s="560"/>
      <c r="AY321" s="67"/>
      <c r="AZ321" s="67"/>
      <c r="BA321" s="67"/>
      <c r="BB321" s="67"/>
      <c r="BC321" s="560"/>
      <c r="BD321" s="67"/>
      <c r="BE321" s="67"/>
      <c r="BF321" s="67"/>
      <c r="BG321" s="67"/>
      <c r="BH321" s="560"/>
      <c r="BI321" s="67"/>
      <c r="BJ321" s="67"/>
      <c r="BK321" s="67"/>
      <c r="BL321" s="67"/>
      <c r="BM321" s="560"/>
      <c r="BN321" s="67"/>
      <c r="BO321" s="67"/>
      <c r="BP321" s="67"/>
      <c r="BQ321" s="67"/>
      <c r="BR321" s="560"/>
      <c r="BS321" s="67"/>
      <c r="BT321" s="67"/>
      <c r="BU321" s="67"/>
      <c r="BV321" s="67"/>
      <c r="BW321" s="560"/>
      <c r="BX321" s="67"/>
      <c r="BY321" s="67"/>
      <c r="BZ321" s="67"/>
      <c r="CA321" s="67"/>
      <c r="CB321" s="560"/>
      <c r="CC321" s="67"/>
      <c r="CD321" s="67"/>
      <c r="CE321" s="67"/>
      <c r="CF321" s="67"/>
      <c r="CG321" s="560"/>
      <c r="CH321" s="67"/>
      <c r="CI321" s="67"/>
      <c r="CJ321" s="67"/>
      <c r="CK321" s="67"/>
      <c r="CL321" s="560"/>
      <c r="CM321" s="67"/>
      <c r="CN321" s="67"/>
      <c r="CO321" s="67"/>
      <c r="CP321" s="67"/>
      <c r="CQ321" s="560"/>
      <c r="CR321" s="67"/>
      <c r="CS321" s="67"/>
      <c r="CT321" s="67"/>
      <c r="CU321" s="67"/>
      <c r="CV321" s="560"/>
      <c r="CW321" s="67"/>
      <c r="CX321" s="67"/>
      <c r="CY321" s="67"/>
      <c r="CZ321" s="67"/>
      <c r="DA321" s="560"/>
      <c r="DB321" s="67"/>
      <c r="DC321" s="67"/>
      <c r="DD321" s="67"/>
      <c r="DE321" s="67"/>
      <c r="DF321" s="560"/>
      <c r="DG321" s="67"/>
      <c r="DH321" s="67"/>
      <c r="DI321" s="67"/>
      <c r="DJ321" s="67"/>
      <c r="DK321" s="560"/>
      <c r="DL321" s="67"/>
      <c r="DM321" s="67"/>
      <c r="DN321" s="67"/>
      <c r="DO321" s="67"/>
      <c r="DP321" s="560"/>
      <c r="DQ321" s="67"/>
      <c r="DR321" s="67"/>
      <c r="DS321" s="67"/>
      <c r="DT321" s="67"/>
      <c r="DU321" s="560"/>
      <c r="DV321" s="67"/>
      <c r="DW321" s="67"/>
      <c r="DX321" s="67"/>
      <c r="DY321" s="67"/>
      <c r="DZ321" s="560"/>
      <c r="EA321" s="67"/>
      <c r="EB321" s="67"/>
      <c r="EC321" s="67"/>
      <c r="ED321" s="67"/>
      <c r="EE321" s="560"/>
      <c r="EF321" s="67"/>
      <c r="EG321" s="67"/>
      <c r="EH321" s="67"/>
      <c r="EI321" s="67"/>
      <c r="EJ321" s="560"/>
      <c r="EK321" s="67"/>
      <c r="EL321" s="67"/>
      <c r="EM321" s="67"/>
      <c r="EN321" s="67"/>
      <c r="EO321" s="455"/>
      <c r="ER321" s="472"/>
      <c r="ES321" s="472"/>
    </row>
    <row r="322" spans="1:149" ht="12.75" hidden="1" customHeight="1" x14ac:dyDescent="0.2">
      <c r="A322" s="442"/>
      <c r="B322" s="442"/>
      <c r="D322" s="455"/>
      <c r="F322" s="442"/>
      <c r="G322" s="67"/>
      <c r="H322" s="67"/>
      <c r="I322" s="67"/>
      <c r="J322" s="560"/>
      <c r="K322" s="67"/>
      <c r="L322" s="67"/>
      <c r="M322" s="67"/>
      <c r="N322" s="67"/>
      <c r="O322" s="560"/>
      <c r="P322" s="67"/>
      <c r="Q322" s="67"/>
      <c r="R322" s="67"/>
      <c r="S322" s="67"/>
      <c r="T322" s="560"/>
      <c r="U322" s="67"/>
      <c r="V322" s="67"/>
      <c r="W322" s="67"/>
      <c r="X322" s="67"/>
      <c r="Y322" s="560"/>
      <c r="Z322" s="67"/>
      <c r="AA322" s="67"/>
      <c r="AB322" s="67"/>
      <c r="AC322" s="67"/>
      <c r="AD322" s="560"/>
      <c r="AE322" s="67"/>
      <c r="AF322" s="67"/>
      <c r="AG322" s="67"/>
      <c r="AH322" s="67"/>
      <c r="AI322" s="560"/>
      <c r="AJ322" s="67"/>
      <c r="AK322" s="67"/>
      <c r="AL322" s="67"/>
      <c r="AM322" s="67"/>
      <c r="AN322" s="560"/>
      <c r="AO322" s="67"/>
      <c r="AP322" s="67"/>
      <c r="AQ322" s="67"/>
      <c r="AR322" s="67"/>
      <c r="AS322" s="560"/>
      <c r="AT322" s="67"/>
      <c r="AU322" s="67"/>
      <c r="AV322" s="67"/>
      <c r="AW322" s="67"/>
      <c r="AX322" s="560"/>
      <c r="AY322" s="67"/>
      <c r="AZ322" s="67"/>
      <c r="BA322" s="67"/>
      <c r="BB322" s="67"/>
      <c r="BC322" s="560"/>
      <c r="BD322" s="67"/>
      <c r="BE322" s="67"/>
      <c r="BF322" s="67"/>
      <c r="BG322" s="67"/>
      <c r="BH322" s="560"/>
      <c r="BI322" s="67"/>
      <c r="BJ322" s="67"/>
      <c r="BK322" s="67"/>
      <c r="BL322" s="67"/>
      <c r="BM322" s="560"/>
      <c r="BN322" s="67"/>
      <c r="BO322" s="67"/>
      <c r="BP322" s="67"/>
      <c r="BQ322" s="67"/>
      <c r="BR322" s="560"/>
      <c r="BS322" s="67"/>
      <c r="BT322" s="67"/>
      <c r="BU322" s="67"/>
      <c r="BV322" s="67"/>
      <c r="BW322" s="560"/>
      <c r="BX322" s="67"/>
      <c r="BY322" s="67"/>
      <c r="BZ322" s="67"/>
      <c r="CA322" s="67"/>
      <c r="CB322" s="560"/>
      <c r="CC322" s="67"/>
      <c r="CD322" s="67"/>
      <c r="CE322" s="67"/>
      <c r="CF322" s="67"/>
      <c r="CG322" s="560"/>
      <c r="CH322" s="67"/>
      <c r="CI322" s="67"/>
      <c r="CJ322" s="67"/>
      <c r="CK322" s="67"/>
      <c r="CL322" s="560"/>
      <c r="CM322" s="67"/>
      <c r="CN322" s="67"/>
      <c r="CO322" s="67"/>
      <c r="CP322" s="67"/>
      <c r="CQ322" s="560"/>
      <c r="CR322" s="67"/>
      <c r="CS322" s="67"/>
      <c r="CT322" s="67"/>
      <c r="CU322" s="67"/>
      <c r="CV322" s="560"/>
      <c r="CW322" s="67"/>
      <c r="CX322" s="67"/>
      <c r="CY322" s="67"/>
      <c r="CZ322" s="67"/>
      <c r="DA322" s="560"/>
      <c r="DB322" s="67"/>
      <c r="DC322" s="67"/>
      <c r="DD322" s="67"/>
      <c r="DE322" s="67"/>
      <c r="DF322" s="560"/>
      <c r="DG322" s="67"/>
      <c r="DH322" s="67"/>
      <c r="DI322" s="67"/>
      <c r="DJ322" s="67"/>
      <c r="DK322" s="560"/>
      <c r="DL322" s="67"/>
      <c r="DM322" s="67"/>
      <c r="DN322" s="67"/>
      <c r="DO322" s="67"/>
      <c r="DP322" s="560"/>
      <c r="DQ322" s="67"/>
      <c r="DR322" s="67"/>
      <c r="DS322" s="67"/>
      <c r="DT322" s="67"/>
      <c r="DU322" s="560"/>
      <c r="DV322" s="67"/>
      <c r="DW322" s="67"/>
      <c r="DX322" s="67"/>
      <c r="DY322" s="67"/>
      <c r="DZ322" s="560"/>
      <c r="EA322" s="67"/>
      <c r="EB322" s="67"/>
      <c r="EC322" s="67"/>
      <c r="ED322" s="67"/>
      <c r="EE322" s="560"/>
      <c r="EF322" s="67"/>
      <c r="EG322" s="67"/>
      <c r="EH322" s="67"/>
      <c r="EI322" s="67"/>
      <c r="EJ322" s="560"/>
      <c r="EK322" s="67"/>
      <c r="EL322" s="67"/>
      <c r="EM322" s="67"/>
      <c r="EN322" s="67"/>
      <c r="EO322" s="455"/>
      <c r="ER322" s="472"/>
      <c r="ES322" s="472"/>
    </row>
    <row r="323" spans="1:149" ht="12.75" hidden="1" customHeight="1" x14ac:dyDescent="0.2">
      <c r="A323" s="442"/>
      <c r="B323" s="442"/>
      <c r="D323" s="455" t="s">
        <v>406</v>
      </c>
      <c r="F323" s="442"/>
      <c r="G323" s="67">
        <v>0</v>
      </c>
      <c r="H323" s="67"/>
      <c r="I323" s="67"/>
      <c r="J323" s="560"/>
      <c r="K323" s="67"/>
      <c r="L323" s="67">
        <f>SUM(L324:L324)</f>
        <v>0</v>
      </c>
      <c r="M323" s="67"/>
      <c r="N323" s="67"/>
      <c r="O323" s="560"/>
      <c r="P323" s="67"/>
      <c r="Q323" s="67">
        <f>SUM(Q324:Q324)</f>
        <v>0</v>
      </c>
      <c r="R323" s="67"/>
      <c r="S323" s="67"/>
      <c r="T323" s="560"/>
      <c r="U323" s="67"/>
      <c r="V323" s="67">
        <f>SUM(V324:V324)</f>
        <v>0</v>
      </c>
      <c r="W323" s="67"/>
      <c r="X323" s="67"/>
      <c r="Y323" s="560"/>
      <c r="Z323" s="67">
        <f t="shared" ref="Z323:BQ323" si="3">SUM(Z324:Z324)</f>
        <v>0</v>
      </c>
      <c r="AA323" s="67">
        <f>SUM(AA324:AA324)</f>
        <v>0</v>
      </c>
      <c r="AB323" s="67">
        <f t="shared" si="3"/>
        <v>0</v>
      </c>
      <c r="AC323" s="67">
        <f t="shared" si="3"/>
        <v>0</v>
      </c>
      <c r="AD323" s="560">
        <f t="shared" si="3"/>
        <v>0</v>
      </c>
      <c r="AE323" s="67">
        <f t="shared" si="3"/>
        <v>0</v>
      </c>
      <c r="AF323" s="67">
        <f>SUM(AF324:AF324)</f>
        <v>0</v>
      </c>
      <c r="AG323" s="67">
        <f t="shared" si="3"/>
        <v>0</v>
      </c>
      <c r="AH323" s="67">
        <f t="shared" si="3"/>
        <v>0</v>
      </c>
      <c r="AI323" s="560">
        <f t="shared" si="3"/>
        <v>0</v>
      </c>
      <c r="AJ323" s="67">
        <f t="shared" si="3"/>
        <v>0</v>
      </c>
      <c r="AK323" s="67">
        <f>SUM(AK324:AK324)</f>
        <v>0</v>
      </c>
      <c r="AL323" s="67">
        <f t="shared" si="3"/>
        <v>0</v>
      </c>
      <c r="AM323" s="67">
        <f t="shared" si="3"/>
        <v>0</v>
      </c>
      <c r="AN323" s="560">
        <f t="shared" si="3"/>
        <v>0</v>
      </c>
      <c r="AO323" s="67">
        <f t="shared" si="3"/>
        <v>0</v>
      </c>
      <c r="AP323" s="67">
        <f>SUM(AP324:AP324)</f>
        <v>0</v>
      </c>
      <c r="AQ323" s="67">
        <f t="shared" si="3"/>
        <v>0</v>
      </c>
      <c r="AR323" s="67">
        <f t="shared" si="3"/>
        <v>0</v>
      </c>
      <c r="AS323" s="560">
        <f t="shared" si="3"/>
        <v>0</v>
      </c>
      <c r="AT323" s="67">
        <f t="shared" si="3"/>
        <v>0</v>
      </c>
      <c r="AU323" s="67">
        <f>SUM(AU324:AU324)</f>
        <v>0</v>
      </c>
      <c r="AV323" s="67">
        <f t="shared" si="3"/>
        <v>0</v>
      </c>
      <c r="AW323" s="67">
        <f t="shared" si="3"/>
        <v>0</v>
      </c>
      <c r="AX323" s="560">
        <f t="shared" si="3"/>
        <v>0</v>
      </c>
      <c r="AY323" s="67">
        <f t="shared" si="3"/>
        <v>0</v>
      </c>
      <c r="AZ323" s="67">
        <f>SUM(AZ324:AZ324)</f>
        <v>0</v>
      </c>
      <c r="BA323" s="67">
        <f t="shared" si="3"/>
        <v>0</v>
      </c>
      <c r="BB323" s="67">
        <f t="shared" si="3"/>
        <v>0</v>
      </c>
      <c r="BC323" s="560">
        <f t="shared" si="3"/>
        <v>0</v>
      </c>
      <c r="BD323" s="67">
        <f t="shared" si="3"/>
        <v>0</v>
      </c>
      <c r="BE323" s="67">
        <f>SUM(BE324:BE324)</f>
        <v>0</v>
      </c>
      <c r="BF323" s="67">
        <f t="shared" si="3"/>
        <v>0</v>
      </c>
      <c r="BG323" s="67">
        <f t="shared" si="3"/>
        <v>0</v>
      </c>
      <c r="BH323" s="560">
        <f t="shared" si="3"/>
        <v>0</v>
      </c>
      <c r="BI323" s="67">
        <f t="shared" si="3"/>
        <v>0</v>
      </c>
      <c r="BJ323" s="67">
        <f>SUM(BJ324:BJ324)</f>
        <v>0</v>
      </c>
      <c r="BK323" s="67">
        <f t="shared" si="3"/>
        <v>0</v>
      </c>
      <c r="BL323" s="67">
        <f t="shared" si="3"/>
        <v>0</v>
      </c>
      <c r="BM323" s="560">
        <f t="shared" si="3"/>
        <v>0</v>
      </c>
      <c r="BN323" s="67">
        <f t="shared" si="3"/>
        <v>0</v>
      </c>
      <c r="BO323" s="67">
        <f>SUM(BO324:BO324)</f>
        <v>0</v>
      </c>
      <c r="BP323" s="67">
        <f t="shared" si="3"/>
        <v>0</v>
      </c>
      <c r="BQ323" s="67">
        <f t="shared" si="3"/>
        <v>0</v>
      </c>
      <c r="BR323" s="560"/>
      <c r="BS323" s="67"/>
      <c r="BT323" s="67">
        <f>SUM(BT324:BT324)</f>
        <v>0</v>
      </c>
      <c r="BU323" s="67"/>
      <c r="BV323" s="67"/>
      <c r="BW323" s="560"/>
      <c r="BX323" s="67"/>
      <c r="BY323" s="67">
        <f>SUM(BY324:BY324)</f>
        <v>0</v>
      </c>
      <c r="BZ323" s="67"/>
      <c r="CA323" s="67"/>
      <c r="CB323" s="560"/>
      <c r="CC323" s="67"/>
      <c r="CD323" s="67">
        <f>SUM(CD324:CD324)</f>
        <v>0</v>
      </c>
      <c r="CE323" s="67"/>
      <c r="CF323" s="67"/>
      <c r="CG323" s="560"/>
      <c r="CH323" s="67"/>
      <c r="CI323" s="67">
        <f>SUM(CI324:CI324)</f>
        <v>0</v>
      </c>
      <c r="CJ323" s="67"/>
      <c r="CK323" s="67"/>
      <c r="CL323" s="560"/>
      <c r="CM323" s="67"/>
      <c r="CN323" s="67">
        <f>SUM(CN324:CN324)</f>
        <v>0</v>
      </c>
      <c r="CO323" s="67"/>
      <c r="CP323" s="67"/>
      <c r="CQ323" s="560"/>
      <c r="CR323" s="67">
        <f t="shared" ref="CR323:EF323" si="4">SUM(CR324:CR324)</f>
        <v>0</v>
      </c>
      <c r="CS323" s="67">
        <f>SUM(CS324:CS324)</f>
        <v>0</v>
      </c>
      <c r="CT323" s="67">
        <f t="shared" si="4"/>
        <v>0</v>
      </c>
      <c r="CU323" s="67">
        <f t="shared" si="4"/>
        <v>0</v>
      </c>
      <c r="CV323" s="560">
        <f t="shared" si="4"/>
        <v>0</v>
      </c>
      <c r="CW323" s="67">
        <f t="shared" si="4"/>
        <v>0</v>
      </c>
      <c r="CX323" s="67">
        <f>SUM(CX324:CX324)</f>
        <v>0</v>
      </c>
      <c r="CY323" s="67">
        <f t="shared" si="4"/>
        <v>0</v>
      </c>
      <c r="CZ323" s="67">
        <f t="shared" si="4"/>
        <v>0</v>
      </c>
      <c r="DA323" s="560">
        <f t="shared" si="4"/>
        <v>0</v>
      </c>
      <c r="DB323" s="67">
        <f t="shared" si="4"/>
        <v>0</v>
      </c>
      <c r="DC323" s="67">
        <f>SUM(DC324:DC324)</f>
        <v>0</v>
      </c>
      <c r="DD323" s="67">
        <f t="shared" si="4"/>
        <v>0</v>
      </c>
      <c r="DE323" s="67">
        <f t="shared" si="4"/>
        <v>0</v>
      </c>
      <c r="DF323" s="560">
        <f t="shared" si="4"/>
        <v>0</v>
      </c>
      <c r="DG323" s="67">
        <f t="shared" si="4"/>
        <v>0</v>
      </c>
      <c r="DH323" s="67">
        <f>SUM(DH324:DH324)</f>
        <v>0</v>
      </c>
      <c r="DI323" s="67">
        <f t="shared" si="4"/>
        <v>0</v>
      </c>
      <c r="DJ323" s="67">
        <f t="shared" si="4"/>
        <v>0</v>
      </c>
      <c r="DK323" s="560">
        <f t="shared" si="4"/>
        <v>0</v>
      </c>
      <c r="DL323" s="67">
        <f t="shared" si="4"/>
        <v>0</v>
      </c>
      <c r="DM323" s="67">
        <f>SUM(DM324:DM324)</f>
        <v>0</v>
      </c>
      <c r="DN323" s="67">
        <f t="shared" si="4"/>
        <v>0</v>
      </c>
      <c r="DO323" s="67">
        <f t="shared" si="4"/>
        <v>0</v>
      </c>
      <c r="DP323" s="560">
        <f t="shared" si="4"/>
        <v>0</v>
      </c>
      <c r="DQ323" s="67">
        <f t="shared" si="4"/>
        <v>0</v>
      </c>
      <c r="DR323" s="67">
        <f>SUM(DR324:DR324)</f>
        <v>0</v>
      </c>
      <c r="DS323" s="67">
        <f t="shared" si="4"/>
        <v>0</v>
      </c>
      <c r="DT323" s="67">
        <f t="shared" si="4"/>
        <v>0</v>
      </c>
      <c r="DU323" s="560">
        <f t="shared" si="4"/>
        <v>0</v>
      </c>
      <c r="DV323" s="67">
        <f t="shared" si="4"/>
        <v>0</v>
      </c>
      <c r="DW323" s="67">
        <f>SUM(DW324:DW324)</f>
        <v>0</v>
      </c>
      <c r="DX323" s="67">
        <f t="shared" si="4"/>
        <v>0</v>
      </c>
      <c r="DY323" s="67">
        <f t="shared" si="4"/>
        <v>0</v>
      </c>
      <c r="DZ323" s="560">
        <f t="shared" si="4"/>
        <v>0</v>
      </c>
      <c r="EA323" s="67">
        <f t="shared" si="4"/>
        <v>0</v>
      </c>
      <c r="EB323" s="67">
        <f>SUM(EB324:EB324)</f>
        <v>0</v>
      </c>
      <c r="EC323" s="67">
        <f t="shared" si="4"/>
        <v>0</v>
      </c>
      <c r="ED323" s="67">
        <f t="shared" si="4"/>
        <v>0</v>
      </c>
      <c r="EE323" s="560">
        <f t="shared" si="4"/>
        <v>0</v>
      </c>
      <c r="EF323" s="67">
        <f t="shared" si="4"/>
        <v>0</v>
      </c>
      <c r="EG323" s="67">
        <f>SUM(EG324:EG324)</f>
        <v>0</v>
      </c>
      <c r="EH323" s="67">
        <f>SUM(EH324:EH324)</f>
        <v>0</v>
      </c>
      <c r="EI323" s="67">
        <f>SUM(EI324:EI324)</f>
        <v>0</v>
      </c>
      <c r="EJ323" s="560"/>
      <c r="EK323" s="67"/>
      <c r="EL323" s="67">
        <f>SUM(EL324:EL324)</f>
        <v>0</v>
      </c>
      <c r="EM323" s="67"/>
      <c r="EN323" s="67"/>
      <c r="EO323" s="455"/>
      <c r="ER323" s="472"/>
      <c r="ES323" s="472"/>
    </row>
    <row r="324" spans="1:149" ht="12.75" hidden="1" customHeight="1" x14ac:dyDescent="0.2">
      <c r="A324" s="442"/>
      <c r="B324" s="442"/>
      <c r="D324" s="455" t="s">
        <v>342</v>
      </c>
      <c r="F324" s="563"/>
      <c r="G324" s="564">
        <v>0</v>
      </c>
      <c r="H324" s="565"/>
      <c r="I324" s="67"/>
      <c r="J324" s="560"/>
      <c r="K324" s="566"/>
      <c r="L324" s="564">
        <v>0</v>
      </c>
      <c r="M324" s="565"/>
      <c r="N324" s="67"/>
      <c r="O324" s="560"/>
      <c r="P324" s="566"/>
      <c r="Q324" s="564">
        <v>0</v>
      </c>
      <c r="R324" s="565"/>
      <c r="S324" s="67"/>
      <c r="T324" s="560"/>
      <c r="U324" s="566"/>
      <c r="V324" s="564">
        <v>0</v>
      </c>
      <c r="W324" s="565"/>
      <c r="X324" s="67"/>
      <c r="Y324" s="560"/>
      <c r="Z324" s="566"/>
      <c r="AA324" s="564">
        <v>0</v>
      </c>
      <c r="AB324" s="565"/>
      <c r="AC324" s="67"/>
      <c r="AD324" s="560"/>
      <c r="AE324" s="566"/>
      <c r="AF324" s="564">
        <v>0</v>
      </c>
      <c r="AG324" s="565"/>
      <c r="AH324" s="67"/>
      <c r="AI324" s="560"/>
      <c r="AJ324" s="566"/>
      <c r="AK324" s="564">
        <v>0</v>
      </c>
      <c r="AL324" s="565"/>
      <c r="AM324" s="67"/>
      <c r="AN324" s="560"/>
      <c r="AO324" s="566"/>
      <c r="AP324" s="564">
        <v>0</v>
      </c>
      <c r="AQ324" s="565"/>
      <c r="AR324" s="67"/>
      <c r="AS324" s="560"/>
      <c r="AT324" s="566"/>
      <c r="AU324" s="564">
        <v>0</v>
      </c>
      <c r="AV324" s="565"/>
      <c r="AW324" s="67"/>
      <c r="AX324" s="560"/>
      <c r="AY324" s="566"/>
      <c r="AZ324" s="564">
        <v>0</v>
      </c>
      <c r="BA324" s="565"/>
      <c r="BB324" s="67"/>
      <c r="BC324" s="560"/>
      <c r="BD324" s="566"/>
      <c r="BE324" s="564">
        <v>0</v>
      </c>
      <c r="BF324" s="565"/>
      <c r="BG324" s="67"/>
      <c r="BH324" s="560"/>
      <c r="BI324" s="566"/>
      <c r="BJ324" s="564">
        <v>0</v>
      </c>
      <c r="BK324" s="565"/>
      <c r="BL324" s="67"/>
      <c r="BM324" s="560"/>
      <c r="BN324" s="566"/>
      <c r="BO324" s="564">
        <v>0</v>
      </c>
      <c r="BP324" s="565"/>
      <c r="BQ324" s="67"/>
      <c r="BR324" s="560"/>
      <c r="BS324" s="566"/>
      <c r="BT324" s="564">
        <f>SUM(L324:BO324)</f>
        <v>0</v>
      </c>
      <c r="BU324" s="565"/>
      <c r="BV324" s="67"/>
      <c r="BW324" s="560"/>
      <c r="BX324" s="566"/>
      <c r="BY324" s="564">
        <v>0</v>
      </c>
      <c r="BZ324" s="565"/>
      <c r="CA324" s="67"/>
      <c r="CB324" s="560"/>
      <c r="CC324" s="566"/>
      <c r="CD324" s="564">
        <v>0</v>
      </c>
      <c r="CE324" s="565"/>
      <c r="CF324" s="67"/>
      <c r="CG324" s="560"/>
      <c r="CH324" s="566"/>
      <c r="CI324" s="564">
        <v>0</v>
      </c>
      <c r="CJ324" s="565"/>
      <c r="CK324" s="67"/>
      <c r="CL324" s="560"/>
      <c r="CM324" s="566"/>
      <c r="CN324" s="564">
        <v>0</v>
      </c>
      <c r="CO324" s="565"/>
      <c r="CP324" s="67"/>
      <c r="CQ324" s="560"/>
      <c r="CR324" s="566"/>
      <c r="CS324" s="564">
        <v>0</v>
      </c>
      <c r="CT324" s="565"/>
      <c r="CU324" s="67"/>
      <c r="CV324" s="560"/>
      <c r="CW324" s="566"/>
      <c r="CX324" s="564">
        <v>0</v>
      </c>
      <c r="CY324" s="565"/>
      <c r="CZ324" s="67"/>
      <c r="DA324" s="560"/>
      <c r="DB324" s="566"/>
      <c r="DC324" s="564">
        <v>0</v>
      </c>
      <c r="DD324" s="565"/>
      <c r="DE324" s="67"/>
      <c r="DF324" s="560"/>
      <c r="DG324" s="566"/>
      <c r="DH324" s="564">
        <v>0</v>
      </c>
      <c r="DI324" s="565"/>
      <c r="DJ324" s="67"/>
      <c r="DK324" s="560"/>
      <c r="DL324" s="566"/>
      <c r="DM324" s="564">
        <v>0</v>
      </c>
      <c r="DN324" s="565"/>
      <c r="DO324" s="67"/>
      <c r="DP324" s="560"/>
      <c r="DQ324" s="566"/>
      <c r="DR324" s="564">
        <v>0</v>
      </c>
      <c r="DS324" s="565"/>
      <c r="DT324" s="67"/>
      <c r="DU324" s="560"/>
      <c r="DV324" s="566"/>
      <c r="DW324" s="564">
        <v>0</v>
      </c>
      <c r="DX324" s="565"/>
      <c r="DY324" s="67"/>
      <c r="DZ324" s="560"/>
      <c r="EA324" s="566"/>
      <c r="EB324" s="564">
        <v>0</v>
      </c>
      <c r="EC324" s="565"/>
      <c r="ED324" s="67"/>
      <c r="EE324" s="560"/>
      <c r="EF324" s="566"/>
      <c r="EG324" s="564">
        <v>0</v>
      </c>
      <c r="EH324" s="565"/>
      <c r="EI324" s="67"/>
      <c r="EJ324" s="560"/>
      <c r="EK324" s="563"/>
      <c r="EL324" s="564">
        <f>SUM(CD324:CI324)</f>
        <v>0</v>
      </c>
      <c r="EM324" s="565"/>
      <c r="EN324" s="67"/>
      <c r="EO324" s="455"/>
      <c r="ER324" s="472"/>
      <c r="ES324" s="472"/>
    </row>
    <row r="325" spans="1:149" ht="12.75" customHeight="1" x14ac:dyDescent="0.2">
      <c r="A325" s="442"/>
      <c r="B325" s="442"/>
      <c r="D325" s="455"/>
      <c r="F325" s="442"/>
      <c r="G325" s="67"/>
      <c r="H325" s="67"/>
      <c r="I325" s="67"/>
      <c r="J325" s="560"/>
      <c r="K325" s="67"/>
      <c r="L325" s="67"/>
      <c r="M325" s="67"/>
      <c r="N325" s="67"/>
      <c r="O325" s="560"/>
      <c r="P325" s="67"/>
      <c r="Q325" s="67"/>
      <c r="R325" s="67"/>
      <c r="S325" s="67"/>
      <c r="T325" s="560"/>
      <c r="U325" s="67"/>
      <c r="V325" s="67"/>
      <c r="W325" s="67"/>
      <c r="X325" s="67"/>
      <c r="Y325" s="560"/>
      <c r="Z325" s="67"/>
      <c r="AA325" s="67"/>
      <c r="AB325" s="67"/>
      <c r="AC325" s="67"/>
      <c r="AD325" s="560"/>
      <c r="AE325" s="67"/>
      <c r="AF325" s="67"/>
      <c r="AG325" s="67"/>
      <c r="AH325" s="67"/>
      <c r="AI325" s="560"/>
      <c r="AJ325" s="67"/>
      <c r="AK325" s="67"/>
      <c r="AL325" s="67"/>
      <c r="AM325" s="67"/>
      <c r="AN325" s="560"/>
      <c r="AO325" s="67"/>
      <c r="AP325" s="67"/>
      <c r="AQ325" s="67"/>
      <c r="AR325" s="67"/>
      <c r="AS325" s="560"/>
      <c r="AT325" s="67"/>
      <c r="AU325" s="67"/>
      <c r="AV325" s="67"/>
      <c r="AW325" s="67"/>
      <c r="AX325" s="560"/>
      <c r="AY325" s="67"/>
      <c r="AZ325" s="67"/>
      <c r="BA325" s="67"/>
      <c r="BB325" s="67"/>
      <c r="BC325" s="560"/>
      <c r="BD325" s="67"/>
      <c r="BE325" s="67"/>
      <c r="BF325" s="67"/>
      <c r="BG325" s="67"/>
      <c r="BH325" s="560"/>
      <c r="BI325" s="67"/>
      <c r="BJ325" s="67"/>
      <c r="BK325" s="67"/>
      <c r="BL325" s="67"/>
      <c r="BM325" s="560"/>
      <c r="BN325" s="67"/>
      <c r="BO325" s="67"/>
      <c r="BP325" s="67"/>
      <c r="BQ325" s="67"/>
      <c r="BR325" s="560"/>
      <c r="BS325" s="67"/>
      <c r="BT325" s="67"/>
      <c r="BU325" s="67"/>
      <c r="BV325" s="67"/>
      <c r="BW325" s="560"/>
      <c r="BX325" s="67"/>
      <c r="BY325" s="67"/>
      <c r="BZ325" s="67"/>
      <c r="CA325" s="67"/>
      <c r="CB325" s="560"/>
      <c r="CC325" s="67"/>
      <c r="CD325" s="67"/>
      <c r="CE325" s="67"/>
      <c r="CF325" s="67"/>
      <c r="CG325" s="560"/>
      <c r="CH325" s="67"/>
      <c r="CI325" s="67"/>
      <c r="CJ325" s="67"/>
      <c r="CK325" s="67"/>
      <c r="CL325" s="560"/>
      <c r="CM325" s="67"/>
      <c r="CN325" s="67"/>
      <c r="CO325" s="67"/>
      <c r="CP325" s="67"/>
      <c r="CQ325" s="560"/>
      <c r="CR325" s="67"/>
      <c r="CS325" s="67"/>
      <c r="CT325" s="67"/>
      <c r="CU325" s="67"/>
      <c r="CV325" s="560"/>
      <c r="CW325" s="67"/>
      <c r="CX325" s="67"/>
      <c r="CY325" s="67"/>
      <c r="CZ325" s="67"/>
      <c r="DA325" s="560"/>
      <c r="DB325" s="67"/>
      <c r="DC325" s="67"/>
      <c r="DD325" s="67"/>
      <c r="DE325" s="67"/>
      <c r="DF325" s="560"/>
      <c r="DG325" s="67"/>
      <c r="DH325" s="67"/>
      <c r="DI325" s="67"/>
      <c r="DJ325" s="67"/>
      <c r="DK325" s="560"/>
      <c r="DL325" s="67"/>
      <c r="DM325" s="67"/>
      <c r="DN325" s="67"/>
      <c r="DO325" s="67"/>
      <c r="DP325" s="560"/>
      <c r="DQ325" s="67"/>
      <c r="DR325" s="67"/>
      <c r="DS325" s="67"/>
      <c r="DT325" s="67"/>
      <c r="DU325" s="560"/>
      <c r="DV325" s="67"/>
      <c r="DW325" s="67"/>
      <c r="DX325" s="67"/>
      <c r="DY325" s="67"/>
      <c r="DZ325" s="560"/>
      <c r="EA325" s="67"/>
      <c r="EB325" s="67"/>
      <c r="EC325" s="67"/>
      <c r="ED325" s="67"/>
      <c r="EE325" s="560"/>
      <c r="EF325" s="67"/>
      <c r="EG325" s="67"/>
      <c r="EH325" s="67"/>
      <c r="EI325" s="67"/>
      <c r="EJ325" s="560"/>
      <c r="EK325" s="67"/>
      <c r="EL325" s="67"/>
      <c r="EM325" s="67"/>
      <c r="EN325" s="67"/>
      <c r="EO325" s="455"/>
      <c r="ER325" s="472"/>
      <c r="ES325" s="472"/>
    </row>
    <row r="326" spans="1:149" ht="12.75" customHeight="1" x14ac:dyDescent="0.2">
      <c r="A326" s="442"/>
      <c r="B326" s="442"/>
      <c r="D326" s="455" t="s">
        <v>351</v>
      </c>
      <c r="F326" s="442"/>
      <c r="G326" s="67">
        <v>0</v>
      </c>
      <c r="H326" s="67"/>
      <c r="I326" s="67"/>
      <c r="J326" s="560"/>
      <c r="K326" s="67"/>
      <c r="L326" s="67">
        <f>SUM(L327:L327)</f>
        <v>0</v>
      </c>
      <c r="M326" s="67"/>
      <c r="N326" s="67"/>
      <c r="O326" s="560"/>
      <c r="P326" s="67"/>
      <c r="Q326" s="67">
        <f>SUM(Q327:Q327)</f>
        <v>0</v>
      </c>
      <c r="R326" s="67"/>
      <c r="S326" s="67"/>
      <c r="T326" s="560"/>
      <c r="U326" s="67"/>
      <c r="V326" s="67">
        <f>SUM(V327:V327)</f>
        <v>0</v>
      </c>
      <c r="W326" s="67"/>
      <c r="X326" s="67"/>
      <c r="Y326" s="560"/>
      <c r="Z326" s="67"/>
      <c r="AA326" s="67">
        <f>SUM(AA327:AA327)</f>
        <v>0</v>
      </c>
      <c r="AB326" s="67"/>
      <c r="AC326" s="67"/>
      <c r="AD326" s="560"/>
      <c r="AE326" s="67"/>
      <c r="AF326" s="67">
        <f>SUM(AF327:AF327)</f>
        <v>0</v>
      </c>
      <c r="AG326" s="67"/>
      <c r="AH326" s="67"/>
      <c r="AI326" s="560"/>
      <c r="AJ326" s="67"/>
      <c r="AK326" s="67">
        <f>SUM(AK327:AK327)</f>
        <v>0</v>
      </c>
      <c r="AL326" s="67"/>
      <c r="AM326" s="67"/>
      <c r="AN326" s="560"/>
      <c r="AO326" s="67"/>
      <c r="AP326" s="67">
        <f>SUM(AP327:AP327)</f>
        <v>0</v>
      </c>
      <c r="AQ326" s="67"/>
      <c r="AR326" s="67"/>
      <c r="AS326" s="560"/>
      <c r="AT326" s="67"/>
      <c r="AU326" s="67">
        <f>SUM(AU327:AU327)</f>
        <v>0</v>
      </c>
      <c r="AV326" s="67"/>
      <c r="AW326" s="67"/>
      <c r="AX326" s="560"/>
      <c r="AY326" s="67"/>
      <c r="AZ326" s="67">
        <f>SUM(AZ327:AZ327)</f>
        <v>0</v>
      </c>
      <c r="BA326" s="67"/>
      <c r="BB326" s="67"/>
      <c r="BC326" s="560"/>
      <c r="BD326" s="67"/>
      <c r="BE326" s="67">
        <f>SUM(BE327:BE327)</f>
        <v>0</v>
      </c>
      <c r="BF326" s="67"/>
      <c r="BG326" s="67"/>
      <c r="BH326" s="560"/>
      <c r="BI326" s="67"/>
      <c r="BJ326" s="67">
        <f>SUM(BJ327:BJ327)</f>
        <v>0</v>
      </c>
      <c r="BK326" s="67"/>
      <c r="BL326" s="67"/>
      <c r="BM326" s="560"/>
      <c r="BN326" s="67"/>
      <c r="BO326" s="67">
        <f>SUM(BO327:BO327)</f>
        <v>0</v>
      </c>
      <c r="BP326" s="67"/>
      <c r="BQ326" s="67"/>
      <c r="BR326" s="560"/>
      <c r="BS326" s="67"/>
      <c r="BT326" s="67">
        <f>SUM(BT327:BT327)</f>
        <v>0</v>
      </c>
      <c r="BU326" s="67"/>
      <c r="BV326" s="67"/>
      <c r="BW326" s="560"/>
      <c r="BX326" s="67"/>
      <c r="BY326" s="67">
        <f>SUM(BY327:BY327)</f>
        <v>41033</v>
      </c>
      <c r="BZ326" s="67"/>
      <c r="CA326" s="67"/>
      <c r="CB326" s="560"/>
      <c r="CC326" s="67"/>
      <c r="CD326" s="67">
        <f>SUM(CD327:CD327)</f>
        <v>0</v>
      </c>
      <c r="CE326" s="67"/>
      <c r="CF326" s="67"/>
      <c r="CG326" s="560"/>
      <c r="CH326" s="67"/>
      <c r="CI326" s="67">
        <f>SUM(CI327:CI327)</f>
        <v>0</v>
      </c>
      <c r="CJ326" s="67"/>
      <c r="CK326" s="67"/>
      <c r="CL326" s="560"/>
      <c r="CM326" s="67"/>
      <c r="CN326" s="67">
        <f>SUM(CN327:CN327)</f>
        <v>0</v>
      </c>
      <c r="CO326" s="67"/>
      <c r="CP326" s="67"/>
      <c r="CQ326" s="560"/>
      <c r="CR326" s="67"/>
      <c r="CS326" s="67">
        <f>SUM(CS327:CS327)</f>
        <v>0</v>
      </c>
      <c r="CT326" s="67"/>
      <c r="CU326" s="67"/>
      <c r="CV326" s="560"/>
      <c r="CW326" s="67"/>
      <c r="CX326" s="67">
        <f>SUM(CX327:CX327)</f>
        <v>0</v>
      </c>
      <c r="CY326" s="67"/>
      <c r="CZ326" s="67"/>
      <c r="DA326" s="560"/>
      <c r="DB326" s="67"/>
      <c r="DC326" s="67">
        <f>SUM(DC327:DC327)</f>
        <v>0</v>
      </c>
      <c r="DD326" s="67"/>
      <c r="DE326" s="67"/>
      <c r="DF326" s="560"/>
      <c r="DG326" s="67"/>
      <c r="DH326" s="67">
        <f>SUM(DH327:DH327)</f>
        <v>0</v>
      </c>
      <c r="DI326" s="67"/>
      <c r="DJ326" s="67"/>
      <c r="DK326" s="560"/>
      <c r="DL326" s="67"/>
      <c r="DM326" s="67">
        <f>SUM(DM327:DM327)</f>
        <v>0</v>
      </c>
      <c r="DN326" s="67"/>
      <c r="DO326" s="67"/>
      <c r="DP326" s="560"/>
      <c r="DQ326" s="67"/>
      <c r="DR326" s="67">
        <f>SUM(DR327:DR327)</f>
        <v>0</v>
      </c>
      <c r="DS326" s="67"/>
      <c r="DT326" s="67"/>
      <c r="DU326" s="560"/>
      <c r="DV326" s="67"/>
      <c r="DW326" s="67">
        <f>SUM(DW327:DW327)</f>
        <v>0</v>
      </c>
      <c r="DX326" s="67"/>
      <c r="DY326" s="67"/>
      <c r="DZ326" s="560"/>
      <c r="EA326" s="67"/>
      <c r="EB326" s="67">
        <f>SUM(EB327:EB327)</f>
        <v>0</v>
      </c>
      <c r="EC326" s="67"/>
      <c r="ED326" s="67"/>
      <c r="EE326" s="560"/>
      <c r="EF326" s="67"/>
      <c r="EG326" s="67">
        <f>SUM(EG327:EG327)</f>
        <v>41033</v>
      </c>
      <c r="EH326" s="67"/>
      <c r="EI326" s="67"/>
      <c r="EJ326" s="560"/>
      <c r="EK326" s="67"/>
      <c r="EL326" s="67">
        <f>SUM(EL327:EL327)</f>
        <v>0</v>
      </c>
      <c r="EM326" s="67"/>
      <c r="EN326" s="67"/>
      <c r="EO326" s="455"/>
      <c r="ER326" s="472"/>
      <c r="ES326" s="472"/>
    </row>
    <row r="327" spans="1:149" ht="12.75" customHeight="1" x14ac:dyDescent="0.2">
      <c r="A327" s="442"/>
      <c r="B327" s="442"/>
      <c r="D327" s="455" t="s">
        <v>342</v>
      </c>
      <c r="F327" s="563"/>
      <c r="G327" s="564">
        <v>0</v>
      </c>
      <c r="H327" s="565"/>
      <c r="I327" s="67"/>
      <c r="J327" s="560"/>
      <c r="K327" s="566"/>
      <c r="L327" s="564">
        <v>0</v>
      </c>
      <c r="M327" s="565"/>
      <c r="N327" s="67"/>
      <c r="O327" s="560"/>
      <c r="P327" s="566"/>
      <c r="Q327" s="564">
        <v>0</v>
      </c>
      <c r="R327" s="565"/>
      <c r="S327" s="67"/>
      <c r="T327" s="560"/>
      <c r="U327" s="566"/>
      <c r="V327" s="564">
        <v>0</v>
      </c>
      <c r="W327" s="565"/>
      <c r="X327" s="67"/>
      <c r="Y327" s="560"/>
      <c r="Z327" s="566"/>
      <c r="AA327" s="564">
        <v>0</v>
      </c>
      <c r="AB327" s="565"/>
      <c r="AC327" s="67"/>
      <c r="AD327" s="560"/>
      <c r="AE327" s="566"/>
      <c r="AF327" s="564">
        <v>0</v>
      </c>
      <c r="AG327" s="565"/>
      <c r="AH327" s="67"/>
      <c r="AI327" s="560"/>
      <c r="AJ327" s="566"/>
      <c r="AK327" s="564">
        <v>0</v>
      </c>
      <c r="AL327" s="565"/>
      <c r="AM327" s="67"/>
      <c r="AN327" s="560"/>
      <c r="AO327" s="566"/>
      <c r="AP327" s="564">
        <v>0</v>
      </c>
      <c r="AQ327" s="565"/>
      <c r="AR327" s="67"/>
      <c r="AS327" s="560"/>
      <c r="AT327" s="566"/>
      <c r="AU327" s="564">
        <v>0</v>
      </c>
      <c r="AV327" s="565"/>
      <c r="AW327" s="67"/>
      <c r="AX327" s="560"/>
      <c r="AY327" s="566"/>
      <c r="AZ327" s="564">
        <v>0</v>
      </c>
      <c r="BA327" s="565"/>
      <c r="BB327" s="67"/>
      <c r="BC327" s="560"/>
      <c r="BD327" s="566"/>
      <c r="BE327" s="564">
        <v>0</v>
      </c>
      <c r="BF327" s="565"/>
      <c r="BG327" s="67"/>
      <c r="BH327" s="560"/>
      <c r="BI327" s="566"/>
      <c r="BJ327" s="564">
        <v>0</v>
      </c>
      <c r="BK327" s="565"/>
      <c r="BL327" s="67"/>
      <c r="BM327" s="560"/>
      <c r="BN327" s="566"/>
      <c r="BO327" s="564">
        <v>0</v>
      </c>
      <c r="BP327" s="565"/>
      <c r="BQ327" s="67"/>
      <c r="BR327" s="560"/>
      <c r="BS327" s="566"/>
      <c r="BT327" s="564">
        <f>SUM(L327:BO327)</f>
        <v>0</v>
      </c>
      <c r="BU327" s="565"/>
      <c r="BV327" s="67"/>
      <c r="BW327" s="560"/>
      <c r="BX327" s="566"/>
      <c r="BY327" s="564">
        <v>41033</v>
      </c>
      <c r="BZ327" s="565"/>
      <c r="CA327" s="67"/>
      <c r="CB327" s="560"/>
      <c r="CC327" s="566"/>
      <c r="CD327" s="564">
        <v>0</v>
      </c>
      <c r="CE327" s="565"/>
      <c r="CF327" s="67"/>
      <c r="CG327" s="560"/>
      <c r="CH327" s="566"/>
      <c r="CI327" s="564">
        <v>0</v>
      </c>
      <c r="CJ327" s="565"/>
      <c r="CK327" s="67"/>
      <c r="CL327" s="560"/>
      <c r="CM327" s="566"/>
      <c r="CN327" s="564">
        <v>0</v>
      </c>
      <c r="CO327" s="565"/>
      <c r="CP327" s="67"/>
      <c r="CQ327" s="560"/>
      <c r="CR327" s="566"/>
      <c r="CS327" s="564">
        <v>0</v>
      </c>
      <c r="CT327" s="565"/>
      <c r="CU327" s="67"/>
      <c r="CV327" s="560"/>
      <c r="CW327" s="566"/>
      <c r="CX327" s="564">
        <v>0</v>
      </c>
      <c r="CY327" s="565"/>
      <c r="CZ327" s="67"/>
      <c r="DA327" s="560"/>
      <c r="DB327" s="566"/>
      <c r="DC327" s="564">
        <v>0</v>
      </c>
      <c r="DD327" s="565"/>
      <c r="DE327" s="67"/>
      <c r="DF327" s="560"/>
      <c r="DG327" s="566"/>
      <c r="DH327" s="564">
        <v>0</v>
      </c>
      <c r="DI327" s="565"/>
      <c r="DJ327" s="67"/>
      <c r="DK327" s="560"/>
      <c r="DL327" s="566"/>
      <c r="DM327" s="564">
        <v>0</v>
      </c>
      <c r="DN327" s="565"/>
      <c r="DO327" s="67"/>
      <c r="DP327" s="560"/>
      <c r="DQ327" s="566"/>
      <c r="DR327" s="564">
        <v>0</v>
      </c>
      <c r="DS327" s="565"/>
      <c r="DT327" s="67"/>
      <c r="DU327" s="560"/>
      <c r="DV327" s="566"/>
      <c r="DW327" s="564">
        <v>0</v>
      </c>
      <c r="DX327" s="565"/>
      <c r="DY327" s="67"/>
      <c r="DZ327" s="560"/>
      <c r="EA327" s="566"/>
      <c r="EB327" s="564">
        <v>0</v>
      </c>
      <c r="EC327" s="565"/>
      <c r="ED327" s="67"/>
      <c r="EE327" s="560"/>
      <c r="EF327" s="566"/>
      <c r="EG327" s="564">
        <v>41033</v>
      </c>
      <c r="EH327" s="565"/>
      <c r="EI327" s="67"/>
      <c r="EJ327" s="560"/>
      <c r="EK327" s="566"/>
      <c r="EL327" s="564">
        <f>SUM(CD327:CI327)</f>
        <v>0</v>
      </c>
      <c r="EM327" s="565"/>
      <c r="EN327" s="67"/>
      <c r="EO327" s="455"/>
      <c r="ER327" s="472"/>
      <c r="ES327" s="472"/>
    </row>
    <row r="328" spans="1:149" ht="12.75" hidden="1" customHeight="1" x14ac:dyDescent="0.2">
      <c r="A328" s="442"/>
      <c r="B328" s="442"/>
      <c r="D328" s="455"/>
      <c r="F328" s="442"/>
      <c r="G328" s="67"/>
      <c r="H328" s="67"/>
      <c r="I328" s="67"/>
      <c r="J328" s="560"/>
      <c r="K328" s="67"/>
      <c r="L328" s="67"/>
      <c r="M328" s="67"/>
      <c r="N328" s="67"/>
      <c r="O328" s="560"/>
      <c r="P328" s="67"/>
      <c r="Q328" s="67"/>
      <c r="R328" s="67"/>
      <c r="S328" s="67"/>
      <c r="T328" s="560"/>
      <c r="U328" s="67"/>
      <c r="V328" s="67"/>
      <c r="W328" s="67"/>
      <c r="X328" s="67"/>
      <c r="Y328" s="560"/>
      <c r="Z328" s="67"/>
      <c r="AA328" s="67"/>
      <c r="AB328" s="67"/>
      <c r="AC328" s="67"/>
      <c r="AD328" s="560"/>
      <c r="AE328" s="67"/>
      <c r="AF328" s="67"/>
      <c r="AG328" s="67"/>
      <c r="AH328" s="67"/>
      <c r="AI328" s="560"/>
      <c r="AJ328" s="67"/>
      <c r="AK328" s="67"/>
      <c r="AL328" s="67"/>
      <c r="AM328" s="67"/>
      <c r="AN328" s="560"/>
      <c r="AO328" s="67"/>
      <c r="AP328" s="67"/>
      <c r="AQ328" s="67"/>
      <c r="AR328" s="67"/>
      <c r="AS328" s="560"/>
      <c r="AT328" s="67"/>
      <c r="AU328" s="67"/>
      <c r="AV328" s="67"/>
      <c r="AW328" s="67"/>
      <c r="AX328" s="560"/>
      <c r="AY328" s="67"/>
      <c r="AZ328" s="67"/>
      <c r="BA328" s="67"/>
      <c r="BB328" s="67"/>
      <c r="BC328" s="560"/>
      <c r="BD328" s="67"/>
      <c r="BE328" s="67"/>
      <c r="BF328" s="67"/>
      <c r="BG328" s="67"/>
      <c r="BH328" s="560"/>
      <c r="BI328" s="67"/>
      <c r="BJ328" s="67"/>
      <c r="BK328" s="67"/>
      <c r="BL328" s="67"/>
      <c r="BM328" s="560"/>
      <c r="BN328" s="67"/>
      <c r="BO328" s="67"/>
      <c r="BP328" s="67"/>
      <c r="BQ328" s="67"/>
      <c r="BR328" s="560"/>
      <c r="BS328" s="67"/>
      <c r="BT328" s="67"/>
      <c r="BU328" s="67"/>
      <c r="BV328" s="67"/>
      <c r="BW328" s="560"/>
      <c r="BX328" s="67"/>
      <c r="BY328" s="67"/>
      <c r="BZ328" s="67"/>
      <c r="CA328" s="67"/>
      <c r="CB328" s="560"/>
      <c r="CC328" s="67"/>
      <c r="CD328" s="67"/>
      <c r="CE328" s="67"/>
      <c r="CF328" s="67"/>
      <c r="CG328" s="560"/>
      <c r="CH328" s="67"/>
      <c r="CI328" s="67"/>
      <c r="CJ328" s="67"/>
      <c r="CK328" s="67"/>
      <c r="CL328" s="560"/>
      <c r="CM328" s="67"/>
      <c r="CN328" s="67"/>
      <c r="CO328" s="67"/>
      <c r="CP328" s="67"/>
      <c r="CQ328" s="560"/>
      <c r="CR328" s="67"/>
      <c r="CS328" s="67"/>
      <c r="CT328" s="67"/>
      <c r="CU328" s="67"/>
      <c r="CV328" s="560"/>
      <c r="CW328" s="67"/>
      <c r="CX328" s="67"/>
      <c r="CY328" s="67"/>
      <c r="CZ328" s="67"/>
      <c r="DA328" s="560"/>
      <c r="DB328" s="67"/>
      <c r="DC328" s="67"/>
      <c r="DD328" s="67"/>
      <c r="DE328" s="67"/>
      <c r="DF328" s="560"/>
      <c r="DG328" s="67"/>
      <c r="DH328" s="67"/>
      <c r="DI328" s="67"/>
      <c r="DJ328" s="67"/>
      <c r="DK328" s="560"/>
      <c r="DL328" s="67"/>
      <c r="DM328" s="67"/>
      <c r="DN328" s="67"/>
      <c r="DO328" s="67"/>
      <c r="DP328" s="560"/>
      <c r="DQ328" s="67"/>
      <c r="DR328" s="67"/>
      <c r="DS328" s="67"/>
      <c r="DT328" s="67"/>
      <c r="DU328" s="560"/>
      <c r="DV328" s="67"/>
      <c r="DW328" s="67"/>
      <c r="DX328" s="67"/>
      <c r="DY328" s="67"/>
      <c r="DZ328" s="560"/>
      <c r="EA328" s="67"/>
      <c r="EB328" s="67"/>
      <c r="EC328" s="67"/>
      <c r="ED328" s="67"/>
      <c r="EE328" s="560"/>
      <c r="EF328" s="67"/>
      <c r="EG328" s="67"/>
      <c r="EH328" s="67"/>
      <c r="EI328" s="67"/>
      <c r="EJ328" s="560"/>
      <c r="EK328" s="67"/>
      <c r="EL328" s="67"/>
      <c r="EM328" s="67"/>
      <c r="EN328" s="67"/>
      <c r="EO328" s="455"/>
      <c r="ER328" s="472"/>
      <c r="ES328" s="472"/>
    </row>
    <row r="329" spans="1:149" ht="12.75" hidden="1" customHeight="1" x14ac:dyDescent="0.2">
      <c r="A329" s="442"/>
      <c r="B329" s="442"/>
      <c r="D329" s="455" t="s">
        <v>407</v>
      </c>
      <c r="F329" s="442"/>
      <c r="G329" s="67">
        <v>0</v>
      </c>
      <c r="H329" s="67"/>
      <c r="I329" s="67"/>
      <c r="J329" s="560"/>
      <c r="K329" s="67"/>
      <c r="L329" s="67">
        <f>SUM(L330:L330)</f>
        <v>0</v>
      </c>
      <c r="M329" s="67"/>
      <c r="N329" s="67"/>
      <c r="O329" s="560"/>
      <c r="P329" s="67"/>
      <c r="Q329" s="67">
        <f>SUM(Q330:Q330)</f>
        <v>0</v>
      </c>
      <c r="R329" s="67"/>
      <c r="S329" s="67"/>
      <c r="T329" s="560"/>
      <c r="U329" s="67"/>
      <c r="V329" s="67">
        <f>SUM(V330:V330)</f>
        <v>0</v>
      </c>
      <c r="W329" s="67"/>
      <c r="X329" s="67"/>
      <c r="Y329" s="560"/>
      <c r="Z329" s="67"/>
      <c r="AA329" s="67">
        <f>SUM(AA330:AA330)</f>
        <v>0</v>
      </c>
      <c r="AB329" s="67"/>
      <c r="AC329" s="67"/>
      <c r="AD329" s="560"/>
      <c r="AE329" s="67"/>
      <c r="AF329" s="67">
        <f>SUM(AF330:AF330)</f>
        <v>0</v>
      </c>
      <c r="AG329" s="67"/>
      <c r="AH329" s="67"/>
      <c r="AI329" s="560"/>
      <c r="AJ329" s="67"/>
      <c r="AK329" s="67">
        <f>SUM(AK330:AK330)</f>
        <v>0</v>
      </c>
      <c r="AL329" s="67"/>
      <c r="AM329" s="67"/>
      <c r="AN329" s="560"/>
      <c r="AO329" s="67"/>
      <c r="AP329" s="67">
        <f>SUM(AP330:AP330)</f>
        <v>0</v>
      </c>
      <c r="AQ329" s="67"/>
      <c r="AR329" s="67"/>
      <c r="AS329" s="560"/>
      <c r="AT329" s="67"/>
      <c r="AU329" s="67">
        <f>SUM(AU330:AU330)</f>
        <v>0</v>
      </c>
      <c r="AV329" s="67"/>
      <c r="AW329" s="67"/>
      <c r="AX329" s="560"/>
      <c r="AY329" s="67"/>
      <c r="AZ329" s="67">
        <f>SUM(AZ330:AZ330)</f>
        <v>0</v>
      </c>
      <c r="BA329" s="67"/>
      <c r="BB329" s="67"/>
      <c r="BC329" s="560"/>
      <c r="BD329" s="67"/>
      <c r="BE329" s="67">
        <f>SUM(BE330:BE330)</f>
        <v>0</v>
      </c>
      <c r="BF329" s="67"/>
      <c r="BG329" s="67"/>
      <c r="BH329" s="560"/>
      <c r="BI329" s="67"/>
      <c r="BJ329" s="67">
        <f>SUM(BJ330:BJ330)</f>
        <v>0</v>
      </c>
      <c r="BK329" s="67"/>
      <c r="BL329" s="67"/>
      <c r="BM329" s="560"/>
      <c r="BN329" s="67"/>
      <c r="BO329" s="67">
        <f>SUM(BO330:BO330)</f>
        <v>0</v>
      </c>
      <c r="BP329" s="67"/>
      <c r="BQ329" s="67"/>
      <c r="BR329" s="560"/>
      <c r="BS329" s="67"/>
      <c r="BT329" s="67">
        <f>SUM(BT330:BT330)</f>
        <v>0</v>
      </c>
      <c r="BU329" s="67"/>
      <c r="BV329" s="67"/>
      <c r="BW329" s="560"/>
      <c r="BX329" s="67"/>
      <c r="BY329" s="67">
        <f>SUM(BY330:BY330)</f>
        <v>0</v>
      </c>
      <c r="BZ329" s="67"/>
      <c r="CA329" s="67"/>
      <c r="CB329" s="560"/>
      <c r="CC329" s="67"/>
      <c r="CD329" s="67">
        <f>SUM(CD330:CD330)</f>
        <v>0</v>
      </c>
      <c r="CE329" s="67"/>
      <c r="CF329" s="67"/>
      <c r="CG329" s="560"/>
      <c r="CH329" s="67"/>
      <c r="CI329" s="67">
        <f>SUM(CI330:CI330)</f>
        <v>0</v>
      </c>
      <c r="CJ329" s="67"/>
      <c r="CK329" s="67"/>
      <c r="CL329" s="560"/>
      <c r="CM329" s="67"/>
      <c r="CN329" s="67">
        <f>SUM(CN330:CN330)</f>
        <v>0</v>
      </c>
      <c r="CO329" s="67"/>
      <c r="CP329" s="67"/>
      <c r="CQ329" s="560"/>
      <c r="CR329" s="67"/>
      <c r="CS329" s="67">
        <f>SUM(CS330:CS330)</f>
        <v>0</v>
      </c>
      <c r="CT329" s="67"/>
      <c r="CU329" s="67"/>
      <c r="CV329" s="560"/>
      <c r="CW329" s="67"/>
      <c r="CX329" s="67">
        <f>SUM(CX330:CX330)</f>
        <v>0</v>
      </c>
      <c r="CY329" s="67"/>
      <c r="CZ329" s="67"/>
      <c r="DA329" s="560"/>
      <c r="DB329" s="67"/>
      <c r="DC329" s="67">
        <f>SUM(DC330:DC330)</f>
        <v>0</v>
      </c>
      <c r="DD329" s="67"/>
      <c r="DE329" s="67"/>
      <c r="DF329" s="560"/>
      <c r="DG329" s="67"/>
      <c r="DH329" s="67">
        <f>SUM(DH330:DH330)</f>
        <v>0</v>
      </c>
      <c r="DI329" s="67"/>
      <c r="DJ329" s="67"/>
      <c r="DK329" s="560"/>
      <c r="DL329" s="67"/>
      <c r="DM329" s="67">
        <f>SUM(DM330:DM330)</f>
        <v>0</v>
      </c>
      <c r="DN329" s="67"/>
      <c r="DO329" s="67"/>
      <c r="DP329" s="560"/>
      <c r="DQ329" s="67"/>
      <c r="DR329" s="67">
        <f>SUM(DR330:DR330)</f>
        <v>0</v>
      </c>
      <c r="DS329" s="67"/>
      <c r="DT329" s="67"/>
      <c r="DU329" s="560"/>
      <c r="DV329" s="67"/>
      <c r="DW329" s="67">
        <f>SUM(DW330:DW330)</f>
        <v>0</v>
      </c>
      <c r="DX329" s="67"/>
      <c r="DY329" s="67"/>
      <c r="DZ329" s="560"/>
      <c r="EA329" s="67"/>
      <c r="EB329" s="67">
        <f>SUM(EB330:EB330)</f>
        <v>0</v>
      </c>
      <c r="EC329" s="67"/>
      <c r="ED329" s="67"/>
      <c r="EE329" s="560"/>
      <c r="EF329" s="67"/>
      <c r="EG329" s="67">
        <f>SUM(EG330:EG330)</f>
        <v>0</v>
      </c>
      <c r="EH329" s="67"/>
      <c r="EI329" s="67"/>
      <c r="EJ329" s="560"/>
      <c r="EK329" s="67"/>
      <c r="EL329" s="67">
        <f>SUM(EL330:EL330)</f>
        <v>0</v>
      </c>
      <c r="EM329" s="67"/>
      <c r="EN329" s="67"/>
      <c r="EO329" s="455"/>
      <c r="ER329" s="472"/>
      <c r="ES329" s="472"/>
    </row>
    <row r="330" spans="1:149" ht="12.75" hidden="1" customHeight="1" x14ac:dyDescent="0.2">
      <c r="A330" s="442"/>
      <c r="B330" s="442"/>
      <c r="D330" s="455" t="s">
        <v>342</v>
      </c>
      <c r="F330" s="563"/>
      <c r="G330" s="564">
        <v>0</v>
      </c>
      <c r="H330" s="565"/>
      <c r="I330" s="67"/>
      <c r="J330" s="560"/>
      <c r="K330" s="566"/>
      <c r="L330" s="564">
        <v>0</v>
      </c>
      <c r="M330" s="565"/>
      <c r="N330" s="67"/>
      <c r="O330" s="560"/>
      <c r="P330" s="566"/>
      <c r="Q330" s="564">
        <v>0</v>
      </c>
      <c r="R330" s="565"/>
      <c r="S330" s="67"/>
      <c r="T330" s="560"/>
      <c r="U330" s="566"/>
      <c r="V330" s="564">
        <v>0</v>
      </c>
      <c r="W330" s="565"/>
      <c r="X330" s="67"/>
      <c r="Y330" s="560"/>
      <c r="Z330" s="566"/>
      <c r="AA330" s="564">
        <v>0</v>
      </c>
      <c r="AB330" s="565"/>
      <c r="AC330" s="67"/>
      <c r="AD330" s="560"/>
      <c r="AE330" s="566"/>
      <c r="AF330" s="564">
        <v>0</v>
      </c>
      <c r="AG330" s="565"/>
      <c r="AH330" s="67"/>
      <c r="AI330" s="560"/>
      <c r="AJ330" s="566"/>
      <c r="AK330" s="564">
        <v>0</v>
      </c>
      <c r="AL330" s="565"/>
      <c r="AM330" s="67"/>
      <c r="AN330" s="560"/>
      <c r="AO330" s="566"/>
      <c r="AP330" s="564">
        <v>0</v>
      </c>
      <c r="AQ330" s="565"/>
      <c r="AR330" s="67"/>
      <c r="AS330" s="560"/>
      <c r="AT330" s="566"/>
      <c r="AU330" s="564">
        <v>0</v>
      </c>
      <c r="AV330" s="565"/>
      <c r="AW330" s="67"/>
      <c r="AX330" s="560"/>
      <c r="AY330" s="566"/>
      <c r="AZ330" s="564">
        <v>0</v>
      </c>
      <c r="BA330" s="565"/>
      <c r="BB330" s="67"/>
      <c r="BC330" s="560"/>
      <c r="BD330" s="566"/>
      <c r="BE330" s="564">
        <v>0</v>
      </c>
      <c r="BF330" s="565"/>
      <c r="BG330" s="67"/>
      <c r="BH330" s="560"/>
      <c r="BI330" s="566"/>
      <c r="BJ330" s="564">
        <v>0</v>
      </c>
      <c r="BK330" s="565"/>
      <c r="BL330" s="67"/>
      <c r="BM330" s="560"/>
      <c r="BN330" s="566"/>
      <c r="BO330" s="564">
        <v>0</v>
      </c>
      <c r="BP330" s="565"/>
      <c r="BQ330" s="67"/>
      <c r="BR330" s="560"/>
      <c r="BS330" s="566"/>
      <c r="BT330" s="564">
        <f>SUM(L330:BO330)</f>
        <v>0</v>
      </c>
      <c r="BU330" s="565"/>
      <c r="BV330" s="67"/>
      <c r="BW330" s="560"/>
      <c r="BX330" s="566"/>
      <c r="BY330" s="564">
        <v>0</v>
      </c>
      <c r="BZ330" s="565"/>
      <c r="CA330" s="67"/>
      <c r="CB330" s="560"/>
      <c r="CC330" s="566"/>
      <c r="CD330" s="564">
        <v>0</v>
      </c>
      <c r="CE330" s="565"/>
      <c r="CF330" s="67"/>
      <c r="CG330" s="560"/>
      <c r="CH330" s="566"/>
      <c r="CI330" s="564">
        <v>0</v>
      </c>
      <c r="CJ330" s="565"/>
      <c r="CK330" s="67"/>
      <c r="CL330" s="560"/>
      <c r="CM330" s="566"/>
      <c r="CN330" s="564">
        <v>0</v>
      </c>
      <c r="CO330" s="565"/>
      <c r="CP330" s="67"/>
      <c r="CQ330" s="560"/>
      <c r="CR330" s="566"/>
      <c r="CS330" s="564">
        <v>0</v>
      </c>
      <c r="CT330" s="565"/>
      <c r="CU330" s="67"/>
      <c r="CV330" s="560"/>
      <c r="CW330" s="566"/>
      <c r="CX330" s="564">
        <v>0</v>
      </c>
      <c r="CY330" s="565"/>
      <c r="CZ330" s="67"/>
      <c r="DA330" s="560"/>
      <c r="DB330" s="566"/>
      <c r="DC330" s="564">
        <v>0</v>
      </c>
      <c r="DD330" s="565"/>
      <c r="DE330" s="67"/>
      <c r="DF330" s="560"/>
      <c r="DG330" s="566"/>
      <c r="DH330" s="564">
        <v>0</v>
      </c>
      <c r="DI330" s="565"/>
      <c r="DJ330" s="67"/>
      <c r="DK330" s="560"/>
      <c r="DL330" s="566"/>
      <c r="DM330" s="564">
        <v>0</v>
      </c>
      <c r="DN330" s="565"/>
      <c r="DO330" s="67"/>
      <c r="DP330" s="560"/>
      <c r="DQ330" s="566"/>
      <c r="DR330" s="564">
        <v>0</v>
      </c>
      <c r="DS330" s="565"/>
      <c r="DT330" s="67"/>
      <c r="DU330" s="560"/>
      <c r="DV330" s="566"/>
      <c r="DW330" s="564">
        <v>0</v>
      </c>
      <c r="DX330" s="565"/>
      <c r="DY330" s="67"/>
      <c r="DZ330" s="560"/>
      <c r="EA330" s="566"/>
      <c r="EB330" s="564">
        <v>0</v>
      </c>
      <c r="EC330" s="565"/>
      <c r="ED330" s="67"/>
      <c r="EE330" s="560"/>
      <c r="EF330" s="566"/>
      <c r="EG330" s="564">
        <v>0</v>
      </c>
      <c r="EH330" s="565"/>
      <c r="EI330" s="67"/>
      <c r="EJ330" s="560"/>
      <c r="EK330" s="566"/>
      <c r="EL330" s="564">
        <f>SUM(CD330:CI330)</f>
        <v>0</v>
      </c>
      <c r="EM330" s="565"/>
      <c r="EN330" s="67"/>
      <c r="EO330" s="455"/>
      <c r="ER330" s="472"/>
      <c r="ES330" s="472"/>
    </row>
    <row r="331" spans="1:149" ht="12.75" hidden="1" customHeight="1" x14ac:dyDescent="0.2">
      <c r="A331" s="442"/>
      <c r="B331" s="442"/>
      <c r="D331" s="455"/>
      <c r="F331" s="442"/>
      <c r="G331" s="67"/>
      <c r="H331" s="67"/>
      <c r="I331" s="67"/>
      <c r="J331" s="560"/>
      <c r="K331" s="67"/>
      <c r="L331" s="67"/>
      <c r="M331" s="67"/>
      <c r="N331" s="67"/>
      <c r="O331" s="560"/>
      <c r="P331" s="67"/>
      <c r="Q331" s="67"/>
      <c r="R331" s="67"/>
      <c r="S331" s="67"/>
      <c r="T331" s="560"/>
      <c r="U331" s="67"/>
      <c r="V331" s="67"/>
      <c r="W331" s="67"/>
      <c r="X331" s="67"/>
      <c r="Y331" s="560"/>
      <c r="Z331" s="67"/>
      <c r="AA331" s="67"/>
      <c r="AB331" s="67"/>
      <c r="AC331" s="67"/>
      <c r="AD331" s="560"/>
      <c r="AE331" s="67"/>
      <c r="AF331" s="67"/>
      <c r="AG331" s="67"/>
      <c r="AH331" s="67"/>
      <c r="AI331" s="560"/>
      <c r="AJ331" s="67"/>
      <c r="AK331" s="67"/>
      <c r="AL331" s="67"/>
      <c r="AM331" s="67"/>
      <c r="AN331" s="560"/>
      <c r="AO331" s="67"/>
      <c r="AP331" s="67"/>
      <c r="AQ331" s="67"/>
      <c r="AR331" s="67"/>
      <c r="AS331" s="560"/>
      <c r="AT331" s="67"/>
      <c r="AU331" s="67"/>
      <c r="AV331" s="67"/>
      <c r="AW331" s="67"/>
      <c r="AX331" s="560"/>
      <c r="AY331" s="67"/>
      <c r="AZ331" s="67"/>
      <c r="BA331" s="67"/>
      <c r="BB331" s="67"/>
      <c r="BC331" s="560"/>
      <c r="BD331" s="67"/>
      <c r="BE331" s="67"/>
      <c r="BF331" s="67"/>
      <c r="BG331" s="67"/>
      <c r="BH331" s="560"/>
      <c r="BI331" s="67"/>
      <c r="BJ331" s="67"/>
      <c r="BK331" s="67"/>
      <c r="BL331" s="67"/>
      <c r="BM331" s="560"/>
      <c r="BN331" s="67"/>
      <c r="BO331" s="67"/>
      <c r="BP331" s="67"/>
      <c r="BQ331" s="67"/>
      <c r="BR331" s="560"/>
      <c r="BS331" s="67"/>
      <c r="BT331" s="67"/>
      <c r="BU331" s="67"/>
      <c r="BV331" s="67"/>
      <c r="BW331" s="560"/>
      <c r="BX331" s="67"/>
      <c r="BY331" s="67"/>
      <c r="BZ331" s="67"/>
      <c r="CA331" s="67"/>
      <c r="CB331" s="560"/>
      <c r="CC331" s="67"/>
      <c r="CD331" s="67"/>
      <c r="CE331" s="67"/>
      <c r="CF331" s="67"/>
      <c r="CG331" s="560"/>
      <c r="CH331" s="67"/>
      <c r="CI331" s="67"/>
      <c r="CJ331" s="67"/>
      <c r="CK331" s="67"/>
      <c r="CL331" s="560"/>
      <c r="CM331" s="67"/>
      <c r="CN331" s="67"/>
      <c r="CO331" s="67"/>
      <c r="CP331" s="67"/>
      <c r="CQ331" s="560"/>
      <c r="CR331" s="67"/>
      <c r="CS331" s="67"/>
      <c r="CT331" s="67"/>
      <c r="CU331" s="67"/>
      <c r="CV331" s="560"/>
      <c r="CW331" s="67"/>
      <c r="CX331" s="67"/>
      <c r="CY331" s="67"/>
      <c r="CZ331" s="67"/>
      <c r="DA331" s="560"/>
      <c r="DB331" s="67"/>
      <c r="DC331" s="67"/>
      <c r="DD331" s="67"/>
      <c r="DE331" s="67"/>
      <c r="DF331" s="560"/>
      <c r="DG331" s="67"/>
      <c r="DH331" s="67"/>
      <c r="DI331" s="67"/>
      <c r="DJ331" s="67"/>
      <c r="DK331" s="560"/>
      <c r="DL331" s="67"/>
      <c r="DM331" s="67"/>
      <c r="DN331" s="67"/>
      <c r="DO331" s="67"/>
      <c r="DP331" s="560"/>
      <c r="DQ331" s="67"/>
      <c r="DR331" s="67"/>
      <c r="DS331" s="67"/>
      <c r="DT331" s="67"/>
      <c r="DU331" s="560"/>
      <c r="DV331" s="67"/>
      <c r="DW331" s="67"/>
      <c r="DX331" s="67"/>
      <c r="DY331" s="67"/>
      <c r="DZ331" s="560"/>
      <c r="EA331" s="67"/>
      <c r="EB331" s="67"/>
      <c r="EC331" s="67"/>
      <c r="ED331" s="67"/>
      <c r="EE331" s="560"/>
      <c r="EF331" s="67"/>
      <c r="EG331" s="67"/>
      <c r="EH331" s="67"/>
      <c r="EI331" s="67"/>
      <c r="EJ331" s="560"/>
      <c r="EK331" s="67"/>
      <c r="EL331" s="67"/>
      <c r="EM331" s="67"/>
      <c r="EN331" s="67"/>
      <c r="EO331" s="455"/>
      <c r="ER331" s="472"/>
      <c r="ES331" s="472"/>
    </row>
    <row r="332" spans="1:149" ht="12.75" hidden="1" customHeight="1" x14ac:dyDescent="0.2">
      <c r="A332" s="442"/>
      <c r="B332" s="442"/>
      <c r="D332" s="455" t="s">
        <v>362</v>
      </c>
      <c r="F332" s="442"/>
      <c r="G332" s="67">
        <v>0</v>
      </c>
      <c r="H332" s="67"/>
      <c r="I332" s="67"/>
      <c r="J332" s="560"/>
      <c r="K332" s="67"/>
      <c r="L332" s="67">
        <f>SUM(L333:L333)</f>
        <v>0</v>
      </c>
      <c r="M332" s="67"/>
      <c r="N332" s="67"/>
      <c r="O332" s="560"/>
      <c r="P332" s="67"/>
      <c r="Q332" s="67">
        <f>SUM(Q333:Q333)</f>
        <v>0</v>
      </c>
      <c r="R332" s="67"/>
      <c r="S332" s="67"/>
      <c r="T332" s="560"/>
      <c r="U332" s="67"/>
      <c r="V332" s="67">
        <f>SUM(V333:V333)</f>
        <v>0</v>
      </c>
      <c r="W332" s="67"/>
      <c r="X332" s="67"/>
      <c r="Y332" s="560"/>
      <c r="Z332" s="67"/>
      <c r="AA332" s="67">
        <f>SUM(AA333:AA333)</f>
        <v>0</v>
      </c>
      <c r="AB332" s="67"/>
      <c r="AC332" s="67"/>
      <c r="AD332" s="560"/>
      <c r="AE332" s="67"/>
      <c r="AF332" s="67">
        <f>SUM(AF333:AF333)</f>
        <v>0</v>
      </c>
      <c r="AG332" s="67"/>
      <c r="AH332" s="67"/>
      <c r="AI332" s="560"/>
      <c r="AJ332" s="67"/>
      <c r="AK332" s="67">
        <f>SUM(AK333:AK333)</f>
        <v>0</v>
      </c>
      <c r="AL332" s="67"/>
      <c r="AM332" s="67"/>
      <c r="AN332" s="560"/>
      <c r="AO332" s="67"/>
      <c r="AP332" s="67">
        <f>SUM(AP333:AP333)</f>
        <v>0</v>
      </c>
      <c r="AQ332" s="67"/>
      <c r="AR332" s="67"/>
      <c r="AS332" s="560"/>
      <c r="AT332" s="67"/>
      <c r="AU332" s="67">
        <f>SUM(AU333:AU333)</f>
        <v>0</v>
      </c>
      <c r="AV332" s="67"/>
      <c r="AW332" s="67"/>
      <c r="AX332" s="560"/>
      <c r="AY332" s="67"/>
      <c r="AZ332" s="67">
        <f>SUM(AZ333:AZ333)</f>
        <v>0</v>
      </c>
      <c r="BA332" s="67"/>
      <c r="BB332" s="67"/>
      <c r="BC332" s="560"/>
      <c r="BD332" s="67"/>
      <c r="BE332" s="67">
        <f>SUM(BE333:BE333)</f>
        <v>0</v>
      </c>
      <c r="BF332" s="67"/>
      <c r="BG332" s="67"/>
      <c r="BH332" s="560"/>
      <c r="BI332" s="67"/>
      <c r="BJ332" s="67">
        <f>SUM(BJ333:BJ333)</f>
        <v>0</v>
      </c>
      <c r="BK332" s="67"/>
      <c r="BL332" s="67"/>
      <c r="BM332" s="560"/>
      <c r="BN332" s="67"/>
      <c r="BO332" s="67">
        <f>SUM(BO333:BO333)</f>
        <v>0</v>
      </c>
      <c r="BP332" s="67"/>
      <c r="BQ332" s="67"/>
      <c r="BR332" s="560"/>
      <c r="BS332" s="67"/>
      <c r="BT332" s="67">
        <f>SUM(BT333:BT333)</f>
        <v>0</v>
      </c>
      <c r="BU332" s="67"/>
      <c r="BV332" s="67"/>
      <c r="BW332" s="560"/>
      <c r="BX332" s="67"/>
      <c r="BY332" s="67">
        <f>SUM(BY333:BY333)</f>
        <v>0</v>
      </c>
      <c r="BZ332" s="67"/>
      <c r="CA332" s="67"/>
      <c r="CB332" s="560"/>
      <c r="CC332" s="67"/>
      <c r="CD332" s="67">
        <f>SUM(CD333:CD333)</f>
        <v>0</v>
      </c>
      <c r="CE332" s="67"/>
      <c r="CF332" s="67"/>
      <c r="CG332" s="560"/>
      <c r="CH332" s="67"/>
      <c r="CI332" s="67">
        <f>SUM(CI333:CI333)</f>
        <v>0</v>
      </c>
      <c r="CJ332" s="67"/>
      <c r="CK332" s="67"/>
      <c r="CL332" s="560"/>
      <c r="CM332" s="67"/>
      <c r="CN332" s="67">
        <f>SUM(CN333:CN333)</f>
        <v>0</v>
      </c>
      <c r="CO332" s="67"/>
      <c r="CP332" s="67"/>
      <c r="CQ332" s="560"/>
      <c r="CR332" s="67"/>
      <c r="CS332" s="67">
        <f>SUM(CS333:CS333)</f>
        <v>0</v>
      </c>
      <c r="CT332" s="67"/>
      <c r="CU332" s="67"/>
      <c r="CV332" s="560"/>
      <c r="CW332" s="67"/>
      <c r="CX332" s="67">
        <f>SUM(CX333:CX333)</f>
        <v>0</v>
      </c>
      <c r="CY332" s="67"/>
      <c r="CZ332" s="67"/>
      <c r="DA332" s="560"/>
      <c r="DB332" s="67"/>
      <c r="DC332" s="67">
        <f>SUM(DC333:DC333)</f>
        <v>0</v>
      </c>
      <c r="DD332" s="67"/>
      <c r="DE332" s="67"/>
      <c r="DF332" s="560"/>
      <c r="DG332" s="67"/>
      <c r="DH332" s="67">
        <f>SUM(DH333:DH333)</f>
        <v>0</v>
      </c>
      <c r="DI332" s="67"/>
      <c r="DJ332" s="67"/>
      <c r="DK332" s="560"/>
      <c r="DL332" s="67"/>
      <c r="DM332" s="67">
        <f>SUM(DM333:DM333)</f>
        <v>0</v>
      </c>
      <c r="DN332" s="67"/>
      <c r="DO332" s="67"/>
      <c r="DP332" s="560"/>
      <c r="DQ332" s="67"/>
      <c r="DR332" s="67">
        <f>SUM(DR333:DR333)</f>
        <v>0</v>
      </c>
      <c r="DS332" s="67"/>
      <c r="DT332" s="67"/>
      <c r="DU332" s="560"/>
      <c r="DV332" s="67"/>
      <c r="DW332" s="67">
        <f>SUM(DW333:DW333)</f>
        <v>0</v>
      </c>
      <c r="DX332" s="67"/>
      <c r="DY332" s="67"/>
      <c r="DZ332" s="560"/>
      <c r="EA332" s="67"/>
      <c r="EB332" s="67">
        <f>SUM(EB333:EB333)</f>
        <v>0</v>
      </c>
      <c r="EC332" s="67"/>
      <c r="ED332" s="67"/>
      <c r="EE332" s="560"/>
      <c r="EF332" s="67"/>
      <c r="EG332" s="67">
        <f>SUM(EG333:EG333)</f>
        <v>0</v>
      </c>
      <c r="EH332" s="67"/>
      <c r="EI332" s="67"/>
      <c r="EJ332" s="560"/>
      <c r="EK332" s="67"/>
      <c r="EL332" s="67">
        <f>SUM(EL333:EL333)</f>
        <v>0</v>
      </c>
      <c r="EM332" s="67"/>
      <c r="EN332" s="67"/>
      <c r="EO332" s="455"/>
      <c r="ER332" s="472"/>
      <c r="ES332" s="472"/>
    </row>
    <row r="333" spans="1:149" ht="12.75" hidden="1" customHeight="1" x14ac:dyDescent="0.2">
      <c r="A333" s="442"/>
      <c r="B333" s="442"/>
      <c r="D333" s="455" t="s">
        <v>342</v>
      </c>
      <c r="F333" s="563"/>
      <c r="G333" s="564">
        <v>0</v>
      </c>
      <c r="H333" s="565"/>
      <c r="I333" s="67"/>
      <c r="J333" s="560"/>
      <c r="K333" s="566"/>
      <c r="L333" s="564">
        <v>0</v>
      </c>
      <c r="M333" s="565"/>
      <c r="N333" s="67"/>
      <c r="O333" s="560"/>
      <c r="P333" s="566"/>
      <c r="Q333" s="564">
        <v>0</v>
      </c>
      <c r="R333" s="565"/>
      <c r="S333" s="67"/>
      <c r="T333" s="560"/>
      <c r="U333" s="566"/>
      <c r="V333" s="564">
        <v>0</v>
      </c>
      <c r="W333" s="565"/>
      <c r="X333" s="67"/>
      <c r="Y333" s="560"/>
      <c r="Z333" s="566"/>
      <c r="AA333" s="564">
        <v>0</v>
      </c>
      <c r="AB333" s="565"/>
      <c r="AC333" s="67"/>
      <c r="AD333" s="560"/>
      <c r="AE333" s="566"/>
      <c r="AF333" s="564">
        <v>0</v>
      </c>
      <c r="AG333" s="565"/>
      <c r="AH333" s="67"/>
      <c r="AI333" s="560"/>
      <c r="AJ333" s="566"/>
      <c r="AK333" s="564">
        <v>0</v>
      </c>
      <c r="AL333" s="565"/>
      <c r="AM333" s="67"/>
      <c r="AN333" s="560"/>
      <c r="AO333" s="566"/>
      <c r="AP333" s="564">
        <v>0</v>
      </c>
      <c r="AQ333" s="565"/>
      <c r="AR333" s="67"/>
      <c r="AS333" s="560"/>
      <c r="AT333" s="566"/>
      <c r="AU333" s="564">
        <v>0</v>
      </c>
      <c r="AV333" s="565"/>
      <c r="AW333" s="67"/>
      <c r="AX333" s="560"/>
      <c r="AY333" s="566"/>
      <c r="AZ333" s="564">
        <v>0</v>
      </c>
      <c r="BA333" s="565"/>
      <c r="BB333" s="67"/>
      <c r="BC333" s="560"/>
      <c r="BD333" s="566"/>
      <c r="BE333" s="564">
        <v>0</v>
      </c>
      <c r="BF333" s="565"/>
      <c r="BG333" s="67"/>
      <c r="BH333" s="560"/>
      <c r="BI333" s="566"/>
      <c r="BJ333" s="564">
        <v>0</v>
      </c>
      <c r="BK333" s="565"/>
      <c r="BL333" s="67"/>
      <c r="BM333" s="560"/>
      <c r="BN333" s="566"/>
      <c r="BO333" s="564">
        <v>0</v>
      </c>
      <c r="BP333" s="565"/>
      <c r="BQ333" s="67"/>
      <c r="BR333" s="560"/>
      <c r="BS333" s="566"/>
      <c r="BT333" s="564">
        <f>SUM(L333:BO333)</f>
        <v>0</v>
      </c>
      <c r="BU333" s="565"/>
      <c r="BV333" s="67"/>
      <c r="BW333" s="560"/>
      <c r="BX333" s="566"/>
      <c r="BY333" s="564">
        <v>0</v>
      </c>
      <c r="BZ333" s="565"/>
      <c r="CA333" s="67"/>
      <c r="CB333" s="560"/>
      <c r="CC333" s="566"/>
      <c r="CD333" s="564">
        <v>0</v>
      </c>
      <c r="CE333" s="565"/>
      <c r="CF333" s="67"/>
      <c r="CG333" s="560"/>
      <c r="CH333" s="566"/>
      <c r="CI333" s="564">
        <v>0</v>
      </c>
      <c r="CJ333" s="565"/>
      <c r="CK333" s="67"/>
      <c r="CL333" s="560"/>
      <c r="CM333" s="566"/>
      <c r="CN333" s="564">
        <v>0</v>
      </c>
      <c r="CO333" s="565"/>
      <c r="CP333" s="67"/>
      <c r="CQ333" s="560"/>
      <c r="CR333" s="566"/>
      <c r="CS333" s="564">
        <v>0</v>
      </c>
      <c r="CT333" s="565"/>
      <c r="CU333" s="67"/>
      <c r="CV333" s="560"/>
      <c r="CW333" s="566"/>
      <c r="CX333" s="564">
        <v>0</v>
      </c>
      <c r="CY333" s="565"/>
      <c r="CZ333" s="67"/>
      <c r="DA333" s="560"/>
      <c r="DB333" s="566"/>
      <c r="DC333" s="564">
        <v>0</v>
      </c>
      <c r="DD333" s="565"/>
      <c r="DE333" s="67"/>
      <c r="DF333" s="560"/>
      <c r="DG333" s="566"/>
      <c r="DH333" s="564">
        <v>0</v>
      </c>
      <c r="DI333" s="565"/>
      <c r="DJ333" s="67"/>
      <c r="DK333" s="560"/>
      <c r="DL333" s="566"/>
      <c r="DM333" s="564">
        <v>0</v>
      </c>
      <c r="DN333" s="565"/>
      <c r="DO333" s="67"/>
      <c r="DP333" s="560"/>
      <c r="DQ333" s="566"/>
      <c r="DR333" s="564">
        <v>0</v>
      </c>
      <c r="DS333" s="565"/>
      <c r="DT333" s="67"/>
      <c r="DU333" s="560"/>
      <c r="DV333" s="566"/>
      <c r="DW333" s="564">
        <v>0</v>
      </c>
      <c r="DX333" s="565"/>
      <c r="DY333" s="67"/>
      <c r="DZ333" s="560"/>
      <c r="EA333" s="566"/>
      <c r="EB333" s="564">
        <v>0</v>
      </c>
      <c r="EC333" s="565"/>
      <c r="ED333" s="67"/>
      <c r="EE333" s="560"/>
      <c r="EF333" s="566"/>
      <c r="EG333" s="564">
        <v>0</v>
      </c>
      <c r="EH333" s="565"/>
      <c r="EI333" s="67"/>
      <c r="EJ333" s="560"/>
      <c r="EK333" s="566"/>
      <c r="EL333" s="564">
        <f>SUM(CD333:CI333)</f>
        <v>0</v>
      </c>
      <c r="EM333" s="565"/>
      <c r="EN333" s="67"/>
      <c r="EO333" s="455"/>
      <c r="ER333" s="472"/>
      <c r="ES333" s="472"/>
    </row>
    <row r="334" spans="1:149" ht="12.75" customHeight="1" x14ac:dyDescent="0.2">
      <c r="A334" s="442"/>
      <c r="B334" s="442"/>
      <c r="D334" s="455"/>
      <c r="F334" s="442"/>
      <c r="G334" s="67"/>
      <c r="H334" s="67"/>
      <c r="I334" s="67"/>
      <c r="J334" s="560"/>
      <c r="K334" s="67"/>
      <c r="L334" s="67"/>
      <c r="M334" s="67"/>
      <c r="N334" s="67"/>
      <c r="O334" s="560"/>
      <c r="P334" s="67"/>
      <c r="Q334" s="67"/>
      <c r="R334" s="67"/>
      <c r="S334" s="67"/>
      <c r="T334" s="560"/>
      <c r="U334" s="67"/>
      <c r="V334" s="67"/>
      <c r="W334" s="67"/>
      <c r="X334" s="67"/>
      <c r="Y334" s="560"/>
      <c r="Z334" s="67"/>
      <c r="AA334" s="67"/>
      <c r="AB334" s="67"/>
      <c r="AC334" s="67"/>
      <c r="AD334" s="560"/>
      <c r="AE334" s="67"/>
      <c r="AF334" s="67"/>
      <c r="AG334" s="67"/>
      <c r="AH334" s="67"/>
      <c r="AI334" s="560"/>
      <c r="AJ334" s="67"/>
      <c r="AK334" s="67"/>
      <c r="AL334" s="67"/>
      <c r="AM334" s="67"/>
      <c r="AN334" s="560"/>
      <c r="AO334" s="67"/>
      <c r="AP334" s="67"/>
      <c r="AQ334" s="67"/>
      <c r="AR334" s="67"/>
      <c r="AS334" s="560"/>
      <c r="AT334" s="67"/>
      <c r="AU334" s="67"/>
      <c r="AV334" s="67"/>
      <c r="AW334" s="67"/>
      <c r="AX334" s="560"/>
      <c r="AY334" s="67"/>
      <c r="AZ334" s="67"/>
      <c r="BA334" s="67"/>
      <c r="BB334" s="67"/>
      <c r="BC334" s="560"/>
      <c r="BD334" s="67"/>
      <c r="BE334" s="67"/>
      <c r="BF334" s="67"/>
      <c r="BG334" s="67"/>
      <c r="BH334" s="560"/>
      <c r="BI334" s="67"/>
      <c r="BJ334" s="67"/>
      <c r="BK334" s="67"/>
      <c r="BL334" s="67"/>
      <c r="BM334" s="560"/>
      <c r="BN334" s="67"/>
      <c r="BO334" s="67"/>
      <c r="BP334" s="67"/>
      <c r="BQ334" s="67"/>
      <c r="BR334" s="560"/>
      <c r="BS334" s="67"/>
      <c r="BT334" s="67"/>
      <c r="BU334" s="67"/>
      <c r="BV334" s="67"/>
      <c r="BW334" s="560"/>
      <c r="BX334" s="67"/>
      <c r="BY334" s="67"/>
      <c r="BZ334" s="67"/>
      <c r="CA334" s="67"/>
      <c r="CB334" s="560"/>
      <c r="CC334" s="67"/>
      <c r="CD334" s="67"/>
      <c r="CE334" s="67"/>
      <c r="CF334" s="67"/>
      <c r="CG334" s="560"/>
      <c r="CH334" s="67"/>
      <c r="CI334" s="67"/>
      <c r="CJ334" s="67"/>
      <c r="CK334" s="67"/>
      <c r="CL334" s="560"/>
      <c r="CM334" s="67"/>
      <c r="CN334" s="67"/>
      <c r="CO334" s="67"/>
      <c r="CP334" s="67"/>
      <c r="CQ334" s="560"/>
      <c r="CR334" s="67"/>
      <c r="CS334" s="67"/>
      <c r="CT334" s="67"/>
      <c r="CU334" s="67"/>
      <c r="CV334" s="560"/>
      <c r="CW334" s="67"/>
      <c r="CX334" s="67"/>
      <c r="CY334" s="67"/>
      <c r="CZ334" s="67"/>
      <c r="DA334" s="560"/>
      <c r="DB334" s="67"/>
      <c r="DC334" s="67"/>
      <c r="DD334" s="67"/>
      <c r="DE334" s="67"/>
      <c r="DF334" s="560"/>
      <c r="DG334" s="67"/>
      <c r="DH334" s="67"/>
      <c r="DI334" s="67"/>
      <c r="DJ334" s="67"/>
      <c r="DK334" s="560"/>
      <c r="DL334" s="67"/>
      <c r="DM334" s="67"/>
      <c r="DN334" s="67"/>
      <c r="DO334" s="67"/>
      <c r="DP334" s="560"/>
      <c r="DQ334" s="67"/>
      <c r="DR334" s="67"/>
      <c r="DS334" s="67"/>
      <c r="DT334" s="67"/>
      <c r="DU334" s="560"/>
      <c r="DV334" s="67"/>
      <c r="DW334" s="67"/>
      <c r="DX334" s="67"/>
      <c r="DY334" s="67"/>
      <c r="DZ334" s="560"/>
      <c r="EA334" s="67"/>
      <c r="EB334" s="67"/>
      <c r="EC334" s="67"/>
      <c r="ED334" s="67"/>
      <c r="EE334" s="560"/>
      <c r="EF334" s="67"/>
      <c r="EG334" s="67"/>
      <c r="EH334" s="67"/>
      <c r="EI334" s="67"/>
      <c r="EJ334" s="560"/>
      <c r="EK334" s="67"/>
      <c r="EL334" s="67"/>
      <c r="EM334" s="67"/>
      <c r="EN334" s="67"/>
      <c r="EO334" s="455"/>
      <c r="ER334" s="472"/>
      <c r="ES334" s="472"/>
    </row>
    <row r="335" spans="1:149" x14ac:dyDescent="0.2">
      <c r="A335" s="442"/>
      <c r="B335" s="442"/>
      <c r="D335" s="455" t="s">
        <v>363</v>
      </c>
      <c r="F335" s="442"/>
      <c r="G335" s="67">
        <f>SUM(G336)</f>
        <v>0</v>
      </c>
      <c r="H335" s="67"/>
      <c r="I335" s="67"/>
      <c r="J335" s="560"/>
      <c r="K335" s="442"/>
      <c r="L335" s="67">
        <f>SUM(L336)</f>
        <v>0</v>
      </c>
      <c r="M335" s="67"/>
      <c r="N335" s="67"/>
      <c r="O335" s="560"/>
      <c r="P335" s="442"/>
      <c r="Q335" s="67">
        <f>SUM(Q336)</f>
        <v>0</v>
      </c>
      <c r="R335" s="67"/>
      <c r="S335" s="67"/>
      <c r="T335" s="560"/>
      <c r="U335" s="442"/>
      <c r="V335" s="67">
        <f>SUM(V336)</f>
        <v>0</v>
      </c>
      <c r="W335" s="67"/>
      <c r="X335" s="67"/>
      <c r="Y335" s="560"/>
      <c r="Z335" s="442"/>
      <c r="AA335" s="67">
        <f>SUM(AA336)</f>
        <v>0</v>
      </c>
      <c r="AB335" s="67"/>
      <c r="AC335" s="67"/>
      <c r="AD335" s="560"/>
      <c r="AE335" s="442"/>
      <c r="AF335" s="67">
        <f>SUM(AF336)</f>
        <v>0</v>
      </c>
      <c r="AG335" s="67"/>
      <c r="AH335" s="67"/>
      <c r="AI335" s="560"/>
      <c r="AJ335" s="442"/>
      <c r="AK335" s="67">
        <f>SUM(AK336)</f>
        <v>0</v>
      </c>
      <c r="AL335" s="67"/>
      <c r="AM335" s="67"/>
      <c r="AN335" s="560"/>
      <c r="AO335" s="442"/>
      <c r="AP335" s="67">
        <f>SUM(AP336)</f>
        <v>0</v>
      </c>
      <c r="AQ335" s="67"/>
      <c r="AR335" s="67"/>
      <c r="AS335" s="560"/>
      <c r="AT335" s="442"/>
      <c r="AU335" s="67">
        <f>SUM(AU336)</f>
        <v>0</v>
      </c>
      <c r="AV335" s="67"/>
      <c r="AW335" s="67"/>
      <c r="AX335" s="560"/>
      <c r="AY335" s="442"/>
      <c r="AZ335" s="67">
        <f>SUM(AZ336)</f>
        <v>0</v>
      </c>
      <c r="BA335" s="67"/>
      <c r="BB335" s="67"/>
      <c r="BC335" s="560"/>
      <c r="BD335" s="442"/>
      <c r="BE335" s="67">
        <f>SUM(BE336)</f>
        <v>0</v>
      </c>
      <c r="BF335" s="67"/>
      <c r="BG335" s="67"/>
      <c r="BH335" s="560"/>
      <c r="BI335" s="442"/>
      <c r="BJ335" s="67">
        <f>SUM(BJ336)</f>
        <v>0</v>
      </c>
      <c r="BK335" s="67"/>
      <c r="BL335" s="67"/>
      <c r="BM335" s="560"/>
      <c r="BN335" s="442"/>
      <c r="BO335" s="67">
        <f>SUM(BO336)</f>
        <v>0</v>
      </c>
      <c r="BP335" s="67"/>
      <c r="BQ335" s="67"/>
      <c r="BR335" s="560"/>
      <c r="BS335" s="442"/>
      <c r="BT335" s="67">
        <f>SUM(BT336:BT336)</f>
        <v>0</v>
      </c>
      <c r="BU335" s="67"/>
      <c r="BV335" s="67"/>
      <c r="BW335" s="560"/>
      <c r="BX335" s="442"/>
      <c r="BY335" s="67">
        <f>SUM(BY336:BY336)</f>
        <v>266052</v>
      </c>
      <c r="BZ335" s="67"/>
      <c r="CA335" s="67"/>
      <c r="CB335" s="560"/>
      <c r="CC335" s="442"/>
      <c r="CD335" s="67">
        <f>SUM(CD336)</f>
        <v>0</v>
      </c>
      <c r="CE335" s="67"/>
      <c r="CF335" s="67"/>
      <c r="CG335" s="560"/>
      <c r="CH335" s="442"/>
      <c r="CI335" s="67">
        <f>SUM(CI336)</f>
        <v>0</v>
      </c>
      <c r="CJ335" s="67"/>
      <c r="CK335" s="67"/>
      <c r="CL335" s="560"/>
      <c r="CM335" s="442"/>
      <c r="CN335" s="67">
        <f>SUM(CN336)</f>
        <v>0</v>
      </c>
      <c r="CO335" s="67"/>
      <c r="CP335" s="67"/>
      <c r="CQ335" s="560"/>
      <c r="CR335" s="442"/>
      <c r="CS335" s="67">
        <f>SUM(CS336)</f>
        <v>0</v>
      </c>
      <c r="CT335" s="67"/>
      <c r="CU335" s="67"/>
      <c r="CV335" s="560"/>
      <c r="CW335" s="442"/>
      <c r="CX335" s="67">
        <f>SUM(CX336)</f>
        <v>266052</v>
      </c>
      <c r="CY335" s="67"/>
      <c r="CZ335" s="67"/>
      <c r="DA335" s="560"/>
      <c r="DB335" s="442"/>
      <c r="DC335" s="67">
        <f>SUM(DC336)</f>
        <v>0</v>
      </c>
      <c r="DD335" s="67"/>
      <c r="DE335" s="67"/>
      <c r="DF335" s="560"/>
      <c r="DG335" s="442"/>
      <c r="DH335" s="67">
        <f>SUM(DH336)</f>
        <v>0</v>
      </c>
      <c r="DI335" s="67"/>
      <c r="DJ335" s="67"/>
      <c r="DK335" s="560"/>
      <c r="DL335" s="442"/>
      <c r="DM335" s="67">
        <f>SUM(DM336)</f>
        <v>0</v>
      </c>
      <c r="DN335" s="67"/>
      <c r="DO335" s="67"/>
      <c r="DP335" s="560"/>
      <c r="DQ335" s="442"/>
      <c r="DR335" s="67">
        <f>SUM(DR336)</f>
        <v>0</v>
      </c>
      <c r="DS335" s="67"/>
      <c r="DT335" s="67"/>
      <c r="DU335" s="560"/>
      <c r="DV335" s="442"/>
      <c r="DW335" s="67">
        <f>SUM(DW336)</f>
        <v>0</v>
      </c>
      <c r="DX335" s="67"/>
      <c r="DY335" s="67"/>
      <c r="DZ335" s="560"/>
      <c r="EA335" s="442"/>
      <c r="EB335" s="67">
        <f>SUM(EB336)</f>
        <v>0</v>
      </c>
      <c r="EC335" s="67"/>
      <c r="ED335" s="67"/>
      <c r="EE335" s="560"/>
      <c r="EF335" s="442"/>
      <c r="EG335" s="67">
        <f>SUM(EG336)</f>
        <v>0</v>
      </c>
      <c r="EH335" s="67"/>
      <c r="EI335" s="67"/>
      <c r="EJ335" s="560"/>
      <c r="EK335" s="442"/>
      <c r="EL335" s="67">
        <f>SUM(EL336:EL336)</f>
        <v>0</v>
      </c>
      <c r="EM335" s="67"/>
      <c r="EN335" s="67"/>
      <c r="EO335" s="455"/>
      <c r="ER335" s="472"/>
      <c r="ES335" s="472"/>
    </row>
    <row r="336" spans="1:149" x14ac:dyDescent="0.2">
      <c r="A336" s="442"/>
      <c r="B336" s="442"/>
      <c r="D336" s="455" t="s">
        <v>342</v>
      </c>
      <c r="F336" s="563"/>
      <c r="G336" s="564">
        <v>0</v>
      </c>
      <c r="H336" s="565"/>
      <c r="I336" s="67"/>
      <c r="J336" s="560"/>
      <c r="K336" s="563"/>
      <c r="L336" s="564">
        <v>0</v>
      </c>
      <c r="M336" s="565"/>
      <c r="N336" s="67"/>
      <c r="O336" s="560"/>
      <c r="P336" s="563"/>
      <c r="Q336" s="564">
        <v>0</v>
      </c>
      <c r="R336" s="565"/>
      <c r="S336" s="67"/>
      <c r="T336" s="560"/>
      <c r="U336" s="563"/>
      <c r="V336" s="564">
        <v>0</v>
      </c>
      <c r="W336" s="565"/>
      <c r="X336" s="67"/>
      <c r="Y336" s="560"/>
      <c r="Z336" s="563"/>
      <c r="AA336" s="564">
        <v>0</v>
      </c>
      <c r="AB336" s="565"/>
      <c r="AC336" s="67"/>
      <c r="AD336" s="560"/>
      <c r="AE336" s="563"/>
      <c r="AF336" s="564">
        <v>0</v>
      </c>
      <c r="AG336" s="565"/>
      <c r="AH336" s="67"/>
      <c r="AI336" s="560"/>
      <c r="AJ336" s="563"/>
      <c r="AK336" s="564">
        <v>0</v>
      </c>
      <c r="AL336" s="565"/>
      <c r="AM336" s="67"/>
      <c r="AN336" s="560"/>
      <c r="AO336" s="563"/>
      <c r="AP336" s="564">
        <v>0</v>
      </c>
      <c r="AQ336" s="565"/>
      <c r="AR336" s="67"/>
      <c r="AS336" s="560"/>
      <c r="AT336" s="563"/>
      <c r="AU336" s="564">
        <v>0</v>
      </c>
      <c r="AV336" s="565"/>
      <c r="AW336" s="67"/>
      <c r="AX336" s="560"/>
      <c r="AY336" s="563"/>
      <c r="AZ336" s="564">
        <v>0</v>
      </c>
      <c r="BA336" s="565"/>
      <c r="BB336" s="67"/>
      <c r="BC336" s="560"/>
      <c r="BD336" s="563"/>
      <c r="BE336" s="564">
        <v>0</v>
      </c>
      <c r="BF336" s="565"/>
      <c r="BG336" s="67"/>
      <c r="BH336" s="560"/>
      <c r="BI336" s="563"/>
      <c r="BJ336" s="564">
        <v>0</v>
      </c>
      <c r="BK336" s="565"/>
      <c r="BL336" s="67"/>
      <c r="BM336" s="560"/>
      <c r="BN336" s="563"/>
      <c r="BO336" s="564">
        <v>0</v>
      </c>
      <c r="BP336" s="565"/>
      <c r="BQ336" s="67"/>
      <c r="BR336" s="560"/>
      <c r="BS336" s="563"/>
      <c r="BT336" s="564">
        <f>SUM(L336:BO336)</f>
        <v>0</v>
      </c>
      <c r="BU336" s="565"/>
      <c r="BV336" s="67"/>
      <c r="BW336" s="560"/>
      <c r="BX336" s="563"/>
      <c r="BY336" s="564">
        <v>266052</v>
      </c>
      <c r="BZ336" s="565"/>
      <c r="CA336" s="67"/>
      <c r="CB336" s="560"/>
      <c r="CC336" s="563"/>
      <c r="CD336" s="564">
        <v>0</v>
      </c>
      <c r="CE336" s="565"/>
      <c r="CF336" s="67"/>
      <c r="CG336" s="560"/>
      <c r="CH336" s="563"/>
      <c r="CI336" s="564">
        <v>0</v>
      </c>
      <c r="CJ336" s="565"/>
      <c r="CK336" s="67"/>
      <c r="CL336" s="560"/>
      <c r="CM336" s="563"/>
      <c r="CN336" s="564">
        <v>0</v>
      </c>
      <c r="CO336" s="565"/>
      <c r="CP336" s="67"/>
      <c r="CQ336" s="560"/>
      <c r="CR336" s="563"/>
      <c r="CS336" s="564">
        <v>0</v>
      </c>
      <c r="CT336" s="565"/>
      <c r="CU336" s="67"/>
      <c r="CV336" s="560"/>
      <c r="CW336" s="563"/>
      <c r="CX336" s="564">
        <v>266052</v>
      </c>
      <c r="CY336" s="565"/>
      <c r="CZ336" s="67"/>
      <c r="DA336" s="560"/>
      <c r="DB336" s="563"/>
      <c r="DC336" s="564">
        <v>0</v>
      </c>
      <c r="DD336" s="565"/>
      <c r="DE336" s="67"/>
      <c r="DF336" s="560"/>
      <c r="DG336" s="563"/>
      <c r="DH336" s="564">
        <v>0</v>
      </c>
      <c r="DI336" s="565"/>
      <c r="DJ336" s="67"/>
      <c r="DK336" s="560"/>
      <c r="DL336" s="563"/>
      <c r="DM336" s="564">
        <v>0</v>
      </c>
      <c r="DN336" s="565"/>
      <c r="DO336" s="67"/>
      <c r="DP336" s="560"/>
      <c r="DQ336" s="563"/>
      <c r="DR336" s="564">
        <v>0</v>
      </c>
      <c r="DS336" s="565"/>
      <c r="DT336" s="67"/>
      <c r="DU336" s="560"/>
      <c r="DV336" s="563"/>
      <c r="DW336" s="564">
        <v>0</v>
      </c>
      <c r="DX336" s="565"/>
      <c r="DY336" s="67"/>
      <c r="DZ336" s="560"/>
      <c r="EA336" s="563"/>
      <c r="EB336" s="564">
        <v>0</v>
      </c>
      <c r="EC336" s="565"/>
      <c r="ED336" s="67"/>
      <c r="EE336" s="560"/>
      <c r="EF336" s="563"/>
      <c r="EG336" s="564">
        <v>0</v>
      </c>
      <c r="EH336" s="565"/>
      <c r="EI336" s="67"/>
      <c r="EJ336" s="560"/>
      <c r="EK336" s="563"/>
      <c r="EL336" s="564">
        <f>SUM(CD336:CI336)</f>
        <v>0</v>
      </c>
      <c r="EM336" s="565"/>
      <c r="EN336" s="67"/>
      <c r="EO336" s="455"/>
      <c r="ER336" s="472"/>
      <c r="ES336" s="472"/>
    </row>
    <row r="337" spans="1:149" x14ac:dyDescent="0.2">
      <c r="A337" s="442"/>
      <c r="B337" s="442"/>
      <c r="D337" s="455"/>
      <c r="F337" s="442"/>
      <c r="G337" s="67"/>
      <c r="H337" s="67"/>
      <c r="I337" s="67"/>
      <c r="J337" s="560"/>
      <c r="K337" s="67"/>
      <c r="L337" s="67"/>
      <c r="M337" s="67"/>
      <c r="N337" s="67"/>
      <c r="O337" s="560"/>
      <c r="P337" s="67"/>
      <c r="Q337" s="67"/>
      <c r="R337" s="67"/>
      <c r="S337" s="67"/>
      <c r="T337" s="560"/>
      <c r="U337" s="67"/>
      <c r="V337" s="67"/>
      <c r="W337" s="67"/>
      <c r="X337" s="67"/>
      <c r="Y337" s="560"/>
      <c r="Z337" s="67"/>
      <c r="AA337" s="67"/>
      <c r="AB337" s="67"/>
      <c r="AC337" s="67"/>
      <c r="AD337" s="560"/>
      <c r="AE337" s="67"/>
      <c r="AF337" s="67"/>
      <c r="AG337" s="67"/>
      <c r="AH337" s="67"/>
      <c r="AI337" s="560"/>
      <c r="AJ337" s="67"/>
      <c r="AK337" s="67"/>
      <c r="AL337" s="67"/>
      <c r="AM337" s="67"/>
      <c r="AN337" s="560"/>
      <c r="AO337" s="67"/>
      <c r="AP337" s="67"/>
      <c r="AQ337" s="67"/>
      <c r="AR337" s="67"/>
      <c r="AS337" s="560"/>
      <c r="AT337" s="67"/>
      <c r="AU337" s="67"/>
      <c r="AV337" s="67"/>
      <c r="AW337" s="67"/>
      <c r="AX337" s="560"/>
      <c r="AY337" s="67"/>
      <c r="AZ337" s="67"/>
      <c r="BA337" s="67"/>
      <c r="BB337" s="67"/>
      <c r="BC337" s="560"/>
      <c r="BD337" s="67"/>
      <c r="BE337" s="67"/>
      <c r="BF337" s="67"/>
      <c r="BG337" s="67"/>
      <c r="BH337" s="560"/>
      <c r="BI337" s="67"/>
      <c r="BJ337" s="67"/>
      <c r="BK337" s="67"/>
      <c r="BL337" s="67"/>
      <c r="BM337" s="560"/>
      <c r="BN337" s="67"/>
      <c r="BO337" s="67"/>
      <c r="BP337" s="67"/>
      <c r="BQ337" s="67"/>
      <c r="BR337" s="560"/>
      <c r="BS337" s="67"/>
      <c r="BT337" s="67"/>
      <c r="BU337" s="67"/>
      <c r="BV337" s="67"/>
      <c r="BW337" s="560"/>
      <c r="BX337" s="67"/>
      <c r="BY337" s="67"/>
      <c r="BZ337" s="67"/>
      <c r="CA337" s="67"/>
      <c r="CB337" s="560"/>
      <c r="CC337" s="67"/>
      <c r="CD337" s="67"/>
      <c r="CE337" s="67"/>
      <c r="CF337" s="67"/>
      <c r="CG337" s="560"/>
      <c r="CH337" s="67"/>
      <c r="CI337" s="67"/>
      <c r="CJ337" s="67"/>
      <c r="CK337" s="67"/>
      <c r="CL337" s="560"/>
      <c r="CM337" s="67"/>
      <c r="CN337" s="67"/>
      <c r="CO337" s="67"/>
      <c r="CP337" s="67"/>
      <c r="CQ337" s="560"/>
      <c r="CR337" s="67"/>
      <c r="CS337" s="67"/>
      <c r="CT337" s="67"/>
      <c r="CU337" s="67"/>
      <c r="CV337" s="560"/>
      <c r="CW337" s="67"/>
      <c r="CX337" s="67"/>
      <c r="CY337" s="67"/>
      <c r="CZ337" s="67"/>
      <c r="DA337" s="560"/>
      <c r="DB337" s="67"/>
      <c r="DC337" s="67"/>
      <c r="DD337" s="67"/>
      <c r="DE337" s="67"/>
      <c r="DF337" s="560"/>
      <c r="DG337" s="67"/>
      <c r="DH337" s="67"/>
      <c r="DI337" s="67"/>
      <c r="DJ337" s="67"/>
      <c r="DK337" s="560"/>
      <c r="DL337" s="67"/>
      <c r="DM337" s="67"/>
      <c r="DN337" s="67"/>
      <c r="DO337" s="67"/>
      <c r="DP337" s="560"/>
      <c r="DQ337" s="67"/>
      <c r="DR337" s="67"/>
      <c r="DS337" s="67"/>
      <c r="DT337" s="67"/>
      <c r="DU337" s="560"/>
      <c r="DV337" s="67"/>
      <c r="DW337" s="67"/>
      <c r="DX337" s="67"/>
      <c r="DY337" s="67"/>
      <c r="DZ337" s="560"/>
      <c r="EA337" s="67"/>
      <c r="EB337" s="67"/>
      <c r="EC337" s="67"/>
      <c r="ED337" s="67"/>
      <c r="EE337" s="560"/>
      <c r="EF337" s="67"/>
      <c r="EG337" s="67"/>
      <c r="EH337" s="67"/>
      <c r="EI337" s="67"/>
      <c r="EJ337" s="560"/>
      <c r="EK337" s="67"/>
      <c r="EL337" s="67"/>
      <c r="EM337" s="67"/>
      <c r="EN337" s="67"/>
      <c r="EO337" s="455"/>
      <c r="ER337" s="472"/>
      <c r="ES337" s="472"/>
    </row>
    <row r="338" spans="1:149" x14ac:dyDescent="0.2">
      <c r="A338" s="442"/>
      <c r="B338" s="442"/>
      <c r="D338" s="455" t="s">
        <v>356</v>
      </c>
      <c r="G338" s="53">
        <v>0</v>
      </c>
      <c r="I338" s="67"/>
      <c r="J338" s="560"/>
      <c r="K338" s="67"/>
      <c r="L338" s="67">
        <f>SUM(L339:L339)</f>
        <v>0</v>
      </c>
      <c r="M338" s="67"/>
      <c r="N338" s="67"/>
      <c r="O338" s="560"/>
      <c r="P338" s="67"/>
      <c r="Q338" s="67">
        <f>SUM(Q339:Q339)</f>
        <v>0</v>
      </c>
      <c r="R338" s="67"/>
      <c r="S338" s="67"/>
      <c r="T338" s="560"/>
      <c r="U338" s="67"/>
      <c r="V338" s="67">
        <f>SUM(V339:V339)</f>
        <v>0</v>
      </c>
      <c r="W338" s="67"/>
      <c r="X338" s="67"/>
      <c r="Y338" s="560"/>
      <c r="Z338" s="67"/>
      <c r="AA338" s="67">
        <f>SUM(AA339:AA339)</f>
        <v>0</v>
      </c>
      <c r="AB338" s="67"/>
      <c r="AC338" s="67"/>
      <c r="AD338" s="560"/>
      <c r="AE338" s="67"/>
      <c r="AF338" s="67">
        <f>SUM(AF339:AF339)</f>
        <v>0</v>
      </c>
      <c r="AG338" s="67"/>
      <c r="AH338" s="67"/>
      <c r="AI338" s="560"/>
      <c r="AJ338" s="67"/>
      <c r="AK338" s="67">
        <f>SUM(AK339:AK339)</f>
        <v>0</v>
      </c>
      <c r="AL338" s="67"/>
      <c r="AM338" s="67"/>
      <c r="AN338" s="560"/>
      <c r="AO338" s="67"/>
      <c r="AP338" s="67">
        <f>SUM(AP339:AP339)</f>
        <v>0</v>
      </c>
      <c r="AQ338" s="67"/>
      <c r="AR338" s="67"/>
      <c r="AS338" s="560"/>
      <c r="AT338" s="67"/>
      <c r="AU338" s="67">
        <f>SUM(AU339:AU339)</f>
        <v>0</v>
      </c>
      <c r="AV338" s="67"/>
      <c r="AW338" s="67"/>
      <c r="AX338" s="560"/>
      <c r="AY338" s="67"/>
      <c r="AZ338" s="67">
        <f>SUM(AZ339:AZ339)</f>
        <v>0</v>
      </c>
      <c r="BA338" s="67"/>
      <c r="BB338" s="67"/>
      <c r="BC338" s="560"/>
      <c r="BD338" s="67"/>
      <c r="BE338" s="67">
        <f>SUM(BE339:BE339)</f>
        <v>0</v>
      </c>
      <c r="BF338" s="67"/>
      <c r="BG338" s="67"/>
      <c r="BH338" s="560"/>
      <c r="BI338" s="67"/>
      <c r="BJ338" s="67">
        <f>SUM(BJ339:BJ339)</f>
        <v>0</v>
      </c>
      <c r="BK338" s="67"/>
      <c r="BL338" s="67"/>
      <c r="BM338" s="560"/>
      <c r="BN338" s="67"/>
      <c r="BO338" s="67">
        <f>SUM(BO339:BO339)</f>
        <v>0</v>
      </c>
      <c r="BP338" s="67"/>
      <c r="BQ338" s="67"/>
      <c r="BR338" s="560"/>
      <c r="BS338" s="67"/>
      <c r="BT338" s="67">
        <f>SUM(BT339:BT339)</f>
        <v>0</v>
      </c>
      <c r="BU338" s="67"/>
      <c r="BV338" s="67"/>
      <c r="BW338" s="560"/>
      <c r="BX338" s="67"/>
      <c r="BY338" s="67">
        <f>SUM(BY339:BY339)</f>
        <v>0</v>
      </c>
      <c r="CA338" s="67"/>
      <c r="CB338" s="560"/>
      <c r="CC338" s="67"/>
      <c r="CD338" s="67">
        <f>SUM(CD339:CD339)</f>
        <v>0</v>
      </c>
      <c r="CE338" s="67"/>
      <c r="CF338" s="67"/>
      <c r="CG338" s="560"/>
      <c r="CH338" s="67"/>
      <c r="CI338" s="67">
        <f>SUM(CI339:CI339)</f>
        <v>0</v>
      </c>
      <c r="CJ338" s="67"/>
      <c r="CK338" s="67"/>
      <c r="CL338" s="560"/>
      <c r="CM338" s="67"/>
      <c r="CN338" s="67">
        <f>SUM(CN339:CN339)</f>
        <v>0</v>
      </c>
      <c r="CO338" s="67"/>
      <c r="CP338" s="67"/>
      <c r="CQ338" s="560"/>
      <c r="CR338" s="67"/>
      <c r="CS338" s="67">
        <f>SUM(CS339:CS339)</f>
        <v>0</v>
      </c>
      <c r="CT338" s="67"/>
      <c r="CU338" s="67"/>
      <c r="CV338" s="560"/>
      <c r="CW338" s="67"/>
      <c r="CX338" s="67">
        <f>SUM(CX339:CX339)</f>
        <v>0</v>
      </c>
      <c r="CY338" s="67"/>
      <c r="CZ338" s="67"/>
      <c r="DA338" s="560"/>
      <c r="DB338" s="67"/>
      <c r="DC338" s="67">
        <f>SUM(DC339:DC339)</f>
        <v>0</v>
      </c>
      <c r="DD338" s="67"/>
      <c r="DE338" s="67"/>
      <c r="DF338" s="560"/>
      <c r="DG338" s="67"/>
      <c r="DH338" s="67">
        <f>SUM(DH339:DH339)</f>
        <v>0</v>
      </c>
      <c r="DI338" s="67"/>
      <c r="DJ338" s="67"/>
      <c r="DK338" s="560"/>
      <c r="DL338" s="67"/>
      <c r="DM338" s="67">
        <f>SUM(DM339:DM339)</f>
        <v>0</v>
      </c>
      <c r="DN338" s="67"/>
      <c r="DO338" s="67"/>
      <c r="DP338" s="560"/>
      <c r="DQ338" s="67"/>
      <c r="DR338" s="67">
        <f>SUM(DR339:DR339)</f>
        <v>0</v>
      </c>
      <c r="DS338" s="67"/>
      <c r="DT338" s="67"/>
      <c r="DU338" s="560"/>
      <c r="DV338" s="67"/>
      <c r="DW338" s="67">
        <f>SUM(DW339:DW339)</f>
        <v>0</v>
      </c>
      <c r="DX338" s="67"/>
      <c r="DY338" s="67"/>
      <c r="DZ338" s="560"/>
      <c r="EA338" s="67"/>
      <c r="EB338" s="67">
        <f>SUM(EB339:EB339)</f>
        <v>0</v>
      </c>
      <c r="EC338" s="67"/>
      <c r="ED338" s="67"/>
      <c r="EE338" s="560"/>
      <c r="EF338" s="67"/>
      <c r="EG338" s="67">
        <f>SUM(EG339:EG339)</f>
        <v>0</v>
      </c>
      <c r="EH338" s="67"/>
      <c r="EI338" s="67"/>
      <c r="EJ338" s="560"/>
      <c r="EK338" s="67"/>
      <c r="EL338" s="67">
        <f>SUM(EL339:EL339)</f>
        <v>0</v>
      </c>
      <c r="EM338" s="67"/>
      <c r="EN338" s="67"/>
      <c r="EO338" s="455"/>
      <c r="ER338" s="472"/>
      <c r="ES338" s="472"/>
    </row>
    <row r="339" spans="1:149" x14ac:dyDescent="0.2">
      <c r="A339" s="442"/>
      <c r="B339" s="442"/>
      <c r="D339" s="455" t="s">
        <v>342</v>
      </c>
      <c r="F339" s="563"/>
      <c r="G339" s="564">
        <v>0</v>
      </c>
      <c r="H339" s="565"/>
      <c r="I339" s="67"/>
      <c r="J339" s="560"/>
      <c r="K339" s="563"/>
      <c r="L339" s="564">
        <v>0</v>
      </c>
      <c r="M339" s="565"/>
      <c r="N339" s="67"/>
      <c r="O339" s="560"/>
      <c r="P339" s="563"/>
      <c r="Q339" s="564">
        <v>0</v>
      </c>
      <c r="R339" s="565"/>
      <c r="S339" s="67"/>
      <c r="T339" s="560"/>
      <c r="U339" s="563"/>
      <c r="V339" s="564">
        <v>0</v>
      </c>
      <c r="W339" s="565"/>
      <c r="X339" s="67"/>
      <c r="Y339" s="560"/>
      <c r="Z339" s="563"/>
      <c r="AA339" s="564">
        <v>0</v>
      </c>
      <c r="AB339" s="565"/>
      <c r="AC339" s="67"/>
      <c r="AD339" s="560"/>
      <c r="AE339" s="563"/>
      <c r="AF339" s="564">
        <v>0</v>
      </c>
      <c r="AG339" s="565"/>
      <c r="AH339" s="67"/>
      <c r="AI339" s="560"/>
      <c r="AJ339" s="563"/>
      <c r="AK339" s="564">
        <v>0</v>
      </c>
      <c r="AL339" s="565"/>
      <c r="AM339" s="67"/>
      <c r="AN339" s="560"/>
      <c r="AO339" s="563"/>
      <c r="AP339" s="564">
        <v>0</v>
      </c>
      <c r="AQ339" s="565"/>
      <c r="AR339" s="67"/>
      <c r="AS339" s="560"/>
      <c r="AT339" s="563"/>
      <c r="AU339" s="564">
        <v>0</v>
      </c>
      <c r="AV339" s="565"/>
      <c r="AW339" s="67"/>
      <c r="AX339" s="560"/>
      <c r="AY339" s="563"/>
      <c r="AZ339" s="564">
        <v>0</v>
      </c>
      <c r="BA339" s="565"/>
      <c r="BB339" s="67"/>
      <c r="BC339" s="560"/>
      <c r="BD339" s="563"/>
      <c r="BE339" s="564">
        <v>0</v>
      </c>
      <c r="BF339" s="565"/>
      <c r="BG339" s="67"/>
      <c r="BH339" s="560"/>
      <c r="BI339" s="563"/>
      <c r="BJ339" s="564">
        <v>0</v>
      </c>
      <c r="BK339" s="565"/>
      <c r="BL339" s="67"/>
      <c r="BM339" s="560"/>
      <c r="BN339" s="563"/>
      <c r="BO339" s="564">
        <v>0</v>
      </c>
      <c r="BP339" s="565"/>
      <c r="BQ339" s="67"/>
      <c r="BR339" s="560"/>
      <c r="BS339" s="563"/>
      <c r="BT339" s="564">
        <f>SUM(L339:BO339)</f>
        <v>0</v>
      </c>
      <c r="BU339" s="565"/>
      <c r="BV339" s="67"/>
      <c r="BW339" s="560"/>
      <c r="BX339" s="563"/>
      <c r="BY339" s="564">
        <v>0</v>
      </c>
      <c r="BZ339" s="565"/>
      <c r="CA339" s="67"/>
      <c r="CB339" s="560"/>
      <c r="CC339" s="563"/>
      <c r="CD339" s="564">
        <v>0</v>
      </c>
      <c r="CE339" s="565"/>
      <c r="CF339" s="67"/>
      <c r="CG339" s="560"/>
      <c r="CH339" s="563"/>
      <c r="CI339" s="564">
        <v>0</v>
      </c>
      <c r="CJ339" s="565"/>
      <c r="CK339" s="67"/>
      <c r="CL339" s="560"/>
      <c r="CM339" s="563"/>
      <c r="CN339" s="564">
        <v>0</v>
      </c>
      <c r="CO339" s="565"/>
      <c r="CP339" s="67"/>
      <c r="CQ339" s="560"/>
      <c r="CR339" s="563"/>
      <c r="CS339" s="564">
        <v>0</v>
      </c>
      <c r="CT339" s="565"/>
      <c r="CU339" s="67"/>
      <c r="CV339" s="560"/>
      <c r="CW339" s="563"/>
      <c r="CX339" s="564">
        <v>0</v>
      </c>
      <c r="CY339" s="565"/>
      <c r="CZ339" s="67"/>
      <c r="DA339" s="560"/>
      <c r="DB339" s="563"/>
      <c r="DC339" s="564">
        <v>0</v>
      </c>
      <c r="DD339" s="565"/>
      <c r="DE339" s="67"/>
      <c r="DF339" s="560"/>
      <c r="DG339" s="563"/>
      <c r="DH339" s="564">
        <v>0</v>
      </c>
      <c r="DI339" s="565"/>
      <c r="DJ339" s="67"/>
      <c r="DK339" s="560"/>
      <c r="DL339" s="563"/>
      <c r="DM339" s="564">
        <v>0</v>
      </c>
      <c r="DN339" s="565"/>
      <c r="DO339" s="67"/>
      <c r="DP339" s="560"/>
      <c r="DQ339" s="563"/>
      <c r="DR339" s="564">
        <v>0</v>
      </c>
      <c r="DS339" s="565"/>
      <c r="DT339" s="67"/>
      <c r="DU339" s="560"/>
      <c r="DV339" s="563"/>
      <c r="DW339" s="564">
        <v>0</v>
      </c>
      <c r="DX339" s="565"/>
      <c r="DY339" s="67"/>
      <c r="DZ339" s="560"/>
      <c r="EA339" s="563"/>
      <c r="EB339" s="564">
        <v>0</v>
      </c>
      <c r="EC339" s="565"/>
      <c r="ED339" s="67"/>
      <c r="EE339" s="560"/>
      <c r="EF339" s="563"/>
      <c r="EG339" s="564">
        <v>0</v>
      </c>
      <c r="EH339" s="565"/>
      <c r="EI339" s="67"/>
      <c r="EJ339" s="560"/>
      <c r="EK339" s="563"/>
      <c r="EL339" s="564">
        <f>SUM(CD339:CI339)</f>
        <v>0</v>
      </c>
      <c r="EM339" s="565"/>
      <c r="EN339" s="67"/>
      <c r="EO339" s="455"/>
      <c r="ER339" s="472"/>
      <c r="ES339" s="472"/>
    </row>
    <row r="340" spans="1:149" x14ac:dyDescent="0.2">
      <c r="A340" s="442"/>
      <c r="B340" s="442"/>
      <c r="D340" s="455"/>
      <c r="F340" s="442"/>
      <c r="G340" s="67"/>
      <c r="H340" s="67"/>
      <c r="I340" s="67"/>
      <c r="J340" s="560"/>
      <c r="K340" s="442"/>
      <c r="L340" s="67"/>
      <c r="M340" s="67"/>
      <c r="N340" s="67"/>
      <c r="O340" s="560"/>
      <c r="P340" s="442"/>
      <c r="Q340" s="67"/>
      <c r="R340" s="67"/>
      <c r="S340" s="67"/>
      <c r="T340" s="560"/>
      <c r="U340" s="442"/>
      <c r="V340" s="67"/>
      <c r="W340" s="67"/>
      <c r="X340" s="67"/>
      <c r="Y340" s="560"/>
      <c r="Z340" s="442"/>
      <c r="AA340" s="67"/>
      <c r="AB340" s="67"/>
      <c r="AC340" s="67"/>
      <c r="AD340" s="560"/>
      <c r="AE340" s="442"/>
      <c r="AF340" s="67"/>
      <c r="AG340" s="67"/>
      <c r="AH340" s="67"/>
      <c r="AI340" s="560"/>
      <c r="AJ340" s="442"/>
      <c r="AK340" s="67"/>
      <c r="AL340" s="67"/>
      <c r="AM340" s="67"/>
      <c r="AN340" s="560"/>
      <c r="AO340" s="442"/>
      <c r="AP340" s="67"/>
      <c r="AQ340" s="67"/>
      <c r="AR340" s="67"/>
      <c r="AS340" s="560"/>
      <c r="AT340" s="442"/>
      <c r="AU340" s="67"/>
      <c r="AV340" s="67"/>
      <c r="AW340" s="67"/>
      <c r="AX340" s="560"/>
      <c r="AY340" s="442"/>
      <c r="AZ340" s="67"/>
      <c r="BA340" s="67"/>
      <c r="BB340" s="67"/>
      <c r="BC340" s="560"/>
      <c r="BD340" s="442"/>
      <c r="BE340" s="67"/>
      <c r="BF340" s="67"/>
      <c r="BG340" s="67"/>
      <c r="BH340" s="560"/>
      <c r="BI340" s="442"/>
      <c r="BJ340" s="67"/>
      <c r="BK340" s="67"/>
      <c r="BL340" s="67"/>
      <c r="BM340" s="560"/>
      <c r="BN340" s="442"/>
      <c r="BO340" s="67"/>
      <c r="BP340" s="67"/>
      <c r="BQ340" s="67"/>
      <c r="BR340" s="560"/>
      <c r="BS340" s="442"/>
      <c r="BT340" s="67"/>
      <c r="BU340" s="67"/>
      <c r="BV340" s="67"/>
      <c r="BW340" s="560"/>
      <c r="BX340" s="442"/>
      <c r="BY340" s="67"/>
      <c r="BZ340" s="67"/>
      <c r="CA340" s="67"/>
      <c r="CB340" s="560"/>
      <c r="CC340" s="442"/>
      <c r="CD340" s="67"/>
      <c r="CE340" s="67"/>
      <c r="CF340" s="67"/>
      <c r="CG340" s="560"/>
      <c r="CH340" s="442"/>
      <c r="CI340" s="67"/>
      <c r="CJ340" s="67"/>
      <c r="CK340" s="67"/>
      <c r="CL340" s="560"/>
      <c r="CM340" s="442"/>
      <c r="CN340" s="67"/>
      <c r="CO340" s="67"/>
      <c r="CP340" s="67"/>
      <c r="CQ340" s="560"/>
      <c r="CR340" s="442"/>
      <c r="CS340" s="67"/>
      <c r="CT340" s="67"/>
      <c r="CU340" s="67"/>
      <c r="CV340" s="560"/>
      <c r="CW340" s="442"/>
      <c r="CX340" s="67"/>
      <c r="CY340" s="67"/>
      <c r="CZ340" s="67"/>
      <c r="DA340" s="560"/>
      <c r="DB340" s="442"/>
      <c r="DC340" s="67"/>
      <c r="DD340" s="67"/>
      <c r="DE340" s="67"/>
      <c r="DF340" s="560"/>
      <c r="DG340" s="442"/>
      <c r="DH340" s="67"/>
      <c r="DI340" s="67"/>
      <c r="DJ340" s="67"/>
      <c r="DK340" s="560"/>
      <c r="DL340" s="442"/>
      <c r="DM340" s="67"/>
      <c r="DN340" s="67"/>
      <c r="DO340" s="67"/>
      <c r="DP340" s="560"/>
      <c r="DQ340" s="442"/>
      <c r="DR340" s="67"/>
      <c r="DS340" s="67"/>
      <c r="DT340" s="67"/>
      <c r="DU340" s="560"/>
      <c r="DV340" s="442"/>
      <c r="DW340" s="67"/>
      <c r="DX340" s="67"/>
      <c r="DY340" s="67"/>
      <c r="DZ340" s="560"/>
      <c r="EA340" s="442"/>
      <c r="EB340" s="67"/>
      <c r="EC340" s="67"/>
      <c r="ED340" s="67"/>
      <c r="EE340" s="560"/>
      <c r="EF340" s="442"/>
      <c r="EG340" s="67"/>
      <c r="EH340" s="67"/>
      <c r="EI340" s="67"/>
      <c r="EJ340" s="560"/>
      <c r="EK340" s="442"/>
      <c r="EL340" s="67"/>
      <c r="EM340" s="67"/>
      <c r="EN340" s="67"/>
      <c r="EO340" s="455"/>
      <c r="ER340" s="472"/>
      <c r="ES340" s="472"/>
    </row>
    <row r="341" spans="1:149" x14ac:dyDescent="0.2">
      <c r="A341" s="442"/>
      <c r="B341" s="442"/>
      <c r="D341" s="455" t="s">
        <v>372</v>
      </c>
      <c r="G341" s="53">
        <v>0</v>
      </c>
      <c r="I341" s="67"/>
      <c r="J341" s="560"/>
      <c r="K341" s="67"/>
      <c r="L341" s="67">
        <f>SUM(L342:L342)</f>
        <v>0</v>
      </c>
      <c r="M341" s="67"/>
      <c r="N341" s="67"/>
      <c r="O341" s="560"/>
      <c r="P341" s="67"/>
      <c r="Q341" s="67">
        <f>SUM(Q342:Q342)</f>
        <v>0</v>
      </c>
      <c r="R341" s="67"/>
      <c r="S341" s="67"/>
      <c r="T341" s="560"/>
      <c r="U341" s="67"/>
      <c r="V341" s="67">
        <f>SUM(V342:V342)</f>
        <v>0</v>
      </c>
      <c r="W341" s="67"/>
      <c r="X341" s="67"/>
      <c r="Y341" s="560"/>
      <c r="Z341" s="67"/>
      <c r="AA341" s="67">
        <f>SUM(AA342:AA342)</f>
        <v>0</v>
      </c>
      <c r="AB341" s="67"/>
      <c r="AC341" s="67"/>
      <c r="AD341" s="560"/>
      <c r="AE341" s="67"/>
      <c r="AF341" s="67">
        <f>SUM(AF342:AF342)</f>
        <v>0</v>
      </c>
      <c r="AG341" s="67"/>
      <c r="AH341" s="67"/>
      <c r="AI341" s="560"/>
      <c r="AJ341" s="67"/>
      <c r="AK341" s="67">
        <f>SUM(AK342:AK342)</f>
        <v>0</v>
      </c>
      <c r="AL341" s="67"/>
      <c r="AM341" s="67"/>
      <c r="AN341" s="560"/>
      <c r="AO341" s="67"/>
      <c r="AP341" s="67">
        <f>SUM(AP342:AP342)</f>
        <v>0</v>
      </c>
      <c r="AQ341" s="67"/>
      <c r="AR341" s="67"/>
      <c r="AS341" s="560"/>
      <c r="AT341" s="67"/>
      <c r="AU341" s="67">
        <f>SUM(AU342:AU342)</f>
        <v>0</v>
      </c>
      <c r="AV341" s="67"/>
      <c r="AW341" s="67"/>
      <c r="AX341" s="560"/>
      <c r="AY341" s="67"/>
      <c r="AZ341" s="67">
        <f>SUM(AZ342:AZ342)</f>
        <v>0</v>
      </c>
      <c r="BA341" s="67"/>
      <c r="BB341" s="67"/>
      <c r="BC341" s="560"/>
      <c r="BD341" s="67"/>
      <c r="BE341" s="67">
        <f>SUM(BE342:BE342)</f>
        <v>0</v>
      </c>
      <c r="BF341" s="67"/>
      <c r="BG341" s="67"/>
      <c r="BH341" s="560"/>
      <c r="BI341" s="67"/>
      <c r="BJ341" s="67">
        <f>SUM(BJ342:BJ342)</f>
        <v>0</v>
      </c>
      <c r="BK341" s="67"/>
      <c r="BL341" s="67"/>
      <c r="BM341" s="560"/>
      <c r="BN341" s="67"/>
      <c r="BO341" s="67">
        <f>SUM(BO342:BO342)</f>
        <v>0</v>
      </c>
      <c r="BP341" s="67"/>
      <c r="BQ341" s="67"/>
      <c r="BR341" s="560"/>
      <c r="BS341" s="442"/>
      <c r="BT341" s="67">
        <f>SUM(BT342:BT342)</f>
        <v>0</v>
      </c>
      <c r="BU341" s="67"/>
      <c r="BV341" s="67"/>
      <c r="BW341" s="560"/>
      <c r="BX341" s="442"/>
      <c r="BY341" s="67">
        <f>SUM(BY342:BY342)</f>
        <v>0</v>
      </c>
      <c r="CA341" s="67"/>
      <c r="CB341" s="560"/>
      <c r="CC341" s="67"/>
      <c r="CD341" s="67">
        <f>SUM(CD342:CD342)</f>
        <v>0</v>
      </c>
      <c r="CE341" s="67"/>
      <c r="CF341" s="67"/>
      <c r="CG341" s="560"/>
      <c r="CH341" s="67"/>
      <c r="CI341" s="67">
        <f>SUM(CI342:CI342)</f>
        <v>0</v>
      </c>
      <c r="CJ341" s="67"/>
      <c r="CK341" s="67"/>
      <c r="CL341" s="560"/>
      <c r="CM341" s="67"/>
      <c r="CN341" s="67">
        <f>SUM(CN342:CN342)</f>
        <v>0</v>
      </c>
      <c r="CO341" s="67"/>
      <c r="CP341" s="67"/>
      <c r="CQ341" s="560"/>
      <c r="CR341" s="67"/>
      <c r="CS341" s="67">
        <f>SUM(CS342:CS342)</f>
        <v>0</v>
      </c>
      <c r="CT341" s="67"/>
      <c r="CU341" s="67"/>
      <c r="CV341" s="560"/>
      <c r="CW341" s="67"/>
      <c r="CX341" s="67">
        <f>SUM(CX342:CX342)</f>
        <v>0</v>
      </c>
      <c r="CY341" s="67"/>
      <c r="CZ341" s="67"/>
      <c r="DA341" s="560"/>
      <c r="DB341" s="67"/>
      <c r="DC341" s="67">
        <f>SUM(DC342:DC342)</f>
        <v>0</v>
      </c>
      <c r="DD341" s="67"/>
      <c r="DE341" s="67"/>
      <c r="DF341" s="560"/>
      <c r="DG341" s="67"/>
      <c r="DH341" s="67">
        <f>SUM(DH342:DH342)</f>
        <v>0</v>
      </c>
      <c r="DI341" s="67"/>
      <c r="DJ341" s="67"/>
      <c r="DK341" s="560"/>
      <c r="DL341" s="67"/>
      <c r="DM341" s="67">
        <f>SUM(DM342:DM342)</f>
        <v>0</v>
      </c>
      <c r="DN341" s="67"/>
      <c r="DO341" s="67"/>
      <c r="DP341" s="560"/>
      <c r="DQ341" s="67"/>
      <c r="DR341" s="67">
        <f>SUM(DR342:DR342)</f>
        <v>0</v>
      </c>
      <c r="DS341" s="67"/>
      <c r="DT341" s="67"/>
      <c r="DU341" s="560"/>
      <c r="DV341" s="67"/>
      <c r="DW341" s="67">
        <f>SUM(DW342:DW342)</f>
        <v>0</v>
      </c>
      <c r="DX341" s="67"/>
      <c r="DY341" s="67"/>
      <c r="DZ341" s="560"/>
      <c r="EA341" s="67"/>
      <c r="EB341" s="67">
        <f>SUM(EB342:EB342)</f>
        <v>0</v>
      </c>
      <c r="EC341" s="67"/>
      <c r="ED341" s="67"/>
      <c r="EE341" s="560"/>
      <c r="EF341" s="67"/>
      <c r="EG341" s="67">
        <f>SUM(EG342:EG342)</f>
        <v>0</v>
      </c>
      <c r="EH341" s="67"/>
      <c r="EI341" s="67"/>
      <c r="EJ341" s="560"/>
      <c r="EK341" s="442"/>
      <c r="EL341" s="67">
        <f>SUM(EL342:EL342)</f>
        <v>0</v>
      </c>
      <c r="EM341" s="67"/>
      <c r="EN341" s="67"/>
      <c r="EO341" s="455"/>
      <c r="ER341" s="472"/>
      <c r="ES341" s="472"/>
    </row>
    <row r="342" spans="1:149" x14ac:dyDescent="0.2">
      <c r="A342" s="442"/>
      <c r="B342" s="442"/>
      <c r="D342" s="455" t="s">
        <v>342</v>
      </c>
      <c r="F342" s="563"/>
      <c r="G342" s="564">
        <v>0</v>
      </c>
      <c r="H342" s="565"/>
      <c r="I342" s="67"/>
      <c r="J342" s="560"/>
      <c r="K342" s="563"/>
      <c r="L342" s="564">
        <v>0</v>
      </c>
      <c r="M342" s="565"/>
      <c r="N342" s="67"/>
      <c r="O342" s="560"/>
      <c r="P342" s="563"/>
      <c r="Q342" s="564">
        <v>0</v>
      </c>
      <c r="R342" s="565"/>
      <c r="S342" s="67"/>
      <c r="T342" s="560"/>
      <c r="U342" s="563"/>
      <c r="V342" s="564">
        <v>0</v>
      </c>
      <c r="W342" s="565"/>
      <c r="X342" s="67"/>
      <c r="Y342" s="560"/>
      <c r="Z342" s="563"/>
      <c r="AA342" s="564">
        <v>0</v>
      </c>
      <c r="AB342" s="565"/>
      <c r="AC342" s="67"/>
      <c r="AD342" s="560"/>
      <c r="AE342" s="563"/>
      <c r="AF342" s="564">
        <v>0</v>
      </c>
      <c r="AG342" s="565"/>
      <c r="AH342" s="67"/>
      <c r="AI342" s="560"/>
      <c r="AJ342" s="563"/>
      <c r="AK342" s="564">
        <v>0</v>
      </c>
      <c r="AL342" s="565"/>
      <c r="AM342" s="67"/>
      <c r="AN342" s="560"/>
      <c r="AO342" s="563"/>
      <c r="AP342" s="564">
        <v>0</v>
      </c>
      <c r="AQ342" s="565"/>
      <c r="AR342" s="67"/>
      <c r="AS342" s="560"/>
      <c r="AT342" s="563"/>
      <c r="AU342" s="564">
        <v>0</v>
      </c>
      <c r="AV342" s="565"/>
      <c r="AW342" s="67"/>
      <c r="AX342" s="560"/>
      <c r="AY342" s="563"/>
      <c r="AZ342" s="564">
        <v>0</v>
      </c>
      <c r="BA342" s="565"/>
      <c r="BB342" s="67"/>
      <c r="BC342" s="560"/>
      <c r="BD342" s="563"/>
      <c r="BE342" s="564">
        <v>0</v>
      </c>
      <c r="BF342" s="565"/>
      <c r="BG342" s="67"/>
      <c r="BH342" s="560"/>
      <c r="BI342" s="563"/>
      <c r="BJ342" s="564">
        <v>0</v>
      </c>
      <c r="BK342" s="565"/>
      <c r="BL342" s="67"/>
      <c r="BM342" s="560"/>
      <c r="BN342" s="563"/>
      <c r="BO342" s="564">
        <v>0</v>
      </c>
      <c r="BP342" s="565"/>
      <c r="BQ342" s="67"/>
      <c r="BR342" s="560"/>
      <c r="BS342" s="563"/>
      <c r="BT342" s="564">
        <f>SUM(L342:BO342)</f>
        <v>0</v>
      </c>
      <c r="BU342" s="565"/>
      <c r="BV342" s="67"/>
      <c r="BW342" s="560"/>
      <c r="BX342" s="563"/>
      <c r="BY342" s="564">
        <v>0</v>
      </c>
      <c r="BZ342" s="565"/>
      <c r="CA342" s="67"/>
      <c r="CB342" s="560"/>
      <c r="CC342" s="563"/>
      <c r="CD342" s="564">
        <v>0</v>
      </c>
      <c r="CE342" s="565"/>
      <c r="CF342" s="67"/>
      <c r="CG342" s="560"/>
      <c r="CH342" s="563"/>
      <c r="CI342" s="564">
        <v>0</v>
      </c>
      <c r="CJ342" s="565"/>
      <c r="CK342" s="67"/>
      <c r="CL342" s="560"/>
      <c r="CM342" s="563"/>
      <c r="CN342" s="564">
        <v>0</v>
      </c>
      <c r="CO342" s="565"/>
      <c r="CP342" s="67"/>
      <c r="CQ342" s="560"/>
      <c r="CR342" s="563"/>
      <c r="CS342" s="564">
        <v>0</v>
      </c>
      <c r="CT342" s="565"/>
      <c r="CU342" s="67"/>
      <c r="CV342" s="560"/>
      <c r="CW342" s="563"/>
      <c r="CX342" s="564">
        <v>0</v>
      </c>
      <c r="CY342" s="565"/>
      <c r="CZ342" s="67"/>
      <c r="DA342" s="560"/>
      <c r="DB342" s="563"/>
      <c r="DC342" s="564">
        <v>0</v>
      </c>
      <c r="DD342" s="565"/>
      <c r="DE342" s="67"/>
      <c r="DF342" s="560"/>
      <c r="DG342" s="563"/>
      <c r="DH342" s="564">
        <v>0</v>
      </c>
      <c r="DI342" s="565"/>
      <c r="DJ342" s="67"/>
      <c r="DK342" s="560"/>
      <c r="DL342" s="563"/>
      <c r="DM342" s="564">
        <v>0</v>
      </c>
      <c r="DN342" s="565"/>
      <c r="DO342" s="67"/>
      <c r="DP342" s="560"/>
      <c r="DQ342" s="563"/>
      <c r="DR342" s="564">
        <v>0</v>
      </c>
      <c r="DS342" s="565"/>
      <c r="DT342" s="67"/>
      <c r="DU342" s="560"/>
      <c r="DV342" s="563"/>
      <c r="DW342" s="564">
        <v>0</v>
      </c>
      <c r="DX342" s="565"/>
      <c r="DY342" s="67"/>
      <c r="DZ342" s="560"/>
      <c r="EA342" s="563"/>
      <c r="EB342" s="564">
        <v>0</v>
      </c>
      <c r="EC342" s="565"/>
      <c r="ED342" s="67"/>
      <c r="EE342" s="560"/>
      <c r="EF342" s="563"/>
      <c r="EG342" s="564">
        <v>0</v>
      </c>
      <c r="EH342" s="565"/>
      <c r="EI342" s="67"/>
      <c r="EJ342" s="560"/>
      <c r="EK342" s="563"/>
      <c r="EL342" s="564">
        <f>SUM(CD342:CI342)</f>
        <v>0</v>
      </c>
      <c r="EM342" s="565"/>
      <c r="EN342" s="67"/>
      <c r="EO342" s="455"/>
      <c r="ER342" s="472"/>
      <c r="ES342" s="472"/>
    </row>
    <row r="343" spans="1:149" x14ac:dyDescent="0.2">
      <c r="A343" s="442"/>
      <c r="B343" s="442"/>
      <c r="D343" s="455"/>
      <c r="F343" s="442"/>
      <c r="G343" s="67"/>
      <c r="H343" s="67"/>
      <c r="I343" s="67"/>
      <c r="J343" s="560"/>
      <c r="K343" s="442"/>
      <c r="L343" s="67"/>
      <c r="M343" s="67"/>
      <c r="N343" s="67"/>
      <c r="O343" s="560"/>
      <c r="P343" s="442"/>
      <c r="Q343" s="67"/>
      <c r="R343" s="67"/>
      <c r="S343" s="67"/>
      <c r="T343" s="560"/>
      <c r="U343" s="442"/>
      <c r="V343" s="67"/>
      <c r="W343" s="67"/>
      <c r="X343" s="67"/>
      <c r="Y343" s="560"/>
      <c r="Z343" s="442"/>
      <c r="AA343" s="67"/>
      <c r="AB343" s="67"/>
      <c r="AC343" s="67"/>
      <c r="AD343" s="560"/>
      <c r="AE343" s="442"/>
      <c r="AF343" s="67"/>
      <c r="AG343" s="67"/>
      <c r="AH343" s="67"/>
      <c r="AI343" s="560"/>
      <c r="AJ343" s="442"/>
      <c r="AK343" s="67"/>
      <c r="AL343" s="67"/>
      <c r="AM343" s="67"/>
      <c r="AN343" s="560"/>
      <c r="AO343" s="442"/>
      <c r="AP343" s="67"/>
      <c r="AQ343" s="67"/>
      <c r="AR343" s="67"/>
      <c r="AS343" s="560"/>
      <c r="AT343" s="442"/>
      <c r="AU343" s="67"/>
      <c r="AV343" s="67"/>
      <c r="AW343" s="67"/>
      <c r="AX343" s="560"/>
      <c r="AY343" s="442"/>
      <c r="AZ343" s="67"/>
      <c r="BA343" s="67"/>
      <c r="BB343" s="67"/>
      <c r="BC343" s="560"/>
      <c r="BD343" s="442"/>
      <c r="BE343" s="67"/>
      <c r="BF343" s="67"/>
      <c r="BG343" s="67"/>
      <c r="BH343" s="560"/>
      <c r="BI343" s="442"/>
      <c r="BJ343" s="67"/>
      <c r="BK343" s="67"/>
      <c r="BL343" s="67"/>
      <c r="BM343" s="560"/>
      <c r="BN343" s="442"/>
      <c r="BO343" s="67"/>
      <c r="BP343" s="67"/>
      <c r="BQ343" s="67"/>
      <c r="BR343" s="560"/>
      <c r="BS343" s="442"/>
      <c r="BT343" s="67"/>
      <c r="BU343" s="67"/>
      <c r="BV343" s="67"/>
      <c r="BW343" s="560"/>
      <c r="BX343" s="442"/>
      <c r="BY343" s="67"/>
      <c r="BZ343" s="67"/>
      <c r="CA343" s="67"/>
      <c r="CB343" s="560"/>
      <c r="CC343" s="442"/>
      <c r="CD343" s="67"/>
      <c r="CE343" s="67"/>
      <c r="CF343" s="67"/>
      <c r="CG343" s="560"/>
      <c r="CH343" s="442"/>
      <c r="CI343" s="67"/>
      <c r="CJ343" s="67"/>
      <c r="CK343" s="67"/>
      <c r="CL343" s="560"/>
      <c r="CM343" s="442"/>
      <c r="CN343" s="67"/>
      <c r="CO343" s="67"/>
      <c r="CP343" s="67"/>
      <c r="CQ343" s="560"/>
      <c r="CR343" s="442"/>
      <c r="CS343" s="67"/>
      <c r="CT343" s="67"/>
      <c r="CU343" s="67"/>
      <c r="CV343" s="560"/>
      <c r="CW343" s="442"/>
      <c r="CX343" s="67"/>
      <c r="CY343" s="67"/>
      <c r="CZ343" s="67"/>
      <c r="DA343" s="560"/>
      <c r="DB343" s="442"/>
      <c r="DC343" s="67"/>
      <c r="DD343" s="67"/>
      <c r="DE343" s="67"/>
      <c r="DF343" s="560"/>
      <c r="DG343" s="442"/>
      <c r="DH343" s="67"/>
      <c r="DI343" s="67"/>
      <c r="DJ343" s="67"/>
      <c r="DK343" s="560"/>
      <c r="DL343" s="442"/>
      <c r="DM343" s="67"/>
      <c r="DN343" s="67"/>
      <c r="DO343" s="67"/>
      <c r="DP343" s="560"/>
      <c r="DQ343" s="442"/>
      <c r="DR343" s="67"/>
      <c r="DS343" s="67"/>
      <c r="DT343" s="67"/>
      <c r="DU343" s="560"/>
      <c r="DV343" s="442"/>
      <c r="DW343" s="67"/>
      <c r="DX343" s="67"/>
      <c r="DY343" s="67"/>
      <c r="DZ343" s="560"/>
      <c r="EA343" s="442"/>
      <c r="EB343" s="67"/>
      <c r="EC343" s="67"/>
      <c r="ED343" s="67"/>
      <c r="EE343" s="560"/>
      <c r="EF343" s="442"/>
      <c r="EG343" s="67"/>
      <c r="EH343" s="67"/>
      <c r="EI343" s="67"/>
      <c r="EJ343" s="560"/>
      <c r="EK343" s="442"/>
      <c r="EL343" s="67"/>
      <c r="EM343" s="67"/>
      <c r="EN343" s="67"/>
      <c r="EO343" s="455"/>
      <c r="ER343" s="472"/>
      <c r="ES343" s="472"/>
    </row>
    <row r="344" spans="1:149" ht="12.75" customHeight="1" x14ac:dyDescent="0.2">
      <c r="A344" s="442"/>
      <c r="B344" s="442"/>
      <c r="D344" s="455" t="s">
        <v>408</v>
      </c>
      <c r="G344" s="53">
        <f>SUM(G345)</f>
        <v>0</v>
      </c>
      <c r="I344" s="67"/>
      <c r="J344" s="560"/>
      <c r="K344" s="67"/>
      <c r="L344" s="67">
        <f>SUM(L345:L345)</f>
        <v>0</v>
      </c>
      <c r="M344" s="67"/>
      <c r="N344" s="67"/>
      <c r="O344" s="560"/>
      <c r="P344" s="67"/>
      <c r="Q344" s="67">
        <f>SUM(Q345:Q345)</f>
        <v>0</v>
      </c>
      <c r="R344" s="67"/>
      <c r="S344" s="67"/>
      <c r="T344" s="560"/>
      <c r="U344" s="67"/>
      <c r="V344" s="67">
        <f>SUM(V345:V345)</f>
        <v>0</v>
      </c>
      <c r="W344" s="67"/>
      <c r="X344" s="67"/>
      <c r="Y344" s="560"/>
      <c r="Z344" s="67"/>
      <c r="AA344" s="67">
        <f>SUM(AA345:AA345)</f>
        <v>0</v>
      </c>
      <c r="AB344" s="67"/>
      <c r="AC344" s="67"/>
      <c r="AD344" s="560"/>
      <c r="AE344" s="67"/>
      <c r="AF344" s="67">
        <f>SUM(AF345:AF345)</f>
        <v>0</v>
      </c>
      <c r="AG344" s="67"/>
      <c r="AH344" s="67"/>
      <c r="AI344" s="560"/>
      <c r="AJ344" s="67"/>
      <c r="AK344" s="67">
        <f>SUM(AK345:AK345)</f>
        <v>0</v>
      </c>
      <c r="AL344" s="67"/>
      <c r="AM344" s="67"/>
      <c r="AN344" s="560"/>
      <c r="AO344" s="67"/>
      <c r="AP344" s="67">
        <f>SUM(AP345:AP345)</f>
        <v>0</v>
      </c>
      <c r="AQ344" s="67"/>
      <c r="AR344" s="67"/>
      <c r="AS344" s="560"/>
      <c r="AT344" s="67"/>
      <c r="AU344" s="67">
        <f>SUM(AU345:AU345)</f>
        <v>0</v>
      </c>
      <c r="AV344" s="67"/>
      <c r="AW344" s="67"/>
      <c r="AX344" s="560"/>
      <c r="AY344" s="67"/>
      <c r="AZ344" s="67">
        <f>SUM(AZ345:AZ345)</f>
        <v>0</v>
      </c>
      <c r="BA344" s="67"/>
      <c r="BB344" s="67"/>
      <c r="BC344" s="560"/>
      <c r="BD344" s="67"/>
      <c r="BE344" s="67">
        <f>SUM(BE345:BE345)</f>
        <v>0</v>
      </c>
      <c r="BF344" s="67"/>
      <c r="BG344" s="67"/>
      <c r="BH344" s="560"/>
      <c r="BI344" s="67"/>
      <c r="BJ344" s="67">
        <f>SUM(BJ345:BJ345)</f>
        <v>0</v>
      </c>
      <c r="BK344" s="67"/>
      <c r="BL344" s="67"/>
      <c r="BM344" s="560"/>
      <c r="BN344" s="67"/>
      <c r="BO344" s="67">
        <f>SUM(BO345:BO345)</f>
        <v>0</v>
      </c>
      <c r="BP344" s="67"/>
      <c r="BQ344" s="67"/>
      <c r="BR344" s="560"/>
      <c r="BS344" s="442"/>
      <c r="BT344" s="67">
        <f>SUM(BT345:BT345)</f>
        <v>0</v>
      </c>
      <c r="BU344" s="67"/>
      <c r="BV344" s="67"/>
      <c r="BW344" s="560"/>
      <c r="BX344" s="442"/>
      <c r="BY344" s="67">
        <f>SUM(BY345:BY345)</f>
        <v>470894</v>
      </c>
      <c r="CA344" s="67"/>
      <c r="CB344" s="560"/>
      <c r="CC344" s="67"/>
      <c r="CD344" s="67">
        <f>SUM(CD345:CD345)</f>
        <v>0</v>
      </c>
      <c r="CE344" s="67"/>
      <c r="CF344" s="67"/>
      <c r="CG344" s="560"/>
      <c r="CH344" s="67"/>
      <c r="CI344" s="67">
        <f>SUM(CI345:CI345)</f>
        <v>0</v>
      </c>
      <c r="CJ344" s="67"/>
      <c r="CK344" s="67"/>
      <c r="CL344" s="560"/>
      <c r="CM344" s="67"/>
      <c r="CN344" s="67">
        <f>SUM(CN345:CN345)</f>
        <v>0</v>
      </c>
      <c r="CO344" s="67"/>
      <c r="CP344" s="67"/>
      <c r="CQ344" s="560"/>
      <c r="CR344" s="67"/>
      <c r="CS344" s="67">
        <f>SUM(CS345:CS345)</f>
        <v>0</v>
      </c>
      <c r="CT344" s="67"/>
      <c r="CU344" s="67"/>
      <c r="CV344" s="560"/>
      <c r="CW344" s="67"/>
      <c r="CX344" s="67">
        <f>SUM(CX345:CX345)</f>
        <v>23165</v>
      </c>
      <c r="CY344" s="67"/>
      <c r="CZ344" s="67"/>
      <c r="DA344" s="560"/>
      <c r="DB344" s="67"/>
      <c r="DC344" s="67">
        <f>SUM(DC345:DC345)</f>
        <v>0</v>
      </c>
      <c r="DD344" s="67"/>
      <c r="DE344" s="67"/>
      <c r="DF344" s="560"/>
      <c r="DG344" s="67"/>
      <c r="DH344" s="67">
        <f>SUM(DH345:DH345)</f>
        <v>0</v>
      </c>
      <c r="DI344" s="67"/>
      <c r="DJ344" s="67"/>
      <c r="DK344" s="560"/>
      <c r="DL344" s="67"/>
      <c r="DM344" s="67">
        <f>SUM(DM345:DM345)</f>
        <v>0</v>
      </c>
      <c r="DN344" s="67"/>
      <c r="DO344" s="67"/>
      <c r="DP344" s="560"/>
      <c r="DQ344" s="67"/>
      <c r="DR344" s="67">
        <f>SUM(DR345:DR345)</f>
        <v>0</v>
      </c>
      <c r="DS344" s="67"/>
      <c r="DT344" s="67"/>
      <c r="DU344" s="560"/>
      <c r="DV344" s="67"/>
      <c r="DW344" s="67">
        <f>SUM(DW345:DW345)</f>
        <v>0</v>
      </c>
      <c r="DX344" s="67"/>
      <c r="DY344" s="67"/>
      <c r="DZ344" s="560"/>
      <c r="EA344" s="67"/>
      <c r="EB344" s="67">
        <f>SUM(EB345:EB345)</f>
        <v>0</v>
      </c>
      <c r="EC344" s="67"/>
      <c r="ED344" s="67"/>
      <c r="EE344" s="560"/>
      <c r="EF344" s="67"/>
      <c r="EG344" s="67">
        <f>SUM(EG345:EG345)</f>
        <v>447729</v>
      </c>
      <c r="EH344" s="67"/>
      <c r="EI344" s="67"/>
      <c r="EJ344" s="560"/>
      <c r="EK344" s="442"/>
      <c r="EL344" s="67">
        <f>SUM(EL345:EL345)</f>
        <v>0</v>
      </c>
      <c r="EM344" s="67"/>
      <c r="EN344" s="67"/>
      <c r="EO344" s="455"/>
      <c r="ER344" s="472"/>
      <c r="ES344" s="472"/>
    </row>
    <row r="345" spans="1:149" ht="12.75" customHeight="1" x14ac:dyDescent="0.2">
      <c r="A345" s="442"/>
      <c r="B345" s="442"/>
      <c r="D345" s="455" t="s">
        <v>342</v>
      </c>
      <c r="F345" s="563"/>
      <c r="G345" s="564">
        <v>0</v>
      </c>
      <c r="H345" s="565"/>
      <c r="I345" s="67"/>
      <c r="J345" s="560"/>
      <c r="K345" s="563"/>
      <c r="L345" s="564">
        <v>0</v>
      </c>
      <c r="M345" s="565"/>
      <c r="N345" s="67"/>
      <c r="O345" s="560"/>
      <c r="P345" s="563"/>
      <c r="Q345" s="564">
        <v>0</v>
      </c>
      <c r="R345" s="565"/>
      <c r="S345" s="67"/>
      <c r="T345" s="560"/>
      <c r="U345" s="563"/>
      <c r="V345" s="564">
        <v>0</v>
      </c>
      <c r="W345" s="565"/>
      <c r="X345" s="67"/>
      <c r="Y345" s="560"/>
      <c r="Z345" s="563"/>
      <c r="AA345" s="564">
        <v>0</v>
      </c>
      <c r="AB345" s="565"/>
      <c r="AC345" s="67"/>
      <c r="AD345" s="560"/>
      <c r="AE345" s="563"/>
      <c r="AF345" s="564">
        <v>0</v>
      </c>
      <c r="AG345" s="565"/>
      <c r="AH345" s="67"/>
      <c r="AI345" s="560"/>
      <c r="AJ345" s="563"/>
      <c r="AK345" s="564">
        <v>0</v>
      </c>
      <c r="AL345" s="565"/>
      <c r="AM345" s="67"/>
      <c r="AN345" s="560"/>
      <c r="AO345" s="563"/>
      <c r="AP345" s="564">
        <v>0</v>
      </c>
      <c r="AQ345" s="565"/>
      <c r="AR345" s="67"/>
      <c r="AS345" s="560"/>
      <c r="AT345" s="563"/>
      <c r="AU345" s="564">
        <v>0</v>
      </c>
      <c r="AV345" s="565"/>
      <c r="AW345" s="67"/>
      <c r="AX345" s="560"/>
      <c r="AY345" s="563"/>
      <c r="AZ345" s="564">
        <v>0</v>
      </c>
      <c r="BA345" s="565"/>
      <c r="BB345" s="67"/>
      <c r="BC345" s="560"/>
      <c r="BD345" s="563"/>
      <c r="BE345" s="564">
        <v>0</v>
      </c>
      <c r="BF345" s="565"/>
      <c r="BG345" s="67"/>
      <c r="BH345" s="560"/>
      <c r="BI345" s="563"/>
      <c r="BJ345" s="564">
        <v>0</v>
      </c>
      <c r="BK345" s="565"/>
      <c r="BL345" s="67"/>
      <c r="BM345" s="560"/>
      <c r="BN345" s="563"/>
      <c r="BO345" s="564">
        <v>0</v>
      </c>
      <c r="BP345" s="565"/>
      <c r="BQ345" s="67"/>
      <c r="BR345" s="560"/>
      <c r="BS345" s="563"/>
      <c r="BT345" s="564">
        <f>SUM(L345:BO345)</f>
        <v>0</v>
      </c>
      <c r="BU345" s="565"/>
      <c r="BV345" s="67"/>
      <c r="BW345" s="560"/>
      <c r="BX345" s="563"/>
      <c r="BY345" s="564">
        <v>470894</v>
      </c>
      <c r="BZ345" s="565"/>
      <c r="CA345" s="67"/>
      <c r="CB345" s="560"/>
      <c r="CC345" s="563"/>
      <c r="CD345" s="564">
        <v>0</v>
      </c>
      <c r="CE345" s="565"/>
      <c r="CF345" s="67"/>
      <c r="CG345" s="560"/>
      <c r="CH345" s="563"/>
      <c r="CI345" s="564">
        <v>0</v>
      </c>
      <c r="CJ345" s="565"/>
      <c r="CK345" s="67"/>
      <c r="CL345" s="560"/>
      <c r="CM345" s="563"/>
      <c r="CN345" s="564">
        <v>0</v>
      </c>
      <c r="CO345" s="565"/>
      <c r="CP345" s="67"/>
      <c r="CQ345" s="560"/>
      <c r="CR345" s="563"/>
      <c r="CS345" s="564">
        <v>0</v>
      </c>
      <c r="CT345" s="565"/>
      <c r="CU345" s="67"/>
      <c r="CV345" s="560"/>
      <c r="CW345" s="563"/>
      <c r="CX345" s="564">
        <v>23165</v>
      </c>
      <c r="CY345" s="565"/>
      <c r="CZ345" s="67"/>
      <c r="DA345" s="560"/>
      <c r="DB345" s="563"/>
      <c r="DC345" s="564">
        <v>0</v>
      </c>
      <c r="DD345" s="565"/>
      <c r="DE345" s="67"/>
      <c r="DF345" s="560"/>
      <c r="DG345" s="563"/>
      <c r="DH345" s="564">
        <v>0</v>
      </c>
      <c r="DI345" s="565"/>
      <c r="DJ345" s="67"/>
      <c r="DK345" s="560"/>
      <c r="DL345" s="563"/>
      <c r="DM345" s="564">
        <v>0</v>
      </c>
      <c r="DN345" s="565"/>
      <c r="DO345" s="67"/>
      <c r="DP345" s="560"/>
      <c r="DQ345" s="563"/>
      <c r="DR345" s="564">
        <v>0</v>
      </c>
      <c r="DS345" s="565"/>
      <c r="DT345" s="67"/>
      <c r="DU345" s="560"/>
      <c r="DV345" s="563"/>
      <c r="DW345" s="564">
        <v>0</v>
      </c>
      <c r="DX345" s="565"/>
      <c r="DY345" s="67"/>
      <c r="DZ345" s="560"/>
      <c r="EA345" s="563"/>
      <c r="EB345" s="564">
        <v>0</v>
      </c>
      <c r="EC345" s="565"/>
      <c r="ED345" s="67"/>
      <c r="EE345" s="560"/>
      <c r="EF345" s="563"/>
      <c r="EG345" s="564">
        <v>447729</v>
      </c>
      <c r="EH345" s="565"/>
      <c r="EI345" s="67"/>
      <c r="EJ345" s="560"/>
      <c r="EK345" s="563"/>
      <c r="EL345" s="564">
        <f>SUM(CD345:CI345)</f>
        <v>0</v>
      </c>
      <c r="EM345" s="565"/>
      <c r="EN345" s="67"/>
      <c r="EO345" s="455"/>
      <c r="ER345" s="472"/>
      <c r="ES345" s="472"/>
    </row>
    <row r="346" spans="1:149" ht="12.75" customHeight="1" x14ac:dyDescent="0.2">
      <c r="A346" s="442"/>
      <c r="B346" s="442"/>
      <c r="D346" s="455"/>
      <c r="F346" s="442"/>
      <c r="G346" s="67"/>
      <c r="H346" s="67"/>
      <c r="I346" s="67"/>
      <c r="J346" s="560"/>
      <c r="K346" s="442"/>
      <c r="L346" s="67"/>
      <c r="M346" s="67"/>
      <c r="N346" s="67"/>
      <c r="O346" s="560"/>
      <c r="P346" s="442"/>
      <c r="Q346" s="67"/>
      <c r="R346" s="67"/>
      <c r="S346" s="67"/>
      <c r="T346" s="560"/>
      <c r="U346" s="442"/>
      <c r="V346" s="67"/>
      <c r="W346" s="67"/>
      <c r="X346" s="67"/>
      <c r="Y346" s="560"/>
      <c r="Z346" s="442"/>
      <c r="AA346" s="67"/>
      <c r="AB346" s="67"/>
      <c r="AC346" s="67"/>
      <c r="AD346" s="560"/>
      <c r="AE346" s="442"/>
      <c r="AF346" s="67"/>
      <c r="AG346" s="67"/>
      <c r="AH346" s="67"/>
      <c r="AI346" s="560"/>
      <c r="AJ346" s="442"/>
      <c r="AK346" s="67"/>
      <c r="AL346" s="67"/>
      <c r="AM346" s="67"/>
      <c r="AN346" s="560"/>
      <c r="AO346" s="442"/>
      <c r="AP346" s="67"/>
      <c r="AQ346" s="67"/>
      <c r="AR346" s="67"/>
      <c r="AS346" s="560"/>
      <c r="AT346" s="442"/>
      <c r="AU346" s="67"/>
      <c r="AV346" s="67"/>
      <c r="AW346" s="67"/>
      <c r="AX346" s="560"/>
      <c r="AY346" s="442"/>
      <c r="AZ346" s="67"/>
      <c r="BA346" s="67"/>
      <c r="BB346" s="67"/>
      <c r="BC346" s="560"/>
      <c r="BD346" s="442"/>
      <c r="BE346" s="67"/>
      <c r="BF346" s="67"/>
      <c r="BG346" s="67"/>
      <c r="BH346" s="560"/>
      <c r="BI346" s="442"/>
      <c r="BJ346" s="67"/>
      <c r="BK346" s="67"/>
      <c r="BL346" s="67"/>
      <c r="BM346" s="560"/>
      <c r="BN346" s="442"/>
      <c r="BO346" s="67"/>
      <c r="BP346" s="67"/>
      <c r="BQ346" s="67"/>
      <c r="BR346" s="560"/>
      <c r="BS346" s="442"/>
      <c r="BT346" s="67"/>
      <c r="BU346" s="67"/>
      <c r="BV346" s="67"/>
      <c r="BW346" s="560"/>
      <c r="BX346" s="442"/>
      <c r="BY346" s="67"/>
      <c r="BZ346" s="67"/>
      <c r="CA346" s="67"/>
      <c r="CB346" s="560"/>
      <c r="CC346" s="442"/>
      <c r="CD346" s="67"/>
      <c r="CE346" s="67"/>
      <c r="CF346" s="67"/>
      <c r="CG346" s="560"/>
      <c r="CH346" s="442"/>
      <c r="CI346" s="67"/>
      <c r="CJ346" s="67"/>
      <c r="CK346" s="67"/>
      <c r="CL346" s="560"/>
      <c r="CM346" s="442"/>
      <c r="CN346" s="67"/>
      <c r="CO346" s="67"/>
      <c r="CP346" s="67"/>
      <c r="CQ346" s="560"/>
      <c r="CR346" s="442"/>
      <c r="CS346" s="67"/>
      <c r="CT346" s="67"/>
      <c r="CU346" s="67"/>
      <c r="CV346" s="560"/>
      <c r="CW346" s="442"/>
      <c r="CX346" s="67"/>
      <c r="CY346" s="67"/>
      <c r="CZ346" s="67"/>
      <c r="DA346" s="560"/>
      <c r="DB346" s="442"/>
      <c r="DC346" s="67"/>
      <c r="DD346" s="67"/>
      <c r="DE346" s="67"/>
      <c r="DF346" s="560"/>
      <c r="DG346" s="442"/>
      <c r="DH346" s="67"/>
      <c r="DI346" s="67"/>
      <c r="DJ346" s="67"/>
      <c r="DK346" s="560"/>
      <c r="DL346" s="442"/>
      <c r="DM346" s="67"/>
      <c r="DN346" s="67"/>
      <c r="DO346" s="67"/>
      <c r="DP346" s="560"/>
      <c r="DQ346" s="442"/>
      <c r="DR346" s="67"/>
      <c r="DS346" s="67"/>
      <c r="DT346" s="67"/>
      <c r="DU346" s="560"/>
      <c r="DV346" s="442"/>
      <c r="DW346" s="67"/>
      <c r="DX346" s="67"/>
      <c r="DY346" s="67"/>
      <c r="DZ346" s="560"/>
      <c r="EA346" s="442"/>
      <c r="EB346" s="67"/>
      <c r="EC346" s="67"/>
      <c r="ED346" s="67"/>
      <c r="EE346" s="560"/>
      <c r="EF346" s="442"/>
      <c r="EG346" s="67"/>
      <c r="EH346" s="67"/>
      <c r="EI346" s="67"/>
      <c r="EJ346" s="560"/>
      <c r="EK346" s="442"/>
      <c r="EL346" s="67"/>
      <c r="EM346" s="67"/>
      <c r="EN346" s="67"/>
      <c r="EO346" s="455"/>
      <c r="ER346" s="472"/>
      <c r="ES346" s="472"/>
    </row>
    <row r="347" spans="1:149" x14ac:dyDescent="0.2">
      <c r="A347" s="442"/>
      <c r="B347" s="442"/>
      <c r="D347" s="455" t="s">
        <v>370</v>
      </c>
      <c r="G347" s="53">
        <v>0</v>
      </c>
      <c r="I347" s="67"/>
      <c r="J347" s="560"/>
      <c r="K347" s="67"/>
      <c r="L347" s="67">
        <f>SUM(L348:L348)</f>
        <v>0</v>
      </c>
      <c r="M347" s="67"/>
      <c r="N347" s="67"/>
      <c r="O347" s="560"/>
      <c r="P347" s="67"/>
      <c r="Q347" s="67">
        <f>SUM(Q348:Q348)</f>
        <v>0</v>
      </c>
      <c r="R347" s="67"/>
      <c r="S347" s="67"/>
      <c r="T347" s="560"/>
      <c r="U347" s="67"/>
      <c r="V347" s="67">
        <f>SUM(V348:V348)</f>
        <v>0</v>
      </c>
      <c r="W347" s="67"/>
      <c r="X347" s="67"/>
      <c r="Y347" s="560"/>
      <c r="Z347" s="67"/>
      <c r="AA347" s="67">
        <f>SUM(AA348:AA348)</f>
        <v>0</v>
      </c>
      <c r="AB347" s="67"/>
      <c r="AC347" s="67"/>
      <c r="AD347" s="560"/>
      <c r="AE347" s="67"/>
      <c r="AF347" s="67">
        <f>SUM(AF348:AF348)</f>
        <v>0</v>
      </c>
      <c r="AG347" s="67"/>
      <c r="AH347" s="67"/>
      <c r="AI347" s="560"/>
      <c r="AJ347" s="67"/>
      <c r="AK347" s="67">
        <f>SUM(AK348:AK348)</f>
        <v>0</v>
      </c>
      <c r="AL347" s="67"/>
      <c r="AM347" s="67"/>
      <c r="AN347" s="560"/>
      <c r="AO347" s="67"/>
      <c r="AP347" s="67">
        <f>SUM(AP348:AP348)</f>
        <v>0</v>
      </c>
      <c r="AQ347" s="67"/>
      <c r="AR347" s="67"/>
      <c r="AS347" s="560"/>
      <c r="AT347" s="67"/>
      <c r="AU347" s="67">
        <f>SUM(AU348:AU348)</f>
        <v>0</v>
      </c>
      <c r="AV347" s="67"/>
      <c r="AW347" s="67"/>
      <c r="AX347" s="560"/>
      <c r="AY347" s="67"/>
      <c r="AZ347" s="67">
        <f>SUM(AZ348:AZ348)</f>
        <v>0</v>
      </c>
      <c r="BA347" s="67"/>
      <c r="BB347" s="67"/>
      <c r="BC347" s="560"/>
      <c r="BD347" s="67"/>
      <c r="BE347" s="67">
        <f>SUM(BE348:BE348)</f>
        <v>0</v>
      </c>
      <c r="BF347" s="67"/>
      <c r="BG347" s="67"/>
      <c r="BH347" s="560"/>
      <c r="BI347" s="67"/>
      <c r="BJ347" s="67">
        <f>SUM(BJ348:BJ348)</f>
        <v>0</v>
      </c>
      <c r="BK347" s="67"/>
      <c r="BL347" s="67"/>
      <c r="BM347" s="560"/>
      <c r="BN347" s="67"/>
      <c r="BO347" s="67">
        <f>SUM(BO348:BO348)</f>
        <v>0</v>
      </c>
      <c r="BP347" s="67"/>
      <c r="BQ347" s="67"/>
      <c r="BR347" s="560"/>
      <c r="BS347" s="442"/>
      <c r="BT347" s="67">
        <f>SUM(BT348:BT348)</f>
        <v>0</v>
      </c>
      <c r="BU347" s="67"/>
      <c r="BV347" s="67"/>
      <c r="BW347" s="560"/>
      <c r="BX347" s="442"/>
      <c r="BY347" s="67">
        <f>SUM(BY348:BY348)</f>
        <v>30810</v>
      </c>
      <c r="CA347" s="67"/>
      <c r="CB347" s="560"/>
      <c r="CC347" s="67"/>
      <c r="CD347" s="67">
        <f>SUM(CD348:CD348)</f>
        <v>0</v>
      </c>
      <c r="CE347" s="67"/>
      <c r="CF347" s="67"/>
      <c r="CG347" s="560"/>
      <c r="CH347" s="67"/>
      <c r="CI347" s="67">
        <f>SUM(CI348:CI348)</f>
        <v>0</v>
      </c>
      <c r="CJ347" s="67"/>
      <c r="CK347" s="67"/>
      <c r="CL347" s="560"/>
      <c r="CM347" s="67"/>
      <c r="CN347" s="67">
        <f>SUM(CN348:CN348)</f>
        <v>0</v>
      </c>
      <c r="CO347" s="67"/>
      <c r="CP347" s="67"/>
      <c r="CQ347" s="560"/>
      <c r="CR347" s="67"/>
      <c r="CS347" s="67">
        <f>SUM(CS348:CS348)</f>
        <v>0</v>
      </c>
      <c r="CT347" s="67"/>
      <c r="CU347" s="67"/>
      <c r="CV347" s="560"/>
      <c r="CW347" s="67"/>
      <c r="CX347" s="67">
        <f>SUM(CX348:CX348)</f>
        <v>0</v>
      </c>
      <c r="CY347" s="67"/>
      <c r="CZ347" s="67"/>
      <c r="DA347" s="560"/>
      <c r="DB347" s="67"/>
      <c r="DC347" s="67">
        <f>SUM(DC348:DC348)</f>
        <v>0</v>
      </c>
      <c r="DD347" s="67"/>
      <c r="DE347" s="67"/>
      <c r="DF347" s="560"/>
      <c r="DG347" s="67"/>
      <c r="DH347" s="67">
        <f>SUM(DH348:DH348)</f>
        <v>0</v>
      </c>
      <c r="DI347" s="67"/>
      <c r="DJ347" s="67"/>
      <c r="DK347" s="560"/>
      <c r="DL347" s="67"/>
      <c r="DM347" s="67">
        <f>SUM(DM348:DM348)</f>
        <v>0</v>
      </c>
      <c r="DN347" s="67"/>
      <c r="DO347" s="67"/>
      <c r="DP347" s="560"/>
      <c r="DQ347" s="67"/>
      <c r="DR347" s="67">
        <f>SUM(DR348:DR348)</f>
        <v>0</v>
      </c>
      <c r="DS347" s="67"/>
      <c r="DT347" s="67"/>
      <c r="DU347" s="560"/>
      <c r="DV347" s="67"/>
      <c r="DW347" s="67">
        <f>SUM(DW348:DW348)</f>
        <v>0</v>
      </c>
      <c r="DX347" s="67"/>
      <c r="DY347" s="67"/>
      <c r="DZ347" s="560"/>
      <c r="EA347" s="67"/>
      <c r="EB347" s="67">
        <f>SUM(EB348:EB348)</f>
        <v>0</v>
      </c>
      <c r="EC347" s="67"/>
      <c r="ED347" s="67"/>
      <c r="EE347" s="560"/>
      <c r="EF347" s="67"/>
      <c r="EG347" s="67">
        <f>SUM(EG348:EG348)</f>
        <v>30810</v>
      </c>
      <c r="EH347" s="67"/>
      <c r="EI347" s="67"/>
      <c r="EJ347" s="560"/>
      <c r="EK347" s="442"/>
      <c r="EL347" s="67">
        <f>SUM(EL348:EL348)</f>
        <v>0</v>
      </c>
      <c r="EM347" s="67"/>
      <c r="EN347" s="67"/>
      <c r="EO347" s="455"/>
      <c r="ER347" s="472"/>
      <c r="ES347" s="472"/>
    </row>
    <row r="348" spans="1:149" x14ac:dyDescent="0.2">
      <c r="A348" s="442"/>
      <c r="B348" s="442"/>
      <c r="D348" s="455" t="s">
        <v>342</v>
      </c>
      <c r="F348" s="563"/>
      <c r="G348" s="564">
        <v>0</v>
      </c>
      <c r="H348" s="565"/>
      <c r="I348" s="67"/>
      <c r="J348" s="560"/>
      <c r="K348" s="563"/>
      <c r="L348" s="564">
        <v>0</v>
      </c>
      <c r="M348" s="565"/>
      <c r="N348" s="67"/>
      <c r="O348" s="560"/>
      <c r="P348" s="563"/>
      <c r="Q348" s="564">
        <v>0</v>
      </c>
      <c r="R348" s="565"/>
      <c r="S348" s="67"/>
      <c r="T348" s="560"/>
      <c r="U348" s="563"/>
      <c r="V348" s="564">
        <v>0</v>
      </c>
      <c r="W348" s="565"/>
      <c r="X348" s="67"/>
      <c r="Y348" s="560"/>
      <c r="Z348" s="563"/>
      <c r="AA348" s="564">
        <v>0</v>
      </c>
      <c r="AB348" s="565"/>
      <c r="AC348" s="67"/>
      <c r="AD348" s="560"/>
      <c r="AE348" s="563"/>
      <c r="AF348" s="564">
        <v>0</v>
      </c>
      <c r="AG348" s="565"/>
      <c r="AH348" s="67"/>
      <c r="AI348" s="560"/>
      <c r="AJ348" s="563"/>
      <c r="AK348" s="564">
        <v>0</v>
      </c>
      <c r="AL348" s="565"/>
      <c r="AM348" s="67"/>
      <c r="AN348" s="560"/>
      <c r="AO348" s="563"/>
      <c r="AP348" s="564">
        <v>0</v>
      </c>
      <c r="AQ348" s="565"/>
      <c r="AR348" s="67"/>
      <c r="AS348" s="560"/>
      <c r="AT348" s="563"/>
      <c r="AU348" s="564">
        <v>0</v>
      </c>
      <c r="AV348" s="565"/>
      <c r="AW348" s="67"/>
      <c r="AX348" s="560"/>
      <c r="AY348" s="563"/>
      <c r="AZ348" s="564">
        <v>0</v>
      </c>
      <c r="BA348" s="565"/>
      <c r="BB348" s="67"/>
      <c r="BC348" s="560"/>
      <c r="BD348" s="563"/>
      <c r="BE348" s="564">
        <v>0</v>
      </c>
      <c r="BF348" s="565"/>
      <c r="BG348" s="67"/>
      <c r="BH348" s="560"/>
      <c r="BI348" s="563"/>
      <c r="BJ348" s="564">
        <v>0</v>
      </c>
      <c r="BK348" s="565"/>
      <c r="BL348" s="67"/>
      <c r="BM348" s="560"/>
      <c r="BN348" s="563"/>
      <c r="BO348" s="564">
        <v>0</v>
      </c>
      <c r="BP348" s="565"/>
      <c r="BQ348" s="67"/>
      <c r="BR348" s="560"/>
      <c r="BS348" s="563"/>
      <c r="BT348" s="564">
        <f>SUM(L348:BO348)</f>
        <v>0</v>
      </c>
      <c r="BU348" s="565"/>
      <c r="BV348" s="67"/>
      <c r="BW348" s="560"/>
      <c r="BX348" s="563"/>
      <c r="BY348" s="564">
        <v>30810</v>
      </c>
      <c r="BZ348" s="565"/>
      <c r="CA348" s="67"/>
      <c r="CB348" s="560"/>
      <c r="CC348" s="563"/>
      <c r="CD348" s="564">
        <v>0</v>
      </c>
      <c r="CE348" s="565"/>
      <c r="CF348" s="67"/>
      <c r="CG348" s="560"/>
      <c r="CH348" s="563"/>
      <c r="CI348" s="564">
        <v>0</v>
      </c>
      <c r="CJ348" s="565"/>
      <c r="CK348" s="67"/>
      <c r="CL348" s="560"/>
      <c r="CM348" s="563"/>
      <c r="CN348" s="564">
        <v>0</v>
      </c>
      <c r="CO348" s="565"/>
      <c r="CP348" s="67"/>
      <c r="CQ348" s="560"/>
      <c r="CR348" s="563"/>
      <c r="CS348" s="564">
        <v>0</v>
      </c>
      <c r="CT348" s="565"/>
      <c r="CU348" s="67"/>
      <c r="CV348" s="560"/>
      <c r="CW348" s="563"/>
      <c r="CX348" s="564">
        <v>0</v>
      </c>
      <c r="CY348" s="565"/>
      <c r="CZ348" s="67"/>
      <c r="DA348" s="560"/>
      <c r="DB348" s="563"/>
      <c r="DC348" s="564">
        <v>0</v>
      </c>
      <c r="DD348" s="565"/>
      <c r="DE348" s="67"/>
      <c r="DF348" s="560"/>
      <c r="DG348" s="563"/>
      <c r="DH348" s="564">
        <v>0</v>
      </c>
      <c r="DI348" s="565"/>
      <c r="DJ348" s="67"/>
      <c r="DK348" s="560"/>
      <c r="DL348" s="563"/>
      <c r="DM348" s="564">
        <v>0</v>
      </c>
      <c r="DN348" s="565"/>
      <c r="DO348" s="67"/>
      <c r="DP348" s="560"/>
      <c r="DQ348" s="563"/>
      <c r="DR348" s="564">
        <v>0</v>
      </c>
      <c r="DS348" s="565"/>
      <c r="DT348" s="67"/>
      <c r="DU348" s="560"/>
      <c r="DV348" s="563"/>
      <c r="DW348" s="564">
        <v>0</v>
      </c>
      <c r="DX348" s="565"/>
      <c r="DY348" s="67"/>
      <c r="DZ348" s="560"/>
      <c r="EA348" s="563"/>
      <c r="EB348" s="564">
        <v>0</v>
      </c>
      <c r="EC348" s="565"/>
      <c r="ED348" s="67"/>
      <c r="EE348" s="560"/>
      <c r="EF348" s="563"/>
      <c r="EG348" s="564">
        <v>30810</v>
      </c>
      <c r="EH348" s="565"/>
      <c r="EI348" s="67"/>
      <c r="EJ348" s="560"/>
      <c r="EK348" s="563"/>
      <c r="EL348" s="564">
        <f>SUM(CD348:CI348)</f>
        <v>0</v>
      </c>
      <c r="EM348" s="565"/>
      <c r="EN348" s="67"/>
      <c r="EO348" s="455"/>
      <c r="ER348" s="472"/>
      <c r="ES348" s="472"/>
    </row>
    <row r="349" spans="1:149" x14ac:dyDescent="0.2">
      <c r="A349" s="442"/>
      <c r="B349" s="442"/>
      <c r="D349" s="574"/>
      <c r="E349" s="575"/>
      <c r="F349" s="445"/>
      <c r="G349" s="125"/>
      <c r="H349" s="125"/>
      <c r="I349" s="125"/>
      <c r="J349" s="576"/>
      <c r="K349" s="125"/>
      <c r="L349" s="125"/>
      <c r="M349" s="125"/>
      <c r="N349" s="125"/>
      <c r="O349" s="576"/>
      <c r="P349" s="125"/>
      <c r="Q349" s="125"/>
      <c r="R349" s="125"/>
      <c r="S349" s="125"/>
      <c r="T349" s="576"/>
      <c r="U349" s="125"/>
      <c r="V349" s="125"/>
      <c r="W349" s="125"/>
      <c r="X349" s="125"/>
      <c r="Y349" s="576"/>
      <c r="Z349" s="125"/>
      <c r="AA349" s="125"/>
      <c r="AB349" s="125"/>
      <c r="AC349" s="125"/>
      <c r="AD349" s="576"/>
      <c r="AE349" s="125"/>
      <c r="AF349" s="125"/>
      <c r="AG349" s="125"/>
      <c r="AH349" s="125"/>
      <c r="AI349" s="576"/>
      <c r="AJ349" s="125"/>
      <c r="AK349" s="125"/>
      <c r="AL349" s="125"/>
      <c r="AM349" s="125"/>
      <c r="AN349" s="576"/>
      <c r="AO349" s="125"/>
      <c r="AP349" s="125"/>
      <c r="AQ349" s="125"/>
      <c r="AR349" s="125"/>
      <c r="AS349" s="576"/>
      <c r="AT349" s="125"/>
      <c r="AU349" s="125"/>
      <c r="AV349" s="125"/>
      <c r="AW349" s="125"/>
      <c r="AX349" s="576"/>
      <c r="AY349" s="125"/>
      <c r="AZ349" s="125"/>
      <c r="BA349" s="125"/>
      <c r="BB349" s="125"/>
      <c r="BC349" s="576"/>
      <c r="BD349" s="125"/>
      <c r="BE349" s="125"/>
      <c r="BF349" s="125"/>
      <c r="BG349" s="125"/>
      <c r="BH349" s="576"/>
      <c r="BI349" s="125"/>
      <c r="BJ349" s="125"/>
      <c r="BK349" s="125"/>
      <c r="BL349" s="125"/>
      <c r="BM349" s="576"/>
      <c r="BN349" s="125"/>
      <c r="BO349" s="125"/>
      <c r="BP349" s="125"/>
      <c r="BQ349" s="125"/>
      <c r="BR349" s="576"/>
      <c r="BS349" s="125"/>
      <c r="BT349" s="125"/>
      <c r="BU349" s="125"/>
      <c r="BV349" s="125"/>
      <c r="BW349" s="576"/>
      <c r="BX349" s="125"/>
      <c r="BY349" s="125"/>
      <c r="BZ349" s="125"/>
      <c r="CA349" s="125"/>
      <c r="CB349" s="576"/>
      <c r="CC349" s="125"/>
      <c r="CD349" s="125"/>
      <c r="CE349" s="125"/>
      <c r="CF349" s="125"/>
      <c r="CG349" s="576"/>
      <c r="CH349" s="125"/>
      <c r="CI349" s="125"/>
      <c r="CJ349" s="125"/>
      <c r="CK349" s="125"/>
      <c r="CL349" s="576"/>
      <c r="CM349" s="125"/>
      <c r="CN349" s="125"/>
      <c r="CO349" s="125"/>
      <c r="CP349" s="125"/>
      <c r="CQ349" s="576"/>
      <c r="CR349" s="125"/>
      <c r="CS349" s="125"/>
      <c r="CT349" s="125"/>
      <c r="CU349" s="125"/>
      <c r="CV349" s="576"/>
      <c r="CW349" s="125"/>
      <c r="CX349" s="125"/>
      <c r="CY349" s="125"/>
      <c r="CZ349" s="125"/>
      <c r="DA349" s="576"/>
      <c r="DB349" s="125"/>
      <c r="DC349" s="125"/>
      <c r="DD349" s="125"/>
      <c r="DE349" s="125"/>
      <c r="DF349" s="576"/>
      <c r="DG349" s="125"/>
      <c r="DH349" s="125"/>
      <c r="DI349" s="125"/>
      <c r="DJ349" s="125"/>
      <c r="DK349" s="576"/>
      <c r="DL349" s="125"/>
      <c r="DM349" s="125"/>
      <c r="DN349" s="125"/>
      <c r="DO349" s="125"/>
      <c r="DP349" s="576"/>
      <c r="DQ349" s="125"/>
      <c r="DR349" s="125"/>
      <c r="DS349" s="125"/>
      <c r="DT349" s="125"/>
      <c r="DU349" s="576"/>
      <c r="DV349" s="125"/>
      <c r="DW349" s="125"/>
      <c r="DX349" s="125"/>
      <c r="DY349" s="125"/>
      <c r="DZ349" s="576"/>
      <c r="EA349" s="125"/>
      <c r="EB349" s="125"/>
      <c r="EC349" s="125"/>
      <c r="ED349" s="125"/>
      <c r="EE349" s="576"/>
      <c r="EF349" s="125"/>
      <c r="EG349" s="125"/>
      <c r="EH349" s="125"/>
      <c r="EI349" s="125"/>
      <c r="EJ349" s="576"/>
      <c r="EK349" s="125"/>
      <c r="EL349" s="125"/>
      <c r="EM349" s="125"/>
      <c r="EN349" s="126"/>
      <c r="EO349" s="455"/>
      <c r="ER349" s="472"/>
      <c r="ES349" s="472"/>
    </row>
    <row r="350" spans="1:149" x14ac:dyDescent="0.2">
      <c r="A350" s="442"/>
      <c r="B350" s="442"/>
      <c r="C350" s="442"/>
      <c r="E350" s="524"/>
      <c r="F350" s="442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  <c r="DJ350" s="67"/>
      <c r="DK350" s="67"/>
      <c r="DL350" s="67"/>
      <c r="DM350" s="67"/>
      <c r="DN350" s="67"/>
      <c r="DO350" s="67"/>
      <c r="DP350" s="67"/>
      <c r="DQ350" s="67"/>
      <c r="DR350" s="67"/>
      <c r="DS350" s="67"/>
      <c r="DT350" s="67"/>
      <c r="DU350" s="67"/>
      <c r="DV350" s="67"/>
      <c r="DW350" s="67"/>
      <c r="DX350" s="67"/>
      <c r="DY350" s="67"/>
      <c r="DZ350" s="67"/>
      <c r="EA350" s="67"/>
      <c r="EB350" s="67"/>
      <c r="EC350" s="67"/>
      <c r="ED350" s="67"/>
      <c r="EE350" s="67"/>
      <c r="EF350" s="67"/>
      <c r="EG350" s="67"/>
      <c r="EH350" s="67"/>
      <c r="EI350" s="67"/>
      <c r="EJ350" s="67"/>
      <c r="EK350" s="67"/>
      <c r="EL350" s="67"/>
      <c r="EM350" s="67"/>
      <c r="EN350" s="67"/>
      <c r="EO350" s="442"/>
    </row>
    <row r="351" spans="1:149" x14ac:dyDescent="0.2">
      <c r="D351" s="442"/>
      <c r="E351" s="442"/>
      <c r="EE351" s="442"/>
      <c r="EL351" s="67"/>
    </row>
    <row r="352" spans="1:149" x14ac:dyDescent="0.2">
      <c r="D352" s="442"/>
      <c r="E352" s="442"/>
      <c r="EE352" s="442"/>
    </row>
    <row r="353" spans="4:135" x14ac:dyDescent="0.2">
      <c r="D353" s="442"/>
      <c r="E353" s="442"/>
      <c r="EE353" s="442"/>
    </row>
    <row r="354" spans="4:135" x14ac:dyDescent="0.2">
      <c r="D354" s="442"/>
      <c r="E354" s="442"/>
      <c r="EE354" s="442"/>
    </row>
    <row r="355" spans="4:135" x14ac:dyDescent="0.2">
      <c r="D355" s="442"/>
      <c r="E355" s="442"/>
      <c r="EE355" s="442"/>
    </row>
    <row r="356" spans="4:135" x14ac:dyDescent="0.2">
      <c r="D356" s="442"/>
      <c r="E356" s="442"/>
      <c r="EE356" s="442"/>
    </row>
    <row r="357" spans="4:135" x14ac:dyDescent="0.2">
      <c r="D357" s="442"/>
      <c r="E357" s="442"/>
      <c r="EE357" s="442"/>
    </row>
    <row r="358" spans="4:135" x14ac:dyDescent="0.2">
      <c r="E358" s="53"/>
      <c r="EE358" s="442"/>
    </row>
    <row r="359" spans="4:135" x14ac:dyDescent="0.2">
      <c r="D359" s="44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  <c r="AA359" s="442"/>
      <c r="AB359" s="442"/>
      <c r="AC359" s="442"/>
      <c r="AD359" s="442"/>
      <c r="AE359" s="442"/>
      <c r="AF359" s="442"/>
      <c r="AG359" s="442"/>
      <c r="AH359" s="442"/>
      <c r="AI359" s="442"/>
      <c r="AJ359" s="442"/>
      <c r="AK359" s="442"/>
      <c r="AL359" s="442"/>
      <c r="AM359" s="442"/>
      <c r="AN359" s="442"/>
      <c r="AO359" s="442"/>
      <c r="AP359" s="442"/>
      <c r="AQ359" s="442"/>
      <c r="AR359" s="442"/>
      <c r="AS359" s="442"/>
      <c r="AT359" s="442"/>
      <c r="AU359" s="442"/>
      <c r="AV359" s="442"/>
      <c r="AW359" s="442"/>
      <c r="AX359" s="442"/>
      <c r="AY359" s="442"/>
      <c r="AZ359" s="442"/>
      <c r="BA359" s="442"/>
      <c r="BB359" s="442"/>
      <c r="BC359" s="442"/>
      <c r="BD359" s="442"/>
      <c r="BE359" s="442"/>
      <c r="BF359" s="442"/>
      <c r="BG359" s="442"/>
      <c r="BH359" s="442"/>
      <c r="BI359" s="442"/>
      <c r="BJ359" s="442"/>
      <c r="BK359" s="442"/>
      <c r="BL359" s="442"/>
      <c r="BM359" s="442"/>
      <c r="BN359" s="442"/>
      <c r="BO359" s="442"/>
      <c r="BP359" s="442"/>
      <c r="BQ359" s="442"/>
      <c r="BR359" s="442"/>
      <c r="BS359" s="442"/>
      <c r="BT359" s="442"/>
      <c r="BU359" s="442"/>
      <c r="BV359" s="442"/>
      <c r="BW359" s="442"/>
      <c r="BX359" s="442"/>
      <c r="BY359" s="442"/>
      <c r="BZ359" s="442"/>
      <c r="CA359" s="442"/>
      <c r="CB359" s="442"/>
      <c r="CC359" s="442"/>
      <c r="CD359" s="442"/>
      <c r="CE359" s="442"/>
      <c r="CF359" s="442"/>
      <c r="CG359" s="442"/>
      <c r="CH359" s="442"/>
      <c r="CI359" s="442"/>
    </row>
    <row r="360" spans="4:135" x14ac:dyDescent="0.2">
      <c r="D360" s="44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  <c r="AA360" s="442"/>
      <c r="AB360" s="442"/>
      <c r="AC360" s="442"/>
      <c r="AD360" s="442"/>
      <c r="AE360" s="442"/>
      <c r="AF360" s="442"/>
      <c r="AG360" s="442"/>
      <c r="AH360" s="442"/>
      <c r="AI360" s="442"/>
      <c r="AJ360" s="442"/>
      <c r="AK360" s="442"/>
      <c r="AL360" s="442"/>
      <c r="AM360" s="442"/>
      <c r="AN360" s="442"/>
      <c r="AO360" s="442"/>
      <c r="AP360" s="442"/>
      <c r="AQ360" s="442"/>
      <c r="AR360" s="442"/>
      <c r="AS360" s="442"/>
      <c r="AT360" s="442"/>
      <c r="AU360" s="442"/>
      <c r="AV360" s="442"/>
      <c r="AW360" s="442"/>
      <c r="AX360" s="442"/>
      <c r="AY360" s="442"/>
      <c r="AZ360" s="442"/>
      <c r="BA360" s="442"/>
      <c r="BB360" s="442"/>
      <c r="BC360" s="442"/>
      <c r="BD360" s="442"/>
      <c r="BE360" s="442"/>
      <c r="BF360" s="442"/>
      <c r="BG360" s="442"/>
      <c r="BH360" s="442"/>
      <c r="BI360" s="442"/>
      <c r="BJ360" s="442"/>
      <c r="BK360" s="442"/>
      <c r="BL360" s="442"/>
      <c r="BM360" s="442"/>
      <c r="BN360" s="442"/>
      <c r="BO360" s="442"/>
      <c r="BP360" s="442"/>
      <c r="BQ360" s="442"/>
      <c r="BR360" s="442"/>
      <c r="BS360" s="442"/>
      <c r="BT360" s="442"/>
      <c r="BU360" s="442"/>
      <c r="BV360" s="442"/>
      <c r="BW360" s="442"/>
      <c r="BX360" s="442"/>
      <c r="BY360" s="442"/>
      <c r="BZ360" s="442"/>
      <c r="CA360" s="442"/>
      <c r="CB360" s="442"/>
      <c r="CC360" s="442"/>
      <c r="CD360" s="442"/>
      <c r="CE360" s="442"/>
      <c r="CF360" s="442"/>
      <c r="CG360" s="442"/>
      <c r="CH360" s="442"/>
      <c r="CI360" s="442"/>
    </row>
    <row r="361" spans="4:135" x14ac:dyDescent="0.2">
      <c r="D361" s="44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  <c r="AA361" s="442"/>
      <c r="AB361" s="442"/>
      <c r="AC361" s="442"/>
      <c r="AD361" s="442"/>
      <c r="AE361" s="442"/>
      <c r="AF361" s="442"/>
      <c r="AG361" s="442"/>
      <c r="AH361" s="442"/>
      <c r="AI361" s="442"/>
      <c r="AJ361" s="442"/>
      <c r="AK361" s="442"/>
      <c r="AL361" s="442"/>
      <c r="AM361" s="442"/>
      <c r="AN361" s="442"/>
      <c r="AO361" s="442"/>
      <c r="AP361" s="442"/>
      <c r="AQ361" s="442"/>
      <c r="AR361" s="442"/>
      <c r="AS361" s="442"/>
      <c r="AT361" s="442"/>
      <c r="AU361" s="442"/>
      <c r="AV361" s="442"/>
      <c r="AW361" s="442"/>
      <c r="AX361" s="442"/>
      <c r="AY361" s="442"/>
      <c r="AZ361" s="442"/>
      <c r="BA361" s="442"/>
      <c r="BB361" s="442"/>
      <c r="BC361" s="442"/>
      <c r="BD361" s="442"/>
      <c r="BE361" s="442"/>
      <c r="BF361" s="442"/>
      <c r="BG361" s="442"/>
      <c r="BH361" s="442"/>
      <c r="BI361" s="442"/>
      <c r="BJ361" s="442"/>
      <c r="BK361" s="442"/>
      <c r="BL361" s="442"/>
      <c r="BM361" s="442"/>
      <c r="BN361" s="442"/>
      <c r="BO361" s="442"/>
      <c r="BP361" s="442"/>
      <c r="BQ361" s="442"/>
      <c r="BR361" s="442"/>
      <c r="BS361" s="442"/>
      <c r="BT361" s="442"/>
      <c r="BU361" s="442"/>
      <c r="BV361" s="442"/>
      <c r="BW361" s="442"/>
      <c r="BX361" s="442"/>
      <c r="BY361" s="442"/>
      <c r="BZ361" s="442"/>
      <c r="CA361" s="442"/>
      <c r="CB361" s="442"/>
      <c r="CC361" s="442"/>
      <c r="CD361" s="442"/>
      <c r="CE361" s="442"/>
      <c r="CF361" s="442"/>
      <c r="CG361" s="442"/>
      <c r="CH361" s="442"/>
      <c r="CI361" s="442"/>
    </row>
    <row r="362" spans="4:135" x14ac:dyDescent="0.2"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  <c r="AA362" s="442"/>
      <c r="AB362" s="442"/>
      <c r="AC362" s="442"/>
      <c r="AD362" s="442"/>
      <c r="AE362" s="442"/>
      <c r="AF362" s="442"/>
      <c r="AG362" s="442"/>
      <c r="AH362" s="442"/>
      <c r="AI362" s="442"/>
      <c r="AJ362" s="442"/>
      <c r="AK362" s="442"/>
      <c r="AL362" s="442"/>
      <c r="AM362" s="442"/>
      <c r="AN362" s="442"/>
      <c r="AO362" s="442"/>
      <c r="AP362" s="442"/>
      <c r="AQ362" s="442"/>
      <c r="AR362" s="442"/>
      <c r="AS362" s="442"/>
      <c r="AT362" s="442"/>
      <c r="AU362" s="442"/>
      <c r="AV362" s="442"/>
      <c r="AW362" s="442"/>
      <c r="AX362" s="442"/>
      <c r="AY362" s="442"/>
      <c r="AZ362" s="442"/>
      <c r="BA362" s="442"/>
      <c r="BB362" s="442"/>
      <c r="BC362" s="442"/>
      <c r="BD362" s="442"/>
      <c r="BE362" s="442"/>
      <c r="BF362" s="442"/>
      <c r="BG362" s="442"/>
      <c r="BH362" s="442"/>
      <c r="BI362" s="442"/>
      <c r="BJ362" s="442"/>
      <c r="BK362" s="442"/>
      <c r="BL362" s="442"/>
      <c r="BM362" s="442"/>
      <c r="BN362" s="442"/>
      <c r="BO362" s="442"/>
      <c r="BP362" s="442"/>
      <c r="BQ362" s="442"/>
      <c r="BR362" s="442"/>
      <c r="BS362" s="442"/>
      <c r="BT362" s="442"/>
      <c r="BU362" s="442"/>
      <c r="BV362" s="442"/>
      <c r="BW362" s="442"/>
      <c r="BX362" s="442"/>
      <c r="BY362" s="442"/>
      <c r="BZ362" s="442"/>
      <c r="CA362" s="442"/>
      <c r="CB362" s="442"/>
      <c r="CC362" s="442"/>
      <c r="CD362" s="442"/>
      <c r="CE362" s="442"/>
      <c r="CF362" s="442"/>
      <c r="CG362" s="442"/>
      <c r="CH362" s="442"/>
      <c r="CI362" s="442"/>
    </row>
    <row r="363" spans="4:135" x14ac:dyDescent="0.2">
      <c r="D363" s="44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  <c r="AA363" s="442"/>
      <c r="AB363" s="442"/>
      <c r="AC363" s="442"/>
      <c r="AD363" s="442"/>
      <c r="AE363" s="442"/>
      <c r="AF363" s="442"/>
      <c r="AG363" s="442"/>
      <c r="AH363" s="442"/>
      <c r="AI363" s="442"/>
      <c r="AJ363" s="442"/>
      <c r="AK363" s="442"/>
      <c r="AL363" s="442"/>
      <c r="AM363" s="442"/>
      <c r="AN363" s="442"/>
      <c r="AO363" s="442"/>
      <c r="AP363" s="442"/>
      <c r="AQ363" s="442"/>
      <c r="AR363" s="442"/>
      <c r="AS363" s="442"/>
      <c r="AT363" s="442"/>
      <c r="AU363" s="442"/>
      <c r="AV363" s="442"/>
      <c r="AW363" s="442"/>
      <c r="AX363" s="442"/>
      <c r="AY363" s="442"/>
      <c r="AZ363" s="442"/>
      <c r="BA363" s="442"/>
      <c r="BB363" s="442"/>
      <c r="BC363" s="442"/>
      <c r="BD363" s="442"/>
      <c r="BE363" s="442"/>
      <c r="BF363" s="442"/>
      <c r="BG363" s="442"/>
      <c r="BH363" s="442"/>
      <c r="BI363" s="442"/>
      <c r="BJ363" s="442"/>
      <c r="BK363" s="442"/>
      <c r="BL363" s="442"/>
      <c r="BM363" s="442"/>
      <c r="BN363" s="442"/>
      <c r="BO363" s="442"/>
      <c r="BP363" s="442"/>
      <c r="BQ363" s="442"/>
      <c r="BR363" s="442"/>
      <c r="BS363" s="442"/>
      <c r="BT363" s="442"/>
      <c r="BU363" s="442"/>
      <c r="BV363" s="442"/>
      <c r="BW363" s="442"/>
      <c r="BX363" s="442"/>
      <c r="BY363" s="442"/>
      <c r="BZ363" s="442"/>
      <c r="CA363" s="442"/>
      <c r="CB363" s="442"/>
      <c r="CC363" s="442"/>
      <c r="CD363" s="442"/>
      <c r="CE363" s="442"/>
      <c r="CF363" s="442"/>
      <c r="CG363" s="442"/>
      <c r="CH363" s="442"/>
      <c r="CI363" s="442"/>
    </row>
    <row r="364" spans="4:135" x14ac:dyDescent="0.2">
      <c r="D364" s="44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  <c r="AA364" s="442"/>
      <c r="AB364" s="442"/>
      <c r="AC364" s="442"/>
      <c r="AD364" s="442"/>
      <c r="AE364" s="442"/>
      <c r="AF364" s="442"/>
      <c r="AG364" s="442"/>
      <c r="AH364" s="442"/>
      <c r="AI364" s="442"/>
      <c r="AJ364" s="442"/>
      <c r="AK364" s="442"/>
      <c r="AL364" s="442"/>
      <c r="AM364" s="442"/>
      <c r="AN364" s="442"/>
      <c r="AO364" s="442"/>
      <c r="AP364" s="442"/>
      <c r="AQ364" s="442"/>
      <c r="AR364" s="442"/>
      <c r="AS364" s="442"/>
      <c r="AT364" s="442"/>
      <c r="AU364" s="442"/>
      <c r="AV364" s="442"/>
      <c r="AW364" s="442"/>
      <c r="AX364" s="442"/>
      <c r="AY364" s="442"/>
      <c r="AZ364" s="442"/>
      <c r="BA364" s="442"/>
      <c r="BB364" s="442"/>
      <c r="BC364" s="442"/>
      <c r="BD364" s="442"/>
      <c r="BE364" s="442"/>
      <c r="BF364" s="442"/>
      <c r="BG364" s="442"/>
      <c r="BH364" s="442"/>
      <c r="BI364" s="442"/>
      <c r="BJ364" s="442"/>
      <c r="BK364" s="442"/>
      <c r="BL364" s="442"/>
      <c r="BM364" s="442"/>
      <c r="BN364" s="442"/>
      <c r="BO364" s="442"/>
      <c r="BP364" s="442"/>
      <c r="BQ364" s="442"/>
      <c r="BR364" s="442"/>
      <c r="BS364" s="442"/>
      <c r="BT364" s="442"/>
      <c r="BU364" s="442"/>
      <c r="BV364" s="442"/>
      <c r="BW364" s="442"/>
      <c r="BX364" s="442"/>
      <c r="BY364" s="442"/>
      <c r="BZ364" s="442"/>
      <c r="CA364" s="442"/>
      <c r="CB364" s="442"/>
      <c r="CC364" s="442"/>
      <c r="CD364" s="442"/>
      <c r="CE364" s="442"/>
      <c r="CF364" s="442"/>
      <c r="CG364" s="442"/>
      <c r="CH364" s="442"/>
      <c r="CI364" s="442"/>
    </row>
    <row r="365" spans="4:135" x14ac:dyDescent="0.2">
      <c r="D365" s="44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  <c r="AA365" s="442"/>
      <c r="AB365" s="442"/>
      <c r="AC365" s="442"/>
      <c r="AD365" s="442"/>
      <c r="AE365" s="442"/>
      <c r="AF365" s="442"/>
      <c r="AG365" s="442"/>
      <c r="AH365" s="442"/>
      <c r="AI365" s="442"/>
      <c r="AJ365" s="442"/>
      <c r="AK365" s="442"/>
      <c r="AL365" s="442"/>
      <c r="AM365" s="442"/>
      <c r="AN365" s="442"/>
      <c r="AO365" s="442"/>
      <c r="AP365" s="442"/>
      <c r="AQ365" s="442"/>
      <c r="AR365" s="442"/>
      <c r="AS365" s="442"/>
      <c r="AT365" s="442"/>
      <c r="AU365" s="442"/>
      <c r="AV365" s="442"/>
      <c r="AW365" s="442"/>
      <c r="AX365" s="442"/>
      <c r="AY365" s="442"/>
      <c r="AZ365" s="442"/>
      <c r="BA365" s="442"/>
      <c r="BB365" s="442"/>
      <c r="BC365" s="442"/>
      <c r="BD365" s="442"/>
      <c r="BE365" s="442"/>
      <c r="BF365" s="442"/>
      <c r="BG365" s="442"/>
      <c r="BH365" s="442"/>
      <c r="BI365" s="442"/>
      <c r="BJ365" s="442"/>
      <c r="BK365" s="442"/>
      <c r="BL365" s="442"/>
      <c r="BM365" s="442"/>
      <c r="BN365" s="442"/>
      <c r="BO365" s="442"/>
      <c r="BP365" s="442"/>
      <c r="BQ365" s="442"/>
      <c r="BR365" s="442"/>
      <c r="BS365" s="442"/>
      <c r="BT365" s="442"/>
      <c r="BU365" s="442"/>
      <c r="BV365" s="442"/>
      <c r="BW365" s="442"/>
      <c r="BX365" s="442"/>
      <c r="BY365" s="442"/>
      <c r="BZ365" s="442"/>
      <c r="CA365" s="442"/>
      <c r="CB365" s="442"/>
      <c r="CC365" s="442"/>
      <c r="CD365" s="442"/>
      <c r="CE365" s="442"/>
      <c r="CF365" s="442"/>
      <c r="CG365" s="442"/>
      <c r="CH365" s="442"/>
      <c r="CI365" s="442"/>
    </row>
    <row r="366" spans="4:135" x14ac:dyDescent="0.2">
      <c r="D366" s="44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  <c r="AA366" s="442"/>
      <c r="AB366" s="442"/>
      <c r="AC366" s="442"/>
      <c r="AD366" s="442"/>
      <c r="AE366" s="442"/>
      <c r="AF366" s="442"/>
      <c r="AG366" s="442"/>
      <c r="AH366" s="442"/>
      <c r="AI366" s="442"/>
      <c r="AJ366" s="442"/>
      <c r="AK366" s="442"/>
      <c r="AL366" s="442"/>
      <c r="AM366" s="442"/>
      <c r="AN366" s="442"/>
      <c r="AO366" s="442"/>
      <c r="AP366" s="442"/>
      <c r="AQ366" s="442"/>
      <c r="AR366" s="442"/>
      <c r="AS366" s="442"/>
      <c r="AT366" s="442"/>
      <c r="AU366" s="442"/>
      <c r="AV366" s="442"/>
      <c r="AW366" s="442"/>
      <c r="AX366" s="442"/>
      <c r="AY366" s="442"/>
      <c r="AZ366" s="442"/>
      <c r="BA366" s="442"/>
      <c r="BB366" s="442"/>
      <c r="BC366" s="442"/>
      <c r="BD366" s="442"/>
      <c r="BE366" s="442"/>
      <c r="BF366" s="442"/>
      <c r="BG366" s="442"/>
      <c r="BH366" s="442"/>
      <c r="BI366" s="442"/>
      <c r="BJ366" s="442"/>
      <c r="BK366" s="442"/>
      <c r="BL366" s="442"/>
      <c r="BM366" s="442"/>
      <c r="BN366" s="442"/>
      <c r="BO366" s="442"/>
      <c r="BP366" s="442"/>
      <c r="BQ366" s="442"/>
      <c r="BR366" s="442"/>
      <c r="BS366" s="442"/>
      <c r="BT366" s="442"/>
      <c r="BU366" s="442"/>
      <c r="BV366" s="442"/>
      <c r="BW366" s="442"/>
      <c r="BX366" s="442"/>
      <c r="BY366" s="442"/>
      <c r="BZ366" s="442"/>
      <c r="CA366" s="442"/>
      <c r="CB366" s="442"/>
      <c r="CC366" s="442"/>
      <c r="CD366" s="442"/>
      <c r="CE366" s="442"/>
      <c r="CF366" s="442"/>
      <c r="CG366" s="442"/>
      <c r="CH366" s="442"/>
      <c r="CI366" s="442"/>
    </row>
    <row r="367" spans="4:135" x14ac:dyDescent="0.2">
      <c r="D367" s="44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  <c r="AA367" s="442"/>
      <c r="AB367" s="442"/>
      <c r="AC367" s="442"/>
      <c r="AD367" s="442"/>
      <c r="AE367" s="442"/>
      <c r="AF367" s="442"/>
      <c r="AG367" s="442"/>
      <c r="AH367" s="442"/>
      <c r="AI367" s="442"/>
      <c r="AJ367" s="442"/>
      <c r="AK367" s="442"/>
      <c r="AL367" s="442"/>
      <c r="AM367" s="442"/>
      <c r="AN367" s="442"/>
      <c r="AO367" s="442"/>
      <c r="AP367" s="442"/>
      <c r="AQ367" s="442"/>
      <c r="AR367" s="442"/>
      <c r="AS367" s="442"/>
      <c r="AT367" s="442"/>
      <c r="AU367" s="442"/>
      <c r="AV367" s="442"/>
      <c r="AW367" s="442"/>
      <c r="AX367" s="442"/>
      <c r="AY367" s="442"/>
      <c r="AZ367" s="442"/>
      <c r="BA367" s="442"/>
      <c r="BB367" s="442"/>
      <c r="BC367" s="442"/>
      <c r="BD367" s="442"/>
      <c r="BE367" s="442"/>
      <c r="BF367" s="442"/>
      <c r="BG367" s="442"/>
      <c r="BH367" s="442"/>
      <c r="BI367" s="442"/>
      <c r="BJ367" s="442"/>
      <c r="BK367" s="442"/>
      <c r="BL367" s="442"/>
      <c r="BM367" s="442"/>
      <c r="BN367" s="442"/>
      <c r="BO367" s="442"/>
      <c r="BP367" s="442"/>
      <c r="BQ367" s="442"/>
      <c r="BR367" s="442"/>
      <c r="BS367" s="442"/>
      <c r="BT367" s="442"/>
      <c r="BU367" s="442"/>
      <c r="BV367" s="442"/>
      <c r="BW367" s="442"/>
      <c r="BX367" s="442"/>
      <c r="BY367" s="442"/>
      <c r="BZ367" s="442"/>
      <c r="CA367" s="442"/>
      <c r="CB367" s="442"/>
      <c r="CC367" s="442"/>
      <c r="CD367" s="442"/>
      <c r="CE367" s="442"/>
      <c r="CF367" s="442"/>
      <c r="CG367" s="442"/>
      <c r="CH367" s="442"/>
      <c r="CI367" s="442"/>
    </row>
    <row r="368" spans="4:135" x14ac:dyDescent="0.2">
      <c r="D368" s="44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  <c r="AA368" s="442"/>
      <c r="AB368" s="442"/>
      <c r="AC368" s="442"/>
      <c r="AD368" s="442"/>
      <c r="AE368" s="442"/>
      <c r="AF368" s="442"/>
      <c r="AG368" s="442"/>
      <c r="AH368" s="442"/>
      <c r="AI368" s="442"/>
      <c r="AJ368" s="442"/>
      <c r="AK368" s="442"/>
      <c r="AL368" s="442"/>
      <c r="AM368" s="442"/>
      <c r="AN368" s="442"/>
      <c r="AO368" s="442"/>
      <c r="AP368" s="442"/>
      <c r="AQ368" s="442"/>
      <c r="AR368" s="442"/>
      <c r="AS368" s="442"/>
      <c r="AT368" s="442"/>
      <c r="AU368" s="442"/>
      <c r="AV368" s="442"/>
      <c r="AW368" s="442"/>
      <c r="AX368" s="442"/>
      <c r="AY368" s="442"/>
      <c r="AZ368" s="442"/>
      <c r="BA368" s="442"/>
      <c r="BB368" s="442"/>
      <c r="BC368" s="442"/>
      <c r="BD368" s="442"/>
      <c r="BE368" s="442"/>
      <c r="BF368" s="442"/>
      <c r="BG368" s="442"/>
      <c r="BH368" s="442"/>
      <c r="BI368" s="442"/>
      <c r="BJ368" s="442"/>
      <c r="BK368" s="442"/>
      <c r="BL368" s="442"/>
      <c r="BM368" s="442"/>
      <c r="BN368" s="442"/>
      <c r="BO368" s="442"/>
      <c r="BP368" s="442"/>
      <c r="BQ368" s="442"/>
      <c r="BR368" s="442"/>
      <c r="BS368" s="442"/>
      <c r="BT368" s="442"/>
      <c r="BU368" s="442"/>
      <c r="BV368" s="442"/>
      <c r="BW368" s="442"/>
      <c r="BX368" s="442"/>
      <c r="BY368" s="442"/>
      <c r="BZ368" s="442"/>
      <c r="CA368" s="442"/>
      <c r="CB368" s="442"/>
      <c r="CC368" s="442"/>
      <c r="CD368" s="442"/>
      <c r="CE368" s="442"/>
      <c r="CF368" s="442"/>
      <c r="CG368" s="442"/>
      <c r="CH368" s="442"/>
      <c r="CI368" s="442"/>
    </row>
    <row r="369" spans="4:87" x14ac:dyDescent="0.2">
      <c r="D369" s="44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  <c r="AA369" s="442"/>
      <c r="AB369" s="442"/>
      <c r="AC369" s="442"/>
      <c r="AD369" s="442"/>
      <c r="AE369" s="442"/>
      <c r="AF369" s="442"/>
      <c r="AG369" s="442"/>
      <c r="AH369" s="442"/>
      <c r="AI369" s="442"/>
      <c r="AJ369" s="442"/>
      <c r="AK369" s="442"/>
      <c r="AL369" s="442"/>
      <c r="AM369" s="442"/>
      <c r="AN369" s="442"/>
      <c r="AO369" s="442"/>
      <c r="AP369" s="442"/>
      <c r="AQ369" s="442"/>
      <c r="AR369" s="442"/>
      <c r="AS369" s="442"/>
      <c r="AT369" s="442"/>
      <c r="AU369" s="442"/>
      <c r="AV369" s="442"/>
      <c r="AW369" s="442"/>
      <c r="AX369" s="442"/>
      <c r="AY369" s="442"/>
      <c r="AZ369" s="442"/>
      <c r="BA369" s="442"/>
      <c r="BB369" s="442"/>
      <c r="BC369" s="442"/>
      <c r="BD369" s="442"/>
      <c r="BE369" s="442"/>
      <c r="BF369" s="442"/>
      <c r="BG369" s="442"/>
      <c r="BH369" s="442"/>
      <c r="BI369" s="442"/>
      <c r="BJ369" s="442"/>
      <c r="BK369" s="442"/>
      <c r="BL369" s="442"/>
      <c r="BM369" s="442"/>
      <c r="BN369" s="442"/>
      <c r="BO369" s="442"/>
      <c r="BP369" s="442"/>
      <c r="BQ369" s="442"/>
      <c r="BR369" s="442"/>
      <c r="BS369" s="442"/>
      <c r="BT369" s="442"/>
      <c r="BU369" s="442"/>
      <c r="BV369" s="442"/>
      <c r="BW369" s="442"/>
      <c r="BX369" s="442"/>
      <c r="BY369" s="442"/>
      <c r="BZ369" s="442"/>
      <c r="CA369" s="442"/>
      <c r="CB369" s="442"/>
      <c r="CC369" s="442"/>
      <c r="CD369" s="442"/>
      <c r="CE369" s="442"/>
      <c r="CF369" s="442"/>
      <c r="CG369" s="442"/>
      <c r="CH369" s="442"/>
      <c r="CI369" s="442"/>
    </row>
    <row r="370" spans="4:87" x14ac:dyDescent="0.2">
      <c r="D370" s="44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  <c r="AA370" s="442"/>
      <c r="AB370" s="442"/>
      <c r="AC370" s="442"/>
      <c r="AD370" s="442"/>
      <c r="AE370" s="442"/>
      <c r="AF370" s="442"/>
      <c r="AG370" s="442"/>
      <c r="AH370" s="442"/>
      <c r="AI370" s="442"/>
      <c r="AJ370" s="442"/>
      <c r="AK370" s="442"/>
      <c r="AL370" s="442"/>
      <c r="AM370" s="442"/>
      <c r="AN370" s="442"/>
      <c r="AO370" s="442"/>
      <c r="AP370" s="442"/>
      <c r="AQ370" s="442"/>
      <c r="AR370" s="442"/>
      <c r="AS370" s="442"/>
      <c r="AT370" s="442"/>
      <c r="AU370" s="442"/>
      <c r="AV370" s="442"/>
      <c r="AW370" s="442"/>
      <c r="AX370" s="442"/>
      <c r="AY370" s="442"/>
      <c r="AZ370" s="442"/>
      <c r="BA370" s="442"/>
      <c r="BB370" s="442"/>
      <c r="BC370" s="442"/>
      <c r="BD370" s="442"/>
      <c r="BE370" s="442"/>
      <c r="BF370" s="442"/>
      <c r="BG370" s="442"/>
      <c r="BH370" s="442"/>
      <c r="BI370" s="442"/>
      <c r="BJ370" s="442"/>
      <c r="BK370" s="442"/>
      <c r="BL370" s="442"/>
      <c r="BM370" s="442"/>
      <c r="BN370" s="442"/>
      <c r="BO370" s="442"/>
      <c r="BP370" s="442"/>
      <c r="BQ370" s="442"/>
      <c r="BR370" s="442"/>
      <c r="BS370" s="442"/>
      <c r="BT370" s="442"/>
      <c r="BU370" s="442"/>
      <c r="BV370" s="442"/>
      <c r="BW370" s="442"/>
      <c r="BX370" s="442"/>
      <c r="BY370" s="442"/>
      <c r="BZ370" s="442"/>
      <c r="CA370" s="442"/>
      <c r="CB370" s="442"/>
      <c r="CC370" s="442"/>
      <c r="CD370" s="442"/>
      <c r="CE370" s="442"/>
      <c r="CF370" s="442"/>
      <c r="CG370" s="442"/>
      <c r="CH370" s="442"/>
      <c r="CI370" s="442"/>
    </row>
    <row r="371" spans="4:87" x14ac:dyDescent="0.2">
      <c r="D371" s="44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  <c r="AA371" s="442"/>
      <c r="AB371" s="442"/>
      <c r="AC371" s="442"/>
      <c r="AD371" s="442"/>
      <c r="AE371" s="442"/>
      <c r="AF371" s="442"/>
      <c r="AG371" s="442"/>
      <c r="AH371" s="442"/>
      <c r="AI371" s="442"/>
      <c r="AJ371" s="442"/>
      <c r="AK371" s="442"/>
      <c r="AL371" s="442"/>
      <c r="AM371" s="442"/>
      <c r="AN371" s="442"/>
      <c r="AO371" s="442"/>
      <c r="AP371" s="442"/>
      <c r="AQ371" s="442"/>
      <c r="AR371" s="442"/>
      <c r="AS371" s="442"/>
      <c r="AT371" s="442"/>
      <c r="AU371" s="442"/>
      <c r="AV371" s="442"/>
      <c r="AW371" s="442"/>
      <c r="AX371" s="442"/>
      <c r="AY371" s="442"/>
      <c r="AZ371" s="442"/>
      <c r="BA371" s="442"/>
      <c r="BB371" s="442"/>
      <c r="BC371" s="442"/>
      <c r="BD371" s="442"/>
      <c r="BE371" s="442"/>
      <c r="BF371" s="442"/>
      <c r="BG371" s="442"/>
      <c r="BH371" s="442"/>
      <c r="BI371" s="442"/>
      <c r="BJ371" s="442"/>
      <c r="BK371" s="442"/>
      <c r="BL371" s="442"/>
      <c r="BM371" s="442"/>
      <c r="BN371" s="442"/>
      <c r="BO371" s="442"/>
      <c r="BP371" s="442"/>
      <c r="BQ371" s="442"/>
      <c r="BR371" s="442"/>
      <c r="BS371" s="442"/>
      <c r="BT371" s="442"/>
      <c r="BU371" s="442"/>
      <c r="BV371" s="442"/>
      <c r="BW371" s="442"/>
      <c r="BX371" s="442"/>
      <c r="BY371" s="442"/>
      <c r="BZ371" s="442"/>
      <c r="CA371" s="442"/>
      <c r="CB371" s="442"/>
      <c r="CC371" s="442"/>
      <c r="CD371" s="442"/>
      <c r="CE371" s="442"/>
      <c r="CF371" s="442"/>
      <c r="CG371" s="442"/>
      <c r="CH371" s="442"/>
      <c r="CI371" s="442"/>
    </row>
    <row r="372" spans="4:87" x14ac:dyDescent="0.2">
      <c r="D372" s="44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  <c r="AA372" s="442"/>
      <c r="AB372" s="442"/>
      <c r="AC372" s="442"/>
      <c r="AD372" s="442"/>
      <c r="AE372" s="442"/>
      <c r="AF372" s="442"/>
      <c r="AG372" s="442"/>
      <c r="AH372" s="442"/>
      <c r="AI372" s="442"/>
      <c r="AJ372" s="442"/>
      <c r="AK372" s="442"/>
      <c r="AL372" s="442"/>
      <c r="AM372" s="442"/>
      <c r="AN372" s="442"/>
      <c r="AO372" s="442"/>
      <c r="AP372" s="442"/>
      <c r="AQ372" s="442"/>
      <c r="AR372" s="442"/>
      <c r="AS372" s="442"/>
      <c r="AT372" s="442"/>
      <c r="AU372" s="442"/>
      <c r="AV372" s="442"/>
      <c r="AW372" s="442"/>
      <c r="AX372" s="442"/>
      <c r="AY372" s="442"/>
      <c r="AZ372" s="442"/>
      <c r="BA372" s="442"/>
      <c r="BB372" s="442"/>
      <c r="BC372" s="442"/>
      <c r="BD372" s="442"/>
      <c r="BE372" s="442"/>
      <c r="BF372" s="442"/>
      <c r="BG372" s="442"/>
      <c r="BH372" s="442"/>
      <c r="BI372" s="442"/>
      <c r="BJ372" s="442"/>
      <c r="BK372" s="442"/>
      <c r="BL372" s="442"/>
      <c r="BM372" s="442"/>
      <c r="BN372" s="442"/>
      <c r="BO372" s="442"/>
      <c r="BP372" s="442"/>
      <c r="BQ372" s="442"/>
      <c r="BR372" s="442"/>
      <c r="BS372" s="442"/>
      <c r="BT372" s="442"/>
      <c r="BU372" s="442"/>
      <c r="BV372" s="442"/>
      <c r="BW372" s="442"/>
      <c r="BX372" s="442"/>
      <c r="BY372" s="442"/>
      <c r="BZ372" s="442"/>
      <c r="CA372" s="442"/>
      <c r="CB372" s="442"/>
      <c r="CC372" s="442"/>
      <c r="CD372" s="442"/>
      <c r="CE372" s="442"/>
      <c r="CF372" s="442"/>
      <c r="CG372" s="442"/>
      <c r="CH372" s="442"/>
      <c r="CI372" s="442"/>
    </row>
    <row r="373" spans="4:87" x14ac:dyDescent="0.2">
      <c r="D373" s="44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  <c r="AA373" s="442"/>
      <c r="AB373" s="442"/>
      <c r="AC373" s="442"/>
      <c r="AD373" s="442"/>
      <c r="AE373" s="442"/>
      <c r="AF373" s="442"/>
      <c r="AG373" s="442"/>
      <c r="AH373" s="442"/>
      <c r="AI373" s="442"/>
      <c r="AJ373" s="442"/>
      <c r="AK373" s="442"/>
      <c r="AL373" s="442"/>
      <c r="AM373" s="442"/>
      <c r="AN373" s="442"/>
      <c r="AO373" s="442"/>
      <c r="AP373" s="442"/>
      <c r="AQ373" s="442"/>
      <c r="AR373" s="442"/>
      <c r="AS373" s="442"/>
      <c r="AT373" s="442"/>
      <c r="AU373" s="442"/>
      <c r="AV373" s="442"/>
      <c r="AW373" s="442"/>
      <c r="AX373" s="442"/>
      <c r="AY373" s="442"/>
      <c r="AZ373" s="442"/>
      <c r="BA373" s="442"/>
      <c r="BB373" s="442"/>
      <c r="BC373" s="442"/>
      <c r="BD373" s="442"/>
      <c r="BE373" s="442"/>
      <c r="BF373" s="442"/>
      <c r="BG373" s="442"/>
      <c r="BH373" s="442"/>
      <c r="BI373" s="442"/>
      <c r="BJ373" s="442"/>
      <c r="BK373" s="442"/>
      <c r="BL373" s="442"/>
      <c r="BM373" s="442"/>
      <c r="BN373" s="442"/>
      <c r="BO373" s="442"/>
      <c r="BP373" s="442"/>
      <c r="BQ373" s="442"/>
      <c r="BR373" s="442"/>
      <c r="BS373" s="442"/>
      <c r="BT373" s="442"/>
      <c r="BU373" s="442"/>
      <c r="BV373" s="442"/>
      <c r="BW373" s="442"/>
      <c r="BX373" s="442"/>
      <c r="BY373" s="442"/>
      <c r="BZ373" s="442"/>
      <c r="CA373" s="442"/>
      <c r="CB373" s="442"/>
      <c r="CC373" s="442"/>
      <c r="CD373" s="442"/>
      <c r="CE373" s="442"/>
      <c r="CF373" s="442"/>
      <c r="CG373" s="442"/>
      <c r="CH373" s="442"/>
      <c r="CI373" s="442"/>
    </row>
    <row r="374" spans="4:87" x14ac:dyDescent="0.2"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  <c r="AA374" s="442"/>
      <c r="AB374" s="442"/>
      <c r="AC374" s="442"/>
      <c r="AD374" s="442"/>
      <c r="AE374" s="442"/>
      <c r="AF374" s="442"/>
      <c r="AG374" s="442"/>
      <c r="AH374" s="442"/>
      <c r="AI374" s="442"/>
      <c r="AJ374" s="442"/>
      <c r="AK374" s="442"/>
      <c r="AL374" s="442"/>
      <c r="AM374" s="442"/>
      <c r="AN374" s="442"/>
      <c r="AO374" s="442"/>
      <c r="AP374" s="442"/>
      <c r="AQ374" s="442"/>
      <c r="AR374" s="442"/>
      <c r="AS374" s="442"/>
      <c r="AT374" s="442"/>
      <c r="AU374" s="442"/>
      <c r="AV374" s="442"/>
      <c r="AW374" s="442"/>
      <c r="AX374" s="442"/>
      <c r="AY374" s="442"/>
      <c r="AZ374" s="442"/>
      <c r="BA374" s="442"/>
      <c r="BB374" s="442"/>
      <c r="BC374" s="442"/>
      <c r="BD374" s="442"/>
      <c r="BE374" s="442"/>
      <c r="BF374" s="442"/>
      <c r="BG374" s="442"/>
      <c r="BH374" s="442"/>
      <c r="BI374" s="442"/>
      <c r="BJ374" s="442"/>
      <c r="BK374" s="442"/>
      <c r="BL374" s="442"/>
      <c r="BM374" s="442"/>
      <c r="BN374" s="442"/>
      <c r="BO374" s="442"/>
      <c r="BP374" s="442"/>
      <c r="BQ374" s="442"/>
      <c r="BR374" s="442"/>
      <c r="BS374" s="442"/>
      <c r="BT374" s="442"/>
      <c r="BU374" s="442"/>
      <c r="BV374" s="442"/>
      <c r="BW374" s="442"/>
      <c r="BX374" s="442"/>
      <c r="BY374" s="442"/>
      <c r="BZ374" s="442"/>
      <c r="CA374" s="442"/>
      <c r="CB374" s="442"/>
      <c r="CC374" s="442"/>
      <c r="CD374" s="442"/>
      <c r="CE374" s="442"/>
      <c r="CF374" s="442"/>
      <c r="CG374" s="442"/>
      <c r="CH374" s="442"/>
      <c r="CI374" s="442"/>
    </row>
    <row r="375" spans="4:87" x14ac:dyDescent="0.2">
      <c r="D375" s="44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  <c r="AA375" s="442"/>
      <c r="AB375" s="442"/>
      <c r="AC375" s="442"/>
      <c r="AD375" s="442"/>
      <c r="AE375" s="442"/>
      <c r="AF375" s="442"/>
      <c r="AG375" s="442"/>
      <c r="AH375" s="442"/>
      <c r="AI375" s="442"/>
      <c r="AJ375" s="442"/>
      <c r="AK375" s="442"/>
      <c r="AL375" s="442"/>
      <c r="AM375" s="442"/>
      <c r="AN375" s="442"/>
      <c r="AO375" s="442"/>
      <c r="AP375" s="442"/>
      <c r="AQ375" s="442"/>
      <c r="AR375" s="442"/>
      <c r="AS375" s="442"/>
      <c r="AT375" s="442"/>
      <c r="AU375" s="442"/>
      <c r="AV375" s="442"/>
      <c r="AW375" s="442"/>
      <c r="AX375" s="442"/>
      <c r="AY375" s="442"/>
      <c r="AZ375" s="442"/>
      <c r="BA375" s="442"/>
      <c r="BB375" s="442"/>
      <c r="BC375" s="442"/>
      <c r="BD375" s="442"/>
      <c r="BE375" s="442"/>
      <c r="BF375" s="442"/>
      <c r="BG375" s="442"/>
      <c r="BH375" s="442"/>
      <c r="BI375" s="442"/>
      <c r="BJ375" s="442"/>
      <c r="BK375" s="442"/>
      <c r="BL375" s="442"/>
      <c r="BM375" s="442"/>
      <c r="BN375" s="442"/>
      <c r="BO375" s="442"/>
      <c r="BP375" s="442"/>
      <c r="BQ375" s="442"/>
      <c r="BR375" s="442"/>
      <c r="BS375" s="442"/>
      <c r="BT375" s="442"/>
      <c r="BU375" s="442"/>
      <c r="BV375" s="442"/>
      <c r="BW375" s="442"/>
      <c r="BX375" s="442"/>
      <c r="BY375" s="442"/>
      <c r="BZ375" s="442"/>
      <c r="CA375" s="442"/>
      <c r="CB375" s="442"/>
      <c r="CC375" s="442"/>
      <c r="CD375" s="442"/>
      <c r="CE375" s="442"/>
      <c r="CF375" s="442"/>
      <c r="CG375" s="442"/>
      <c r="CH375" s="442"/>
      <c r="CI375" s="442"/>
    </row>
    <row r="376" spans="4:87" x14ac:dyDescent="0.2">
      <c r="D376" s="44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  <c r="AA376" s="442"/>
      <c r="AB376" s="442"/>
      <c r="AC376" s="442"/>
      <c r="AD376" s="442"/>
      <c r="AE376" s="442"/>
      <c r="AF376" s="442"/>
      <c r="AG376" s="442"/>
      <c r="AH376" s="442"/>
      <c r="AI376" s="442"/>
      <c r="AJ376" s="442"/>
      <c r="AK376" s="442"/>
      <c r="AL376" s="442"/>
      <c r="AM376" s="442"/>
      <c r="AN376" s="442"/>
      <c r="AO376" s="442"/>
      <c r="AP376" s="442"/>
      <c r="AQ376" s="442"/>
      <c r="AR376" s="442"/>
      <c r="AS376" s="442"/>
      <c r="AT376" s="442"/>
      <c r="AU376" s="442"/>
      <c r="AV376" s="442"/>
      <c r="AW376" s="442"/>
      <c r="AX376" s="442"/>
      <c r="AY376" s="442"/>
      <c r="AZ376" s="442"/>
      <c r="BA376" s="442"/>
      <c r="BB376" s="442"/>
      <c r="BC376" s="442"/>
      <c r="BD376" s="442"/>
      <c r="BE376" s="442"/>
      <c r="BF376" s="442"/>
      <c r="BG376" s="442"/>
      <c r="BH376" s="442"/>
      <c r="BI376" s="442"/>
      <c r="BJ376" s="442"/>
      <c r="BK376" s="442"/>
      <c r="BL376" s="442"/>
      <c r="BM376" s="442"/>
      <c r="BN376" s="442"/>
      <c r="BO376" s="442"/>
      <c r="BP376" s="442"/>
      <c r="BQ376" s="442"/>
      <c r="BR376" s="442"/>
      <c r="BS376" s="442"/>
      <c r="BT376" s="442"/>
      <c r="BU376" s="442"/>
      <c r="BV376" s="442"/>
      <c r="BW376" s="442"/>
      <c r="BX376" s="442"/>
      <c r="BY376" s="442"/>
      <c r="BZ376" s="442"/>
      <c r="CA376" s="442"/>
      <c r="CB376" s="442"/>
      <c r="CC376" s="442"/>
      <c r="CD376" s="442"/>
      <c r="CE376" s="442"/>
      <c r="CF376" s="442"/>
      <c r="CG376" s="442"/>
      <c r="CH376" s="442"/>
      <c r="CI376" s="442"/>
    </row>
    <row r="377" spans="4:87" x14ac:dyDescent="0.2">
      <c r="D377" s="44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  <c r="AA377" s="442"/>
      <c r="AB377" s="442"/>
      <c r="AC377" s="442"/>
      <c r="AD377" s="442"/>
      <c r="AE377" s="442"/>
      <c r="AF377" s="442"/>
      <c r="AG377" s="442"/>
      <c r="AH377" s="442"/>
      <c r="AI377" s="442"/>
      <c r="AJ377" s="442"/>
      <c r="AK377" s="442"/>
      <c r="AL377" s="442"/>
      <c r="AM377" s="442"/>
      <c r="AN377" s="442"/>
      <c r="AO377" s="442"/>
      <c r="AP377" s="442"/>
      <c r="AQ377" s="442"/>
      <c r="AR377" s="442"/>
      <c r="AS377" s="442"/>
      <c r="AT377" s="442"/>
      <c r="AU377" s="442"/>
      <c r="AV377" s="442"/>
      <c r="AW377" s="442"/>
      <c r="AX377" s="442"/>
      <c r="AY377" s="442"/>
      <c r="AZ377" s="442"/>
      <c r="BA377" s="442"/>
      <c r="BB377" s="442"/>
      <c r="BC377" s="442"/>
      <c r="BD377" s="442"/>
      <c r="BE377" s="442"/>
      <c r="BF377" s="442"/>
      <c r="BG377" s="442"/>
      <c r="BH377" s="442"/>
      <c r="BI377" s="442"/>
      <c r="BJ377" s="442"/>
      <c r="BK377" s="442"/>
      <c r="BL377" s="442"/>
      <c r="BM377" s="442"/>
      <c r="BN377" s="442"/>
      <c r="BO377" s="442"/>
      <c r="BP377" s="442"/>
      <c r="BQ377" s="442"/>
      <c r="BR377" s="442"/>
      <c r="BS377" s="442"/>
      <c r="BT377" s="442"/>
      <c r="BU377" s="442"/>
      <c r="BV377" s="442"/>
      <c r="BW377" s="442"/>
      <c r="BX377" s="442"/>
      <c r="BY377" s="442"/>
      <c r="BZ377" s="442"/>
      <c r="CA377" s="442"/>
      <c r="CB377" s="442"/>
      <c r="CC377" s="442"/>
      <c r="CD377" s="442"/>
      <c r="CE377" s="442"/>
      <c r="CF377" s="442"/>
      <c r="CG377" s="442"/>
      <c r="CH377" s="442"/>
      <c r="CI377" s="442"/>
    </row>
    <row r="378" spans="4:87" x14ac:dyDescent="0.2"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  <c r="AA378" s="442"/>
      <c r="AB378" s="442"/>
      <c r="AC378" s="442"/>
      <c r="AD378" s="442"/>
      <c r="AE378" s="442"/>
      <c r="AF378" s="442"/>
      <c r="AG378" s="442"/>
      <c r="AH378" s="442"/>
      <c r="AI378" s="442"/>
      <c r="AJ378" s="442"/>
      <c r="AK378" s="442"/>
      <c r="AL378" s="442"/>
      <c r="AM378" s="442"/>
      <c r="AN378" s="442"/>
      <c r="AO378" s="442"/>
      <c r="AP378" s="442"/>
      <c r="AQ378" s="442"/>
      <c r="AR378" s="442"/>
      <c r="AS378" s="442"/>
      <c r="AT378" s="442"/>
      <c r="AU378" s="442"/>
      <c r="AV378" s="442"/>
      <c r="AW378" s="442"/>
      <c r="AX378" s="442"/>
      <c r="AY378" s="442"/>
      <c r="AZ378" s="442"/>
      <c r="BA378" s="442"/>
      <c r="BB378" s="442"/>
      <c r="BC378" s="442"/>
      <c r="BD378" s="442"/>
      <c r="BE378" s="442"/>
      <c r="BF378" s="442"/>
      <c r="BG378" s="442"/>
      <c r="BH378" s="442"/>
      <c r="BI378" s="442"/>
      <c r="BJ378" s="442"/>
      <c r="BK378" s="442"/>
      <c r="BL378" s="442"/>
      <c r="BM378" s="442"/>
      <c r="BN378" s="442"/>
      <c r="BO378" s="442"/>
      <c r="BP378" s="442"/>
      <c r="BQ378" s="442"/>
      <c r="BR378" s="442"/>
      <c r="BS378" s="442"/>
      <c r="BT378" s="442"/>
      <c r="BU378" s="442"/>
      <c r="BV378" s="442"/>
      <c r="BW378" s="442"/>
      <c r="BX378" s="442"/>
      <c r="BY378" s="442"/>
      <c r="BZ378" s="442"/>
      <c r="CA378" s="442"/>
      <c r="CB378" s="442"/>
      <c r="CC378" s="442"/>
      <c r="CD378" s="442"/>
      <c r="CE378" s="442"/>
      <c r="CF378" s="442"/>
      <c r="CG378" s="442"/>
      <c r="CH378" s="442"/>
      <c r="CI378" s="442"/>
    </row>
    <row r="379" spans="4:87" x14ac:dyDescent="0.2">
      <c r="D379" s="44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  <c r="AA379" s="442"/>
      <c r="AB379" s="442"/>
      <c r="AC379" s="442"/>
      <c r="AD379" s="442"/>
      <c r="AE379" s="442"/>
      <c r="AF379" s="442"/>
      <c r="AG379" s="442"/>
      <c r="AH379" s="442"/>
      <c r="AI379" s="442"/>
      <c r="AJ379" s="442"/>
      <c r="AK379" s="442"/>
      <c r="AL379" s="442"/>
      <c r="AM379" s="442"/>
      <c r="AN379" s="442"/>
      <c r="AO379" s="442"/>
      <c r="AP379" s="442"/>
      <c r="AQ379" s="442"/>
      <c r="AR379" s="442"/>
      <c r="AS379" s="442"/>
      <c r="AT379" s="442"/>
      <c r="AU379" s="442"/>
      <c r="AV379" s="442"/>
      <c r="AW379" s="442"/>
      <c r="AX379" s="442"/>
      <c r="AY379" s="442"/>
      <c r="AZ379" s="442"/>
      <c r="BA379" s="442"/>
      <c r="BB379" s="442"/>
      <c r="BC379" s="442"/>
      <c r="BD379" s="442"/>
      <c r="BE379" s="442"/>
      <c r="BF379" s="442"/>
      <c r="BG379" s="442"/>
      <c r="BH379" s="442"/>
      <c r="BI379" s="442"/>
      <c r="BJ379" s="442"/>
      <c r="BK379" s="442"/>
      <c r="BL379" s="442"/>
      <c r="BM379" s="442"/>
      <c r="BN379" s="442"/>
      <c r="BO379" s="442"/>
      <c r="BP379" s="442"/>
      <c r="BQ379" s="442"/>
      <c r="BR379" s="442"/>
      <c r="BS379" s="442"/>
      <c r="BT379" s="442"/>
      <c r="BU379" s="442"/>
      <c r="BV379" s="442"/>
      <c r="BW379" s="442"/>
      <c r="BX379" s="442"/>
      <c r="BY379" s="442"/>
      <c r="BZ379" s="442"/>
      <c r="CA379" s="442"/>
      <c r="CB379" s="442"/>
      <c r="CC379" s="442"/>
      <c r="CD379" s="442"/>
      <c r="CE379" s="442"/>
      <c r="CF379" s="442"/>
      <c r="CG379" s="442"/>
      <c r="CH379" s="442"/>
      <c r="CI379" s="442"/>
    </row>
    <row r="380" spans="4:87" x14ac:dyDescent="0.2">
      <c r="D380" s="44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  <c r="AA380" s="442"/>
      <c r="AB380" s="442"/>
      <c r="AC380" s="442"/>
      <c r="AD380" s="442"/>
      <c r="AE380" s="442"/>
      <c r="AF380" s="442"/>
      <c r="AG380" s="442"/>
      <c r="AH380" s="442"/>
      <c r="AI380" s="442"/>
      <c r="AJ380" s="442"/>
      <c r="AK380" s="442"/>
      <c r="AL380" s="442"/>
      <c r="AM380" s="442"/>
      <c r="AN380" s="442"/>
      <c r="AO380" s="442"/>
      <c r="AP380" s="442"/>
      <c r="AQ380" s="442"/>
      <c r="AR380" s="442"/>
      <c r="AS380" s="442"/>
      <c r="AT380" s="442"/>
      <c r="AU380" s="442"/>
      <c r="AV380" s="442"/>
      <c r="AW380" s="442"/>
      <c r="AX380" s="442"/>
      <c r="AY380" s="442"/>
      <c r="AZ380" s="442"/>
      <c r="BA380" s="442"/>
      <c r="BB380" s="442"/>
      <c r="BC380" s="442"/>
      <c r="BD380" s="442"/>
      <c r="BE380" s="442"/>
      <c r="BF380" s="442"/>
      <c r="BG380" s="442"/>
      <c r="BH380" s="442"/>
      <c r="BI380" s="442"/>
      <c r="BJ380" s="442"/>
      <c r="BK380" s="442"/>
      <c r="BL380" s="442"/>
      <c r="BM380" s="442"/>
      <c r="BN380" s="442"/>
      <c r="BO380" s="442"/>
      <c r="BP380" s="442"/>
      <c r="BQ380" s="442"/>
      <c r="BR380" s="442"/>
      <c r="BS380" s="442"/>
      <c r="BT380" s="442"/>
      <c r="BU380" s="442"/>
      <c r="BV380" s="442"/>
      <c r="BW380" s="442"/>
      <c r="BX380" s="442"/>
      <c r="BY380" s="442"/>
      <c r="BZ380" s="442"/>
      <c r="CA380" s="442"/>
      <c r="CB380" s="442"/>
      <c r="CC380" s="442"/>
      <c r="CD380" s="442"/>
      <c r="CE380" s="442"/>
      <c r="CF380" s="442"/>
      <c r="CG380" s="442"/>
      <c r="CH380" s="442"/>
      <c r="CI380" s="442"/>
    </row>
    <row r="381" spans="4:87" x14ac:dyDescent="0.2"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  <c r="AA381" s="442"/>
      <c r="AB381" s="442"/>
      <c r="AC381" s="442"/>
      <c r="AD381" s="442"/>
      <c r="AE381" s="442"/>
      <c r="AF381" s="442"/>
      <c r="AG381" s="442"/>
      <c r="AH381" s="442"/>
      <c r="AI381" s="442"/>
      <c r="AJ381" s="442"/>
      <c r="AK381" s="442"/>
      <c r="AL381" s="442"/>
      <c r="AM381" s="442"/>
      <c r="AN381" s="442"/>
      <c r="AO381" s="442"/>
      <c r="AP381" s="442"/>
      <c r="AQ381" s="442"/>
      <c r="AR381" s="442"/>
      <c r="AS381" s="442"/>
      <c r="AT381" s="442"/>
      <c r="AU381" s="442"/>
      <c r="AV381" s="442"/>
      <c r="AW381" s="442"/>
      <c r="AX381" s="442"/>
      <c r="AY381" s="442"/>
      <c r="AZ381" s="442"/>
      <c r="BA381" s="442"/>
      <c r="BB381" s="442"/>
      <c r="BC381" s="442"/>
      <c r="BD381" s="442"/>
      <c r="BE381" s="442"/>
      <c r="BF381" s="442"/>
      <c r="BG381" s="442"/>
      <c r="BH381" s="442"/>
      <c r="BI381" s="442"/>
      <c r="BJ381" s="442"/>
      <c r="BK381" s="442"/>
      <c r="BL381" s="442"/>
      <c r="BM381" s="442"/>
      <c r="BN381" s="442"/>
      <c r="BO381" s="442"/>
      <c r="BP381" s="442"/>
      <c r="BQ381" s="442"/>
      <c r="BR381" s="442"/>
      <c r="BS381" s="442"/>
      <c r="BT381" s="442"/>
      <c r="BU381" s="442"/>
      <c r="BV381" s="442"/>
      <c r="BW381" s="442"/>
      <c r="BX381" s="442"/>
      <c r="BY381" s="442"/>
      <c r="BZ381" s="442"/>
      <c r="CA381" s="442"/>
      <c r="CB381" s="442"/>
      <c r="CC381" s="442"/>
      <c r="CD381" s="442"/>
      <c r="CE381" s="442"/>
      <c r="CF381" s="442"/>
      <c r="CG381" s="442"/>
      <c r="CH381" s="442"/>
      <c r="CI381" s="442"/>
    </row>
    <row r="382" spans="4:87" x14ac:dyDescent="0.2">
      <c r="D382" s="44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  <c r="AA382" s="442"/>
      <c r="AB382" s="442"/>
      <c r="AC382" s="442"/>
      <c r="AD382" s="442"/>
      <c r="AE382" s="442"/>
      <c r="AF382" s="442"/>
      <c r="AG382" s="442"/>
      <c r="AH382" s="442"/>
      <c r="AI382" s="442"/>
      <c r="AJ382" s="442"/>
      <c r="AK382" s="442"/>
      <c r="AL382" s="442"/>
      <c r="AM382" s="442"/>
      <c r="AN382" s="442"/>
      <c r="AO382" s="442"/>
      <c r="AP382" s="442"/>
      <c r="AQ382" s="442"/>
      <c r="AR382" s="442"/>
      <c r="AS382" s="442"/>
      <c r="AT382" s="442"/>
      <c r="AU382" s="442"/>
      <c r="AV382" s="442"/>
      <c r="AW382" s="442"/>
      <c r="AX382" s="442"/>
      <c r="AY382" s="442"/>
      <c r="AZ382" s="442"/>
      <c r="BA382" s="442"/>
      <c r="BB382" s="442"/>
      <c r="BC382" s="442"/>
      <c r="BD382" s="442"/>
      <c r="BE382" s="442"/>
      <c r="BF382" s="442"/>
      <c r="BG382" s="442"/>
      <c r="BH382" s="442"/>
      <c r="BI382" s="442"/>
      <c r="BJ382" s="442"/>
      <c r="BK382" s="442"/>
      <c r="BL382" s="442"/>
      <c r="BM382" s="442"/>
      <c r="BN382" s="442"/>
      <c r="BO382" s="442"/>
      <c r="BP382" s="442"/>
      <c r="BQ382" s="442"/>
      <c r="BR382" s="442"/>
      <c r="BS382" s="442"/>
      <c r="BT382" s="442"/>
      <c r="BU382" s="442"/>
      <c r="BV382" s="442"/>
      <c r="BW382" s="442"/>
      <c r="BX382" s="442"/>
      <c r="BY382" s="442"/>
      <c r="BZ382" s="442"/>
      <c r="CA382" s="442"/>
      <c r="CB382" s="442"/>
      <c r="CC382" s="442"/>
      <c r="CD382" s="442"/>
      <c r="CE382" s="442"/>
      <c r="CF382" s="442"/>
      <c r="CG382" s="442"/>
      <c r="CH382" s="442"/>
      <c r="CI382" s="442"/>
    </row>
    <row r="383" spans="4:87" x14ac:dyDescent="0.2">
      <c r="D383" s="44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  <c r="AA383" s="442"/>
      <c r="AB383" s="442"/>
      <c r="AC383" s="442"/>
      <c r="AD383" s="442"/>
      <c r="AE383" s="442"/>
      <c r="AF383" s="442"/>
      <c r="AG383" s="442"/>
      <c r="AH383" s="442"/>
      <c r="AI383" s="442"/>
      <c r="AJ383" s="442"/>
      <c r="AK383" s="442"/>
      <c r="AL383" s="442"/>
      <c r="AM383" s="442"/>
      <c r="AN383" s="442"/>
      <c r="AO383" s="442"/>
      <c r="AP383" s="442"/>
      <c r="AQ383" s="442"/>
      <c r="AR383" s="442"/>
      <c r="AS383" s="442"/>
      <c r="AT383" s="442"/>
      <c r="AU383" s="442"/>
      <c r="AV383" s="442"/>
      <c r="AW383" s="442"/>
      <c r="AX383" s="442"/>
      <c r="AY383" s="442"/>
      <c r="AZ383" s="442"/>
      <c r="BA383" s="442"/>
      <c r="BB383" s="442"/>
      <c r="BC383" s="442"/>
      <c r="BD383" s="442"/>
      <c r="BE383" s="442"/>
      <c r="BF383" s="442"/>
      <c r="BG383" s="442"/>
      <c r="BH383" s="442"/>
      <c r="BI383" s="442"/>
      <c r="BJ383" s="442"/>
      <c r="BK383" s="442"/>
      <c r="BL383" s="442"/>
      <c r="BM383" s="442"/>
      <c r="BN383" s="442"/>
      <c r="BO383" s="442"/>
      <c r="BP383" s="442"/>
      <c r="BQ383" s="442"/>
      <c r="BR383" s="442"/>
      <c r="BS383" s="442"/>
      <c r="BT383" s="442"/>
      <c r="BU383" s="442"/>
      <c r="BV383" s="442"/>
      <c r="BW383" s="442"/>
      <c r="BX383" s="442"/>
      <c r="BY383" s="442"/>
      <c r="BZ383" s="442"/>
      <c r="CA383" s="442"/>
      <c r="CB383" s="442"/>
      <c r="CC383" s="442"/>
      <c r="CD383" s="442"/>
      <c r="CE383" s="442"/>
      <c r="CF383" s="442"/>
      <c r="CG383" s="442"/>
      <c r="CH383" s="442"/>
      <c r="CI383" s="442"/>
    </row>
    <row r="384" spans="4:87" x14ac:dyDescent="0.2"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  <c r="AA384" s="442"/>
      <c r="AB384" s="442"/>
      <c r="AC384" s="442"/>
      <c r="AD384" s="442"/>
      <c r="AE384" s="442"/>
      <c r="AF384" s="442"/>
      <c r="AG384" s="442"/>
      <c r="AH384" s="442"/>
      <c r="AI384" s="442"/>
      <c r="AJ384" s="442"/>
      <c r="AK384" s="442"/>
      <c r="AL384" s="442"/>
      <c r="AM384" s="442"/>
      <c r="AN384" s="442"/>
      <c r="AO384" s="442"/>
      <c r="AP384" s="442"/>
      <c r="AQ384" s="442"/>
      <c r="AR384" s="442"/>
      <c r="AS384" s="442"/>
      <c r="AT384" s="442"/>
      <c r="AU384" s="442"/>
      <c r="AV384" s="442"/>
      <c r="AW384" s="442"/>
      <c r="AX384" s="442"/>
      <c r="AY384" s="442"/>
      <c r="AZ384" s="442"/>
      <c r="BA384" s="442"/>
      <c r="BB384" s="442"/>
      <c r="BC384" s="442"/>
      <c r="BD384" s="442"/>
      <c r="BE384" s="442"/>
      <c r="BF384" s="442"/>
      <c r="BG384" s="442"/>
      <c r="BH384" s="442"/>
      <c r="BI384" s="442"/>
      <c r="BJ384" s="442"/>
      <c r="BK384" s="442"/>
      <c r="BL384" s="442"/>
      <c r="BM384" s="442"/>
      <c r="BN384" s="442"/>
      <c r="BO384" s="442"/>
      <c r="BP384" s="442"/>
      <c r="BQ384" s="442"/>
      <c r="BR384" s="442"/>
      <c r="BS384" s="442"/>
      <c r="BT384" s="442"/>
      <c r="BU384" s="442"/>
      <c r="BV384" s="442"/>
      <c r="BW384" s="442"/>
      <c r="BX384" s="442"/>
      <c r="BY384" s="442"/>
      <c r="BZ384" s="442"/>
      <c r="CA384" s="442"/>
      <c r="CB384" s="442"/>
      <c r="CC384" s="442"/>
      <c r="CD384" s="442"/>
      <c r="CE384" s="442"/>
      <c r="CF384" s="442"/>
      <c r="CG384" s="442"/>
      <c r="CH384" s="442"/>
      <c r="CI384" s="442"/>
    </row>
    <row r="385" spans="4:87" x14ac:dyDescent="0.2"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  <c r="AA385" s="442"/>
      <c r="AB385" s="442"/>
      <c r="AC385" s="442"/>
      <c r="AD385" s="442"/>
      <c r="AE385" s="442"/>
      <c r="AF385" s="442"/>
      <c r="AG385" s="442"/>
      <c r="AH385" s="442"/>
      <c r="AI385" s="442"/>
      <c r="AJ385" s="442"/>
      <c r="AK385" s="442"/>
      <c r="AL385" s="442"/>
      <c r="AM385" s="442"/>
      <c r="AN385" s="442"/>
      <c r="AO385" s="442"/>
      <c r="AP385" s="442"/>
      <c r="AQ385" s="442"/>
      <c r="AR385" s="442"/>
      <c r="AS385" s="442"/>
      <c r="AT385" s="442"/>
      <c r="AU385" s="442"/>
      <c r="AV385" s="442"/>
      <c r="AW385" s="442"/>
      <c r="AX385" s="442"/>
      <c r="AY385" s="442"/>
      <c r="AZ385" s="442"/>
      <c r="BA385" s="442"/>
      <c r="BB385" s="442"/>
      <c r="BC385" s="442"/>
      <c r="BD385" s="442"/>
      <c r="BE385" s="442"/>
      <c r="BF385" s="442"/>
      <c r="BG385" s="442"/>
      <c r="BH385" s="442"/>
      <c r="BI385" s="442"/>
      <c r="BJ385" s="442"/>
      <c r="BK385" s="442"/>
      <c r="BL385" s="442"/>
      <c r="BM385" s="442"/>
      <c r="BN385" s="442"/>
      <c r="BO385" s="442"/>
      <c r="BP385" s="442"/>
      <c r="BQ385" s="442"/>
      <c r="BR385" s="442"/>
      <c r="BS385" s="442"/>
      <c r="BT385" s="442"/>
      <c r="BU385" s="442"/>
      <c r="BV385" s="442"/>
      <c r="BW385" s="442"/>
      <c r="BX385" s="442"/>
      <c r="BY385" s="442"/>
      <c r="BZ385" s="442"/>
      <c r="CA385" s="442"/>
      <c r="CB385" s="442"/>
      <c r="CC385" s="442"/>
      <c r="CD385" s="442"/>
      <c r="CE385" s="442"/>
      <c r="CF385" s="442"/>
      <c r="CG385" s="442"/>
      <c r="CH385" s="442"/>
      <c r="CI385" s="442"/>
    </row>
    <row r="386" spans="4:87" x14ac:dyDescent="0.2">
      <c r="D386" s="44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  <c r="AA386" s="442"/>
      <c r="AB386" s="442"/>
      <c r="AC386" s="442"/>
      <c r="AD386" s="442"/>
      <c r="AE386" s="442"/>
      <c r="AF386" s="442"/>
      <c r="AG386" s="442"/>
      <c r="AH386" s="442"/>
      <c r="AI386" s="442"/>
      <c r="AJ386" s="442"/>
      <c r="AK386" s="442"/>
      <c r="AL386" s="442"/>
      <c r="AM386" s="442"/>
      <c r="AN386" s="442"/>
      <c r="AO386" s="442"/>
      <c r="AP386" s="442"/>
      <c r="AQ386" s="442"/>
      <c r="AR386" s="442"/>
      <c r="AS386" s="442"/>
      <c r="AT386" s="442"/>
      <c r="AU386" s="442"/>
      <c r="AV386" s="442"/>
      <c r="AW386" s="442"/>
      <c r="AX386" s="442"/>
      <c r="AY386" s="442"/>
      <c r="AZ386" s="442"/>
      <c r="BA386" s="442"/>
      <c r="BB386" s="442"/>
      <c r="BC386" s="442"/>
      <c r="BD386" s="442"/>
      <c r="BE386" s="442"/>
      <c r="BF386" s="442"/>
      <c r="BG386" s="442"/>
      <c r="BH386" s="442"/>
      <c r="BI386" s="442"/>
      <c r="BJ386" s="442"/>
      <c r="BK386" s="442"/>
      <c r="BL386" s="442"/>
      <c r="BM386" s="442"/>
      <c r="BN386" s="442"/>
      <c r="BO386" s="442"/>
      <c r="BP386" s="442"/>
      <c r="BQ386" s="442"/>
      <c r="BR386" s="442"/>
      <c r="BS386" s="442"/>
      <c r="BT386" s="442"/>
      <c r="BU386" s="442"/>
      <c r="BV386" s="442"/>
      <c r="BW386" s="442"/>
      <c r="BX386" s="442"/>
      <c r="BY386" s="442"/>
      <c r="BZ386" s="442"/>
      <c r="CA386" s="442"/>
      <c r="CB386" s="442"/>
      <c r="CC386" s="442"/>
      <c r="CD386" s="442"/>
      <c r="CE386" s="442"/>
      <c r="CF386" s="442"/>
      <c r="CG386" s="442"/>
      <c r="CH386" s="442"/>
      <c r="CI386" s="442"/>
    </row>
    <row r="387" spans="4:87" x14ac:dyDescent="0.2"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  <c r="AA387" s="442"/>
      <c r="AB387" s="442"/>
      <c r="AC387" s="442"/>
      <c r="AD387" s="442"/>
      <c r="AE387" s="442"/>
      <c r="AF387" s="442"/>
      <c r="AG387" s="442"/>
      <c r="AH387" s="442"/>
      <c r="AI387" s="442"/>
      <c r="AJ387" s="442"/>
      <c r="AK387" s="442"/>
      <c r="AL387" s="442"/>
      <c r="AM387" s="442"/>
      <c r="AN387" s="442"/>
      <c r="AO387" s="442"/>
      <c r="AP387" s="442"/>
      <c r="AQ387" s="442"/>
      <c r="AR387" s="442"/>
      <c r="AS387" s="442"/>
      <c r="AT387" s="442"/>
      <c r="AU387" s="442"/>
      <c r="AV387" s="442"/>
      <c r="AW387" s="442"/>
      <c r="AX387" s="442"/>
      <c r="AY387" s="442"/>
      <c r="AZ387" s="442"/>
      <c r="BA387" s="442"/>
      <c r="BB387" s="442"/>
      <c r="BC387" s="442"/>
      <c r="BD387" s="442"/>
      <c r="BE387" s="442"/>
      <c r="BF387" s="442"/>
      <c r="BG387" s="442"/>
      <c r="BH387" s="442"/>
      <c r="BI387" s="442"/>
      <c r="BJ387" s="442"/>
      <c r="BK387" s="442"/>
      <c r="BL387" s="442"/>
      <c r="BM387" s="442"/>
      <c r="BN387" s="442"/>
      <c r="BO387" s="442"/>
      <c r="BP387" s="442"/>
      <c r="BQ387" s="442"/>
      <c r="BR387" s="442"/>
      <c r="BS387" s="442"/>
      <c r="BT387" s="442"/>
      <c r="BU387" s="442"/>
      <c r="BV387" s="442"/>
      <c r="BW387" s="442"/>
      <c r="BX387" s="442"/>
      <c r="BY387" s="442"/>
      <c r="BZ387" s="442"/>
      <c r="CA387" s="442"/>
      <c r="CB387" s="442"/>
      <c r="CC387" s="442"/>
      <c r="CD387" s="442"/>
      <c r="CE387" s="442"/>
      <c r="CF387" s="442"/>
      <c r="CG387" s="442"/>
      <c r="CH387" s="442"/>
      <c r="CI387" s="442"/>
    </row>
    <row r="388" spans="4:87" x14ac:dyDescent="0.2"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  <c r="AA388" s="442"/>
      <c r="AB388" s="442"/>
      <c r="AC388" s="442"/>
      <c r="AD388" s="442"/>
      <c r="AE388" s="442"/>
      <c r="AF388" s="442"/>
      <c r="AG388" s="442"/>
      <c r="AH388" s="442"/>
      <c r="AI388" s="442"/>
      <c r="AJ388" s="442"/>
      <c r="AK388" s="442"/>
      <c r="AL388" s="442"/>
      <c r="AM388" s="442"/>
      <c r="AN388" s="442"/>
      <c r="AO388" s="442"/>
      <c r="AP388" s="442"/>
      <c r="AQ388" s="442"/>
      <c r="AR388" s="442"/>
      <c r="AS388" s="442"/>
      <c r="AT388" s="442"/>
      <c r="AU388" s="442"/>
      <c r="AV388" s="442"/>
      <c r="AW388" s="442"/>
      <c r="AX388" s="442"/>
      <c r="AY388" s="442"/>
      <c r="AZ388" s="442"/>
      <c r="BA388" s="442"/>
      <c r="BB388" s="442"/>
      <c r="BC388" s="442"/>
      <c r="BD388" s="442"/>
      <c r="BE388" s="442"/>
      <c r="BF388" s="442"/>
      <c r="BG388" s="442"/>
      <c r="BH388" s="442"/>
      <c r="BI388" s="442"/>
      <c r="BJ388" s="442"/>
      <c r="BK388" s="442"/>
      <c r="BL388" s="442"/>
      <c r="BM388" s="442"/>
      <c r="BN388" s="442"/>
      <c r="BO388" s="442"/>
      <c r="BP388" s="442"/>
      <c r="BQ388" s="442"/>
      <c r="BR388" s="442"/>
      <c r="BS388" s="442"/>
      <c r="BT388" s="442"/>
      <c r="BU388" s="442"/>
      <c r="BV388" s="442"/>
      <c r="BW388" s="442"/>
      <c r="BX388" s="442"/>
      <c r="BY388" s="442"/>
      <c r="BZ388" s="442"/>
      <c r="CA388" s="442"/>
      <c r="CB388" s="442"/>
      <c r="CC388" s="442"/>
      <c r="CD388" s="442"/>
      <c r="CE388" s="442"/>
      <c r="CF388" s="442"/>
      <c r="CG388" s="442"/>
      <c r="CH388" s="442"/>
      <c r="CI388" s="442"/>
    </row>
    <row r="389" spans="4:87" x14ac:dyDescent="0.2"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  <c r="AA389" s="442"/>
      <c r="AB389" s="442"/>
      <c r="AC389" s="442"/>
      <c r="AD389" s="442"/>
      <c r="AE389" s="442"/>
      <c r="AF389" s="442"/>
      <c r="AG389" s="442"/>
      <c r="AH389" s="442"/>
      <c r="AI389" s="442"/>
      <c r="AJ389" s="442"/>
      <c r="AK389" s="442"/>
      <c r="AL389" s="442"/>
      <c r="AM389" s="442"/>
      <c r="AN389" s="442"/>
      <c r="AO389" s="442"/>
      <c r="AP389" s="442"/>
      <c r="AQ389" s="442"/>
      <c r="AR389" s="442"/>
      <c r="AS389" s="442"/>
      <c r="AT389" s="442"/>
      <c r="AU389" s="442"/>
      <c r="AV389" s="442"/>
      <c r="AW389" s="442"/>
      <c r="AX389" s="442"/>
      <c r="AY389" s="442"/>
      <c r="AZ389" s="442"/>
      <c r="BA389" s="442"/>
      <c r="BB389" s="442"/>
      <c r="BC389" s="442"/>
      <c r="BD389" s="442"/>
      <c r="BE389" s="442"/>
      <c r="BF389" s="442"/>
      <c r="BG389" s="442"/>
      <c r="BH389" s="442"/>
      <c r="BI389" s="442"/>
      <c r="BJ389" s="442"/>
      <c r="BK389" s="442"/>
      <c r="BL389" s="442"/>
      <c r="BM389" s="442"/>
      <c r="BN389" s="442"/>
      <c r="BO389" s="442"/>
      <c r="BP389" s="442"/>
      <c r="BQ389" s="442"/>
      <c r="BR389" s="442"/>
      <c r="BS389" s="442"/>
      <c r="BT389" s="442"/>
      <c r="BU389" s="442"/>
      <c r="BV389" s="442"/>
      <c r="BW389" s="442"/>
      <c r="BX389" s="442"/>
      <c r="BY389" s="442"/>
      <c r="BZ389" s="442"/>
      <c r="CA389" s="442"/>
      <c r="CB389" s="442"/>
      <c r="CC389" s="442"/>
      <c r="CD389" s="442"/>
      <c r="CE389" s="442"/>
      <c r="CF389" s="442"/>
      <c r="CG389" s="442"/>
      <c r="CH389" s="442"/>
      <c r="CI389" s="442"/>
    </row>
    <row r="390" spans="4:87" x14ac:dyDescent="0.2">
      <c r="D390" s="44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  <c r="AA390" s="442"/>
      <c r="AB390" s="442"/>
      <c r="AC390" s="442"/>
      <c r="AD390" s="442"/>
      <c r="AE390" s="442"/>
      <c r="AF390" s="442"/>
      <c r="AG390" s="442"/>
      <c r="AH390" s="442"/>
      <c r="AI390" s="442"/>
      <c r="AJ390" s="442"/>
      <c r="AK390" s="442"/>
      <c r="AL390" s="442"/>
      <c r="AM390" s="442"/>
      <c r="AN390" s="442"/>
      <c r="AO390" s="442"/>
      <c r="AP390" s="442"/>
      <c r="AQ390" s="442"/>
      <c r="AR390" s="442"/>
      <c r="AS390" s="442"/>
      <c r="AT390" s="442"/>
      <c r="AU390" s="442"/>
      <c r="AV390" s="442"/>
      <c r="AW390" s="442"/>
      <c r="AX390" s="442"/>
      <c r="AY390" s="442"/>
      <c r="AZ390" s="442"/>
      <c r="BA390" s="442"/>
      <c r="BB390" s="442"/>
      <c r="BC390" s="442"/>
      <c r="BD390" s="442"/>
      <c r="BE390" s="442"/>
      <c r="BF390" s="442"/>
      <c r="BG390" s="442"/>
      <c r="BH390" s="442"/>
      <c r="BI390" s="442"/>
      <c r="BJ390" s="442"/>
      <c r="BK390" s="442"/>
      <c r="BL390" s="442"/>
      <c r="BM390" s="442"/>
      <c r="BN390" s="442"/>
      <c r="BO390" s="442"/>
      <c r="BP390" s="442"/>
      <c r="BQ390" s="442"/>
      <c r="BR390" s="442"/>
      <c r="BS390" s="442"/>
      <c r="BT390" s="442"/>
      <c r="BU390" s="442"/>
      <c r="BV390" s="442"/>
      <c r="BW390" s="442"/>
      <c r="BX390" s="442"/>
      <c r="BY390" s="442"/>
      <c r="BZ390" s="442"/>
      <c r="CA390" s="442"/>
      <c r="CB390" s="442"/>
      <c r="CC390" s="442"/>
      <c r="CD390" s="442"/>
      <c r="CE390" s="442"/>
      <c r="CF390" s="442"/>
      <c r="CG390" s="442"/>
      <c r="CH390" s="442"/>
      <c r="CI390" s="442"/>
    </row>
    <row r="391" spans="4:87" x14ac:dyDescent="0.2"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  <c r="AA391" s="442"/>
      <c r="AB391" s="442"/>
      <c r="AC391" s="442"/>
      <c r="AD391" s="442"/>
      <c r="AE391" s="442"/>
      <c r="AF391" s="442"/>
      <c r="AG391" s="442"/>
      <c r="AH391" s="442"/>
      <c r="AI391" s="442"/>
      <c r="AJ391" s="442"/>
      <c r="AK391" s="442"/>
      <c r="AL391" s="442"/>
      <c r="AM391" s="442"/>
      <c r="AN391" s="442"/>
      <c r="AO391" s="442"/>
      <c r="AP391" s="442"/>
      <c r="AQ391" s="442"/>
      <c r="AR391" s="442"/>
      <c r="AS391" s="442"/>
      <c r="AT391" s="442"/>
      <c r="AU391" s="442"/>
      <c r="AV391" s="442"/>
      <c r="AW391" s="442"/>
      <c r="AX391" s="442"/>
      <c r="AY391" s="442"/>
      <c r="AZ391" s="442"/>
      <c r="BA391" s="442"/>
      <c r="BB391" s="442"/>
      <c r="BC391" s="442"/>
      <c r="BD391" s="442"/>
      <c r="BE391" s="442"/>
      <c r="BF391" s="442"/>
      <c r="BG391" s="442"/>
      <c r="BH391" s="442"/>
      <c r="BI391" s="442"/>
      <c r="BJ391" s="442"/>
      <c r="BK391" s="442"/>
      <c r="BL391" s="442"/>
      <c r="BM391" s="442"/>
      <c r="BN391" s="442"/>
      <c r="BO391" s="442"/>
      <c r="BP391" s="442"/>
      <c r="BQ391" s="442"/>
      <c r="BR391" s="442"/>
      <c r="BS391" s="442"/>
      <c r="BT391" s="442"/>
      <c r="BU391" s="442"/>
      <c r="BV391" s="442"/>
      <c r="BW391" s="442"/>
      <c r="BX391" s="442"/>
      <c r="BY391" s="442"/>
      <c r="BZ391" s="442"/>
      <c r="CA391" s="442"/>
      <c r="CB391" s="442"/>
      <c r="CC391" s="442"/>
      <c r="CD391" s="442"/>
      <c r="CE391" s="442"/>
      <c r="CF391" s="442"/>
      <c r="CG391" s="442"/>
      <c r="CH391" s="442"/>
      <c r="CI391" s="442"/>
    </row>
    <row r="392" spans="4:87" x14ac:dyDescent="0.2"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  <c r="AA392" s="442"/>
      <c r="AB392" s="442"/>
      <c r="AC392" s="442"/>
      <c r="AD392" s="442"/>
      <c r="AE392" s="442"/>
      <c r="AF392" s="442"/>
      <c r="AG392" s="442"/>
      <c r="AH392" s="442"/>
      <c r="AI392" s="442"/>
      <c r="AJ392" s="442"/>
      <c r="AK392" s="442"/>
      <c r="AL392" s="442"/>
      <c r="AM392" s="442"/>
      <c r="AN392" s="442"/>
      <c r="AO392" s="442"/>
      <c r="AP392" s="442"/>
      <c r="AQ392" s="442"/>
      <c r="AR392" s="442"/>
      <c r="AS392" s="442"/>
      <c r="AT392" s="442"/>
      <c r="AU392" s="442"/>
      <c r="AV392" s="442"/>
      <c r="AW392" s="442"/>
      <c r="AX392" s="442"/>
      <c r="AY392" s="442"/>
      <c r="AZ392" s="442"/>
      <c r="BA392" s="442"/>
      <c r="BB392" s="442"/>
      <c r="BC392" s="442"/>
      <c r="BD392" s="442"/>
      <c r="BE392" s="442"/>
      <c r="BF392" s="442"/>
      <c r="BG392" s="442"/>
      <c r="BH392" s="442"/>
      <c r="BI392" s="442"/>
      <c r="BJ392" s="442"/>
      <c r="BK392" s="442"/>
      <c r="BL392" s="442"/>
      <c r="BM392" s="442"/>
      <c r="BN392" s="442"/>
      <c r="BO392" s="442"/>
      <c r="BP392" s="442"/>
      <c r="BQ392" s="442"/>
      <c r="BR392" s="442"/>
      <c r="BS392" s="442"/>
      <c r="BT392" s="442"/>
      <c r="BU392" s="442"/>
      <c r="BV392" s="442"/>
      <c r="BW392" s="442"/>
      <c r="BX392" s="442"/>
      <c r="BY392" s="442"/>
      <c r="BZ392" s="442"/>
      <c r="CA392" s="442"/>
      <c r="CB392" s="442"/>
      <c r="CC392" s="442"/>
      <c r="CD392" s="442"/>
      <c r="CE392" s="442"/>
      <c r="CF392" s="442"/>
      <c r="CG392" s="442"/>
      <c r="CH392" s="442"/>
      <c r="CI392" s="442"/>
    </row>
    <row r="393" spans="4:87" x14ac:dyDescent="0.2">
      <c r="D393" s="44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  <c r="AA393" s="442"/>
      <c r="AB393" s="442"/>
      <c r="AC393" s="442"/>
      <c r="AD393" s="442"/>
      <c r="AE393" s="442"/>
      <c r="AF393" s="442"/>
      <c r="AG393" s="442"/>
      <c r="AH393" s="442"/>
      <c r="AI393" s="442"/>
      <c r="AJ393" s="442"/>
      <c r="AK393" s="442"/>
      <c r="AL393" s="442"/>
      <c r="AM393" s="442"/>
      <c r="AN393" s="442"/>
      <c r="AO393" s="442"/>
      <c r="AP393" s="442"/>
      <c r="AQ393" s="442"/>
      <c r="AR393" s="442"/>
      <c r="AS393" s="442"/>
      <c r="AT393" s="442"/>
      <c r="AU393" s="442"/>
      <c r="AV393" s="442"/>
      <c r="AW393" s="442"/>
      <c r="AX393" s="442"/>
      <c r="AY393" s="442"/>
      <c r="AZ393" s="442"/>
      <c r="BA393" s="442"/>
      <c r="BB393" s="442"/>
      <c r="BC393" s="442"/>
      <c r="BD393" s="442"/>
      <c r="BE393" s="442"/>
      <c r="BF393" s="442"/>
      <c r="BG393" s="442"/>
      <c r="BH393" s="442"/>
      <c r="BI393" s="442"/>
      <c r="BJ393" s="442"/>
      <c r="BK393" s="442"/>
      <c r="BL393" s="442"/>
      <c r="BM393" s="442"/>
      <c r="BN393" s="442"/>
      <c r="BO393" s="442"/>
      <c r="BP393" s="442"/>
      <c r="BQ393" s="442"/>
      <c r="BR393" s="442"/>
      <c r="BS393" s="442"/>
      <c r="BT393" s="442"/>
      <c r="BU393" s="442"/>
      <c r="BV393" s="442"/>
      <c r="BW393" s="442"/>
      <c r="BX393" s="442"/>
      <c r="BY393" s="442"/>
      <c r="BZ393" s="442"/>
      <c r="CA393" s="442"/>
      <c r="CB393" s="442"/>
      <c r="CC393" s="442"/>
      <c r="CD393" s="442"/>
      <c r="CE393" s="442"/>
      <c r="CF393" s="442"/>
      <c r="CG393" s="442"/>
      <c r="CH393" s="442"/>
      <c r="CI393" s="442"/>
    </row>
    <row r="394" spans="4:87" x14ac:dyDescent="0.2">
      <c r="D394" s="44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  <c r="AA394" s="442"/>
      <c r="AB394" s="442"/>
      <c r="AC394" s="442"/>
      <c r="AD394" s="442"/>
      <c r="AE394" s="442"/>
      <c r="AF394" s="442"/>
      <c r="AG394" s="442"/>
      <c r="AH394" s="442"/>
      <c r="AI394" s="442"/>
      <c r="AJ394" s="442"/>
      <c r="AK394" s="442"/>
      <c r="AL394" s="442"/>
      <c r="AM394" s="442"/>
      <c r="AN394" s="442"/>
      <c r="AO394" s="442"/>
      <c r="AP394" s="442"/>
      <c r="AQ394" s="442"/>
      <c r="AR394" s="442"/>
      <c r="AS394" s="442"/>
      <c r="AT394" s="442"/>
      <c r="AU394" s="442"/>
      <c r="AV394" s="442"/>
      <c r="AW394" s="442"/>
      <c r="AX394" s="442"/>
      <c r="AY394" s="442"/>
      <c r="AZ394" s="442"/>
      <c r="BA394" s="442"/>
      <c r="BB394" s="442"/>
      <c r="BC394" s="442"/>
      <c r="BD394" s="442"/>
      <c r="BE394" s="442"/>
      <c r="BF394" s="442"/>
      <c r="BG394" s="442"/>
      <c r="BH394" s="442"/>
      <c r="BI394" s="442"/>
      <c r="BJ394" s="442"/>
      <c r="BK394" s="442"/>
      <c r="BL394" s="442"/>
      <c r="BM394" s="442"/>
      <c r="BN394" s="442"/>
      <c r="BO394" s="442"/>
      <c r="BP394" s="442"/>
      <c r="BQ394" s="442"/>
      <c r="BR394" s="442"/>
      <c r="BS394" s="442"/>
      <c r="BT394" s="442"/>
      <c r="BU394" s="442"/>
      <c r="BV394" s="442"/>
      <c r="BW394" s="442"/>
      <c r="BX394" s="442"/>
      <c r="BY394" s="442"/>
      <c r="BZ394" s="442"/>
      <c r="CA394" s="442"/>
      <c r="CB394" s="442"/>
      <c r="CC394" s="442"/>
      <c r="CD394" s="442"/>
      <c r="CE394" s="442"/>
      <c r="CF394" s="442"/>
      <c r="CG394" s="442"/>
      <c r="CH394" s="442"/>
      <c r="CI394" s="442"/>
    </row>
    <row r="395" spans="4:87" x14ac:dyDescent="0.2"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  <c r="AA395" s="442"/>
      <c r="AB395" s="442"/>
      <c r="AC395" s="442"/>
      <c r="AD395" s="442"/>
      <c r="AE395" s="442"/>
      <c r="AF395" s="442"/>
      <c r="AG395" s="442"/>
      <c r="AH395" s="442"/>
      <c r="AI395" s="442"/>
      <c r="AJ395" s="442"/>
      <c r="AK395" s="442"/>
      <c r="AL395" s="442"/>
      <c r="AM395" s="442"/>
      <c r="AN395" s="442"/>
      <c r="AO395" s="442"/>
      <c r="AP395" s="442"/>
      <c r="AQ395" s="442"/>
      <c r="AR395" s="442"/>
      <c r="AS395" s="442"/>
      <c r="AT395" s="442"/>
      <c r="AU395" s="442"/>
      <c r="AV395" s="442"/>
      <c r="AW395" s="442"/>
      <c r="AX395" s="442"/>
      <c r="AY395" s="442"/>
      <c r="AZ395" s="442"/>
      <c r="BA395" s="442"/>
      <c r="BB395" s="442"/>
      <c r="BC395" s="442"/>
      <c r="BD395" s="442"/>
      <c r="BE395" s="442"/>
      <c r="BF395" s="442"/>
      <c r="BG395" s="442"/>
      <c r="BH395" s="442"/>
      <c r="BI395" s="442"/>
      <c r="BJ395" s="442"/>
      <c r="BK395" s="442"/>
      <c r="BL395" s="442"/>
      <c r="BM395" s="442"/>
      <c r="BN395" s="442"/>
      <c r="BO395" s="442"/>
      <c r="BP395" s="442"/>
      <c r="BQ395" s="442"/>
      <c r="BR395" s="442"/>
      <c r="BS395" s="442"/>
      <c r="BT395" s="442"/>
      <c r="BU395" s="442"/>
      <c r="BV395" s="442"/>
      <c r="BW395" s="442"/>
      <c r="BX395" s="442"/>
      <c r="BY395" s="442"/>
      <c r="BZ395" s="442"/>
      <c r="CA395" s="442"/>
      <c r="CB395" s="442"/>
      <c r="CC395" s="442"/>
      <c r="CD395" s="442"/>
      <c r="CE395" s="442"/>
      <c r="CF395" s="442"/>
      <c r="CG395" s="442"/>
      <c r="CH395" s="442"/>
      <c r="CI395" s="442"/>
    </row>
    <row r="396" spans="4:87" x14ac:dyDescent="0.2"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  <c r="AA396" s="442"/>
      <c r="AB396" s="442"/>
      <c r="AC396" s="442"/>
      <c r="AD396" s="442"/>
      <c r="AE396" s="442"/>
      <c r="AF396" s="442"/>
      <c r="AG396" s="442"/>
      <c r="AH396" s="442"/>
      <c r="AI396" s="442"/>
      <c r="AJ396" s="442"/>
      <c r="AK396" s="442"/>
      <c r="AL396" s="442"/>
      <c r="AM396" s="442"/>
      <c r="AN396" s="442"/>
      <c r="AO396" s="442"/>
      <c r="AP396" s="442"/>
      <c r="AQ396" s="442"/>
      <c r="AR396" s="442"/>
      <c r="AS396" s="442"/>
      <c r="AT396" s="442"/>
      <c r="AU396" s="442"/>
      <c r="AV396" s="442"/>
      <c r="AW396" s="442"/>
      <c r="AX396" s="442"/>
      <c r="AY396" s="442"/>
      <c r="AZ396" s="442"/>
      <c r="BA396" s="442"/>
      <c r="BB396" s="442"/>
      <c r="BC396" s="442"/>
      <c r="BD396" s="442"/>
      <c r="BE396" s="442"/>
      <c r="BF396" s="442"/>
      <c r="BG396" s="442"/>
      <c r="BH396" s="442"/>
      <c r="BI396" s="442"/>
      <c r="BJ396" s="442"/>
      <c r="BK396" s="442"/>
      <c r="BL396" s="442"/>
      <c r="BM396" s="442"/>
      <c r="BN396" s="442"/>
      <c r="BO396" s="442"/>
      <c r="BP396" s="442"/>
      <c r="BQ396" s="442"/>
      <c r="BR396" s="442"/>
      <c r="BS396" s="442"/>
      <c r="BT396" s="442"/>
      <c r="BU396" s="442"/>
      <c r="BV396" s="442"/>
      <c r="BW396" s="442"/>
      <c r="BX396" s="442"/>
      <c r="BY396" s="442"/>
      <c r="BZ396" s="442"/>
      <c r="CA396" s="442"/>
      <c r="CB396" s="442"/>
      <c r="CC396" s="442"/>
      <c r="CD396" s="442"/>
      <c r="CE396" s="442"/>
      <c r="CF396" s="442"/>
      <c r="CG396" s="442"/>
      <c r="CH396" s="442"/>
      <c r="CI396" s="442"/>
    </row>
    <row r="397" spans="4:87" x14ac:dyDescent="0.2">
      <c r="D397" s="44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  <c r="AA397" s="442"/>
      <c r="AB397" s="442"/>
      <c r="AC397" s="442"/>
      <c r="AD397" s="442"/>
      <c r="AE397" s="442"/>
      <c r="AF397" s="442"/>
      <c r="AG397" s="442"/>
      <c r="AH397" s="442"/>
      <c r="AI397" s="442"/>
      <c r="AJ397" s="442"/>
      <c r="AK397" s="442"/>
      <c r="AL397" s="442"/>
      <c r="AM397" s="442"/>
      <c r="AN397" s="442"/>
      <c r="AO397" s="442"/>
      <c r="AP397" s="442"/>
      <c r="AQ397" s="442"/>
      <c r="AR397" s="442"/>
      <c r="AS397" s="442"/>
      <c r="AT397" s="442"/>
      <c r="AU397" s="442"/>
      <c r="AV397" s="442"/>
      <c r="AW397" s="442"/>
      <c r="AX397" s="442"/>
      <c r="AY397" s="442"/>
      <c r="AZ397" s="442"/>
      <c r="BA397" s="442"/>
      <c r="BB397" s="442"/>
      <c r="BC397" s="442"/>
      <c r="BD397" s="442"/>
      <c r="BE397" s="442"/>
      <c r="BF397" s="442"/>
      <c r="BG397" s="442"/>
      <c r="BH397" s="442"/>
      <c r="BI397" s="442"/>
      <c r="BJ397" s="442"/>
      <c r="BK397" s="442"/>
      <c r="BL397" s="442"/>
      <c r="BM397" s="442"/>
      <c r="BN397" s="442"/>
      <c r="BO397" s="442"/>
      <c r="BP397" s="442"/>
      <c r="BQ397" s="442"/>
      <c r="BR397" s="442"/>
      <c r="BS397" s="442"/>
      <c r="BT397" s="442"/>
      <c r="BU397" s="442"/>
      <c r="BV397" s="442"/>
      <c r="BW397" s="442"/>
      <c r="BX397" s="442"/>
      <c r="BY397" s="442"/>
      <c r="BZ397" s="442"/>
      <c r="CA397" s="442"/>
      <c r="CB397" s="442"/>
      <c r="CC397" s="442"/>
      <c r="CD397" s="442"/>
      <c r="CE397" s="442"/>
      <c r="CF397" s="442"/>
      <c r="CG397" s="442"/>
      <c r="CH397" s="442"/>
      <c r="CI397" s="442"/>
    </row>
    <row r="398" spans="4:87" x14ac:dyDescent="0.2"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  <c r="AA398" s="442"/>
      <c r="AB398" s="442"/>
      <c r="AC398" s="442"/>
      <c r="AD398" s="442"/>
      <c r="AE398" s="442"/>
      <c r="AF398" s="442"/>
      <c r="AG398" s="442"/>
      <c r="AH398" s="442"/>
      <c r="AI398" s="442"/>
      <c r="AJ398" s="442"/>
      <c r="AK398" s="442"/>
      <c r="AL398" s="442"/>
      <c r="AM398" s="442"/>
      <c r="AN398" s="442"/>
      <c r="AO398" s="442"/>
      <c r="AP398" s="442"/>
      <c r="AQ398" s="442"/>
      <c r="AR398" s="442"/>
      <c r="AS398" s="442"/>
      <c r="AT398" s="442"/>
      <c r="AU398" s="442"/>
      <c r="AV398" s="442"/>
      <c r="AW398" s="442"/>
      <c r="AX398" s="442"/>
      <c r="AY398" s="442"/>
      <c r="AZ398" s="442"/>
      <c r="BA398" s="442"/>
      <c r="BB398" s="442"/>
      <c r="BC398" s="442"/>
      <c r="BD398" s="442"/>
      <c r="BE398" s="442"/>
      <c r="BF398" s="442"/>
      <c r="BG398" s="442"/>
      <c r="BH398" s="442"/>
      <c r="BI398" s="442"/>
      <c r="BJ398" s="442"/>
      <c r="BK398" s="442"/>
      <c r="BL398" s="442"/>
      <c r="BM398" s="442"/>
      <c r="BN398" s="442"/>
      <c r="BO398" s="442"/>
      <c r="BP398" s="442"/>
      <c r="BQ398" s="442"/>
      <c r="BR398" s="442"/>
      <c r="BS398" s="442"/>
      <c r="BT398" s="442"/>
      <c r="BU398" s="442"/>
      <c r="BV398" s="442"/>
      <c r="BW398" s="442"/>
      <c r="BX398" s="442"/>
      <c r="BY398" s="442"/>
      <c r="BZ398" s="442"/>
      <c r="CA398" s="442"/>
      <c r="CB398" s="442"/>
      <c r="CC398" s="442"/>
      <c r="CD398" s="442"/>
      <c r="CE398" s="442"/>
      <c r="CF398" s="442"/>
      <c r="CG398" s="442"/>
      <c r="CH398" s="442"/>
      <c r="CI398" s="442"/>
    </row>
    <row r="399" spans="4:87" x14ac:dyDescent="0.2">
      <c r="D399" s="44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  <c r="AA399" s="442"/>
      <c r="AB399" s="442"/>
      <c r="AC399" s="442"/>
      <c r="AD399" s="442"/>
      <c r="AE399" s="442"/>
      <c r="AF399" s="442"/>
      <c r="AG399" s="442"/>
      <c r="AH399" s="442"/>
      <c r="AI399" s="442"/>
      <c r="AJ399" s="442"/>
      <c r="AK399" s="442"/>
      <c r="AL399" s="442"/>
      <c r="AM399" s="442"/>
      <c r="AN399" s="442"/>
      <c r="AO399" s="442"/>
      <c r="AP399" s="442"/>
      <c r="AQ399" s="442"/>
      <c r="AR399" s="442"/>
      <c r="AS399" s="442"/>
      <c r="AT399" s="442"/>
      <c r="AU399" s="442"/>
      <c r="AV399" s="442"/>
      <c r="AW399" s="442"/>
      <c r="AX399" s="442"/>
      <c r="AY399" s="442"/>
      <c r="AZ399" s="442"/>
      <c r="BA399" s="442"/>
      <c r="BB399" s="442"/>
      <c r="BC399" s="442"/>
      <c r="BD399" s="442"/>
      <c r="BE399" s="442"/>
      <c r="BF399" s="442"/>
      <c r="BG399" s="442"/>
      <c r="BH399" s="442"/>
      <c r="BI399" s="442"/>
      <c r="BJ399" s="442"/>
      <c r="BK399" s="442"/>
      <c r="BL399" s="442"/>
      <c r="BM399" s="442"/>
      <c r="BN399" s="442"/>
      <c r="BO399" s="442"/>
      <c r="BP399" s="442"/>
      <c r="BQ399" s="442"/>
      <c r="BR399" s="442"/>
      <c r="BS399" s="442"/>
      <c r="BT399" s="442"/>
      <c r="BU399" s="442"/>
      <c r="BV399" s="442"/>
      <c r="BW399" s="442"/>
      <c r="BX399" s="442"/>
      <c r="BY399" s="442"/>
      <c r="BZ399" s="442"/>
      <c r="CA399" s="442"/>
      <c r="CB399" s="442"/>
      <c r="CC399" s="442"/>
      <c r="CD399" s="442"/>
      <c r="CE399" s="442"/>
      <c r="CF399" s="442"/>
      <c r="CG399" s="442"/>
      <c r="CH399" s="442"/>
      <c r="CI399" s="442"/>
    </row>
    <row r="400" spans="4:87" x14ac:dyDescent="0.2">
      <c r="D400" s="44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  <c r="AA400" s="442"/>
      <c r="AB400" s="442"/>
      <c r="AC400" s="442"/>
      <c r="AD400" s="442"/>
      <c r="AE400" s="442"/>
      <c r="AF400" s="442"/>
      <c r="AG400" s="442"/>
      <c r="AH400" s="442"/>
      <c r="AI400" s="442"/>
      <c r="AJ400" s="442"/>
      <c r="AK400" s="442"/>
      <c r="AL400" s="442"/>
      <c r="AM400" s="442"/>
      <c r="AN400" s="442"/>
      <c r="AO400" s="442"/>
      <c r="AP400" s="442"/>
      <c r="AQ400" s="442"/>
      <c r="AR400" s="442"/>
      <c r="AS400" s="442"/>
      <c r="AT400" s="442"/>
      <c r="AU400" s="442"/>
      <c r="AV400" s="442"/>
      <c r="AW400" s="442"/>
      <c r="AX400" s="442"/>
      <c r="AY400" s="442"/>
      <c r="AZ400" s="442"/>
      <c r="BA400" s="442"/>
      <c r="BB400" s="442"/>
      <c r="BC400" s="442"/>
      <c r="BD400" s="442"/>
      <c r="BE400" s="442"/>
      <c r="BF400" s="442"/>
      <c r="BG400" s="442"/>
      <c r="BH400" s="442"/>
      <c r="BI400" s="442"/>
      <c r="BJ400" s="442"/>
      <c r="BK400" s="442"/>
      <c r="BL400" s="442"/>
      <c r="BM400" s="442"/>
      <c r="BN400" s="442"/>
      <c r="BO400" s="442"/>
      <c r="BP400" s="442"/>
      <c r="BQ400" s="442"/>
      <c r="BR400" s="442"/>
      <c r="BS400" s="442"/>
      <c r="BT400" s="442"/>
      <c r="BU400" s="442"/>
      <c r="BV400" s="442"/>
      <c r="BW400" s="442"/>
      <c r="BX400" s="442"/>
      <c r="BY400" s="442"/>
      <c r="BZ400" s="442"/>
      <c r="CA400" s="442"/>
      <c r="CB400" s="442"/>
      <c r="CC400" s="442"/>
      <c r="CD400" s="442"/>
      <c r="CE400" s="442"/>
      <c r="CF400" s="442"/>
      <c r="CG400" s="442"/>
      <c r="CH400" s="442"/>
      <c r="CI400" s="442"/>
    </row>
    <row r="401" spans="4:87" x14ac:dyDescent="0.2">
      <c r="D401" s="44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  <c r="AA401" s="442"/>
      <c r="AB401" s="442"/>
      <c r="AC401" s="442"/>
      <c r="AD401" s="442"/>
      <c r="AE401" s="442"/>
      <c r="AF401" s="442"/>
      <c r="AG401" s="442"/>
      <c r="AH401" s="442"/>
      <c r="AI401" s="442"/>
      <c r="AJ401" s="442"/>
      <c r="AK401" s="442"/>
      <c r="AL401" s="442"/>
      <c r="AM401" s="442"/>
      <c r="AN401" s="442"/>
      <c r="AO401" s="442"/>
      <c r="AP401" s="442"/>
      <c r="AQ401" s="442"/>
      <c r="AR401" s="442"/>
      <c r="AS401" s="442"/>
      <c r="AT401" s="442"/>
      <c r="AU401" s="442"/>
      <c r="AV401" s="442"/>
      <c r="AW401" s="442"/>
      <c r="AX401" s="442"/>
      <c r="AY401" s="442"/>
      <c r="AZ401" s="442"/>
      <c r="BA401" s="442"/>
      <c r="BB401" s="442"/>
      <c r="BC401" s="442"/>
      <c r="BD401" s="442"/>
      <c r="BE401" s="442"/>
      <c r="BF401" s="442"/>
      <c r="BG401" s="442"/>
      <c r="BH401" s="442"/>
      <c r="BI401" s="442"/>
      <c r="BJ401" s="442"/>
      <c r="BK401" s="442"/>
      <c r="BL401" s="442"/>
      <c r="BM401" s="442"/>
      <c r="BN401" s="442"/>
      <c r="BO401" s="442"/>
      <c r="BP401" s="442"/>
      <c r="BQ401" s="442"/>
      <c r="BR401" s="442"/>
      <c r="BS401" s="442"/>
      <c r="BT401" s="442"/>
      <c r="BU401" s="442"/>
      <c r="BV401" s="442"/>
      <c r="BW401" s="442"/>
      <c r="BX401" s="442"/>
      <c r="BY401" s="442"/>
      <c r="BZ401" s="442"/>
      <c r="CA401" s="442"/>
      <c r="CB401" s="442"/>
      <c r="CC401" s="442"/>
      <c r="CD401" s="442"/>
      <c r="CE401" s="442"/>
      <c r="CF401" s="442"/>
      <c r="CG401" s="442"/>
      <c r="CH401" s="442"/>
      <c r="CI401" s="442"/>
    </row>
    <row r="402" spans="4:87" x14ac:dyDescent="0.2"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  <c r="AA402" s="442"/>
      <c r="AB402" s="442"/>
      <c r="AC402" s="442"/>
      <c r="AD402" s="442"/>
      <c r="AE402" s="442"/>
      <c r="AF402" s="442"/>
      <c r="AG402" s="442"/>
      <c r="AH402" s="442"/>
      <c r="AI402" s="442"/>
      <c r="AJ402" s="442"/>
      <c r="AK402" s="442"/>
      <c r="AL402" s="442"/>
      <c r="AM402" s="442"/>
      <c r="AN402" s="442"/>
      <c r="AO402" s="442"/>
      <c r="AP402" s="442"/>
      <c r="AQ402" s="442"/>
      <c r="AR402" s="442"/>
      <c r="AS402" s="442"/>
      <c r="AT402" s="442"/>
      <c r="AU402" s="442"/>
      <c r="AV402" s="442"/>
      <c r="AW402" s="442"/>
      <c r="AX402" s="442"/>
      <c r="AY402" s="442"/>
      <c r="AZ402" s="442"/>
      <c r="BA402" s="442"/>
      <c r="BB402" s="442"/>
      <c r="BC402" s="442"/>
      <c r="BD402" s="442"/>
      <c r="BE402" s="442"/>
      <c r="BF402" s="442"/>
      <c r="BG402" s="442"/>
      <c r="BH402" s="442"/>
      <c r="BI402" s="442"/>
      <c r="BJ402" s="442"/>
      <c r="BK402" s="442"/>
      <c r="BL402" s="442"/>
      <c r="BM402" s="442"/>
      <c r="BN402" s="442"/>
      <c r="BO402" s="442"/>
      <c r="BP402" s="442"/>
      <c r="BQ402" s="442"/>
      <c r="BR402" s="442"/>
      <c r="BS402" s="442"/>
      <c r="BT402" s="442"/>
      <c r="BU402" s="442"/>
      <c r="BV402" s="442"/>
      <c r="BW402" s="442"/>
      <c r="BX402" s="442"/>
      <c r="BY402" s="442"/>
      <c r="BZ402" s="442"/>
      <c r="CA402" s="442"/>
      <c r="CB402" s="442"/>
      <c r="CC402" s="442"/>
      <c r="CD402" s="442"/>
      <c r="CE402" s="442"/>
      <c r="CF402" s="442"/>
      <c r="CG402" s="442"/>
      <c r="CH402" s="442"/>
      <c r="CI402" s="442"/>
    </row>
    <row r="403" spans="4:87" x14ac:dyDescent="0.2"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  <c r="AA403" s="442"/>
      <c r="AB403" s="442"/>
      <c r="AC403" s="442"/>
      <c r="AD403" s="442"/>
      <c r="AE403" s="442"/>
      <c r="AF403" s="442"/>
      <c r="AG403" s="442"/>
      <c r="AH403" s="442"/>
      <c r="AI403" s="442"/>
      <c r="AJ403" s="442"/>
      <c r="AK403" s="442"/>
      <c r="AL403" s="442"/>
      <c r="AM403" s="442"/>
      <c r="AN403" s="442"/>
      <c r="AO403" s="442"/>
      <c r="AP403" s="442"/>
      <c r="AQ403" s="442"/>
      <c r="AR403" s="442"/>
      <c r="AS403" s="442"/>
      <c r="AT403" s="442"/>
      <c r="AU403" s="442"/>
      <c r="AV403" s="442"/>
      <c r="AW403" s="442"/>
      <c r="AX403" s="442"/>
      <c r="AY403" s="442"/>
      <c r="AZ403" s="442"/>
      <c r="BA403" s="442"/>
      <c r="BB403" s="442"/>
      <c r="BC403" s="442"/>
      <c r="BD403" s="442"/>
      <c r="BE403" s="442"/>
      <c r="BF403" s="442"/>
      <c r="BG403" s="442"/>
      <c r="BH403" s="442"/>
      <c r="BI403" s="442"/>
      <c r="BJ403" s="442"/>
      <c r="BK403" s="442"/>
      <c r="BL403" s="442"/>
      <c r="BM403" s="442"/>
      <c r="BN403" s="442"/>
      <c r="BO403" s="442"/>
      <c r="BP403" s="442"/>
      <c r="BQ403" s="442"/>
      <c r="BR403" s="442"/>
      <c r="BS403" s="442"/>
      <c r="BT403" s="442"/>
      <c r="BU403" s="442"/>
      <c r="BV403" s="442"/>
      <c r="BW403" s="442"/>
      <c r="BX403" s="442"/>
      <c r="BY403" s="442"/>
      <c r="BZ403" s="442"/>
      <c r="CA403" s="442"/>
      <c r="CB403" s="442"/>
      <c r="CC403" s="442"/>
      <c r="CD403" s="442"/>
      <c r="CE403" s="442"/>
      <c r="CF403" s="442"/>
      <c r="CG403" s="442"/>
      <c r="CH403" s="442"/>
      <c r="CI403" s="442"/>
    </row>
    <row r="404" spans="4:87" x14ac:dyDescent="0.2"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  <c r="AA404" s="442"/>
      <c r="AB404" s="442"/>
      <c r="AC404" s="442"/>
      <c r="AD404" s="442"/>
      <c r="AE404" s="442"/>
      <c r="AF404" s="442"/>
      <c r="AG404" s="442"/>
      <c r="AH404" s="442"/>
      <c r="AI404" s="442"/>
      <c r="AJ404" s="442"/>
      <c r="AK404" s="442"/>
      <c r="AL404" s="442"/>
      <c r="AM404" s="442"/>
      <c r="AN404" s="442"/>
      <c r="AO404" s="442"/>
      <c r="AP404" s="442"/>
      <c r="AQ404" s="442"/>
      <c r="AR404" s="442"/>
      <c r="AS404" s="442"/>
      <c r="AT404" s="442"/>
      <c r="AU404" s="442"/>
      <c r="AV404" s="442"/>
      <c r="AW404" s="442"/>
      <c r="AX404" s="442"/>
      <c r="AY404" s="442"/>
      <c r="AZ404" s="442"/>
      <c r="BA404" s="442"/>
      <c r="BB404" s="442"/>
      <c r="BC404" s="442"/>
      <c r="BD404" s="442"/>
      <c r="BE404" s="442"/>
      <c r="BF404" s="442"/>
      <c r="BG404" s="442"/>
      <c r="BH404" s="442"/>
      <c r="BI404" s="442"/>
      <c r="BJ404" s="442"/>
      <c r="BK404" s="442"/>
      <c r="BL404" s="442"/>
      <c r="BM404" s="442"/>
      <c r="BN404" s="442"/>
      <c r="BO404" s="442"/>
      <c r="BP404" s="442"/>
      <c r="BQ404" s="442"/>
      <c r="BR404" s="442"/>
      <c r="BS404" s="442"/>
      <c r="BT404" s="442"/>
      <c r="BU404" s="442"/>
      <c r="BV404" s="442"/>
      <c r="BW404" s="442"/>
      <c r="BX404" s="442"/>
      <c r="BY404" s="442"/>
      <c r="BZ404" s="442"/>
      <c r="CA404" s="442"/>
      <c r="CB404" s="442"/>
      <c r="CC404" s="442"/>
      <c r="CD404" s="442"/>
      <c r="CE404" s="442"/>
      <c r="CF404" s="442"/>
      <c r="CG404" s="442"/>
      <c r="CH404" s="442"/>
      <c r="CI404" s="442"/>
    </row>
    <row r="405" spans="4:87" x14ac:dyDescent="0.2">
      <c r="D405" s="44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  <c r="AA405" s="442"/>
      <c r="AB405" s="442"/>
      <c r="AC405" s="442"/>
      <c r="AD405" s="442"/>
      <c r="AE405" s="442"/>
      <c r="AF405" s="442"/>
      <c r="AG405" s="442"/>
      <c r="AH405" s="442"/>
      <c r="AI405" s="442"/>
      <c r="AJ405" s="442"/>
      <c r="AK405" s="442"/>
      <c r="AL405" s="442"/>
      <c r="AM405" s="442"/>
      <c r="AN405" s="442"/>
      <c r="AO405" s="442"/>
      <c r="AP405" s="442"/>
      <c r="AQ405" s="442"/>
      <c r="AR405" s="442"/>
      <c r="AS405" s="442"/>
      <c r="AT405" s="442"/>
      <c r="AU405" s="442"/>
      <c r="AV405" s="442"/>
      <c r="AW405" s="442"/>
      <c r="AX405" s="442"/>
      <c r="AY405" s="442"/>
      <c r="AZ405" s="442"/>
      <c r="BA405" s="442"/>
      <c r="BB405" s="442"/>
      <c r="BC405" s="442"/>
      <c r="BD405" s="442"/>
      <c r="BE405" s="442"/>
      <c r="BF405" s="442"/>
      <c r="BG405" s="442"/>
      <c r="BH405" s="442"/>
      <c r="BI405" s="442"/>
      <c r="BJ405" s="442"/>
      <c r="BK405" s="442"/>
      <c r="BL405" s="442"/>
      <c r="BM405" s="442"/>
      <c r="BN405" s="442"/>
      <c r="BO405" s="442"/>
      <c r="BP405" s="442"/>
      <c r="BQ405" s="442"/>
      <c r="BR405" s="442"/>
      <c r="BS405" s="442"/>
      <c r="BT405" s="442"/>
      <c r="BU405" s="442"/>
      <c r="BV405" s="442"/>
      <c r="BW405" s="442"/>
      <c r="BX405" s="442"/>
      <c r="BY405" s="442"/>
      <c r="BZ405" s="442"/>
      <c r="CA405" s="442"/>
      <c r="CB405" s="442"/>
      <c r="CC405" s="442"/>
      <c r="CD405" s="442"/>
      <c r="CE405" s="442"/>
      <c r="CF405" s="442"/>
      <c r="CG405" s="442"/>
      <c r="CH405" s="442"/>
      <c r="CI405" s="442"/>
    </row>
    <row r="406" spans="4:87" x14ac:dyDescent="0.2">
      <c r="D406" s="44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  <c r="AA406" s="442"/>
      <c r="AB406" s="442"/>
      <c r="AC406" s="442"/>
      <c r="AD406" s="442"/>
      <c r="AE406" s="442"/>
      <c r="AF406" s="442"/>
      <c r="AG406" s="442"/>
      <c r="AH406" s="442"/>
      <c r="AI406" s="442"/>
      <c r="AJ406" s="442"/>
      <c r="AK406" s="442"/>
      <c r="AL406" s="442"/>
      <c r="AM406" s="442"/>
      <c r="AN406" s="442"/>
      <c r="AO406" s="442"/>
      <c r="AP406" s="442"/>
      <c r="AQ406" s="442"/>
      <c r="AR406" s="442"/>
      <c r="AS406" s="442"/>
      <c r="AT406" s="442"/>
      <c r="AU406" s="442"/>
      <c r="AV406" s="442"/>
      <c r="AW406" s="442"/>
      <c r="AX406" s="442"/>
      <c r="AY406" s="442"/>
      <c r="AZ406" s="442"/>
      <c r="BA406" s="442"/>
      <c r="BB406" s="442"/>
      <c r="BC406" s="442"/>
      <c r="BD406" s="442"/>
      <c r="BE406" s="442"/>
      <c r="BF406" s="442"/>
      <c r="BG406" s="442"/>
      <c r="BH406" s="442"/>
      <c r="BI406" s="442"/>
      <c r="BJ406" s="442"/>
      <c r="BK406" s="442"/>
      <c r="BL406" s="442"/>
      <c r="BM406" s="442"/>
      <c r="BN406" s="442"/>
      <c r="BO406" s="442"/>
      <c r="BP406" s="442"/>
      <c r="BQ406" s="442"/>
      <c r="BR406" s="442"/>
      <c r="BS406" s="442"/>
      <c r="BT406" s="442"/>
      <c r="BU406" s="442"/>
      <c r="BV406" s="442"/>
      <c r="BW406" s="442"/>
      <c r="BX406" s="442"/>
      <c r="BY406" s="442"/>
      <c r="BZ406" s="442"/>
      <c r="CA406" s="442"/>
      <c r="CB406" s="442"/>
      <c r="CC406" s="442"/>
      <c r="CD406" s="442"/>
      <c r="CE406" s="442"/>
      <c r="CF406" s="442"/>
      <c r="CG406" s="442"/>
      <c r="CH406" s="442"/>
      <c r="CI406" s="442"/>
    </row>
    <row r="407" spans="4:87" x14ac:dyDescent="0.2"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  <c r="AA407" s="442"/>
      <c r="AB407" s="442"/>
      <c r="AC407" s="442"/>
      <c r="AD407" s="442"/>
      <c r="AE407" s="442"/>
      <c r="AF407" s="442"/>
      <c r="AG407" s="442"/>
      <c r="AH407" s="442"/>
      <c r="AI407" s="442"/>
      <c r="AJ407" s="442"/>
      <c r="AK407" s="442"/>
      <c r="AL407" s="442"/>
      <c r="AM407" s="442"/>
      <c r="AN407" s="442"/>
      <c r="AO407" s="442"/>
      <c r="AP407" s="442"/>
      <c r="AQ407" s="442"/>
      <c r="AR407" s="442"/>
      <c r="AS407" s="442"/>
      <c r="AT407" s="442"/>
      <c r="AU407" s="442"/>
      <c r="AV407" s="442"/>
      <c r="AW407" s="442"/>
      <c r="AX407" s="442"/>
      <c r="AY407" s="442"/>
      <c r="AZ407" s="442"/>
      <c r="BA407" s="442"/>
      <c r="BB407" s="442"/>
      <c r="BC407" s="442"/>
      <c r="BD407" s="442"/>
      <c r="BE407" s="442"/>
      <c r="BF407" s="442"/>
      <c r="BG407" s="442"/>
      <c r="BH407" s="442"/>
      <c r="BI407" s="442"/>
      <c r="BJ407" s="442"/>
      <c r="BK407" s="442"/>
      <c r="BL407" s="442"/>
      <c r="BM407" s="442"/>
      <c r="BN407" s="442"/>
      <c r="BO407" s="442"/>
      <c r="BP407" s="442"/>
      <c r="BQ407" s="442"/>
      <c r="BR407" s="442"/>
      <c r="BS407" s="442"/>
      <c r="BT407" s="442"/>
      <c r="BU407" s="442"/>
      <c r="BV407" s="442"/>
      <c r="BW407" s="442"/>
      <c r="BX407" s="442"/>
      <c r="BY407" s="442"/>
      <c r="BZ407" s="442"/>
      <c r="CA407" s="442"/>
      <c r="CB407" s="442"/>
      <c r="CC407" s="442"/>
      <c r="CD407" s="442"/>
      <c r="CE407" s="442"/>
      <c r="CF407" s="442"/>
      <c r="CG407" s="442"/>
      <c r="CH407" s="442"/>
      <c r="CI407" s="442"/>
    </row>
    <row r="408" spans="4:87" x14ac:dyDescent="0.2"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  <c r="AA408" s="442"/>
      <c r="AB408" s="442"/>
      <c r="AC408" s="442"/>
      <c r="AD408" s="442"/>
      <c r="AE408" s="442"/>
      <c r="AF408" s="442"/>
      <c r="AG408" s="442"/>
      <c r="AH408" s="442"/>
      <c r="AI408" s="442"/>
      <c r="AJ408" s="442"/>
      <c r="AK408" s="442"/>
      <c r="AL408" s="442"/>
      <c r="AM408" s="442"/>
      <c r="AN408" s="442"/>
      <c r="AO408" s="442"/>
      <c r="AP408" s="442"/>
      <c r="AQ408" s="442"/>
      <c r="AR408" s="442"/>
      <c r="AS408" s="442"/>
      <c r="AT408" s="442"/>
      <c r="AU408" s="442"/>
      <c r="AV408" s="442"/>
      <c r="AW408" s="442"/>
      <c r="AX408" s="442"/>
      <c r="AY408" s="442"/>
      <c r="AZ408" s="442"/>
      <c r="BA408" s="442"/>
      <c r="BB408" s="442"/>
      <c r="BC408" s="442"/>
      <c r="BD408" s="442"/>
      <c r="BE408" s="442"/>
      <c r="BF408" s="442"/>
      <c r="BG408" s="442"/>
      <c r="BH408" s="442"/>
      <c r="BI408" s="442"/>
      <c r="BJ408" s="442"/>
      <c r="BK408" s="442"/>
      <c r="BL408" s="442"/>
      <c r="BM408" s="442"/>
      <c r="BN408" s="442"/>
      <c r="BO408" s="442"/>
      <c r="BP408" s="442"/>
      <c r="BQ408" s="442"/>
      <c r="BR408" s="442"/>
      <c r="BS408" s="442"/>
      <c r="BT408" s="442"/>
      <c r="BU408" s="442"/>
      <c r="BV408" s="442"/>
      <c r="BW408" s="442"/>
      <c r="BX408" s="442"/>
      <c r="BY408" s="442"/>
      <c r="BZ408" s="442"/>
      <c r="CA408" s="442"/>
      <c r="CB408" s="442"/>
      <c r="CC408" s="442"/>
      <c r="CD408" s="442"/>
      <c r="CE408" s="442"/>
      <c r="CF408" s="442"/>
      <c r="CG408" s="442"/>
      <c r="CH408" s="442"/>
      <c r="CI408" s="442"/>
    </row>
    <row r="409" spans="4:87" x14ac:dyDescent="0.2">
      <c r="D409" s="44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  <c r="AA409" s="442"/>
      <c r="AB409" s="442"/>
      <c r="AC409" s="442"/>
      <c r="AD409" s="442"/>
      <c r="AE409" s="442"/>
      <c r="AF409" s="442"/>
      <c r="AG409" s="442"/>
      <c r="AH409" s="442"/>
      <c r="AI409" s="442"/>
      <c r="AJ409" s="442"/>
      <c r="AK409" s="442"/>
      <c r="AL409" s="442"/>
      <c r="AM409" s="442"/>
      <c r="AN409" s="442"/>
      <c r="AO409" s="442"/>
      <c r="AP409" s="442"/>
      <c r="AQ409" s="442"/>
      <c r="AR409" s="442"/>
      <c r="AS409" s="442"/>
      <c r="AT409" s="442"/>
      <c r="AU409" s="442"/>
      <c r="AV409" s="442"/>
      <c r="AW409" s="442"/>
      <c r="AX409" s="442"/>
      <c r="AY409" s="442"/>
      <c r="AZ409" s="442"/>
      <c r="BA409" s="442"/>
      <c r="BB409" s="442"/>
      <c r="BC409" s="442"/>
      <c r="BD409" s="442"/>
      <c r="BE409" s="442"/>
      <c r="BF409" s="442"/>
      <c r="BG409" s="442"/>
      <c r="BH409" s="442"/>
      <c r="BI409" s="442"/>
      <c r="BJ409" s="442"/>
      <c r="BK409" s="442"/>
      <c r="BL409" s="442"/>
      <c r="BM409" s="442"/>
      <c r="BN409" s="442"/>
      <c r="BO409" s="442"/>
      <c r="BP409" s="442"/>
      <c r="BQ409" s="442"/>
      <c r="BR409" s="442"/>
      <c r="BS409" s="442"/>
      <c r="BT409" s="442"/>
      <c r="BU409" s="442"/>
      <c r="BV409" s="442"/>
      <c r="BW409" s="442"/>
      <c r="BX409" s="442"/>
      <c r="BY409" s="442"/>
      <c r="BZ409" s="442"/>
      <c r="CA409" s="442"/>
      <c r="CB409" s="442"/>
      <c r="CC409" s="442"/>
      <c r="CD409" s="442"/>
      <c r="CE409" s="442"/>
      <c r="CF409" s="442"/>
      <c r="CG409" s="442"/>
      <c r="CH409" s="442"/>
      <c r="CI409" s="442"/>
    </row>
    <row r="410" spans="4:87" x14ac:dyDescent="0.2">
      <c r="D410" s="44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  <c r="AA410" s="442"/>
      <c r="AB410" s="442"/>
      <c r="AC410" s="442"/>
      <c r="AD410" s="442"/>
      <c r="AE410" s="442"/>
      <c r="AF410" s="442"/>
      <c r="AG410" s="442"/>
      <c r="AH410" s="442"/>
      <c r="AI410" s="442"/>
      <c r="AJ410" s="442"/>
      <c r="AK410" s="442"/>
      <c r="AL410" s="442"/>
      <c r="AM410" s="442"/>
      <c r="AN410" s="442"/>
      <c r="AO410" s="442"/>
      <c r="AP410" s="442"/>
      <c r="AQ410" s="442"/>
      <c r="AR410" s="442"/>
      <c r="AS410" s="442"/>
      <c r="AT410" s="442"/>
      <c r="AU410" s="442"/>
      <c r="AV410" s="442"/>
      <c r="AW410" s="442"/>
      <c r="AX410" s="442"/>
      <c r="AY410" s="442"/>
      <c r="AZ410" s="442"/>
      <c r="BA410" s="442"/>
      <c r="BB410" s="442"/>
      <c r="BC410" s="442"/>
      <c r="BD410" s="442"/>
      <c r="BE410" s="442"/>
      <c r="BF410" s="442"/>
      <c r="BG410" s="442"/>
      <c r="BH410" s="442"/>
      <c r="BI410" s="442"/>
      <c r="BJ410" s="442"/>
      <c r="BK410" s="442"/>
      <c r="BL410" s="442"/>
      <c r="BM410" s="442"/>
      <c r="BN410" s="442"/>
      <c r="BO410" s="442"/>
      <c r="BP410" s="442"/>
      <c r="BQ410" s="442"/>
      <c r="BR410" s="442"/>
      <c r="BS410" s="442"/>
      <c r="BT410" s="442"/>
      <c r="BU410" s="442"/>
      <c r="BV410" s="442"/>
      <c r="BW410" s="442"/>
      <c r="BX410" s="442"/>
      <c r="BY410" s="442"/>
      <c r="BZ410" s="442"/>
      <c r="CA410" s="442"/>
      <c r="CB410" s="442"/>
      <c r="CC410" s="442"/>
      <c r="CD410" s="442"/>
      <c r="CE410" s="442"/>
      <c r="CF410" s="442"/>
      <c r="CG410" s="442"/>
      <c r="CH410" s="442"/>
      <c r="CI410" s="442"/>
    </row>
    <row r="411" spans="4:87" x14ac:dyDescent="0.2">
      <c r="D411" s="44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  <c r="AA411" s="442"/>
      <c r="AB411" s="442"/>
      <c r="AC411" s="442"/>
      <c r="AD411" s="442"/>
      <c r="AE411" s="442"/>
      <c r="AF411" s="442"/>
      <c r="AG411" s="442"/>
      <c r="AH411" s="442"/>
      <c r="AI411" s="442"/>
      <c r="AJ411" s="442"/>
      <c r="AK411" s="442"/>
      <c r="AL411" s="442"/>
      <c r="AM411" s="442"/>
      <c r="AN411" s="442"/>
      <c r="AO411" s="442"/>
      <c r="AP411" s="442"/>
      <c r="AQ411" s="442"/>
      <c r="AR411" s="442"/>
      <c r="AS411" s="442"/>
      <c r="AT411" s="442"/>
      <c r="AU411" s="442"/>
      <c r="AV411" s="442"/>
      <c r="AW411" s="442"/>
      <c r="AX411" s="442"/>
      <c r="AY411" s="442"/>
      <c r="AZ411" s="442"/>
      <c r="BA411" s="442"/>
      <c r="BB411" s="442"/>
      <c r="BC411" s="442"/>
      <c r="BD411" s="442"/>
      <c r="BE411" s="442"/>
      <c r="BF411" s="442"/>
      <c r="BG411" s="442"/>
      <c r="BH411" s="442"/>
      <c r="BI411" s="442"/>
      <c r="BJ411" s="442"/>
      <c r="BK411" s="442"/>
      <c r="BL411" s="442"/>
      <c r="BM411" s="442"/>
      <c r="BN411" s="442"/>
      <c r="BO411" s="442"/>
      <c r="BP411" s="442"/>
      <c r="BQ411" s="442"/>
      <c r="BR411" s="442"/>
      <c r="BS411" s="442"/>
      <c r="BT411" s="442"/>
      <c r="BU411" s="442"/>
      <c r="BV411" s="442"/>
      <c r="BW411" s="442"/>
      <c r="BX411" s="442"/>
      <c r="BY411" s="442"/>
      <c r="BZ411" s="442"/>
      <c r="CA411" s="442"/>
      <c r="CB411" s="442"/>
      <c r="CC411" s="442"/>
      <c r="CD411" s="442"/>
      <c r="CE411" s="442"/>
      <c r="CF411" s="442"/>
      <c r="CG411" s="442"/>
      <c r="CH411" s="442"/>
      <c r="CI411" s="442"/>
    </row>
    <row r="412" spans="4:87" x14ac:dyDescent="0.2">
      <c r="D412" s="44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  <c r="AA412" s="442"/>
      <c r="AB412" s="442"/>
      <c r="AC412" s="442"/>
      <c r="AD412" s="442"/>
      <c r="AE412" s="442"/>
      <c r="AF412" s="442"/>
      <c r="AG412" s="442"/>
      <c r="AH412" s="442"/>
      <c r="AI412" s="442"/>
      <c r="AJ412" s="442"/>
      <c r="AK412" s="442"/>
      <c r="AL412" s="442"/>
      <c r="AM412" s="442"/>
      <c r="AN412" s="442"/>
      <c r="AO412" s="442"/>
      <c r="AP412" s="442"/>
      <c r="AQ412" s="442"/>
      <c r="AR412" s="442"/>
      <c r="AS412" s="442"/>
      <c r="AT412" s="442"/>
      <c r="AU412" s="442"/>
      <c r="AV412" s="442"/>
      <c r="AW412" s="442"/>
      <c r="AX412" s="442"/>
      <c r="AY412" s="442"/>
      <c r="AZ412" s="442"/>
      <c r="BA412" s="442"/>
      <c r="BB412" s="442"/>
      <c r="BC412" s="442"/>
      <c r="BD412" s="442"/>
      <c r="BE412" s="442"/>
      <c r="BF412" s="442"/>
      <c r="BG412" s="442"/>
      <c r="BH412" s="442"/>
      <c r="BI412" s="442"/>
      <c r="BJ412" s="442"/>
      <c r="BK412" s="442"/>
      <c r="BL412" s="442"/>
      <c r="BM412" s="442"/>
      <c r="BN412" s="442"/>
      <c r="BO412" s="442"/>
      <c r="BP412" s="442"/>
      <c r="BQ412" s="442"/>
      <c r="BR412" s="442"/>
      <c r="BS412" s="442"/>
      <c r="BT412" s="442"/>
      <c r="BU412" s="442"/>
      <c r="BV412" s="442"/>
      <c r="BW412" s="442"/>
      <c r="BX412" s="442"/>
      <c r="BY412" s="442"/>
      <c r="BZ412" s="442"/>
      <c r="CA412" s="442"/>
      <c r="CB412" s="442"/>
      <c r="CC412" s="442"/>
      <c r="CD412" s="442"/>
      <c r="CE412" s="442"/>
      <c r="CF412" s="442"/>
      <c r="CG412" s="442"/>
      <c r="CH412" s="442"/>
      <c r="CI412" s="442"/>
    </row>
    <row r="413" spans="4:87" x14ac:dyDescent="0.2">
      <c r="D413" s="44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  <c r="AA413" s="442"/>
      <c r="AB413" s="442"/>
      <c r="AC413" s="442"/>
      <c r="AD413" s="442"/>
      <c r="AE413" s="442"/>
      <c r="AF413" s="442"/>
      <c r="AG413" s="442"/>
      <c r="AH413" s="442"/>
      <c r="AI413" s="442"/>
      <c r="AJ413" s="442"/>
      <c r="AK413" s="442"/>
      <c r="AL413" s="442"/>
      <c r="AM413" s="442"/>
      <c r="AN413" s="442"/>
      <c r="AO413" s="442"/>
      <c r="AP413" s="442"/>
      <c r="AQ413" s="442"/>
      <c r="AR413" s="442"/>
      <c r="AS413" s="442"/>
      <c r="AT413" s="442"/>
      <c r="AU413" s="442"/>
      <c r="AV413" s="442"/>
      <c r="AW413" s="442"/>
      <c r="AX413" s="442"/>
      <c r="AY413" s="442"/>
      <c r="AZ413" s="442"/>
      <c r="BA413" s="442"/>
      <c r="BB413" s="442"/>
      <c r="BC413" s="442"/>
      <c r="BD413" s="442"/>
      <c r="BE413" s="442"/>
      <c r="BF413" s="442"/>
      <c r="BG413" s="442"/>
      <c r="BH413" s="442"/>
      <c r="BI413" s="442"/>
      <c r="BJ413" s="442"/>
      <c r="BK413" s="442"/>
      <c r="BL413" s="442"/>
      <c r="BM413" s="442"/>
      <c r="BN413" s="442"/>
      <c r="BO413" s="442"/>
      <c r="BP413" s="442"/>
      <c r="BQ413" s="442"/>
      <c r="BR413" s="442"/>
      <c r="BS413" s="442"/>
      <c r="BT413" s="442"/>
      <c r="BU413" s="442"/>
      <c r="BV413" s="442"/>
      <c r="BW413" s="442"/>
      <c r="BX413" s="442"/>
      <c r="BY413" s="442"/>
      <c r="BZ413" s="442"/>
      <c r="CA413" s="442"/>
      <c r="CB413" s="442"/>
      <c r="CC413" s="442"/>
      <c r="CD413" s="442"/>
      <c r="CE413" s="442"/>
      <c r="CF413" s="442"/>
      <c r="CG413" s="442"/>
      <c r="CH413" s="442"/>
      <c r="CI413" s="442"/>
    </row>
    <row r="414" spans="4:87" x14ac:dyDescent="0.2"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  <c r="AA414" s="442"/>
      <c r="AB414" s="442"/>
      <c r="AC414" s="442"/>
      <c r="AD414" s="442"/>
      <c r="AE414" s="442"/>
      <c r="AF414" s="442"/>
      <c r="AG414" s="442"/>
      <c r="AH414" s="442"/>
      <c r="AI414" s="442"/>
      <c r="AJ414" s="442"/>
      <c r="AK414" s="442"/>
      <c r="AL414" s="442"/>
      <c r="AM414" s="442"/>
      <c r="AN414" s="442"/>
      <c r="AO414" s="442"/>
      <c r="AP414" s="442"/>
      <c r="AQ414" s="442"/>
      <c r="AR414" s="442"/>
      <c r="AS414" s="442"/>
      <c r="AT414" s="442"/>
      <c r="AU414" s="442"/>
      <c r="AV414" s="442"/>
      <c r="AW414" s="442"/>
      <c r="AX414" s="442"/>
      <c r="AY414" s="442"/>
      <c r="AZ414" s="442"/>
      <c r="BA414" s="442"/>
      <c r="BB414" s="442"/>
      <c r="BC414" s="442"/>
      <c r="BD414" s="442"/>
      <c r="BE414" s="442"/>
      <c r="BF414" s="442"/>
      <c r="BG414" s="442"/>
      <c r="BH414" s="442"/>
      <c r="BI414" s="442"/>
      <c r="BJ414" s="442"/>
      <c r="BK414" s="442"/>
      <c r="BL414" s="442"/>
      <c r="BM414" s="442"/>
      <c r="BN414" s="442"/>
      <c r="BO414" s="442"/>
      <c r="BP414" s="442"/>
      <c r="BQ414" s="442"/>
      <c r="BR414" s="442"/>
      <c r="BS414" s="442"/>
      <c r="BT414" s="442"/>
      <c r="BU414" s="442"/>
      <c r="BV414" s="442"/>
      <c r="BW414" s="442"/>
      <c r="BX414" s="442"/>
      <c r="BY414" s="442"/>
      <c r="BZ414" s="442"/>
      <c r="CA414" s="442"/>
      <c r="CB414" s="442"/>
      <c r="CC414" s="442"/>
      <c r="CD414" s="442"/>
      <c r="CE414" s="442"/>
      <c r="CF414" s="442"/>
      <c r="CG414" s="442"/>
      <c r="CH414" s="442"/>
      <c r="CI414" s="442"/>
    </row>
    <row r="415" spans="4:87" x14ac:dyDescent="0.2">
      <c r="D415" s="44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  <c r="AA415" s="442"/>
      <c r="AB415" s="442"/>
      <c r="AC415" s="442"/>
      <c r="AD415" s="442"/>
      <c r="AE415" s="442"/>
      <c r="AF415" s="442"/>
      <c r="AG415" s="442"/>
      <c r="AH415" s="442"/>
      <c r="AI415" s="442"/>
      <c r="AJ415" s="442"/>
      <c r="AK415" s="442"/>
      <c r="AL415" s="442"/>
      <c r="AM415" s="442"/>
      <c r="AN415" s="442"/>
      <c r="AO415" s="442"/>
      <c r="AP415" s="442"/>
      <c r="AQ415" s="442"/>
      <c r="AR415" s="442"/>
      <c r="AS415" s="442"/>
      <c r="AT415" s="442"/>
      <c r="AU415" s="442"/>
      <c r="AV415" s="442"/>
      <c r="AW415" s="442"/>
      <c r="AX415" s="442"/>
      <c r="AY415" s="442"/>
      <c r="AZ415" s="442"/>
      <c r="BA415" s="442"/>
      <c r="BB415" s="442"/>
      <c r="BC415" s="442"/>
      <c r="BD415" s="442"/>
      <c r="BE415" s="442"/>
      <c r="BF415" s="442"/>
      <c r="BG415" s="442"/>
      <c r="BH415" s="442"/>
      <c r="BI415" s="442"/>
      <c r="BJ415" s="442"/>
      <c r="BK415" s="442"/>
      <c r="BL415" s="442"/>
      <c r="BM415" s="442"/>
      <c r="BN415" s="442"/>
      <c r="BO415" s="442"/>
      <c r="BP415" s="442"/>
      <c r="BQ415" s="442"/>
      <c r="BR415" s="442"/>
      <c r="BS415" s="442"/>
      <c r="BT415" s="442"/>
      <c r="BU415" s="442"/>
      <c r="BV415" s="442"/>
      <c r="BW415" s="442"/>
      <c r="BX415" s="442"/>
      <c r="BY415" s="442"/>
      <c r="BZ415" s="442"/>
      <c r="CA415" s="442"/>
      <c r="CB415" s="442"/>
      <c r="CC415" s="442"/>
      <c r="CD415" s="442"/>
      <c r="CE415" s="442"/>
      <c r="CF415" s="442"/>
      <c r="CG415" s="442"/>
      <c r="CH415" s="442"/>
      <c r="CI415" s="442"/>
    </row>
    <row r="416" spans="4:87" x14ac:dyDescent="0.2">
      <c r="D416" s="44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  <c r="AA416" s="442"/>
      <c r="AB416" s="442"/>
      <c r="AC416" s="442"/>
      <c r="AD416" s="442"/>
      <c r="AE416" s="442"/>
      <c r="AF416" s="442"/>
      <c r="AG416" s="442"/>
      <c r="AH416" s="442"/>
      <c r="AI416" s="442"/>
      <c r="AJ416" s="442"/>
      <c r="AK416" s="442"/>
      <c r="AL416" s="442"/>
      <c r="AM416" s="442"/>
      <c r="AN416" s="442"/>
      <c r="AO416" s="442"/>
      <c r="AP416" s="442"/>
      <c r="AQ416" s="442"/>
      <c r="AR416" s="442"/>
      <c r="AS416" s="442"/>
      <c r="AT416" s="442"/>
      <c r="AU416" s="442"/>
      <c r="AV416" s="442"/>
      <c r="AW416" s="442"/>
      <c r="AX416" s="442"/>
      <c r="AY416" s="442"/>
      <c r="AZ416" s="442"/>
      <c r="BA416" s="442"/>
      <c r="BB416" s="442"/>
      <c r="BC416" s="442"/>
      <c r="BD416" s="442"/>
      <c r="BE416" s="442"/>
      <c r="BF416" s="442"/>
      <c r="BG416" s="442"/>
      <c r="BH416" s="442"/>
      <c r="BI416" s="442"/>
      <c r="BJ416" s="442"/>
      <c r="BK416" s="442"/>
      <c r="BL416" s="442"/>
      <c r="BM416" s="442"/>
      <c r="BN416" s="442"/>
      <c r="BO416" s="442"/>
      <c r="BP416" s="442"/>
      <c r="BQ416" s="442"/>
      <c r="BR416" s="442"/>
      <c r="BS416" s="442"/>
      <c r="BT416" s="442"/>
      <c r="BU416" s="442"/>
      <c r="BV416" s="442"/>
      <c r="BW416" s="442"/>
      <c r="BX416" s="442"/>
      <c r="BY416" s="442"/>
      <c r="BZ416" s="442"/>
      <c r="CA416" s="442"/>
      <c r="CB416" s="442"/>
      <c r="CC416" s="442"/>
      <c r="CD416" s="442"/>
      <c r="CE416" s="442"/>
      <c r="CF416" s="442"/>
      <c r="CG416" s="442"/>
      <c r="CH416" s="442"/>
      <c r="CI416" s="442"/>
    </row>
    <row r="417" spans="4:87" x14ac:dyDescent="0.2"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  <c r="AA417" s="442"/>
      <c r="AB417" s="442"/>
      <c r="AC417" s="442"/>
      <c r="AD417" s="442"/>
      <c r="AE417" s="442"/>
      <c r="AF417" s="442"/>
      <c r="AG417" s="442"/>
      <c r="AH417" s="442"/>
      <c r="AI417" s="442"/>
      <c r="AJ417" s="442"/>
      <c r="AK417" s="442"/>
      <c r="AL417" s="442"/>
      <c r="AM417" s="442"/>
      <c r="AN417" s="442"/>
      <c r="AO417" s="442"/>
      <c r="AP417" s="442"/>
      <c r="AQ417" s="442"/>
      <c r="AR417" s="442"/>
      <c r="AS417" s="442"/>
      <c r="AT417" s="442"/>
      <c r="AU417" s="442"/>
      <c r="AV417" s="442"/>
      <c r="AW417" s="442"/>
      <c r="AX417" s="442"/>
      <c r="AY417" s="442"/>
      <c r="AZ417" s="442"/>
      <c r="BA417" s="442"/>
      <c r="BB417" s="442"/>
      <c r="BC417" s="442"/>
      <c r="BD417" s="442"/>
      <c r="BE417" s="442"/>
      <c r="BF417" s="442"/>
      <c r="BG417" s="442"/>
      <c r="BH417" s="442"/>
      <c r="BI417" s="442"/>
      <c r="BJ417" s="442"/>
      <c r="BK417" s="442"/>
      <c r="BL417" s="442"/>
      <c r="BM417" s="442"/>
      <c r="BN417" s="442"/>
      <c r="BO417" s="442"/>
      <c r="BP417" s="442"/>
      <c r="BQ417" s="442"/>
      <c r="BR417" s="442"/>
      <c r="BS417" s="442"/>
      <c r="BT417" s="442"/>
      <c r="BU417" s="442"/>
      <c r="BV417" s="442"/>
      <c r="BW417" s="442"/>
      <c r="BX417" s="442"/>
      <c r="BY417" s="442"/>
      <c r="BZ417" s="442"/>
      <c r="CA417" s="442"/>
      <c r="CB417" s="442"/>
      <c r="CC417" s="442"/>
      <c r="CD417" s="442"/>
      <c r="CE417" s="442"/>
      <c r="CF417" s="442"/>
      <c r="CG417" s="442"/>
      <c r="CH417" s="442"/>
      <c r="CI417" s="442"/>
    </row>
    <row r="418" spans="4:87" x14ac:dyDescent="0.2">
      <c r="D418" s="44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  <c r="AA418" s="442"/>
      <c r="AB418" s="442"/>
      <c r="AC418" s="442"/>
      <c r="AD418" s="442"/>
      <c r="AE418" s="442"/>
      <c r="AF418" s="442"/>
      <c r="AG418" s="442"/>
      <c r="AH418" s="442"/>
      <c r="AI418" s="442"/>
      <c r="AJ418" s="442"/>
      <c r="AK418" s="442"/>
      <c r="AL418" s="442"/>
      <c r="AM418" s="442"/>
      <c r="AN418" s="442"/>
      <c r="AO418" s="442"/>
      <c r="AP418" s="442"/>
      <c r="AQ418" s="442"/>
      <c r="AR418" s="442"/>
      <c r="AS418" s="442"/>
      <c r="AT418" s="442"/>
      <c r="AU418" s="442"/>
      <c r="AV418" s="442"/>
      <c r="AW418" s="442"/>
      <c r="AX418" s="442"/>
      <c r="AY418" s="442"/>
      <c r="AZ418" s="442"/>
      <c r="BA418" s="442"/>
      <c r="BB418" s="442"/>
      <c r="BC418" s="442"/>
      <c r="BD418" s="442"/>
      <c r="BE418" s="442"/>
      <c r="BF418" s="442"/>
      <c r="BG418" s="442"/>
      <c r="BH418" s="442"/>
      <c r="BI418" s="442"/>
      <c r="BJ418" s="442"/>
      <c r="BK418" s="442"/>
      <c r="BL418" s="442"/>
      <c r="BM418" s="442"/>
      <c r="BN418" s="442"/>
      <c r="BO418" s="442"/>
      <c r="BP418" s="442"/>
      <c r="BQ418" s="442"/>
      <c r="BR418" s="442"/>
      <c r="BS418" s="442"/>
      <c r="BT418" s="442"/>
      <c r="BU418" s="442"/>
      <c r="BV418" s="442"/>
      <c r="BW418" s="442"/>
      <c r="BX418" s="442"/>
      <c r="BY418" s="442"/>
      <c r="BZ418" s="442"/>
      <c r="CA418" s="442"/>
      <c r="CB418" s="442"/>
      <c r="CC418" s="442"/>
      <c r="CD418" s="442"/>
      <c r="CE418" s="442"/>
      <c r="CF418" s="442"/>
      <c r="CG418" s="442"/>
      <c r="CH418" s="442"/>
      <c r="CI418" s="442"/>
    </row>
    <row r="419" spans="4:87" x14ac:dyDescent="0.2">
      <c r="D419" s="442"/>
      <c r="E419" s="442"/>
      <c r="F419" s="442"/>
      <c r="G419" s="442"/>
      <c r="H419" s="442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  <c r="AA419" s="442"/>
      <c r="AB419" s="442"/>
      <c r="AC419" s="442"/>
      <c r="AD419" s="442"/>
      <c r="AE419" s="442"/>
      <c r="AF419" s="442"/>
      <c r="AG419" s="442"/>
      <c r="AH419" s="442"/>
      <c r="AI419" s="442"/>
      <c r="AJ419" s="442"/>
      <c r="AK419" s="442"/>
      <c r="AL419" s="442"/>
      <c r="AM419" s="442"/>
      <c r="AN419" s="442"/>
      <c r="AO419" s="442"/>
      <c r="AP419" s="442"/>
      <c r="AQ419" s="442"/>
      <c r="AR419" s="442"/>
      <c r="AS419" s="442"/>
      <c r="AT419" s="442"/>
      <c r="AU419" s="442"/>
      <c r="AV419" s="442"/>
      <c r="AW419" s="442"/>
      <c r="AX419" s="442"/>
      <c r="AY419" s="442"/>
      <c r="AZ419" s="442"/>
      <c r="BA419" s="442"/>
      <c r="BB419" s="442"/>
      <c r="BC419" s="442"/>
      <c r="BD419" s="442"/>
      <c r="BE419" s="442"/>
      <c r="BF419" s="442"/>
      <c r="BG419" s="442"/>
      <c r="BH419" s="442"/>
      <c r="BI419" s="442"/>
      <c r="BJ419" s="442"/>
      <c r="BK419" s="442"/>
      <c r="BL419" s="442"/>
      <c r="BM419" s="442"/>
      <c r="BN419" s="442"/>
      <c r="BO419" s="442"/>
      <c r="BP419" s="442"/>
      <c r="BQ419" s="442"/>
      <c r="BR419" s="442"/>
      <c r="BS419" s="442"/>
      <c r="BT419" s="442"/>
      <c r="BU419" s="442"/>
      <c r="BV419" s="442"/>
      <c r="BW419" s="442"/>
      <c r="BX419" s="442"/>
      <c r="BY419" s="442"/>
      <c r="BZ419" s="442"/>
      <c r="CA419" s="442"/>
      <c r="CB419" s="442"/>
      <c r="CC419" s="442"/>
      <c r="CD419" s="442"/>
      <c r="CE419" s="442"/>
      <c r="CF419" s="442"/>
      <c r="CG419" s="442"/>
      <c r="CH419" s="442"/>
      <c r="CI419" s="442"/>
    </row>
    <row r="420" spans="4:87" x14ac:dyDescent="0.2">
      <c r="D420" s="442"/>
      <c r="E420" s="442"/>
      <c r="F420" s="442"/>
      <c r="G420" s="442"/>
      <c r="H420" s="442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  <c r="AA420" s="442"/>
      <c r="AB420" s="442"/>
      <c r="AC420" s="442"/>
      <c r="AD420" s="442"/>
      <c r="AE420" s="442"/>
      <c r="AF420" s="442"/>
      <c r="AG420" s="442"/>
      <c r="AH420" s="442"/>
      <c r="AI420" s="442"/>
      <c r="AJ420" s="442"/>
      <c r="AK420" s="442"/>
      <c r="AL420" s="442"/>
      <c r="AM420" s="442"/>
      <c r="AN420" s="442"/>
      <c r="AO420" s="442"/>
      <c r="AP420" s="442"/>
      <c r="AQ420" s="442"/>
      <c r="AR420" s="442"/>
      <c r="AS420" s="442"/>
      <c r="AT420" s="442"/>
      <c r="AU420" s="442"/>
      <c r="AV420" s="442"/>
      <c r="AW420" s="442"/>
      <c r="AX420" s="442"/>
      <c r="AY420" s="442"/>
      <c r="AZ420" s="442"/>
      <c r="BA420" s="442"/>
      <c r="BB420" s="442"/>
      <c r="BC420" s="442"/>
      <c r="BD420" s="442"/>
      <c r="BE420" s="442"/>
      <c r="BF420" s="442"/>
      <c r="BG420" s="442"/>
      <c r="BH420" s="442"/>
      <c r="BI420" s="442"/>
      <c r="BJ420" s="442"/>
      <c r="BK420" s="442"/>
      <c r="BL420" s="442"/>
      <c r="BM420" s="442"/>
      <c r="BN420" s="442"/>
      <c r="BO420" s="442"/>
      <c r="BP420" s="442"/>
      <c r="BQ420" s="442"/>
      <c r="BR420" s="442"/>
      <c r="BS420" s="442"/>
      <c r="BT420" s="442"/>
      <c r="BU420" s="442"/>
      <c r="BV420" s="442"/>
      <c r="BW420" s="442"/>
      <c r="BX420" s="442"/>
      <c r="BY420" s="442"/>
      <c r="BZ420" s="442"/>
      <c r="CA420" s="442"/>
      <c r="CB420" s="442"/>
      <c r="CC420" s="442"/>
      <c r="CD420" s="442"/>
      <c r="CE420" s="442"/>
      <c r="CF420" s="442"/>
      <c r="CG420" s="442"/>
      <c r="CH420" s="442"/>
      <c r="CI420" s="442"/>
    </row>
    <row r="421" spans="4:87" x14ac:dyDescent="0.2"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  <c r="AA421" s="442"/>
      <c r="AB421" s="442"/>
      <c r="AC421" s="442"/>
      <c r="AD421" s="442"/>
      <c r="AE421" s="442"/>
      <c r="AF421" s="442"/>
      <c r="AG421" s="442"/>
      <c r="AH421" s="442"/>
      <c r="AI421" s="442"/>
      <c r="AJ421" s="442"/>
      <c r="AK421" s="442"/>
      <c r="AL421" s="442"/>
      <c r="AM421" s="442"/>
      <c r="AN421" s="442"/>
      <c r="AO421" s="442"/>
      <c r="AP421" s="442"/>
      <c r="AQ421" s="442"/>
      <c r="AR421" s="442"/>
      <c r="AS421" s="442"/>
      <c r="AT421" s="442"/>
      <c r="AU421" s="442"/>
      <c r="AV421" s="442"/>
      <c r="AW421" s="442"/>
      <c r="AX421" s="442"/>
      <c r="AY421" s="442"/>
      <c r="AZ421" s="442"/>
      <c r="BA421" s="442"/>
      <c r="BB421" s="442"/>
      <c r="BC421" s="442"/>
      <c r="BD421" s="442"/>
      <c r="BE421" s="442"/>
      <c r="BF421" s="442"/>
      <c r="BG421" s="442"/>
      <c r="BH421" s="442"/>
      <c r="BI421" s="442"/>
      <c r="BJ421" s="442"/>
      <c r="BK421" s="442"/>
      <c r="BL421" s="442"/>
      <c r="BM421" s="442"/>
      <c r="BN421" s="442"/>
      <c r="BO421" s="442"/>
      <c r="BP421" s="442"/>
      <c r="BQ421" s="442"/>
      <c r="BR421" s="442"/>
      <c r="BS421" s="442"/>
      <c r="BT421" s="442"/>
      <c r="BU421" s="442"/>
      <c r="BV421" s="442"/>
      <c r="BW421" s="442"/>
      <c r="BX421" s="442"/>
      <c r="BY421" s="442"/>
      <c r="BZ421" s="442"/>
      <c r="CA421" s="442"/>
      <c r="CB421" s="442"/>
      <c r="CC421" s="442"/>
      <c r="CD421" s="442"/>
      <c r="CE421" s="442"/>
      <c r="CF421" s="442"/>
      <c r="CG421" s="442"/>
      <c r="CH421" s="442"/>
      <c r="CI421" s="442"/>
    </row>
    <row r="422" spans="4:87" x14ac:dyDescent="0.2">
      <c r="D422" s="442"/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  <c r="AA422" s="442"/>
      <c r="AB422" s="442"/>
      <c r="AC422" s="442"/>
      <c r="AD422" s="442"/>
      <c r="AE422" s="442"/>
      <c r="AF422" s="442"/>
      <c r="AG422" s="442"/>
      <c r="AH422" s="442"/>
      <c r="AI422" s="442"/>
      <c r="AJ422" s="442"/>
      <c r="AK422" s="442"/>
      <c r="AL422" s="442"/>
      <c r="AM422" s="442"/>
      <c r="AN422" s="442"/>
      <c r="AO422" s="442"/>
      <c r="AP422" s="442"/>
      <c r="AQ422" s="442"/>
      <c r="AR422" s="442"/>
      <c r="AS422" s="442"/>
      <c r="AT422" s="442"/>
      <c r="AU422" s="442"/>
      <c r="AV422" s="442"/>
      <c r="AW422" s="442"/>
      <c r="AX422" s="442"/>
      <c r="AY422" s="442"/>
      <c r="AZ422" s="442"/>
      <c r="BA422" s="442"/>
      <c r="BB422" s="442"/>
      <c r="BC422" s="442"/>
      <c r="BD422" s="442"/>
      <c r="BE422" s="442"/>
      <c r="BF422" s="442"/>
      <c r="BG422" s="442"/>
      <c r="BH422" s="442"/>
      <c r="BI422" s="442"/>
      <c r="BJ422" s="442"/>
      <c r="BK422" s="442"/>
      <c r="BL422" s="442"/>
      <c r="BM422" s="442"/>
      <c r="BN422" s="442"/>
      <c r="BO422" s="442"/>
      <c r="BP422" s="442"/>
      <c r="BQ422" s="442"/>
      <c r="BR422" s="442"/>
      <c r="BS422" s="442"/>
      <c r="BT422" s="442"/>
      <c r="BU422" s="442"/>
      <c r="BV422" s="442"/>
      <c r="BW422" s="442"/>
      <c r="BX422" s="442"/>
      <c r="BY422" s="442"/>
      <c r="BZ422" s="442"/>
      <c r="CA422" s="442"/>
      <c r="CB422" s="442"/>
      <c r="CC422" s="442"/>
      <c r="CD422" s="442"/>
      <c r="CE422" s="442"/>
      <c r="CF422" s="442"/>
      <c r="CG422" s="442"/>
      <c r="CH422" s="442"/>
      <c r="CI422" s="442"/>
    </row>
    <row r="423" spans="4:87" x14ac:dyDescent="0.2"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  <c r="AA423" s="442"/>
      <c r="AB423" s="442"/>
      <c r="AC423" s="442"/>
      <c r="AD423" s="442"/>
      <c r="AE423" s="442"/>
      <c r="AF423" s="442"/>
      <c r="AG423" s="442"/>
      <c r="AH423" s="442"/>
      <c r="AI423" s="442"/>
      <c r="AJ423" s="442"/>
      <c r="AK423" s="442"/>
      <c r="AL423" s="442"/>
      <c r="AM423" s="442"/>
      <c r="AN423" s="442"/>
      <c r="AO423" s="442"/>
      <c r="AP423" s="442"/>
      <c r="AQ423" s="442"/>
      <c r="AR423" s="442"/>
      <c r="AS423" s="442"/>
      <c r="AT423" s="442"/>
      <c r="AU423" s="442"/>
      <c r="AV423" s="442"/>
      <c r="AW423" s="442"/>
      <c r="AX423" s="442"/>
      <c r="AY423" s="442"/>
      <c r="AZ423" s="442"/>
      <c r="BA423" s="442"/>
      <c r="BB423" s="442"/>
      <c r="BC423" s="442"/>
      <c r="BD423" s="442"/>
      <c r="BE423" s="442"/>
      <c r="BF423" s="442"/>
      <c r="BG423" s="442"/>
      <c r="BH423" s="442"/>
      <c r="BI423" s="442"/>
      <c r="BJ423" s="442"/>
      <c r="BK423" s="442"/>
      <c r="BL423" s="442"/>
      <c r="BM423" s="442"/>
      <c r="BN423" s="442"/>
      <c r="BO423" s="442"/>
      <c r="BP423" s="442"/>
      <c r="BQ423" s="442"/>
      <c r="BR423" s="442"/>
      <c r="BS423" s="442"/>
      <c r="BT423" s="442"/>
      <c r="BU423" s="442"/>
      <c r="BV423" s="442"/>
      <c r="BW423" s="442"/>
      <c r="BX423" s="442"/>
      <c r="BY423" s="442"/>
      <c r="BZ423" s="442"/>
      <c r="CA423" s="442"/>
      <c r="CB423" s="442"/>
      <c r="CC423" s="442"/>
      <c r="CD423" s="442"/>
      <c r="CE423" s="442"/>
      <c r="CF423" s="442"/>
      <c r="CG423" s="442"/>
      <c r="CH423" s="442"/>
      <c r="CI423" s="442"/>
    </row>
    <row r="424" spans="4:87" x14ac:dyDescent="0.2"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  <c r="AA424" s="442"/>
      <c r="AB424" s="442"/>
      <c r="AC424" s="442"/>
      <c r="AD424" s="442"/>
      <c r="AE424" s="442"/>
      <c r="AF424" s="442"/>
      <c r="AG424" s="442"/>
      <c r="AH424" s="442"/>
      <c r="AI424" s="442"/>
      <c r="AJ424" s="442"/>
      <c r="AK424" s="442"/>
      <c r="AL424" s="442"/>
      <c r="AM424" s="442"/>
      <c r="AN424" s="442"/>
      <c r="AO424" s="442"/>
      <c r="AP424" s="442"/>
      <c r="AQ424" s="442"/>
      <c r="AR424" s="442"/>
      <c r="AS424" s="442"/>
      <c r="AT424" s="442"/>
      <c r="AU424" s="442"/>
      <c r="AV424" s="442"/>
      <c r="AW424" s="442"/>
      <c r="AX424" s="442"/>
      <c r="AY424" s="442"/>
      <c r="AZ424" s="442"/>
      <c r="BA424" s="442"/>
      <c r="BB424" s="442"/>
      <c r="BC424" s="442"/>
      <c r="BD424" s="442"/>
      <c r="BE424" s="442"/>
      <c r="BF424" s="442"/>
      <c r="BG424" s="442"/>
      <c r="BH424" s="442"/>
      <c r="BI424" s="442"/>
      <c r="BJ424" s="442"/>
      <c r="BK424" s="442"/>
      <c r="BL424" s="442"/>
      <c r="BM424" s="442"/>
      <c r="BN424" s="442"/>
      <c r="BO424" s="442"/>
      <c r="BP424" s="442"/>
      <c r="BQ424" s="442"/>
      <c r="BR424" s="442"/>
      <c r="BS424" s="442"/>
      <c r="BT424" s="442"/>
      <c r="BU424" s="442"/>
      <c r="BV424" s="442"/>
      <c r="BW424" s="442"/>
      <c r="BX424" s="442"/>
      <c r="BY424" s="442"/>
      <c r="BZ424" s="442"/>
      <c r="CA424" s="442"/>
      <c r="CB424" s="442"/>
      <c r="CC424" s="442"/>
      <c r="CD424" s="442"/>
      <c r="CE424" s="442"/>
      <c r="CF424" s="442"/>
      <c r="CG424" s="442"/>
      <c r="CH424" s="442"/>
      <c r="CI424" s="442"/>
    </row>
    <row r="425" spans="4:87" x14ac:dyDescent="0.2">
      <c r="D425" s="442"/>
      <c r="E425" s="442"/>
      <c r="F425" s="442"/>
      <c r="G425" s="442"/>
      <c r="H425" s="442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  <c r="AA425" s="442"/>
      <c r="AB425" s="442"/>
      <c r="AC425" s="442"/>
      <c r="AD425" s="442"/>
      <c r="AE425" s="442"/>
      <c r="AF425" s="442"/>
      <c r="AG425" s="442"/>
      <c r="AH425" s="442"/>
      <c r="AI425" s="442"/>
      <c r="AJ425" s="442"/>
      <c r="AK425" s="442"/>
      <c r="AL425" s="442"/>
      <c r="AM425" s="442"/>
      <c r="AN425" s="442"/>
      <c r="AO425" s="442"/>
      <c r="AP425" s="442"/>
      <c r="AQ425" s="442"/>
      <c r="AR425" s="442"/>
      <c r="AS425" s="442"/>
      <c r="AT425" s="442"/>
      <c r="AU425" s="442"/>
      <c r="AV425" s="442"/>
      <c r="AW425" s="442"/>
      <c r="AX425" s="442"/>
      <c r="AY425" s="442"/>
      <c r="AZ425" s="442"/>
      <c r="BA425" s="442"/>
      <c r="BB425" s="442"/>
      <c r="BC425" s="442"/>
      <c r="BD425" s="442"/>
      <c r="BE425" s="442"/>
      <c r="BF425" s="442"/>
      <c r="BG425" s="442"/>
      <c r="BH425" s="442"/>
      <c r="BI425" s="442"/>
      <c r="BJ425" s="442"/>
      <c r="BK425" s="442"/>
      <c r="BL425" s="442"/>
      <c r="BM425" s="442"/>
      <c r="BN425" s="442"/>
      <c r="BO425" s="442"/>
      <c r="BP425" s="442"/>
      <c r="BQ425" s="442"/>
      <c r="BR425" s="442"/>
      <c r="BS425" s="442"/>
      <c r="BT425" s="442"/>
      <c r="BU425" s="442"/>
      <c r="BV425" s="442"/>
      <c r="BW425" s="442"/>
      <c r="BX425" s="442"/>
      <c r="BY425" s="442"/>
      <c r="BZ425" s="442"/>
      <c r="CA425" s="442"/>
      <c r="CB425" s="442"/>
      <c r="CC425" s="442"/>
      <c r="CD425" s="442"/>
      <c r="CE425" s="442"/>
      <c r="CF425" s="442"/>
      <c r="CG425" s="442"/>
      <c r="CH425" s="442"/>
      <c r="CI425" s="442"/>
    </row>
    <row r="426" spans="4:87" x14ac:dyDescent="0.2">
      <c r="D426" s="442"/>
      <c r="E426" s="442"/>
      <c r="F426" s="442"/>
      <c r="G426" s="442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  <c r="AA426" s="442"/>
      <c r="AB426" s="442"/>
      <c r="AC426" s="442"/>
      <c r="AD426" s="442"/>
      <c r="AE426" s="442"/>
      <c r="AF426" s="442"/>
      <c r="AG426" s="442"/>
      <c r="AH426" s="442"/>
      <c r="AI426" s="442"/>
      <c r="AJ426" s="442"/>
      <c r="AK426" s="442"/>
      <c r="AL426" s="442"/>
      <c r="AM426" s="442"/>
      <c r="AN426" s="442"/>
      <c r="AO426" s="442"/>
      <c r="AP426" s="442"/>
      <c r="AQ426" s="442"/>
      <c r="AR426" s="442"/>
      <c r="AS426" s="442"/>
      <c r="AT426" s="442"/>
      <c r="AU426" s="442"/>
      <c r="AV426" s="442"/>
      <c r="AW426" s="442"/>
      <c r="AX426" s="442"/>
      <c r="AY426" s="442"/>
      <c r="AZ426" s="442"/>
      <c r="BA426" s="442"/>
      <c r="BB426" s="442"/>
      <c r="BC426" s="442"/>
      <c r="BD426" s="442"/>
      <c r="BE426" s="442"/>
      <c r="BF426" s="442"/>
      <c r="BG426" s="442"/>
      <c r="BH426" s="442"/>
      <c r="BI426" s="442"/>
      <c r="BJ426" s="442"/>
      <c r="BK426" s="442"/>
      <c r="BL426" s="442"/>
      <c r="BM426" s="442"/>
      <c r="BN426" s="442"/>
      <c r="BO426" s="442"/>
      <c r="BP426" s="442"/>
      <c r="BQ426" s="442"/>
      <c r="BR426" s="442"/>
      <c r="BS426" s="442"/>
      <c r="BT426" s="442"/>
      <c r="BU426" s="442"/>
      <c r="BV426" s="442"/>
      <c r="BW426" s="442"/>
      <c r="BX426" s="442"/>
      <c r="BY426" s="442"/>
      <c r="BZ426" s="442"/>
      <c r="CA426" s="442"/>
      <c r="CB426" s="442"/>
      <c r="CC426" s="442"/>
      <c r="CD426" s="442"/>
      <c r="CE426" s="442"/>
      <c r="CF426" s="442"/>
      <c r="CG426" s="442"/>
      <c r="CH426" s="442"/>
      <c r="CI426" s="442"/>
    </row>
    <row r="427" spans="4:87" x14ac:dyDescent="0.2"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  <c r="AA427" s="442"/>
      <c r="AB427" s="442"/>
      <c r="AC427" s="442"/>
      <c r="AD427" s="442"/>
      <c r="AE427" s="442"/>
      <c r="AF427" s="442"/>
      <c r="AG427" s="442"/>
      <c r="AH427" s="442"/>
      <c r="AI427" s="442"/>
      <c r="AJ427" s="442"/>
      <c r="AK427" s="442"/>
      <c r="AL427" s="442"/>
      <c r="AM427" s="442"/>
      <c r="AN427" s="442"/>
      <c r="AO427" s="442"/>
      <c r="AP427" s="442"/>
      <c r="AQ427" s="442"/>
      <c r="AR427" s="442"/>
      <c r="AS427" s="442"/>
      <c r="AT427" s="442"/>
      <c r="AU427" s="442"/>
      <c r="AV427" s="442"/>
      <c r="AW427" s="442"/>
      <c r="AX427" s="442"/>
      <c r="AY427" s="442"/>
      <c r="AZ427" s="442"/>
      <c r="BA427" s="442"/>
      <c r="BB427" s="442"/>
      <c r="BC427" s="442"/>
      <c r="BD427" s="442"/>
      <c r="BE427" s="442"/>
      <c r="BF427" s="442"/>
      <c r="BG427" s="442"/>
      <c r="BH427" s="442"/>
      <c r="BI427" s="442"/>
      <c r="BJ427" s="442"/>
      <c r="BK427" s="442"/>
      <c r="BL427" s="442"/>
      <c r="BM427" s="442"/>
      <c r="BN427" s="442"/>
      <c r="BO427" s="442"/>
      <c r="BP427" s="442"/>
      <c r="BQ427" s="442"/>
      <c r="BR427" s="442"/>
      <c r="BS427" s="442"/>
      <c r="BT427" s="442"/>
      <c r="BU427" s="442"/>
      <c r="BV427" s="442"/>
      <c r="BW427" s="442"/>
      <c r="BX427" s="442"/>
      <c r="BY427" s="442"/>
      <c r="BZ427" s="442"/>
      <c r="CA427" s="442"/>
      <c r="CB427" s="442"/>
      <c r="CC427" s="442"/>
      <c r="CD427" s="442"/>
      <c r="CE427" s="442"/>
      <c r="CF427" s="442"/>
      <c r="CG427" s="442"/>
      <c r="CH427" s="442"/>
      <c r="CI427" s="442"/>
    </row>
    <row r="428" spans="4:87" x14ac:dyDescent="0.2">
      <c r="D428" s="442"/>
      <c r="E428" s="442"/>
      <c r="F428" s="442"/>
      <c r="G428" s="442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  <c r="AA428" s="442"/>
      <c r="AB428" s="442"/>
      <c r="AC428" s="442"/>
      <c r="AD428" s="442"/>
      <c r="AE428" s="442"/>
      <c r="AF428" s="442"/>
      <c r="AG428" s="442"/>
      <c r="AH428" s="442"/>
      <c r="AI428" s="442"/>
      <c r="AJ428" s="442"/>
      <c r="AK428" s="442"/>
      <c r="AL428" s="442"/>
      <c r="AM428" s="442"/>
      <c r="AN428" s="442"/>
      <c r="AO428" s="442"/>
      <c r="AP428" s="442"/>
      <c r="AQ428" s="442"/>
      <c r="AR428" s="442"/>
      <c r="AS428" s="442"/>
      <c r="AT428" s="442"/>
      <c r="AU428" s="442"/>
      <c r="AV428" s="442"/>
      <c r="AW428" s="442"/>
      <c r="AX428" s="442"/>
      <c r="AY428" s="442"/>
      <c r="AZ428" s="442"/>
      <c r="BA428" s="442"/>
      <c r="BB428" s="442"/>
      <c r="BC428" s="442"/>
      <c r="BD428" s="442"/>
      <c r="BE428" s="442"/>
      <c r="BF428" s="442"/>
      <c r="BG428" s="442"/>
      <c r="BH428" s="442"/>
      <c r="BI428" s="442"/>
      <c r="BJ428" s="442"/>
      <c r="BK428" s="442"/>
      <c r="BL428" s="442"/>
      <c r="BM428" s="442"/>
      <c r="BN428" s="442"/>
      <c r="BO428" s="442"/>
      <c r="BP428" s="442"/>
      <c r="BQ428" s="442"/>
      <c r="BR428" s="442"/>
      <c r="BS428" s="442"/>
      <c r="BT428" s="442"/>
      <c r="BU428" s="442"/>
      <c r="BV428" s="442"/>
      <c r="BW428" s="442"/>
      <c r="BX428" s="442"/>
      <c r="BY428" s="442"/>
      <c r="BZ428" s="442"/>
      <c r="CA428" s="442"/>
      <c r="CB428" s="442"/>
      <c r="CC428" s="442"/>
      <c r="CD428" s="442"/>
      <c r="CE428" s="442"/>
      <c r="CF428" s="442"/>
      <c r="CG428" s="442"/>
      <c r="CH428" s="442"/>
      <c r="CI428" s="442"/>
    </row>
    <row r="429" spans="4:87" x14ac:dyDescent="0.2"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  <c r="AA429" s="442"/>
      <c r="AB429" s="442"/>
      <c r="AC429" s="442"/>
      <c r="AD429" s="442"/>
      <c r="AE429" s="442"/>
      <c r="AF429" s="442"/>
      <c r="AG429" s="442"/>
      <c r="AH429" s="442"/>
      <c r="AI429" s="442"/>
      <c r="AJ429" s="442"/>
      <c r="AK429" s="442"/>
      <c r="AL429" s="442"/>
      <c r="AM429" s="442"/>
      <c r="AN429" s="442"/>
      <c r="AO429" s="442"/>
      <c r="AP429" s="442"/>
      <c r="AQ429" s="442"/>
      <c r="AR429" s="442"/>
      <c r="AS429" s="442"/>
      <c r="AT429" s="442"/>
      <c r="AU429" s="442"/>
      <c r="AV429" s="442"/>
      <c r="AW429" s="442"/>
      <c r="AX429" s="442"/>
      <c r="AY429" s="442"/>
      <c r="AZ429" s="442"/>
      <c r="BA429" s="442"/>
      <c r="BB429" s="442"/>
      <c r="BC429" s="442"/>
      <c r="BD429" s="442"/>
      <c r="BE429" s="442"/>
      <c r="BF429" s="442"/>
      <c r="BG429" s="442"/>
      <c r="BH429" s="442"/>
      <c r="BI429" s="442"/>
      <c r="BJ429" s="442"/>
      <c r="BK429" s="442"/>
      <c r="BL429" s="442"/>
      <c r="BM429" s="442"/>
      <c r="BN429" s="442"/>
      <c r="BO429" s="442"/>
      <c r="BP429" s="442"/>
      <c r="BQ429" s="442"/>
      <c r="BR429" s="442"/>
      <c r="BS429" s="442"/>
      <c r="BT429" s="442"/>
      <c r="BU429" s="442"/>
      <c r="BV429" s="442"/>
      <c r="BW429" s="442"/>
      <c r="BX429" s="442"/>
      <c r="BY429" s="442"/>
      <c r="BZ429" s="442"/>
      <c r="CA429" s="442"/>
      <c r="CB429" s="442"/>
      <c r="CC429" s="442"/>
      <c r="CD429" s="442"/>
      <c r="CE429" s="442"/>
      <c r="CF429" s="442"/>
      <c r="CG429" s="442"/>
      <c r="CH429" s="442"/>
      <c r="CI429" s="442"/>
    </row>
    <row r="430" spans="4:87" x14ac:dyDescent="0.2"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  <c r="AA430" s="442"/>
      <c r="AB430" s="442"/>
      <c r="AC430" s="442"/>
      <c r="AD430" s="442"/>
      <c r="AE430" s="442"/>
      <c r="AF430" s="442"/>
      <c r="AG430" s="442"/>
      <c r="AH430" s="442"/>
      <c r="AI430" s="442"/>
      <c r="AJ430" s="442"/>
      <c r="AK430" s="442"/>
      <c r="AL430" s="442"/>
      <c r="AM430" s="442"/>
      <c r="AN430" s="442"/>
      <c r="AO430" s="442"/>
      <c r="AP430" s="442"/>
      <c r="AQ430" s="442"/>
      <c r="AR430" s="442"/>
      <c r="AS430" s="442"/>
      <c r="AT430" s="442"/>
      <c r="AU430" s="442"/>
      <c r="AV430" s="442"/>
      <c r="AW430" s="442"/>
      <c r="AX430" s="442"/>
      <c r="AY430" s="442"/>
      <c r="AZ430" s="442"/>
      <c r="BA430" s="442"/>
      <c r="BB430" s="442"/>
      <c r="BC430" s="442"/>
      <c r="BD430" s="442"/>
      <c r="BE430" s="442"/>
      <c r="BF430" s="442"/>
      <c r="BG430" s="442"/>
      <c r="BH430" s="442"/>
      <c r="BI430" s="442"/>
      <c r="BJ430" s="442"/>
      <c r="BK430" s="442"/>
      <c r="BL430" s="442"/>
      <c r="BM430" s="442"/>
      <c r="BN430" s="442"/>
      <c r="BO430" s="442"/>
      <c r="BP430" s="442"/>
      <c r="BQ430" s="442"/>
      <c r="BR430" s="442"/>
      <c r="BS430" s="442"/>
      <c r="BT430" s="442"/>
      <c r="BU430" s="442"/>
      <c r="BV430" s="442"/>
      <c r="BW430" s="442"/>
      <c r="BX430" s="442"/>
      <c r="BY430" s="442"/>
      <c r="BZ430" s="442"/>
      <c r="CA430" s="442"/>
      <c r="CB430" s="442"/>
      <c r="CC430" s="442"/>
      <c r="CD430" s="442"/>
      <c r="CE430" s="442"/>
      <c r="CF430" s="442"/>
      <c r="CG430" s="442"/>
      <c r="CH430" s="442"/>
      <c r="CI430" s="442"/>
    </row>
    <row r="431" spans="4:87" x14ac:dyDescent="0.2"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  <c r="AA431" s="442"/>
      <c r="AB431" s="442"/>
      <c r="AC431" s="442"/>
      <c r="AD431" s="442"/>
      <c r="AE431" s="442"/>
      <c r="AF431" s="442"/>
      <c r="AG431" s="442"/>
      <c r="AH431" s="442"/>
      <c r="AI431" s="442"/>
      <c r="AJ431" s="442"/>
      <c r="AK431" s="442"/>
      <c r="AL431" s="442"/>
      <c r="AM431" s="442"/>
      <c r="AN431" s="442"/>
      <c r="AO431" s="442"/>
      <c r="AP431" s="442"/>
      <c r="AQ431" s="442"/>
      <c r="AR431" s="442"/>
      <c r="AS431" s="442"/>
      <c r="AT431" s="442"/>
      <c r="AU431" s="442"/>
      <c r="AV431" s="442"/>
      <c r="AW431" s="442"/>
      <c r="AX431" s="442"/>
      <c r="AY431" s="442"/>
      <c r="AZ431" s="442"/>
      <c r="BA431" s="442"/>
      <c r="BB431" s="442"/>
      <c r="BC431" s="442"/>
      <c r="BD431" s="442"/>
      <c r="BE431" s="442"/>
      <c r="BF431" s="442"/>
      <c r="BG431" s="442"/>
      <c r="BH431" s="442"/>
      <c r="BI431" s="442"/>
      <c r="BJ431" s="442"/>
      <c r="BK431" s="442"/>
      <c r="BL431" s="442"/>
      <c r="BM431" s="442"/>
      <c r="BN431" s="442"/>
      <c r="BO431" s="442"/>
      <c r="BP431" s="442"/>
      <c r="BQ431" s="442"/>
      <c r="BR431" s="442"/>
      <c r="BS431" s="442"/>
      <c r="BT431" s="442"/>
      <c r="BU431" s="442"/>
      <c r="BV431" s="442"/>
      <c r="BW431" s="442"/>
      <c r="BX431" s="442"/>
      <c r="BY431" s="442"/>
      <c r="BZ431" s="442"/>
      <c r="CA431" s="442"/>
      <c r="CB431" s="442"/>
      <c r="CC431" s="442"/>
      <c r="CD431" s="442"/>
      <c r="CE431" s="442"/>
      <c r="CF431" s="442"/>
      <c r="CG431" s="442"/>
      <c r="CH431" s="442"/>
      <c r="CI431" s="442"/>
    </row>
    <row r="432" spans="4:87" x14ac:dyDescent="0.2"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  <c r="AA432" s="442"/>
      <c r="AB432" s="442"/>
      <c r="AC432" s="442"/>
      <c r="AD432" s="442"/>
      <c r="AE432" s="442"/>
      <c r="AF432" s="442"/>
      <c r="AG432" s="442"/>
      <c r="AH432" s="442"/>
      <c r="AI432" s="442"/>
      <c r="AJ432" s="442"/>
      <c r="AK432" s="442"/>
      <c r="AL432" s="442"/>
      <c r="AM432" s="442"/>
      <c r="AN432" s="442"/>
      <c r="AO432" s="442"/>
      <c r="AP432" s="442"/>
      <c r="AQ432" s="442"/>
      <c r="AR432" s="442"/>
      <c r="AS432" s="442"/>
      <c r="AT432" s="442"/>
      <c r="AU432" s="442"/>
      <c r="AV432" s="442"/>
      <c r="AW432" s="442"/>
      <c r="AX432" s="442"/>
      <c r="AY432" s="442"/>
      <c r="AZ432" s="442"/>
      <c r="BA432" s="442"/>
      <c r="BB432" s="442"/>
      <c r="BC432" s="442"/>
      <c r="BD432" s="442"/>
      <c r="BE432" s="442"/>
      <c r="BF432" s="442"/>
      <c r="BG432" s="442"/>
      <c r="BH432" s="442"/>
      <c r="BI432" s="442"/>
      <c r="BJ432" s="442"/>
      <c r="BK432" s="442"/>
      <c r="BL432" s="442"/>
      <c r="BM432" s="442"/>
      <c r="BN432" s="442"/>
      <c r="BO432" s="442"/>
      <c r="BP432" s="442"/>
      <c r="BQ432" s="442"/>
      <c r="BR432" s="442"/>
      <c r="BS432" s="442"/>
      <c r="BT432" s="442"/>
      <c r="BU432" s="442"/>
      <c r="BV432" s="442"/>
      <c r="BW432" s="442"/>
      <c r="BX432" s="442"/>
      <c r="BY432" s="442"/>
      <c r="BZ432" s="442"/>
      <c r="CA432" s="442"/>
      <c r="CB432" s="442"/>
      <c r="CC432" s="442"/>
      <c r="CD432" s="442"/>
      <c r="CE432" s="442"/>
      <c r="CF432" s="442"/>
      <c r="CG432" s="442"/>
      <c r="CH432" s="442"/>
      <c r="CI432" s="442"/>
    </row>
    <row r="433" spans="4:87" x14ac:dyDescent="0.2">
      <c r="D433" s="442"/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  <c r="AA433" s="442"/>
      <c r="AB433" s="442"/>
      <c r="AC433" s="442"/>
      <c r="AD433" s="442"/>
      <c r="AE433" s="442"/>
      <c r="AF433" s="442"/>
      <c r="AG433" s="442"/>
      <c r="AH433" s="442"/>
      <c r="AI433" s="442"/>
      <c r="AJ433" s="442"/>
      <c r="AK433" s="442"/>
      <c r="AL433" s="442"/>
      <c r="AM433" s="442"/>
      <c r="AN433" s="442"/>
      <c r="AO433" s="442"/>
      <c r="AP433" s="442"/>
      <c r="AQ433" s="442"/>
      <c r="AR433" s="442"/>
      <c r="AS433" s="442"/>
      <c r="AT433" s="442"/>
      <c r="AU433" s="442"/>
      <c r="AV433" s="442"/>
      <c r="AW433" s="442"/>
      <c r="AX433" s="442"/>
      <c r="AY433" s="442"/>
      <c r="AZ433" s="442"/>
      <c r="BA433" s="442"/>
      <c r="BB433" s="442"/>
      <c r="BC433" s="442"/>
      <c r="BD433" s="442"/>
      <c r="BE433" s="442"/>
      <c r="BF433" s="442"/>
      <c r="BG433" s="442"/>
      <c r="BH433" s="442"/>
      <c r="BI433" s="442"/>
      <c r="BJ433" s="442"/>
      <c r="BK433" s="442"/>
      <c r="BL433" s="442"/>
      <c r="BM433" s="442"/>
      <c r="BN433" s="442"/>
      <c r="BO433" s="442"/>
      <c r="BP433" s="442"/>
      <c r="BQ433" s="442"/>
      <c r="BR433" s="442"/>
      <c r="BS433" s="442"/>
      <c r="BT433" s="442"/>
      <c r="BU433" s="442"/>
      <c r="BV433" s="442"/>
      <c r="BW433" s="442"/>
      <c r="BX433" s="442"/>
      <c r="BY433" s="442"/>
      <c r="BZ433" s="442"/>
      <c r="CA433" s="442"/>
      <c r="CB433" s="442"/>
      <c r="CC433" s="442"/>
      <c r="CD433" s="442"/>
      <c r="CE433" s="442"/>
      <c r="CF433" s="442"/>
      <c r="CG433" s="442"/>
      <c r="CH433" s="442"/>
      <c r="CI433" s="442"/>
    </row>
    <row r="434" spans="4:87" x14ac:dyDescent="0.2"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  <c r="AA434" s="442"/>
      <c r="AB434" s="442"/>
      <c r="AC434" s="442"/>
      <c r="AD434" s="442"/>
      <c r="AE434" s="442"/>
      <c r="AF434" s="442"/>
      <c r="AG434" s="442"/>
      <c r="AH434" s="442"/>
      <c r="AI434" s="442"/>
      <c r="AJ434" s="442"/>
      <c r="AK434" s="442"/>
      <c r="AL434" s="442"/>
      <c r="AM434" s="442"/>
      <c r="AN434" s="442"/>
      <c r="AO434" s="442"/>
      <c r="AP434" s="442"/>
      <c r="AQ434" s="442"/>
      <c r="AR434" s="442"/>
      <c r="AS434" s="442"/>
      <c r="AT434" s="442"/>
      <c r="AU434" s="442"/>
      <c r="AV434" s="442"/>
      <c r="AW434" s="442"/>
      <c r="AX434" s="442"/>
      <c r="AY434" s="442"/>
      <c r="AZ434" s="442"/>
      <c r="BA434" s="442"/>
      <c r="BB434" s="442"/>
      <c r="BC434" s="442"/>
      <c r="BD434" s="442"/>
      <c r="BE434" s="442"/>
      <c r="BF434" s="442"/>
      <c r="BG434" s="442"/>
      <c r="BH434" s="442"/>
      <c r="BI434" s="442"/>
      <c r="BJ434" s="442"/>
      <c r="BK434" s="442"/>
      <c r="BL434" s="442"/>
      <c r="BM434" s="442"/>
      <c r="BN434" s="442"/>
      <c r="BO434" s="442"/>
      <c r="BP434" s="442"/>
      <c r="BQ434" s="442"/>
      <c r="BR434" s="442"/>
      <c r="BS434" s="442"/>
      <c r="BT434" s="442"/>
      <c r="BU434" s="442"/>
      <c r="BV434" s="442"/>
      <c r="BW434" s="442"/>
      <c r="BX434" s="442"/>
      <c r="BY434" s="442"/>
      <c r="BZ434" s="442"/>
      <c r="CA434" s="442"/>
      <c r="CB434" s="442"/>
      <c r="CC434" s="442"/>
      <c r="CD434" s="442"/>
      <c r="CE434" s="442"/>
      <c r="CF434" s="442"/>
      <c r="CG434" s="442"/>
      <c r="CH434" s="442"/>
      <c r="CI434" s="442"/>
    </row>
    <row r="435" spans="4:87" x14ac:dyDescent="0.2">
      <c r="D435" s="442"/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  <c r="AA435" s="442"/>
      <c r="AB435" s="442"/>
      <c r="AC435" s="442"/>
      <c r="AD435" s="442"/>
      <c r="AE435" s="442"/>
      <c r="AF435" s="442"/>
      <c r="AG435" s="442"/>
      <c r="AH435" s="442"/>
      <c r="AI435" s="442"/>
      <c r="AJ435" s="442"/>
      <c r="AK435" s="442"/>
      <c r="AL435" s="442"/>
      <c r="AM435" s="442"/>
      <c r="AN435" s="442"/>
      <c r="AO435" s="442"/>
      <c r="AP435" s="442"/>
      <c r="AQ435" s="442"/>
      <c r="AR435" s="442"/>
      <c r="AS435" s="442"/>
      <c r="AT435" s="442"/>
      <c r="AU435" s="442"/>
      <c r="AV435" s="442"/>
      <c r="AW435" s="442"/>
      <c r="AX435" s="442"/>
      <c r="AY435" s="442"/>
      <c r="AZ435" s="442"/>
      <c r="BA435" s="442"/>
      <c r="BB435" s="442"/>
      <c r="BC435" s="442"/>
      <c r="BD435" s="442"/>
      <c r="BE435" s="442"/>
      <c r="BF435" s="442"/>
      <c r="BG435" s="442"/>
      <c r="BH435" s="442"/>
      <c r="BI435" s="442"/>
      <c r="BJ435" s="442"/>
      <c r="BK435" s="442"/>
      <c r="BL435" s="442"/>
      <c r="BM435" s="442"/>
      <c r="BN435" s="442"/>
      <c r="BO435" s="442"/>
      <c r="BP435" s="442"/>
      <c r="BQ435" s="442"/>
      <c r="BR435" s="442"/>
      <c r="BS435" s="442"/>
      <c r="BT435" s="442"/>
      <c r="BU435" s="442"/>
      <c r="BV435" s="442"/>
      <c r="BW435" s="442"/>
      <c r="BX435" s="442"/>
      <c r="BY435" s="442"/>
      <c r="BZ435" s="442"/>
      <c r="CA435" s="442"/>
      <c r="CB435" s="442"/>
      <c r="CC435" s="442"/>
      <c r="CD435" s="442"/>
      <c r="CE435" s="442"/>
      <c r="CF435" s="442"/>
      <c r="CG435" s="442"/>
      <c r="CH435" s="442"/>
      <c r="CI435" s="442"/>
    </row>
    <row r="436" spans="4:87" x14ac:dyDescent="0.2">
      <c r="D436" s="442"/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  <c r="AA436" s="442"/>
      <c r="AB436" s="442"/>
      <c r="AC436" s="442"/>
      <c r="AD436" s="442"/>
      <c r="AE436" s="442"/>
      <c r="AF436" s="442"/>
      <c r="AG436" s="442"/>
      <c r="AH436" s="442"/>
      <c r="AI436" s="442"/>
      <c r="AJ436" s="442"/>
      <c r="AK436" s="442"/>
      <c r="AL436" s="442"/>
      <c r="AM436" s="442"/>
      <c r="AN436" s="442"/>
      <c r="AO436" s="442"/>
      <c r="AP436" s="442"/>
      <c r="AQ436" s="442"/>
      <c r="AR436" s="442"/>
      <c r="AS436" s="442"/>
      <c r="AT436" s="442"/>
      <c r="AU436" s="442"/>
      <c r="AV436" s="442"/>
      <c r="AW436" s="442"/>
      <c r="AX436" s="442"/>
      <c r="AY436" s="442"/>
      <c r="AZ436" s="442"/>
      <c r="BA436" s="442"/>
      <c r="BB436" s="442"/>
      <c r="BC436" s="442"/>
      <c r="BD436" s="442"/>
      <c r="BE436" s="442"/>
      <c r="BF436" s="442"/>
      <c r="BG436" s="442"/>
      <c r="BH436" s="442"/>
      <c r="BI436" s="442"/>
      <c r="BJ436" s="442"/>
      <c r="BK436" s="442"/>
      <c r="BL436" s="442"/>
      <c r="BM436" s="442"/>
      <c r="BN436" s="442"/>
      <c r="BO436" s="442"/>
      <c r="BP436" s="442"/>
      <c r="BQ436" s="442"/>
      <c r="BR436" s="442"/>
      <c r="BS436" s="442"/>
      <c r="BT436" s="442"/>
      <c r="BU436" s="442"/>
      <c r="BV436" s="442"/>
      <c r="BW436" s="442"/>
      <c r="BX436" s="442"/>
      <c r="BY436" s="442"/>
      <c r="BZ436" s="442"/>
      <c r="CA436" s="442"/>
      <c r="CB436" s="442"/>
      <c r="CC436" s="442"/>
      <c r="CD436" s="442"/>
      <c r="CE436" s="442"/>
      <c r="CF436" s="442"/>
      <c r="CG436" s="442"/>
      <c r="CH436" s="442"/>
      <c r="CI436" s="442"/>
    </row>
    <row r="437" spans="4:87" x14ac:dyDescent="0.2">
      <c r="D437" s="442"/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  <c r="AA437" s="442"/>
      <c r="AB437" s="442"/>
      <c r="AC437" s="442"/>
      <c r="AD437" s="442"/>
      <c r="AE437" s="442"/>
      <c r="AF437" s="442"/>
      <c r="AG437" s="442"/>
      <c r="AH437" s="442"/>
      <c r="AI437" s="442"/>
      <c r="AJ437" s="442"/>
      <c r="AK437" s="442"/>
      <c r="AL437" s="442"/>
      <c r="AM437" s="442"/>
      <c r="AN437" s="442"/>
      <c r="AO437" s="442"/>
      <c r="AP437" s="442"/>
      <c r="AQ437" s="442"/>
      <c r="AR437" s="442"/>
      <c r="AS437" s="442"/>
      <c r="AT437" s="442"/>
      <c r="AU437" s="442"/>
      <c r="AV437" s="442"/>
      <c r="AW437" s="442"/>
      <c r="AX437" s="442"/>
      <c r="AY437" s="442"/>
      <c r="AZ437" s="442"/>
      <c r="BA437" s="442"/>
      <c r="BB437" s="442"/>
      <c r="BC437" s="442"/>
      <c r="BD437" s="442"/>
      <c r="BE437" s="442"/>
      <c r="BF437" s="442"/>
      <c r="BG437" s="442"/>
      <c r="BH437" s="442"/>
      <c r="BI437" s="442"/>
      <c r="BJ437" s="442"/>
      <c r="BK437" s="442"/>
      <c r="BL437" s="442"/>
      <c r="BM437" s="442"/>
      <c r="BN437" s="442"/>
      <c r="BO437" s="442"/>
      <c r="BP437" s="442"/>
      <c r="BQ437" s="442"/>
      <c r="BR437" s="442"/>
      <c r="BS437" s="442"/>
      <c r="BT437" s="442"/>
      <c r="BU437" s="442"/>
      <c r="BV437" s="442"/>
      <c r="BW437" s="442"/>
      <c r="BX437" s="442"/>
      <c r="BY437" s="442"/>
      <c r="BZ437" s="442"/>
      <c r="CA437" s="442"/>
      <c r="CB437" s="442"/>
      <c r="CC437" s="442"/>
      <c r="CD437" s="442"/>
      <c r="CE437" s="442"/>
      <c r="CF437" s="442"/>
      <c r="CG437" s="442"/>
      <c r="CH437" s="442"/>
      <c r="CI437" s="442"/>
    </row>
    <row r="438" spans="4:87" x14ac:dyDescent="0.2">
      <c r="D438" s="442"/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  <c r="AA438" s="442"/>
      <c r="AB438" s="442"/>
      <c r="AC438" s="442"/>
      <c r="AD438" s="442"/>
      <c r="AE438" s="442"/>
      <c r="AF438" s="442"/>
      <c r="AG438" s="442"/>
      <c r="AH438" s="442"/>
      <c r="AI438" s="442"/>
      <c r="AJ438" s="442"/>
      <c r="AK438" s="442"/>
      <c r="AL438" s="442"/>
      <c r="AM438" s="442"/>
      <c r="AN438" s="442"/>
      <c r="AO438" s="442"/>
      <c r="AP438" s="442"/>
      <c r="AQ438" s="442"/>
      <c r="AR438" s="442"/>
      <c r="AS438" s="442"/>
      <c r="AT438" s="442"/>
      <c r="AU438" s="442"/>
      <c r="AV438" s="442"/>
      <c r="AW438" s="442"/>
      <c r="AX438" s="442"/>
      <c r="AY438" s="442"/>
      <c r="AZ438" s="442"/>
      <c r="BA438" s="442"/>
      <c r="BB438" s="442"/>
      <c r="BC438" s="442"/>
      <c r="BD438" s="442"/>
      <c r="BE438" s="442"/>
      <c r="BF438" s="442"/>
      <c r="BG438" s="442"/>
      <c r="BH438" s="442"/>
      <c r="BI438" s="442"/>
      <c r="BJ438" s="442"/>
      <c r="BK438" s="442"/>
      <c r="BL438" s="442"/>
      <c r="BM438" s="442"/>
      <c r="BN438" s="442"/>
      <c r="BO438" s="442"/>
      <c r="BP438" s="442"/>
      <c r="BQ438" s="442"/>
      <c r="BR438" s="442"/>
      <c r="BS438" s="442"/>
      <c r="BT438" s="442"/>
      <c r="BU438" s="442"/>
      <c r="BV438" s="442"/>
      <c r="BW438" s="442"/>
      <c r="BX438" s="442"/>
      <c r="BY438" s="442"/>
      <c r="BZ438" s="442"/>
      <c r="CA438" s="442"/>
      <c r="CB438" s="442"/>
      <c r="CC438" s="442"/>
      <c r="CD438" s="442"/>
      <c r="CE438" s="442"/>
      <c r="CF438" s="442"/>
      <c r="CG438" s="442"/>
      <c r="CH438" s="442"/>
      <c r="CI438" s="442"/>
    </row>
    <row r="439" spans="4:87" x14ac:dyDescent="0.2">
      <c r="D439" s="442"/>
      <c r="E439" s="442"/>
      <c r="F439" s="442"/>
      <c r="G439" s="442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  <c r="AA439" s="442"/>
      <c r="AB439" s="442"/>
      <c r="AC439" s="442"/>
      <c r="AD439" s="442"/>
      <c r="AE439" s="442"/>
      <c r="AF439" s="442"/>
      <c r="AG439" s="442"/>
      <c r="AH439" s="442"/>
      <c r="AI439" s="442"/>
      <c r="AJ439" s="442"/>
      <c r="AK439" s="442"/>
      <c r="AL439" s="442"/>
      <c r="AM439" s="442"/>
      <c r="AN439" s="442"/>
      <c r="AO439" s="442"/>
      <c r="AP439" s="442"/>
      <c r="AQ439" s="442"/>
      <c r="AR439" s="442"/>
      <c r="AS439" s="442"/>
      <c r="AT439" s="442"/>
      <c r="AU439" s="442"/>
      <c r="AV439" s="442"/>
      <c r="AW439" s="442"/>
      <c r="AX439" s="442"/>
      <c r="AY439" s="442"/>
      <c r="AZ439" s="442"/>
      <c r="BA439" s="442"/>
      <c r="BB439" s="442"/>
      <c r="BC439" s="442"/>
      <c r="BD439" s="442"/>
      <c r="BE439" s="442"/>
      <c r="BF439" s="442"/>
      <c r="BG439" s="442"/>
      <c r="BH439" s="442"/>
      <c r="BI439" s="442"/>
      <c r="BJ439" s="442"/>
      <c r="BK439" s="442"/>
      <c r="BL439" s="442"/>
      <c r="BM439" s="442"/>
      <c r="BN439" s="442"/>
      <c r="BO439" s="442"/>
      <c r="BP439" s="442"/>
      <c r="BQ439" s="442"/>
      <c r="BR439" s="442"/>
      <c r="BS439" s="442"/>
      <c r="BT439" s="442"/>
      <c r="BU439" s="442"/>
      <c r="BV439" s="442"/>
      <c r="BW439" s="442"/>
      <c r="BX439" s="442"/>
      <c r="BY439" s="442"/>
      <c r="BZ439" s="442"/>
      <c r="CA439" s="442"/>
      <c r="CB439" s="442"/>
      <c r="CC439" s="442"/>
      <c r="CD439" s="442"/>
      <c r="CE439" s="442"/>
      <c r="CF439" s="442"/>
      <c r="CG439" s="442"/>
      <c r="CH439" s="442"/>
      <c r="CI439" s="442"/>
    </row>
    <row r="440" spans="4:87" x14ac:dyDescent="0.2"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  <c r="AA440" s="442"/>
      <c r="AB440" s="442"/>
      <c r="AC440" s="442"/>
      <c r="AD440" s="442"/>
      <c r="AE440" s="442"/>
      <c r="AF440" s="442"/>
      <c r="AG440" s="442"/>
      <c r="AH440" s="442"/>
      <c r="AI440" s="442"/>
      <c r="AJ440" s="442"/>
      <c r="AK440" s="442"/>
      <c r="AL440" s="442"/>
      <c r="AM440" s="442"/>
      <c r="AN440" s="442"/>
      <c r="AO440" s="442"/>
      <c r="AP440" s="442"/>
      <c r="AQ440" s="442"/>
      <c r="AR440" s="442"/>
      <c r="AS440" s="442"/>
      <c r="AT440" s="442"/>
      <c r="AU440" s="442"/>
      <c r="AV440" s="442"/>
      <c r="AW440" s="442"/>
      <c r="AX440" s="442"/>
      <c r="AY440" s="442"/>
      <c r="AZ440" s="442"/>
      <c r="BA440" s="442"/>
      <c r="BB440" s="442"/>
      <c r="BC440" s="442"/>
      <c r="BD440" s="442"/>
      <c r="BE440" s="442"/>
      <c r="BF440" s="442"/>
      <c r="BG440" s="442"/>
      <c r="BH440" s="442"/>
      <c r="BI440" s="442"/>
      <c r="BJ440" s="442"/>
      <c r="BK440" s="442"/>
      <c r="BL440" s="442"/>
      <c r="BM440" s="442"/>
      <c r="BN440" s="442"/>
      <c r="BO440" s="442"/>
      <c r="BP440" s="442"/>
      <c r="BQ440" s="442"/>
      <c r="BR440" s="442"/>
      <c r="BS440" s="442"/>
      <c r="BT440" s="442"/>
      <c r="BU440" s="442"/>
      <c r="BV440" s="442"/>
      <c r="BW440" s="442"/>
      <c r="BX440" s="442"/>
      <c r="BY440" s="442"/>
      <c r="BZ440" s="442"/>
      <c r="CA440" s="442"/>
      <c r="CB440" s="442"/>
      <c r="CC440" s="442"/>
      <c r="CD440" s="442"/>
      <c r="CE440" s="442"/>
      <c r="CF440" s="442"/>
      <c r="CG440" s="442"/>
      <c r="CH440" s="442"/>
      <c r="CI440" s="442"/>
    </row>
    <row r="441" spans="4:87" x14ac:dyDescent="0.2"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  <c r="AA441" s="442"/>
      <c r="AB441" s="442"/>
      <c r="AC441" s="442"/>
      <c r="AD441" s="442"/>
      <c r="AE441" s="442"/>
      <c r="AF441" s="442"/>
      <c r="AG441" s="442"/>
      <c r="AH441" s="442"/>
      <c r="AI441" s="442"/>
      <c r="AJ441" s="442"/>
      <c r="AK441" s="442"/>
      <c r="AL441" s="442"/>
      <c r="AM441" s="442"/>
      <c r="AN441" s="442"/>
      <c r="AO441" s="442"/>
      <c r="AP441" s="442"/>
      <c r="AQ441" s="442"/>
      <c r="AR441" s="442"/>
      <c r="AS441" s="442"/>
      <c r="AT441" s="442"/>
      <c r="AU441" s="442"/>
      <c r="AV441" s="442"/>
      <c r="AW441" s="442"/>
      <c r="AX441" s="442"/>
      <c r="AY441" s="442"/>
      <c r="AZ441" s="442"/>
      <c r="BA441" s="442"/>
      <c r="BB441" s="442"/>
      <c r="BC441" s="442"/>
      <c r="BD441" s="442"/>
      <c r="BE441" s="442"/>
      <c r="BF441" s="442"/>
      <c r="BG441" s="442"/>
      <c r="BH441" s="442"/>
      <c r="BI441" s="442"/>
      <c r="BJ441" s="442"/>
      <c r="BK441" s="442"/>
      <c r="BL441" s="442"/>
      <c r="BM441" s="442"/>
      <c r="BN441" s="442"/>
      <c r="BO441" s="442"/>
      <c r="BP441" s="442"/>
      <c r="BQ441" s="442"/>
      <c r="BR441" s="442"/>
      <c r="BS441" s="442"/>
      <c r="BT441" s="442"/>
      <c r="BU441" s="442"/>
      <c r="BV441" s="442"/>
      <c r="BW441" s="442"/>
      <c r="BX441" s="442"/>
      <c r="BY441" s="442"/>
      <c r="BZ441" s="442"/>
      <c r="CA441" s="442"/>
      <c r="CB441" s="442"/>
      <c r="CC441" s="442"/>
      <c r="CD441" s="442"/>
      <c r="CE441" s="442"/>
      <c r="CF441" s="442"/>
      <c r="CG441" s="442"/>
      <c r="CH441" s="442"/>
      <c r="CI441" s="442"/>
    </row>
    <row r="442" spans="4:87" x14ac:dyDescent="0.2"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  <c r="AA442" s="442"/>
      <c r="AB442" s="442"/>
      <c r="AC442" s="442"/>
      <c r="AD442" s="442"/>
      <c r="AE442" s="442"/>
      <c r="AF442" s="442"/>
      <c r="AG442" s="442"/>
      <c r="AH442" s="442"/>
      <c r="AI442" s="442"/>
      <c r="AJ442" s="442"/>
      <c r="AK442" s="442"/>
      <c r="AL442" s="442"/>
      <c r="AM442" s="442"/>
      <c r="AN442" s="442"/>
      <c r="AO442" s="442"/>
      <c r="AP442" s="442"/>
      <c r="AQ442" s="442"/>
      <c r="AR442" s="442"/>
      <c r="AS442" s="442"/>
      <c r="AT442" s="442"/>
      <c r="AU442" s="442"/>
      <c r="AV442" s="442"/>
      <c r="AW442" s="442"/>
      <c r="AX442" s="442"/>
      <c r="AY442" s="442"/>
      <c r="AZ442" s="442"/>
      <c r="BA442" s="442"/>
      <c r="BB442" s="442"/>
      <c r="BC442" s="442"/>
      <c r="BD442" s="442"/>
      <c r="BE442" s="442"/>
      <c r="BF442" s="442"/>
      <c r="BG442" s="442"/>
      <c r="BH442" s="442"/>
      <c r="BI442" s="442"/>
      <c r="BJ442" s="442"/>
      <c r="BK442" s="442"/>
      <c r="BL442" s="442"/>
      <c r="BM442" s="442"/>
      <c r="BN442" s="442"/>
      <c r="BO442" s="442"/>
      <c r="BP442" s="442"/>
      <c r="BQ442" s="442"/>
      <c r="BR442" s="442"/>
      <c r="BS442" s="442"/>
      <c r="BT442" s="442"/>
      <c r="BU442" s="442"/>
      <c r="BV442" s="442"/>
      <c r="BW442" s="442"/>
      <c r="BX442" s="442"/>
      <c r="BY442" s="442"/>
      <c r="BZ442" s="442"/>
      <c r="CA442" s="442"/>
      <c r="CB442" s="442"/>
      <c r="CC442" s="442"/>
      <c r="CD442" s="442"/>
      <c r="CE442" s="442"/>
      <c r="CF442" s="442"/>
      <c r="CG442" s="442"/>
      <c r="CH442" s="442"/>
      <c r="CI442" s="442"/>
    </row>
    <row r="443" spans="4:87" x14ac:dyDescent="0.2"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  <c r="AA443" s="442"/>
      <c r="AB443" s="442"/>
      <c r="AC443" s="442"/>
      <c r="AD443" s="442"/>
      <c r="AE443" s="442"/>
      <c r="AF443" s="442"/>
      <c r="AG443" s="442"/>
      <c r="AH443" s="442"/>
      <c r="AI443" s="442"/>
      <c r="AJ443" s="442"/>
      <c r="AK443" s="442"/>
      <c r="AL443" s="442"/>
      <c r="AM443" s="442"/>
      <c r="AN443" s="442"/>
      <c r="AO443" s="442"/>
      <c r="AP443" s="442"/>
      <c r="AQ443" s="442"/>
      <c r="AR443" s="442"/>
      <c r="AS443" s="442"/>
      <c r="AT443" s="442"/>
      <c r="AU443" s="442"/>
      <c r="AV443" s="442"/>
      <c r="AW443" s="442"/>
      <c r="AX443" s="442"/>
      <c r="AY443" s="442"/>
      <c r="AZ443" s="442"/>
      <c r="BA443" s="442"/>
      <c r="BB443" s="442"/>
      <c r="BC443" s="442"/>
      <c r="BD443" s="442"/>
      <c r="BE443" s="442"/>
      <c r="BF443" s="442"/>
      <c r="BG443" s="442"/>
      <c r="BH443" s="442"/>
      <c r="BI443" s="442"/>
      <c r="BJ443" s="442"/>
      <c r="BK443" s="442"/>
      <c r="BL443" s="442"/>
      <c r="BM443" s="442"/>
      <c r="BN443" s="442"/>
      <c r="BO443" s="442"/>
      <c r="BP443" s="442"/>
      <c r="BQ443" s="442"/>
      <c r="BR443" s="442"/>
      <c r="BS443" s="442"/>
      <c r="BT443" s="442"/>
      <c r="BU443" s="442"/>
      <c r="BV443" s="442"/>
      <c r="BW443" s="442"/>
      <c r="BX443" s="442"/>
      <c r="BY443" s="442"/>
      <c r="BZ443" s="442"/>
      <c r="CA443" s="442"/>
      <c r="CB443" s="442"/>
      <c r="CC443" s="442"/>
      <c r="CD443" s="442"/>
      <c r="CE443" s="442"/>
      <c r="CF443" s="442"/>
      <c r="CG443" s="442"/>
      <c r="CH443" s="442"/>
      <c r="CI443" s="442"/>
    </row>
    <row r="444" spans="4:87" x14ac:dyDescent="0.2"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  <c r="AA444" s="442"/>
      <c r="AB444" s="442"/>
      <c r="AC444" s="442"/>
      <c r="AD444" s="442"/>
      <c r="AE444" s="442"/>
      <c r="AF444" s="442"/>
      <c r="AG444" s="442"/>
      <c r="AH444" s="442"/>
      <c r="AI444" s="442"/>
      <c r="AJ444" s="442"/>
      <c r="AK444" s="442"/>
      <c r="AL444" s="442"/>
      <c r="AM444" s="442"/>
      <c r="AN444" s="442"/>
      <c r="AO444" s="442"/>
      <c r="AP444" s="442"/>
      <c r="AQ444" s="442"/>
      <c r="AR444" s="442"/>
      <c r="AS444" s="442"/>
      <c r="AT444" s="442"/>
      <c r="AU444" s="442"/>
      <c r="AV444" s="442"/>
      <c r="AW444" s="442"/>
      <c r="AX444" s="442"/>
      <c r="AY444" s="442"/>
      <c r="AZ444" s="442"/>
      <c r="BA444" s="442"/>
      <c r="BB444" s="442"/>
      <c r="BC444" s="442"/>
      <c r="BD444" s="442"/>
      <c r="BE444" s="442"/>
      <c r="BF444" s="442"/>
      <c r="BG444" s="442"/>
      <c r="BH444" s="442"/>
      <c r="BI444" s="442"/>
      <c r="BJ444" s="442"/>
      <c r="BK444" s="442"/>
      <c r="BL444" s="442"/>
      <c r="BM444" s="442"/>
      <c r="BN444" s="442"/>
      <c r="BO444" s="442"/>
      <c r="BP444" s="442"/>
      <c r="BQ444" s="442"/>
      <c r="BR444" s="442"/>
      <c r="BS444" s="442"/>
      <c r="BT444" s="442"/>
      <c r="BU444" s="442"/>
      <c r="BV444" s="442"/>
      <c r="BW444" s="442"/>
      <c r="BX444" s="442"/>
      <c r="BY444" s="442"/>
      <c r="BZ444" s="442"/>
      <c r="CA444" s="442"/>
      <c r="CB444" s="442"/>
      <c r="CC444" s="442"/>
      <c r="CD444" s="442"/>
      <c r="CE444" s="442"/>
      <c r="CF444" s="442"/>
      <c r="CG444" s="442"/>
      <c r="CH444" s="442"/>
      <c r="CI444" s="442"/>
    </row>
    <row r="445" spans="4:87" x14ac:dyDescent="0.2">
      <c r="D445" s="442"/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  <c r="AA445" s="442"/>
      <c r="AB445" s="442"/>
      <c r="AC445" s="442"/>
      <c r="AD445" s="442"/>
      <c r="AE445" s="442"/>
      <c r="AF445" s="442"/>
      <c r="AG445" s="442"/>
      <c r="AH445" s="442"/>
      <c r="AI445" s="442"/>
      <c r="AJ445" s="442"/>
      <c r="AK445" s="442"/>
      <c r="AL445" s="442"/>
      <c r="AM445" s="442"/>
      <c r="AN445" s="442"/>
      <c r="AO445" s="442"/>
      <c r="AP445" s="442"/>
      <c r="AQ445" s="442"/>
      <c r="AR445" s="442"/>
      <c r="AS445" s="442"/>
      <c r="AT445" s="442"/>
      <c r="AU445" s="442"/>
      <c r="AV445" s="442"/>
      <c r="AW445" s="442"/>
      <c r="AX445" s="442"/>
      <c r="AY445" s="442"/>
      <c r="AZ445" s="442"/>
      <c r="BA445" s="442"/>
      <c r="BB445" s="442"/>
      <c r="BC445" s="442"/>
      <c r="BD445" s="442"/>
      <c r="BE445" s="442"/>
      <c r="BF445" s="442"/>
      <c r="BG445" s="442"/>
      <c r="BH445" s="442"/>
      <c r="BI445" s="442"/>
      <c r="BJ445" s="442"/>
      <c r="BK445" s="442"/>
      <c r="BL445" s="442"/>
      <c r="BM445" s="442"/>
      <c r="BN445" s="442"/>
      <c r="BO445" s="442"/>
      <c r="BP445" s="442"/>
      <c r="BQ445" s="442"/>
      <c r="BR445" s="442"/>
      <c r="BS445" s="442"/>
      <c r="BT445" s="442"/>
      <c r="BU445" s="442"/>
      <c r="BV445" s="442"/>
      <c r="BW445" s="442"/>
      <c r="BX445" s="442"/>
      <c r="BY445" s="442"/>
      <c r="BZ445" s="442"/>
      <c r="CA445" s="442"/>
      <c r="CB445" s="442"/>
      <c r="CC445" s="442"/>
      <c r="CD445" s="442"/>
      <c r="CE445" s="442"/>
      <c r="CF445" s="442"/>
      <c r="CG445" s="442"/>
      <c r="CH445" s="442"/>
      <c r="CI445" s="442"/>
    </row>
    <row r="446" spans="4:87" x14ac:dyDescent="0.2">
      <c r="D446" s="442"/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  <c r="AA446" s="442"/>
      <c r="AB446" s="442"/>
      <c r="AC446" s="442"/>
      <c r="AD446" s="442"/>
      <c r="AE446" s="442"/>
      <c r="AF446" s="442"/>
      <c r="AG446" s="442"/>
      <c r="AH446" s="442"/>
      <c r="AI446" s="442"/>
      <c r="AJ446" s="442"/>
      <c r="AK446" s="442"/>
      <c r="AL446" s="442"/>
      <c r="AM446" s="442"/>
      <c r="AN446" s="442"/>
      <c r="AO446" s="442"/>
      <c r="AP446" s="442"/>
      <c r="AQ446" s="442"/>
      <c r="AR446" s="442"/>
      <c r="AS446" s="442"/>
      <c r="AT446" s="442"/>
      <c r="AU446" s="442"/>
      <c r="AV446" s="442"/>
      <c r="AW446" s="442"/>
      <c r="AX446" s="442"/>
      <c r="AY446" s="442"/>
      <c r="AZ446" s="442"/>
      <c r="BA446" s="442"/>
      <c r="BB446" s="442"/>
      <c r="BC446" s="442"/>
      <c r="BD446" s="442"/>
      <c r="BE446" s="442"/>
      <c r="BF446" s="442"/>
      <c r="BG446" s="442"/>
      <c r="BH446" s="442"/>
      <c r="BI446" s="442"/>
      <c r="BJ446" s="442"/>
      <c r="BK446" s="442"/>
      <c r="BL446" s="442"/>
      <c r="BM446" s="442"/>
      <c r="BN446" s="442"/>
      <c r="BO446" s="442"/>
      <c r="BP446" s="442"/>
      <c r="BQ446" s="442"/>
      <c r="BR446" s="442"/>
      <c r="BS446" s="442"/>
      <c r="BT446" s="442"/>
      <c r="BU446" s="442"/>
      <c r="BV446" s="442"/>
      <c r="BW446" s="442"/>
      <c r="BX446" s="442"/>
      <c r="BY446" s="442"/>
      <c r="BZ446" s="442"/>
      <c r="CA446" s="442"/>
      <c r="CB446" s="442"/>
      <c r="CC446" s="442"/>
      <c r="CD446" s="442"/>
      <c r="CE446" s="442"/>
      <c r="CF446" s="442"/>
      <c r="CG446" s="442"/>
      <c r="CH446" s="442"/>
      <c r="CI446" s="442"/>
    </row>
    <row r="447" spans="4:87" x14ac:dyDescent="0.2">
      <c r="D447" s="442"/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  <c r="AA447" s="442"/>
      <c r="AB447" s="442"/>
      <c r="AC447" s="442"/>
      <c r="AD447" s="442"/>
      <c r="AE447" s="442"/>
      <c r="AF447" s="442"/>
      <c r="AG447" s="442"/>
      <c r="AH447" s="442"/>
      <c r="AI447" s="442"/>
      <c r="AJ447" s="442"/>
      <c r="AK447" s="442"/>
      <c r="AL447" s="442"/>
      <c r="AM447" s="442"/>
      <c r="AN447" s="442"/>
      <c r="AO447" s="442"/>
      <c r="AP447" s="442"/>
      <c r="AQ447" s="442"/>
      <c r="AR447" s="442"/>
      <c r="AS447" s="442"/>
      <c r="AT447" s="442"/>
      <c r="AU447" s="442"/>
      <c r="AV447" s="442"/>
      <c r="AW447" s="442"/>
      <c r="AX447" s="442"/>
      <c r="AY447" s="442"/>
      <c r="AZ447" s="442"/>
      <c r="BA447" s="442"/>
      <c r="BB447" s="442"/>
      <c r="BC447" s="442"/>
      <c r="BD447" s="442"/>
      <c r="BE447" s="442"/>
      <c r="BF447" s="442"/>
      <c r="BG447" s="442"/>
      <c r="BH447" s="442"/>
      <c r="BI447" s="442"/>
      <c r="BJ447" s="442"/>
      <c r="BK447" s="442"/>
      <c r="BL447" s="442"/>
      <c r="BM447" s="442"/>
      <c r="BN447" s="442"/>
      <c r="BO447" s="442"/>
      <c r="BP447" s="442"/>
      <c r="BQ447" s="442"/>
      <c r="BR447" s="442"/>
      <c r="BS447" s="442"/>
      <c r="BT447" s="442"/>
      <c r="BU447" s="442"/>
      <c r="BV447" s="442"/>
      <c r="BW447" s="442"/>
      <c r="BX447" s="442"/>
      <c r="BY447" s="442"/>
      <c r="BZ447" s="442"/>
      <c r="CA447" s="442"/>
      <c r="CB447" s="442"/>
      <c r="CC447" s="442"/>
      <c r="CD447" s="442"/>
      <c r="CE447" s="442"/>
      <c r="CF447" s="442"/>
      <c r="CG447" s="442"/>
      <c r="CH447" s="442"/>
      <c r="CI447" s="442"/>
    </row>
    <row r="448" spans="4:87" x14ac:dyDescent="0.2">
      <c r="D448" s="442"/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  <c r="AA448" s="442"/>
      <c r="AB448" s="442"/>
      <c r="AC448" s="442"/>
      <c r="AD448" s="442"/>
      <c r="AE448" s="442"/>
      <c r="AF448" s="442"/>
      <c r="AG448" s="442"/>
      <c r="AH448" s="442"/>
      <c r="AI448" s="442"/>
      <c r="AJ448" s="442"/>
      <c r="AK448" s="442"/>
      <c r="AL448" s="442"/>
      <c r="AM448" s="442"/>
      <c r="AN448" s="442"/>
      <c r="AO448" s="442"/>
      <c r="AP448" s="442"/>
      <c r="AQ448" s="442"/>
      <c r="AR448" s="442"/>
      <c r="AS448" s="442"/>
      <c r="AT448" s="442"/>
      <c r="AU448" s="442"/>
      <c r="AV448" s="442"/>
      <c r="AW448" s="442"/>
      <c r="AX448" s="442"/>
      <c r="AY448" s="442"/>
      <c r="AZ448" s="442"/>
      <c r="BA448" s="442"/>
      <c r="BB448" s="442"/>
      <c r="BC448" s="442"/>
      <c r="BD448" s="442"/>
      <c r="BE448" s="442"/>
      <c r="BF448" s="442"/>
      <c r="BG448" s="442"/>
      <c r="BH448" s="442"/>
      <c r="BI448" s="442"/>
      <c r="BJ448" s="442"/>
      <c r="BK448" s="442"/>
      <c r="BL448" s="442"/>
      <c r="BM448" s="442"/>
      <c r="BN448" s="442"/>
      <c r="BO448" s="442"/>
      <c r="BP448" s="442"/>
      <c r="BQ448" s="442"/>
      <c r="BR448" s="442"/>
      <c r="BS448" s="442"/>
      <c r="BT448" s="442"/>
      <c r="BU448" s="442"/>
      <c r="BV448" s="442"/>
      <c r="BW448" s="442"/>
      <c r="BX448" s="442"/>
      <c r="BY448" s="442"/>
      <c r="BZ448" s="442"/>
      <c r="CA448" s="442"/>
      <c r="CB448" s="442"/>
      <c r="CC448" s="442"/>
      <c r="CD448" s="442"/>
      <c r="CE448" s="442"/>
      <c r="CF448" s="442"/>
      <c r="CG448" s="442"/>
      <c r="CH448" s="442"/>
      <c r="CI448" s="442"/>
    </row>
    <row r="449" spans="4:87" x14ac:dyDescent="0.2">
      <c r="D449" s="442"/>
      <c r="E449" s="442"/>
      <c r="F449" s="442"/>
      <c r="G449" s="442"/>
      <c r="H449" s="442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  <c r="AA449" s="442"/>
      <c r="AB449" s="442"/>
      <c r="AC449" s="442"/>
      <c r="AD449" s="442"/>
      <c r="AE449" s="442"/>
      <c r="AF449" s="442"/>
      <c r="AG449" s="442"/>
      <c r="AH449" s="442"/>
      <c r="AI449" s="442"/>
      <c r="AJ449" s="442"/>
      <c r="AK449" s="442"/>
      <c r="AL449" s="442"/>
      <c r="AM449" s="442"/>
      <c r="AN449" s="442"/>
      <c r="AO449" s="442"/>
      <c r="AP449" s="442"/>
      <c r="AQ449" s="442"/>
      <c r="AR449" s="442"/>
      <c r="AS449" s="442"/>
      <c r="AT449" s="442"/>
      <c r="AU449" s="442"/>
      <c r="AV449" s="442"/>
      <c r="AW449" s="442"/>
      <c r="AX449" s="442"/>
      <c r="AY449" s="442"/>
      <c r="AZ449" s="442"/>
      <c r="BA449" s="442"/>
      <c r="BB449" s="442"/>
      <c r="BC449" s="442"/>
      <c r="BD449" s="442"/>
      <c r="BE449" s="442"/>
      <c r="BF449" s="442"/>
      <c r="BG449" s="442"/>
      <c r="BH449" s="442"/>
      <c r="BI449" s="442"/>
      <c r="BJ449" s="442"/>
      <c r="BK449" s="442"/>
      <c r="BL449" s="442"/>
      <c r="BM449" s="442"/>
      <c r="BN449" s="442"/>
      <c r="BO449" s="442"/>
      <c r="BP449" s="442"/>
      <c r="BQ449" s="442"/>
      <c r="BR449" s="442"/>
      <c r="BS449" s="442"/>
      <c r="BT449" s="442"/>
      <c r="BU449" s="442"/>
      <c r="BV449" s="442"/>
      <c r="BW449" s="442"/>
      <c r="BX449" s="442"/>
      <c r="BY449" s="442"/>
      <c r="BZ449" s="442"/>
      <c r="CA449" s="442"/>
      <c r="CB449" s="442"/>
      <c r="CC449" s="442"/>
      <c r="CD449" s="442"/>
      <c r="CE449" s="442"/>
      <c r="CF449" s="442"/>
      <c r="CG449" s="442"/>
      <c r="CH449" s="442"/>
      <c r="CI449" s="442"/>
    </row>
    <row r="450" spans="4:87" x14ac:dyDescent="0.2">
      <c r="D450" s="442"/>
      <c r="E450" s="442"/>
      <c r="F450" s="442"/>
      <c r="G450" s="442"/>
      <c r="H450" s="442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  <c r="AA450" s="442"/>
      <c r="AB450" s="442"/>
      <c r="AC450" s="442"/>
      <c r="AD450" s="442"/>
      <c r="AE450" s="442"/>
      <c r="AF450" s="442"/>
      <c r="AG450" s="442"/>
      <c r="AH450" s="442"/>
      <c r="AI450" s="442"/>
      <c r="AJ450" s="442"/>
      <c r="AK450" s="442"/>
      <c r="AL450" s="442"/>
      <c r="AM450" s="442"/>
      <c r="AN450" s="442"/>
      <c r="AO450" s="442"/>
      <c r="AP450" s="442"/>
      <c r="AQ450" s="442"/>
      <c r="AR450" s="442"/>
      <c r="AS450" s="442"/>
      <c r="AT450" s="442"/>
      <c r="AU450" s="442"/>
      <c r="AV450" s="442"/>
      <c r="AW450" s="442"/>
      <c r="AX450" s="442"/>
      <c r="AY450" s="442"/>
      <c r="AZ450" s="442"/>
      <c r="BA450" s="442"/>
      <c r="BB450" s="442"/>
      <c r="BC450" s="442"/>
      <c r="BD450" s="442"/>
      <c r="BE450" s="442"/>
      <c r="BF450" s="442"/>
      <c r="BG450" s="442"/>
      <c r="BH450" s="442"/>
      <c r="BI450" s="442"/>
      <c r="BJ450" s="442"/>
      <c r="BK450" s="442"/>
      <c r="BL450" s="442"/>
      <c r="BM450" s="442"/>
      <c r="BN450" s="442"/>
      <c r="BO450" s="442"/>
      <c r="BP450" s="442"/>
      <c r="BQ450" s="442"/>
      <c r="BR450" s="442"/>
      <c r="BS450" s="442"/>
      <c r="BT450" s="442"/>
      <c r="BU450" s="442"/>
      <c r="BV450" s="442"/>
      <c r="BW450" s="442"/>
      <c r="BX450" s="442"/>
      <c r="BY450" s="442"/>
      <c r="BZ450" s="442"/>
      <c r="CA450" s="442"/>
      <c r="CB450" s="442"/>
      <c r="CC450" s="442"/>
      <c r="CD450" s="442"/>
      <c r="CE450" s="442"/>
      <c r="CF450" s="442"/>
      <c r="CG450" s="442"/>
      <c r="CH450" s="442"/>
      <c r="CI450" s="442"/>
    </row>
    <row r="451" spans="4:87" x14ac:dyDescent="0.2"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  <c r="AA451" s="442"/>
      <c r="AB451" s="442"/>
      <c r="AC451" s="442"/>
      <c r="AD451" s="442"/>
      <c r="AE451" s="442"/>
      <c r="AF451" s="442"/>
      <c r="AG451" s="442"/>
      <c r="AH451" s="442"/>
      <c r="AI451" s="442"/>
      <c r="AJ451" s="442"/>
      <c r="AK451" s="442"/>
      <c r="AL451" s="442"/>
      <c r="AM451" s="442"/>
      <c r="AN451" s="442"/>
      <c r="AO451" s="442"/>
      <c r="AP451" s="442"/>
      <c r="AQ451" s="442"/>
      <c r="AR451" s="442"/>
      <c r="AS451" s="442"/>
      <c r="AT451" s="442"/>
      <c r="AU451" s="442"/>
      <c r="AV451" s="442"/>
      <c r="AW451" s="442"/>
      <c r="AX451" s="442"/>
      <c r="AY451" s="442"/>
      <c r="AZ451" s="442"/>
      <c r="BA451" s="442"/>
      <c r="BB451" s="442"/>
      <c r="BC451" s="442"/>
      <c r="BD451" s="442"/>
      <c r="BE451" s="442"/>
      <c r="BF451" s="442"/>
      <c r="BG451" s="442"/>
      <c r="BH451" s="442"/>
      <c r="BI451" s="442"/>
      <c r="BJ451" s="442"/>
      <c r="BK451" s="442"/>
      <c r="BL451" s="442"/>
      <c r="BM451" s="442"/>
      <c r="BN451" s="442"/>
      <c r="BO451" s="442"/>
      <c r="BP451" s="442"/>
      <c r="BQ451" s="442"/>
      <c r="BR451" s="442"/>
      <c r="BS451" s="442"/>
      <c r="BT451" s="442"/>
      <c r="BU451" s="442"/>
      <c r="BV451" s="442"/>
      <c r="BW451" s="442"/>
      <c r="BX451" s="442"/>
      <c r="BY451" s="442"/>
      <c r="BZ451" s="442"/>
      <c r="CA451" s="442"/>
      <c r="CB451" s="442"/>
      <c r="CC451" s="442"/>
      <c r="CD451" s="442"/>
      <c r="CE451" s="442"/>
      <c r="CF451" s="442"/>
      <c r="CG451" s="442"/>
      <c r="CH451" s="442"/>
      <c r="CI451" s="442"/>
    </row>
    <row r="452" spans="4:87" x14ac:dyDescent="0.2">
      <c r="D452" s="442"/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  <c r="AA452" s="442"/>
      <c r="AB452" s="442"/>
      <c r="AC452" s="442"/>
      <c r="AD452" s="442"/>
      <c r="AE452" s="442"/>
      <c r="AF452" s="442"/>
      <c r="AG452" s="442"/>
      <c r="AH452" s="442"/>
      <c r="AI452" s="442"/>
      <c r="AJ452" s="442"/>
      <c r="AK452" s="442"/>
      <c r="AL452" s="442"/>
      <c r="AM452" s="442"/>
      <c r="AN452" s="442"/>
      <c r="AO452" s="442"/>
      <c r="AP452" s="442"/>
      <c r="AQ452" s="442"/>
      <c r="AR452" s="442"/>
      <c r="AS452" s="442"/>
      <c r="AT452" s="442"/>
      <c r="AU452" s="442"/>
      <c r="AV452" s="442"/>
      <c r="AW452" s="442"/>
      <c r="AX452" s="442"/>
      <c r="AY452" s="442"/>
      <c r="AZ452" s="442"/>
      <c r="BA452" s="442"/>
      <c r="BB452" s="442"/>
      <c r="BC452" s="442"/>
      <c r="BD452" s="442"/>
      <c r="BE452" s="442"/>
      <c r="BF452" s="442"/>
      <c r="BG452" s="442"/>
      <c r="BH452" s="442"/>
      <c r="BI452" s="442"/>
      <c r="BJ452" s="442"/>
      <c r="BK452" s="442"/>
      <c r="BL452" s="442"/>
      <c r="BM452" s="442"/>
      <c r="BN452" s="442"/>
      <c r="BO452" s="442"/>
      <c r="BP452" s="442"/>
      <c r="BQ452" s="442"/>
      <c r="BR452" s="442"/>
      <c r="BS452" s="442"/>
      <c r="BT452" s="442"/>
      <c r="BU452" s="442"/>
      <c r="BV452" s="442"/>
      <c r="BW452" s="442"/>
      <c r="BX452" s="442"/>
      <c r="BY452" s="442"/>
      <c r="BZ452" s="442"/>
      <c r="CA452" s="442"/>
      <c r="CB452" s="442"/>
      <c r="CC452" s="442"/>
      <c r="CD452" s="442"/>
      <c r="CE452" s="442"/>
      <c r="CF452" s="442"/>
      <c r="CG452" s="442"/>
      <c r="CH452" s="442"/>
      <c r="CI452" s="442"/>
    </row>
    <row r="453" spans="4:87" x14ac:dyDescent="0.2">
      <c r="D453" s="442"/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  <c r="AA453" s="442"/>
      <c r="AB453" s="442"/>
      <c r="AC453" s="442"/>
      <c r="AD453" s="442"/>
      <c r="AE453" s="442"/>
      <c r="AF453" s="442"/>
      <c r="AG453" s="442"/>
      <c r="AH453" s="442"/>
      <c r="AI453" s="442"/>
      <c r="AJ453" s="442"/>
      <c r="AK453" s="442"/>
      <c r="AL453" s="442"/>
      <c r="AM453" s="442"/>
      <c r="AN453" s="442"/>
      <c r="AO453" s="442"/>
      <c r="AP453" s="442"/>
      <c r="AQ453" s="442"/>
      <c r="AR453" s="442"/>
      <c r="AS453" s="442"/>
      <c r="AT453" s="442"/>
      <c r="AU453" s="442"/>
      <c r="AV453" s="442"/>
      <c r="AW453" s="442"/>
      <c r="AX453" s="442"/>
      <c r="AY453" s="442"/>
      <c r="AZ453" s="442"/>
      <c r="BA453" s="442"/>
      <c r="BB453" s="442"/>
      <c r="BC453" s="442"/>
      <c r="BD453" s="442"/>
      <c r="BE453" s="442"/>
      <c r="BF453" s="442"/>
      <c r="BG453" s="442"/>
      <c r="BH453" s="442"/>
      <c r="BI453" s="442"/>
      <c r="BJ453" s="442"/>
      <c r="BK453" s="442"/>
      <c r="BL453" s="442"/>
      <c r="BM453" s="442"/>
      <c r="BN453" s="442"/>
      <c r="BO453" s="442"/>
      <c r="BP453" s="442"/>
      <c r="BQ453" s="442"/>
      <c r="BR453" s="442"/>
      <c r="BS453" s="442"/>
      <c r="BT453" s="442"/>
      <c r="BU453" s="442"/>
      <c r="BV453" s="442"/>
      <c r="BW453" s="442"/>
      <c r="BX453" s="442"/>
      <c r="BY453" s="442"/>
      <c r="BZ453" s="442"/>
      <c r="CA453" s="442"/>
      <c r="CB453" s="442"/>
      <c r="CC453" s="442"/>
      <c r="CD453" s="442"/>
      <c r="CE453" s="442"/>
      <c r="CF453" s="442"/>
      <c r="CG453" s="442"/>
      <c r="CH453" s="442"/>
      <c r="CI453" s="442"/>
    </row>
    <row r="454" spans="4:87" x14ac:dyDescent="0.2">
      <c r="D454" s="442"/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  <c r="AA454" s="442"/>
      <c r="AB454" s="442"/>
      <c r="AC454" s="442"/>
      <c r="AD454" s="442"/>
      <c r="AE454" s="442"/>
      <c r="AF454" s="442"/>
      <c r="AG454" s="442"/>
      <c r="AH454" s="442"/>
      <c r="AI454" s="442"/>
      <c r="AJ454" s="442"/>
      <c r="AK454" s="442"/>
      <c r="AL454" s="442"/>
      <c r="AM454" s="442"/>
      <c r="AN454" s="442"/>
      <c r="AO454" s="442"/>
      <c r="AP454" s="442"/>
      <c r="AQ454" s="442"/>
      <c r="AR454" s="442"/>
      <c r="AS454" s="442"/>
      <c r="AT454" s="442"/>
      <c r="AU454" s="442"/>
      <c r="AV454" s="442"/>
      <c r="AW454" s="442"/>
      <c r="AX454" s="442"/>
      <c r="AY454" s="442"/>
      <c r="AZ454" s="442"/>
      <c r="BA454" s="442"/>
      <c r="BB454" s="442"/>
      <c r="BC454" s="442"/>
      <c r="BD454" s="442"/>
      <c r="BE454" s="442"/>
      <c r="BF454" s="442"/>
      <c r="BG454" s="442"/>
      <c r="BH454" s="442"/>
      <c r="BI454" s="442"/>
      <c r="BJ454" s="442"/>
      <c r="BK454" s="442"/>
      <c r="BL454" s="442"/>
      <c r="BM454" s="442"/>
      <c r="BN454" s="442"/>
      <c r="BO454" s="442"/>
      <c r="BP454" s="442"/>
      <c r="BQ454" s="442"/>
      <c r="BR454" s="442"/>
      <c r="BS454" s="442"/>
      <c r="BT454" s="442"/>
      <c r="BU454" s="442"/>
      <c r="BV454" s="442"/>
      <c r="BW454" s="442"/>
      <c r="BX454" s="442"/>
      <c r="BY454" s="442"/>
      <c r="BZ454" s="442"/>
      <c r="CA454" s="442"/>
      <c r="CB454" s="442"/>
      <c r="CC454" s="442"/>
      <c r="CD454" s="442"/>
      <c r="CE454" s="442"/>
      <c r="CF454" s="442"/>
      <c r="CG454" s="442"/>
      <c r="CH454" s="442"/>
      <c r="CI454" s="442"/>
    </row>
    <row r="455" spans="4:87" x14ac:dyDescent="0.2"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  <c r="AA455" s="442"/>
      <c r="AB455" s="442"/>
      <c r="AC455" s="442"/>
      <c r="AD455" s="442"/>
      <c r="AE455" s="442"/>
      <c r="AF455" s="442"/>
      <c r="AG455" s="442"/>
      <c r="AH455" s="442"/>
      <c r="AI455" s="442"/>
      <c r="AJ455" s="442"/>
      <c r="AK455" s="442"/>
      <c r="AL455" s="442"/>
      <c r="AM455" s="442"/>
      <c r="AN455" s="442"/>
      <c r="AO455" s="442"/>
      <c r="AP455" s="442"/>
      <c r="AQ455" s="442"/>
      <c r="AR455" s="442"/>
      <c r="AS455" s="442"/>
      <c r="AT455" s="442"/>
      <c r="AU455" s="442"/>
      <c r="AV455" s="442"/>
      <c r="AW455" s="442"/>
      <c r="AX455" s="442"/>
      <c r="AY455" s="442"/>
      <c r="AZ455" s="442"/>
      <c r="BA455" s="442"/>
      <c r="BB455" s="442"/>
      <c r="BC455" s="442"/>
      <c r="BD455" s="442"/>
      <c r="BE455" s="442"/>
      <c r="BF455" s="442"/>
      <c r="BG455" s="442"/>
      <c r="BH455" s="442"/>
      <c r="BI455" s="442"/>
      <c r="BJ455" s="442"/>
      <c r="BK455" s="442"/>
      <c r="BL455" s="442"/>
      <c r="BM455" s="442"/>
      <c r="BN455" s="442"/>
      <c r="BO455" s="442"/>
      <c r="BP455" s="442"/>
      <c r="BQ455" s="442"/>
      <c r="BR455" s="442"/>
      <c r="BS455" s="442"/>
      <c r="BT455" s="442"/>
      <c r="BU455" s="442"/>
      <c r="BV455" s="442"/>
      <c r="BW455" s="442"/>
      <c r="BX455" s="442"/>
      <c r="BY455" s="442"/>
      <c r="BZ455" s="442"/>
      <c r="CA455" s="442"/>
      <c r="CB455" s="442"/>
      <c r="CC455" s="442"/>
      <c r="CD455" s="442"/>
      <c r="CE455" s="442"/>
      <c r="CF455" s="442"/>
      <c r="CG455" s="442"/>
      <c r="CH455" s="442"/>
      <c r="CI455" s="442"/>
    </row>
    <row r="456" spans="4:87" x14ac:dyDescent="0.2">
      <c r="D456" s="442"/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  <c r="AA456" s="442"/>
      <c r="AB456" s="442"/>
      <c r="AC456" s="442"/>
      <c r="AD456" s="442"/>
      <c r="AE456" s="442"/>
      <c r="AF456" s="442"/>
      <c r="AG456" s="442"/>
      <c r="AH456" s="442"/>
      <c r="AI456" s="442"/>
      <c r="AJ456" s="442"/>
      <c r="AK456" s="442"/>
      <c r="AL456" s="442"/>
      <c r="AM456" s="442"/>
      <c r="AN456" s="442"/>
      <c r="AO456" s="442"/>
      <c r="AP456" s="442"/>
      <c r="AQ456" s="442"/>
      <c r="AR456" s="442"/>
      <c r="AS456" s="442"/>
      <c r="AT456" s="442"/>
      <c r="AU456" s="442"/>
      <c r="AV456" s="442"/>
      <c r="AW456" s="442"/>
      <c r="AX456" s="442"/>
      <c r="AY456" s="442"/>
      <c r="AZ456" s="442"/>
      <c r="BA456" s="442"/>
      <c r="BB456" s="442"/>
      <c r="BC456" s="442"/>
      <c r="BD456" s="442"/>
      <c r="BE456" s="442"/>
      <c r="BF456" s="442"/>
      <c r="BG456" s="442"/>
      <c r="BH456" s="442"/>
      <c r="BI456" s="442"/>
      <c r="BJ456" s="442"/>
      <c r="BK456" s="442"/>
      <c r="BL456" s="442"/>
      <c r="BM456" s="442"/>
      <c r="BN456" s="442"/>
      <c r="BO456" s="442"/>
      <c r="BP456" s="442"/>
      <c r="BQ456" s="442"/>
      <c r="BR456" s="442"/>
      <c r="BS456" s="442"/>
      <c r="BT456" s="442"/>
      <c r="BU456" s="442"/>
      <c r="BV456" s="442"/>
      <c r="BW456" s="442"/>
      <c r="BX456" s="442"/>
      <c r="BY456" s="442"/>
      <c r="BZ456" s="442"/>
      <c r="CA456" s="442"/>
      <c r="CB456" s="442"/>
      <c r="CC456" s="442"/>
      <c r="CD456" s="442"/>
      <c r="CE456" s="442"/>
      <c r="CF456" s="442"/>
      <c r="CG456" s="442"/>
      <c r="CH456" s="442"/>
      <c r="CI456" s="442"/>
    </row>
    <row r="457" spans="4:87" x14ac:dyDescent="0.2"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  <c r="AA457" s="442"/>
      <c r="AB457" s="442"/>
      <c r="AC457" s="442"/>
      <c r="AD457" s="442"/>
      <c r="AE457" s="442"/>
      <c r="AF457" s="442"/>
      <c r="AG457" s="442"/>
      <c r="AH457" s="442"/>
      <c r="AI457" s="442"/>
      <c r="AJ457" s="442"/>
      <c r="AK457" s="442"/>
      <c r="AL457" s="442"/>
      <c r="AM457" s="442"/>
      <c r="AN457" s="442"/>
      <c r="AO457" s="442"/>
      <c r="AP457" s="442"/>
      <c r="AQ457" s="442"/>
      <c r="AR457" s="442"/>
      <c r="AS457" s="442"/>
      <c r="AT457" s="442"/>
      <c r="AU457" s="442"/>
      <c r="AV457" s="442"/>
      <c r="AW457" s="442"/>
      <c r="AX457" s="442"/>
      <c r="AY457" s="442"/>
      <c r="AZ457" s="442"/>
      <c r="BA457" s="442"/>
      <c r="BB457" s="442"/>
      <c r="BC457" s="442"/>
      <c r="BD457" s="442"/>
      <c r="BE457" s="442"/>
      <c r="BF457" s="442"/>
      <c r="BG457" s="442"/>
      <c r="BH457" s="442"/>
      <c r="BI457" s="442"/>
      <c r="BJ457" s="442"/>
      <c r="BK457" s="442"/>
      <c r="BL457" s="442"/>
      <c r="BM457" s="442"/>
      <c r="BN457" s="442"/>
      <c r="BO457" s="442"/>
      <c r="BP457" s="442"/>
      <c r="BQ457" s="442"/>
      <c r="BR457" s="442"/>
      <c r="BS457" s="442"/>
      <c r="BT457" s="442"/>
      <c r="BU457" s="442"/>
      <c r="BV457" s="442"/>
      <c r="BW457" s="442"/>
      <c r="BX457" s="442"/>
      <c r="BY457" s="442"/>
      <c r="BZ457" s="442"/>
      <c r="CA457" s="442"/>
      <c r="CB457" s="442"/>
      <c r="CC457" s="442"/>
      <c r="CD457" s="442"/>
      <c r="CE457" s="442"/>
      <c r="CF457" s="442"/>
      <c r="CG457" s="442"/>
      <c r="CH457" s="442"/>
      <c r="CI457" s="442"/>
    </row>
    <row r="458" spans="4:87" x14ac:dyDescent="0.2"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  <c r="AA458" s="442"/>
      <c r="AB458" s="442"/>
      <c r="AC458" s="442"/>
      <c r="AD458" s="442"/>
      <c r="AE458" s="442"/>
      <c r="AF458" s="442"/>
      <c r="AG458" s="442"/>
      <c r="AH458" s="442"/>
      <c r="AI458" s="442"/>
      <c r="AJ458" s="442"/>
      <c r="AK458" s="442"/>
      <c r="AL458" s="442"/>
      <c r="AM458" s="442"/>
      <c r="AN458" s="442"/>
      <c r="AO458" s="442"/>
      <c r="AP458" s="442"/>
      <c r="AQ458" s="442"/>
      <c r="AR458" s="442"/>
      <c r="AS458" s="442"/>
      <c r="AT458" s="442"/>
      <c r="AU458" s="442"/>
      <c r="AV458" s="442"/>
      <c r="AW458" s="442"/>
      <c r="AX458" s="442"/>
      <c r="AY458" s="442"/>
      <c r="AZ458" s="442"/>
      <c r="BA458" s="442"/>
      <c r="BB458" s="442"/>
      <c r="BC458" s="442"/>
      <c r="BD458" s="442"/>
      <c r="BE458" s="442"/>
      <c r="BF458" s="442"/>
      <c r="BG458" s="442"/>
      <c r="BH458" s="442"/>
      <c r="BI458" s="442"/>
      <c r="BJ458" s="442"/>
      <c r="BK458" s="442"/>
      <c r="BL458" s="442"/>
      <c r="BM458" s="442"/>
      <c r="BN458" s="442"/>
      <c r="BO458" s="442"/>
      <c r="BP458" s="442"/>
      <c r="BQ458" s="442"/>
      <c r="BR458" s="442"/>
      <c r="BS458" s="442"/>
      <c r="BT458" s="442"/>
      <c r="BU458" s="442"/>
      <c r="BV458" s="442"/>
      <c r="BW458" s="442"/>
      <c r="BX458" s="442"/>
      <c r="BY458" s="442"/>
      <c r="BZ458" s="442"/>
      <c r="CA458" s="442"/>
      <c r="CB458" s="442"/>
      <c r="CC458" s="442"/>
      <c r="CD458" s="442"/>
      <c r="CE458" s="442"/>
      <c r="CF458" s="442"/>
      <c r="CG458" s="442"/>
      <c r="CH458" s="442"/>
      <c r="CI458" s="442"/>
    </row>
    <row r="459" spans="4:87" x14ac:dyDescent="0.2"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  <c r="AA459" s="442"/>
      <c r="AB459" s="442"/>
      <c r="AC459" s="442"/>
      <c r="AD459" s="442"/>
      <c r="AE459" s="442"/>
      <c r="AF459" s="442"/>
      <c r="AG459" s="442"/>
      <c r="AH459" s="442"/>
      <c r="AI459" s="442"/>
      <c r="AJ459" s="442"/>
      <c r="AK459" s="442"/>
      <c r="AL459" s="442"/>
      <c r="AM459" s="442"/>
      <c r="AN459" s="442"/>
      <c r="AO459" s="442"/>
      <c r="AP459" s="442"/>
      <c r="AQ459" s="442"/>
      <c r="AR459" s="442"/>
      <c r="AS459" s="442"/>
      <c r="AT459" s="442"/>
      <c r="AU459" s="442"/>
      <c r="AV459" s="442"/>
      <c r="AW459" s="442"/>
      <c r="AX459" s="442"/>
      <c r="AY459" s="442"/>
      <c r="AZ459" s="442"/>
      <c r="BA459" s="442"/>
      <c r="BB459" s="442"/>
      <c r="BC459" s="442"/>
      <c r="BD459" s="442"/>
      <c r="BE459" s="442"/>
      <c r="BF459" s="442"/>
      <c r="BG459" s="442"/>
      <c r="BH459" s="442"/>
      <c r="BI459" s="442"/>
      <c r="BJ459" s="442"/>
      <c r="BK459" s="442"/>
      <c r="BL459" s="442"/>
      <c r="BM459" s="442"/>
      <c r="BN459" s="442"/>
      <c r="BO459" s="442"/>
      <c r="BP459" s="442"/>
      <c r="BQ459" s="442"/>
      <c r="BR459" s="442"/>
      <c r="BS459" s="442"/>
      <c r="BT459" s="442"/>
      <c r="BU459" s="442"/>
      <c r="BV459" s="442"/>
      <c r="BW459" s="442"/>
      <c r="BX459" s="442"/>
      <c r="BY459" s="442"/>
      <c r="BZ459" s="442"/>
      <c r="CA459" s="442"/>
      <c r="CB459" s="442"/>
      <c r="CC459" s="442"/>
      <c r="CD459" s="442"/>
      <c r="CE459" s="442"/>
      <c r="CF459" s="442"/>
      <c r="CG459" s="442"/>
      <c r="CH459" s="442"/>
      <c r="CI459" s="442"/>
    </row>
    <row r="460" spans="4:87" x14ac:dyDescent="0.2"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  <c r="AA460" s="442"/>
      <c r="AB460" s="442"/>
      <c r="AC460" s="442"/>
      <c r="AD460" s="442"/>
      <c r="AE460" s="442"/>
      <c r="AF460" s="442"/>
      <c r="AG460" s="442"/>
      <c r="AH460" s="442"/>
      <c r="AI460" s="442"/>
      <c r="AJ460" s="442"/>
      <c r="AK460" s="442"/>
      <c r="AL460" s="442"/>
      <c r="AM460" s="442"/>
      <c r="AN460" s="442"/>
      <c r="AO460" s="442"/>
      <c r="AP460" s="442"/>
      <c r="AQ460" s="442"/>
      <c r="AR460" s="442"/>
      <c r="AS460" s="442"/>
      <c r="AT460" s="442"/>
      <c r="AU460" s="442"/>
      <c r="AV460" s="442"/>
      <c r="AW460" s="442"/>
      <c r="AX460" s="442"/>
      <c r="AY460" s="442"/>
      <c r="AZ460" s="442"/>
      <c r="BA460" s="442"/>
      <c r="BB460" s="442"/>
      <c r="BC460" s="442"/>
      <c r="BD460" s="442"/>
      <c r="BE460" s="442"/>
      <c r="BF460" s="442"/>
      <c r="BG460" s="442"/>
      <c r="BH460" s="442"/>
      <c r="BI460" s="442"/>
      <c r="BJ460" s="442"/>
      <c r="BK460" s="442"/>
      <c r="BL460" s="442"/>
      <c r="BM460" s="442"/>
      <c r="BN460" s="442"/>
      <c r="BO460" s="442"/>
      <c r="BP460" s="442"/>
      <c r="BQ460" s="442"/>
      <c r="BR460" s="442"/>
      <c r="BS460" s="442"/>
      <c r="BT460" s="442"/>
      <c r="BU460" s="442"/>
      <c r="BV460" s="442"/>
      <c r="BW460" s="442"/>
      <c r="BX460" s="442"/>
      <c r="BY460" s="442"/>
      <c r="BZ460" s="442"/>
      <c r="CA460" s="442"/>
      <c r="CB460" s="442"/>
      <c r="CC460" s="442"/>
      <c r="CD460" s="442"/>
      <c r="CE460" s="442"/>
      <c r="CF460" s="442"/>
      <c r="CG460" s="442"/>
      <c r="CH460" s="442"/>
      <c r="CI460" s="442"/>
    </row>
    <row r="461" spans="4:87" x14ac:dyDescent="0.2"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  <c r="AA461" s="442"/>
      <c r="AB461" s="442"/>
      <c r="AC461" s="442"/>
      <c r="AD461" s="442"/>
      <c r="AE461" s="442"/>
      <c r="AF461" s="442"/>
      <c r="AG461" s="442"/>
      <c r="AH461" s="442"/>
      <c r="AI461" s="442"/>
      <c r="AJ461" s="442"/>
      <c r="AK461" s="442"/>
      <c r="AL461" s="442"/>
      <c r="AM461" s="442"/>
      <c r="AN461" s="442"/>
      <c r="AO461" s="442"/>
      <c r="AP461" s="442"/>
      <c r="AQ461" s="442"/>
      <c r="AR461" s="442"/>
      <c r="AS461" s="442"/>
      <c r="AT461" s="442"/>
      <c r="AU461" s="442"/>
      <c r="AV461" s="442"/>
      <c r="AW461" s="442"/>
      <c r="AX461" s="442"/>
      <c r="AY461" s="442"/>
      <c r="AZ461" s="442"/>
      <c r="BA461" s="442"/>
      <c r="BB461" s="442"/>
      <c r="BC461" s="442"/>
      <c r="BD461" s="442"/>
      <c r="BE461" s="442"/>
      <c r="BF461" s="442"/>
      <c r="BG461" s="442"/>
      <c r="BH461" s="442"/>
      <c r="BI461" s="442"/>
      <c r="BJ461" s="442"/>
      <c r="BK461" s="442"/>
      <c r="BL461" s="442"/>
      <c r="BM461" s="442"/>
      <c r="BN461" s="442"/>
      <c r="BO461" s="442"/>
      <c r="BP461" s="442"/>
      <c r="BQ461" s="442"/>
      <c r="BR461" s="442"/>
      <c r="BS461" s="442"/>
      <c r="BT461" s="442"/>
      <c r="BU461" s="442"/>
      <c r="BV461" s="442"/>
      <c r="BW461" s="442"/>
      <c r="BX461" s="442"/>
      <c r="BY461" s="442"/>
      <c r="BZ461" s="442"/>
      <c r="CA461" s="442"/>
      <c r="CB461" s="442"/>
      <c r="CC461" s="442"/>
      <c r="CD461" s="442"/>
      <c r="CE461" s="442"/>
      <c r="CF461" s="442"/>
      <c r="CG461" s="442"/>
      <c r="CH461" s="442"/>
      <c r="CI461" s="442"/>
    </row>
    <row r="462" spans="4:87" x14ac:dyDescent="0.2"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  <c r="AA462" s="442"/>
      <c r="AB462" s="442"/>
      <c r="AC462" s="442"/>
      <c r="AD462" s="442"/>
      <c r="AE462" s="442"/>
      <c r="AF462" s="442"/>
      <c r="AG462" s="442"/>
      <c r="AH462" s="442"/>
      <c r="AI462" s="442"/>
      <c r="AJ462" s="442"/>
      <c r="AK462" s="442"/>
      <c r="AL462" s="442"/>
      <c r="AM462" s="442"/>
      <c r="AN462" s="442"/>
      <c r="AO462" s="442"/>
      <c r="AP462" s="442"/>
      <c r="AQ462" s="442"/>
      <c r="AR462" s="442"/>
      <c r="AS462" s="442"/>
      <c r="AT462" s="442"/>
      <c r="AU462" s="442"/>
      <c r="AV462" s="442"/>
      <c r="AW462" s="442"/>
      <c r="AX462" s="442"/>
      <c r="AY462" s="442"/>
      <c r="AZ462" s="442"/>
      <c r="BA462" s="442"/>
      <c r="BB462" s="442"/>
      <c r="BC462" s="442"/>
      <c r="BD462" s="442"/>
      <c r="BE462" s="442"/>
      <c r="BF462" s="442"/>
      <c r="BG462" s="442"/>
      <c r="BH462" s="442"/>
      <c r="BI462" s="442"/>
      <c r="BJ462" s="442"/>
      <c r="BK462" s="442"/>
      <c r="BL462" s="442"/>
      <c r="BM462" s="442"/>
      <c r="BN462" s="442"/>
      <c r="BO462" s="442"/>
      <c r="BP462" s="442"/>
      <c r="BQ462" s="442"/>
      <c r="BR462" s="442"/>
      <c r="BS462" s="442"/>
      <c r="BT462" s="442"/>
      <c r="BU462" s="442"/>
      <c r="BV462" s="442"/>
      <c r="BW462" s="442"/>
      <c r="BX462" s="442"/>
      <c r="BY462" s="442"/>
      <c r="BZ462" s="442"/>
      <c r="CA462" s="442"/>
      <c r="CB462" s="442"/>
      <c r="CC462" s="442"/>
      <c r="CD462" s="442"/>
      <c r="CE462" s="442"/>
      <c r="CF462" s="442"/>
      <c r="CG462" s="442"/>
      <c r="CH462" s="442"/>
      <c r="CI462" s="442"/>
    </row>
    <row r="463" spans="4:87" x14ac:dyDescent="0.2"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  <c r="AA463" s="442"/>
      <c r="AB463" s="442"/>
      <c r="AC463" s="442"/>
      <c r="AD463" s="442"/>
      <c r="AE463" s="442"/>
      <c r="AF463" s="442"/>
      <c r="AG463" s="442"/>
      <c r="AH463" s="442"/>
      <c r="AI463" s="442"/>
      <c r="AJ463" s="442"/>
      <c r="AK463" s="442"/>
      <c r="AL463" s="442"/>
      <c r="AM463" s="442"/>
      <c r="AN463" s="442"/>
      <c r="AO463" s="442"/>
      <c r="AP463" s="442"/>
      <c r="AQ463" s="442"/>
      <c r="AR463" s="442"/>
      <c r="AS463" s="442"/>
      <c r="AT463" s="442"/>
      <c r="AU463" s="442"/>
      <c r="AV463" s="442"/>
      <c r="AW463" s="442"/>
      <c r="AX463" s="442"/>
      <c r="AY463" s="442"/>
      <c r="AZ463" s="442"/>
      <c r="BA463" s="442"/>
      <c r="BB463" s="442"/>
      <c r="BC463" s="442"/>
      <c r="BD463" s="442"/>
      <c r="BE463" s="442"/>
      <c r="BF463" s="442"/>
      <c r="BG463" s="442"/>
      <c r="BH463" s="442"/>
      <c r="BI463" s="442"/>
      <c r="BJ463" s="442"/>
      <c r="BK463" s="442"/>
      <c r="BL463" s="442"/>
      <c r="BM463" s="442"/>
      <c r="BN463" s="442"/>
      <c r="BO463" s="442"/>
      <c r="BP463" s="442"/>
      <c r="BQ463" s="442"/>
      <c r="BR463" s="442"/>
      <c r="BS463" s="442"/>
      <c r="BT463" s="442"/>
      <c r="BU463" s="442"/>
      <c r="BV463" s="442"/>
      <c r="BW463" s="442"/>
      <c r="BX463" s="442"/>
      <c r="BY463" s="442"/>
      <c r="BZ463" s="442"/>
      <c r="CA463" s="442"/>
      <c r="CB463" s="442"/>
      <c r="CC463" s="442"/>
      <c r="CD463" s="442"/>
      <c r="CE463" s="442"/>
      <c r="CF463" s="442"/>
      <c r="CG463" s="442"/>
      <c r="CH463" s="442"/>
      <c r="CI463" s="442"/>
    </row>
    <row r="464" spans="4:87" x14ac:dyDescent="0.2"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  <c r="AA464" s="442"/>
      <c r="AB464" s="442"/>
      <c r="AC464" s="442"/>
      <c r="AD464" s="442"/>
      <c r="AE464" s="442"/>
      <c r="AF464" s="442"/>
      <c r="AG464" s="442"/>
      <c r="AH464" s="442"/>
      <c r="AI464" s="442"/>
      <c r="AJ464" s="442"/>
      <c r="AK464" s="442"/>
      <c r="AL464" s="442"/>
      <c r="AM464" s="442"/>
      <c r="AN464" s="442"/>
      <c r="AO464" s="442"/>
      <c r="AP464" s="442"/>
      <c r="AQ464" s="442"/>
      <c r="AR464" s="442"/>
      <c r="AS464" s="442"/>
      <c r="AT464" s="442"/>
      <c r="AU464" s="442"/>
      <c r="AV464" s="442"/>
      <c r="AW464" s="442"/>
      <c r="AX464" s="442"/>
      <c r="AY464" s="442"/>
      <c r="AZ464" s="442"/>
      <c r="BA464" s="442"/>
      <c r="BB464" s="442"/>
      <c r="BC464" s="442"/>
      <c r="BD464" s="442"/>
      <c r="BE464" s="442"/>
      <c r="BF464" s="442"/>
      <c r="BG464" s="442"/>
      <c r="BH464" s="442"/>
      <c r="BI464" s="442"/>
      <c r="BJ464" s="442"/>
      <c r="BK464" s="442"/>
      <c r="BL464" s="442"/>
      <c r="BM464" s="442"/>
      <c r="BN464" s="442"/>
      <c r="BO464" s="442"/>
      <c r="BP464" s="442"/>
      <c r="BQ464" s="442"/>
      <c r="BR464" s="442"/>
      <c r="BS464" s="442"/>
      <c r="BT464" s="442"/>
      <c r="BU464" s="442"/>
      <c r="BV464" s="442"/>
      <c r="BW464" s="442"/>
      <c r="BX464" s="442"/>
      <c r="BY464" s="442"/>
      <c r="BZ464" s="442"/>
      <c r="CA464" s="442"/>
      <c r="CB464" s="442"/>
      <c r="CC464" s="442"/>
      <c r="CD464" s="442"/>
      <c r="CE464" s="442"/>
      <c r="CF464" s="442"/>
      <c r="CG464" s="442"/>
      <c r="CH464" s="442"/>
      <c r="CI464" s="442"/>
    </row>
    <row r="465" spans="4:87" x14ac:dyDescent="0.2"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  <c r="AA465" s="442"/>
      <c r="AB465" s="442"/>
      <c r="AC465" s="442"/>
      <c r="AD465" s="442"/>
      <c r="AE465" s="442"/>
      <c r="AF465" s="442"/>
      <c r="AG465" s="442"/>
      <c r="AH465" s="442"/>
      <c r="AI465" s="442"/>
      <c r="AJ465" s="442"/>
      <c r="AK465" s="442"/>
      <c r="AL465" s="442"/>
      <c r="AM465" s="442"/>
      <c r="AN465" s="442"/>
      <c r="AO465" s="442"/>
      <c r="AP465" s="442"/>
      <c r="AQ465" s="442"/>
      <c r="AR465" s="442"/>
      <c r="AS465" s="442"/>
      <c r="AT465" s="442"/>
      <c r="AU465" s="442"/>
      <c r="AV465" s="442"/>
      <c r="AW465" s="442"/>
      <c r="AX465" s="442"/>
      <c r="AY465" s="442"/>
      <c r="AZ465" s="442"/>
      <c r="BA465" s="442"/>
      <c r="BB465" s="442"/>
      <c r="BC465" s="442"/>
      <c r="BD465" s="442"/>
      <c r="BE465" s="442"/>
      <c r="BF465" s="442"/>
      <c r="BG465" s="442"/>
      <c r="BH465" s="442"/>
      <c r="BI465" s="442"/>
      <c r="BJ465" s="442"/>
      <c r="BK465" s="442"/>
      <c r="BL465" s="442"/>
      <c r="BM465" s="442"/>
      <c r="BN465" s="442"/>
      <c r="BO465" s="442"/>
      <c r="BP465" s="442"/>
      <c r="BQ465" s="442"/>
      <c r="BR465" s="442"/>
      <c r="BS465" s="442"/>
      <c r="BT465" s="442"/>
      <c r="BU465" s="442"/>
      <c r="BV465" s="442"/>
      <c r="BW465" s="442"/>
      <c r="BX465" s="442"/>
      <c r="BY465" s="442"/>
      <c r="BZ465" s="442"/>
      <c r="CA465" s="442"/>
      <c r="CB465" s="442"/>
      <c r="CC465" s="442"/>
      <c r="CD465" s="442"/>
      <c r="CE465" s="442"/>
      <c r="CF465" s="442"/>
      <c r="CG465" s="442"/>
      <c r="CH465" s="442"/>
      <c r="CI465" s="442"/>
    </row>
    <row r="466" spans="4:87" x14ac:dyDescent="0.2">
      <c r="D466" s="442"/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  <c r="AA466" s="442"/>
      <c r="AB466" s="442"/>
      <c r="AC466" s="442"/>
      <c r="AD466" s="442"/>
      <c r="AE466" s="442"/>
      <c r="AF466" s="442"/>
      <c r="AG466" s="442"/>
      <c r="AH466" s="442"/>
      <c r="AI466" s="442"/>
      <c r="AJ466" s="442"/>
      <c r="AK466" s="442"/>
      <c r="AL466" s="442"/>
      <c r="AM466" s="442"/>
      <c r="AN466" s="442"/>
      <c r="AO466" s="442"/>
      <c r="AP466" s="442"/>
      <c r="AQ466" s="442"/>
      <c r="AR466" s="442"/>
      <c r="AS466" s="442"/>
      <c r="AT466" s="442"/>
      <c r="AU466" s="442"/>
      <c r="AV466" s="442"/>
      <c r="AW466" s="442"/>
      <c r="AX466" s="442"/>
      <c r="AY466" s="442"/>
      <c r="AZ466" s="442"/>
      <c r="BA466" s="442"/>
      <c r="BB466" s="442"/>
      <c r="BC466" s="442"/>
      <c r="BD466" s="442"/>
      <c r="BE466" s="442"/>
      <c r="BF466" s="442"/>
      <c r="BG466" s="442"/>
      <c r="BH466" s="442"/>
      <c r="BI466" s="442"/>
      <c r="BJ466" s="442"/>
      <c r="BK466" s="442"/>
      <c r="BL466" s="442"/>
      <c r="BM466" s="442"/>
      <c r="BN466" s="442"/>
      <c r="BO466" s="442"/>
      <c r="BP466" s="442"/>
      <c r="BQ466" s="442"/>
      <c r="BR466" s="442"/>
      <c r="BS466" s="442"/>
      <c r="BT466" s="442"/>
      <c r="BU466" s="442"/>
      <c r="BV466" s="442"/>
      <c r="BW466" s="442"/>
      <c r="BX466" s="442"/>
      <c r="BY466" s="442"/>
      <c r="BZ466" s="442"/>
      <c r="CA466" s="442"/>
      <c r="CB466" s="442"/>
      <c r="CC466" s="442"/>
      <c r="CD466" s="442"/>
      <c r="CE466" s="442"/>
      <c r="CF466" s="442"/>
      <c r="CG466" s="442"/>
      <c r="CH466" s="442"/>
      <c r="CI466" s="442"/>
    </row>
    <row r="467" spans="4:87" x14ac:dyDescent="0.2"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  <c r="AA467" s="442"/>
      <c r="AB467" s="442"/>
      <c r="AC467" s="442"/>
      <c r="AD467" s="442"/>
      <c r="AE467" s="442"/>
      <c r="AF467" s="442"/>
      <c r="AG467" s="442"/>
      <c r="AH467" s="442"/>
      <c r="AI467" s="442"/>
      <c r="AJ467" s="442"/>
      <c r="AK467" s="442"/>
      <c r="AL467" s="442"/>
      <c r="AM467" s="442"/>
      <c r="AN467" s="442"/>
      <c r="AO467" s="442"/>
      <c r="AP467" s="442"/>
      <c r="AQ467" s="442"/>
      <c r="AR467" s="442"/>
      <c r="AS467" s="442"/>
      <c r="AT467" s="442"/>
      <c r="AU467" s="442"/>
      <c r="AV467" s="442"/>
      <c r="AW467" s="442"/>
      <c r="AX467" s="442"/>
      <c r="AY467" s="442"/>
      <c r="AZ467" s="442"/>
      <c r="BA467" s="442"/>
      <c r="BB467" s="442"/>
      <c r="BC467" s="442"/>
      <c r="BD467" s="442"/>
      <c r="BE467" s="442"/>
      <c r="BF467" s="442"/>
      <c r="BG467" s="442"/>
      <c r="BH467" s="442"/>
      <c r="BI467" s="442"/>
      <c r="BJ467" s="442"/>
      <c r="BK467" s="442"/>
      <c r="BL467" s="442"/>
      <c r="BM467" s="442"/>
      <c r="BN467" s="442"/>
      <c r="BO467" s="442"/>
      <c r="BP467" s="442"/>
      <c r="BQ467" s="442"/>
      <c r="BR467" s="442"/>
      <c r="BS467" s="442"/>
      <c r="BT467" s="442"/>
      <c r="BU467" s="442"/>
      <c r="BV467" s="442"/>
      <c r="BW467" s="442"/>
      <c r="BX467" s="442"/>
      <c r="BY467" s="442"/>
      <c r="BZ467" s="442"/>
      <c r="CA467" s="442"/>
      <c r="CB467" s="442"/>
      <c r="CC467" s="442"/>
      <c r="CD467" s="442"/>
      <c r="CE467" s="442"/>
      <c r="CF467" s="442"/>
      <c r="CG467" s="442"/>
      <c r="CH467" s="442"/>
      <c r="CI467" s="442"/>
    </row>
    <row r="468" spans="4:87" x14ac:dyDescent="0.2">
      <c r="D468" s="442"/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  <c r="AA468" s="442"/>
      <c r="AB468" s="442"/>
      <c r="AC468" s="442"/>
      <c r="AD468" s="442"/>
      <c r="AE468" s="442"/>
      <c r="AF468" s="442"/>
      <c r="AG468" s="442"/>
      <c r="AH468" s="442"/>
      <c r="AI468" s="442"/>
      <c r="AJ468" s="442"/>
      <c r="AK468" s="442"/>
      <c r="AL468" s="442"/>
      <c r="AM468" s="442"/>
      <c r="AN468" s="442"/>
      <c r="AO468" s="442"/>
      <c r="AP468" s="442"/>
      <c r="AQ468" s="442"/>
      <c r="AR468" s="442"/>
      <c r="AS468" s="442"/>
      <c r="AT468" s="442"/>
      <c r="AU468" s="442"/>
      <c r="AV468" s="442"/>
      <c r="AW468" s="442"/>
      <c r="AX468" s="442"/>
      <c r="AY468" s="442"/>
      <c r="AZ468" s="442"/>
      <c r="BA468" s="442"/>
      <c r="BB468" s="442"/>
      <c r="BC468" s="442"/>
      <c r="BD468" s="442"/>
      <c r="BE468" s="442"/>
      <c r="BF468" s="442"/>
      <c r="BG468" s="442"/>
      <c r="BH468" s="442"/>
      <c r="BI468" s="442"/>
      <c r="BJ468" s="442"/>
      <c r="BK468" s="442"/>
      <c r="BL468" s="442"/>
      <c r="BM468" s="442"/>
      <c r="BN468" s="442"/>
      <c r="BO468" s="442"/>
      <c r="BP468" s="442"/>
      <c r="BQ468" s="442"/>
      <c r="BR468" s="442"/>
      <c r="BS468" s="442"/>
      <c r="BT468" s="442"/>
      <c r="BU468" s="442"/>
      <c r="BV468" s="442"/>
      <c r="BW468" s="442"/>
      <c r="BX468" s="442"/>
      <c r="BY468" s="442"/>
      <c r="BZ468" s="442"/>
      <c r="CA468" s="442"/>
      <c r="CB468" s="442"/>
      <c r="CC468" s="442"/>
      <c r="CD468" s="442"/>
      <c r="CE468" s="442"/>
      <c r="CF468" s="442"/>
      <c r="CG468" s="442"/>
      <c r="CH468" s="442"/>
      <c r="CI468" s="442"/>
    </row>
    <row r="469" spans="4:87" x14ac:dyDescent="0.2"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  <c r="AA469" s="442"/>
      <c r="AB469" s="442"/>
      <c r="AC469" s="442"/>
      <c r="AD469" s="442"/>
      <c r="AE469" s="442"/>
      <c r="AF469" s="442"/>
      <c r="AG469" s="442"/>
      <c r="AH469" s="442"/>
      <c r="AI469" s="442"/>
      <c r="AJ469" s="442"/>
      <c r="AK469" s="442"/>
      <c r="AL469" s="442"/>
      <c r="AM469" s="442"/>
      <c r="AN469" s="442"/>
      <c r="AO469" s="442"/>
      <c r="AP469" s="442"/>
      <c r="AQ469" s="442"/>
      <c r="AR469" s="442"/>
      <c r="AS469" s="442"/>
      <c r="AT469" s="442"/>
      <c r="AU469" s="442"/>
      <c r="AV469" s="442"/>
      <c r="AW469" s="442"/>
      <c r="AX469" s="442"/>
      <c r="AY469" s="442"/>
      <c r="AZ469" s="442"/>
      <c r="BA469" s="442"/>
      <c r="BB469" s="442"/>
      <c r="BC469" s="442"/>
      <c r="BD469" s="442"/>
      <c r="BE469" s="442"/>
      <c r="BF469" s="442"/>
      <c r="BG469" s="442"/>
      <c r="BH469" s="442"/>
      <c r="BI469" s="442"/>
      <c r="BJ469" s="442"/>
      <c r="BK469" s="442"/>
      <c r="BL469" s="442"/>
      <c r="BM469" s="442"/>
      <c r="BN469" s="442"/>
      <c r="BO469" s="442"/>
      <c r="BP469" s="442"/>
      <c r="BQ469" s="442"/>
      <c r="BR469" s="442"/>
      <c r="BS469" s="442"/>
      <c r="BT469" s="442"/>
      <c r="BU469" s="442"/>
      <c r="BV469" s="442"/>
      <c r="BW469" s="442"/>
      <c r="BX469" s="442"/>
      <c r="BY469" s="442"/>
      <c r="BZ469" s="442"/>
      <c r="CA469" s="442"/>
      <c r="CB469" s="442"/>
      <c r="CC469" s="442"/>
      <c r="CD469" s="442"/>
      <c r="CE469" s="442"/>
      <c r="CF469" s="442"/>
      <c r="CG469" s="442"/>
      <c r="CH469" s="442"/>
      <c r="CI469" s="442"/>
    </row>
    <row r="470" spans="4:87" x14ac:dyDescent="0.2"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  <c r="AA470" s="442"/>
      <c r="AB470" s="442"/>
      <c r="AC470" s="442"/>
      <c r="AD470" s="442"/>
      <c r="AE470" s="442"/>
      <c r="AF470" s="442"/>
      <c r="AG470" s="442"/>
      <c r="AH470" s="442"/>
      <c r="AI470" s="442"/>
      <c r="AJ470" s="442"/>
      <c r="AK470" s="442"/>
      <c r="AL470" s="442"/>
      <c r="AM470" s="442"/>
      <c r="AN470" s="442"/>
      <c r="AO470" s="442"/>
      <c r="AP470" s="442"/>
      <c r="AQ470" s="442"/>
      <c r="AR470" s="442"/>
      <c r="AS470" s="442"/>
      <c r="AT470" s="442"/>
      <c r="AU470" s="442"/>
      <c r="AV470" s="442"/>
      <c r="AW470" s="442"/>
      <c r="AX470" s="442"/>
      <c r="AY470" s="442"/>
      <c r="AZ470" s="442"/>
      <c r="BA470" s="442"/>
      <c r="BB470" s="442"/>
      <c r="BC470" s="442"/>
      <c r="BD470" s="442"/>
      <c r="BE470" s="442"/>
      <c r="BF470" s="442"/>
      <c r="BG470" s="442"/>
      <c r="BH470" s="442"/>
      <c r="BI470" s="442"/>
      <c r="BJ470" s="442"/>
      <c r="BK470" s="442"/>
      <c r="BL470" s="442"/>
      <c r="BM470" s="442"/>
      <c r="BN470" s="442"/>
      <c r="BO470" s="442"/>
      <c r="BP470" s="442"/>
      <c r="BQ470" s="442"/>
      <c r="BR470" s="442"/>
      <c r="BS470" s="442"/>
      <c r="BT470" s="442"/>
      <c r="BU470" s="442"/>
      <c r="BV470" s="442"/>
      <c r="BW470" s="442"/>
      <c r="BX470" s="442"/>
      <c r="BY470" s="442"/>
      <c r="BZ470" s="442"/>
      <c r="CA470" s="442"/>
      <c r="CB470" s="442"/>
      <c r="CC470" s="442"/>
      <c r="CD470" s="442"/>
      <c r="CE470" s="442"/>
      <c r="CF470" s="442"/>
      <c r="CG470" s="442"/>
      <c r="CH470" s="442"/>
      <c r="CI470" s="442"/>
    </row>
    <row r="471" spans="4:87" x14ac:dyDescent="0.2">
      <c r="D471" s="442"/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  <c r="AA471" s="442"/>
      <c r="AB471" s="442"/>
      <c r="AC471" s="442"/>
      <c r="AD471" s="442"/>
      <c r="AE471" s="442"/>
      <c r="AF471" s="442"/>
      <c r="AG471" s="442"/>
      <c r="AH471" s="442"/>
      <c r="AI471" s="442"/>
      <c r="AJ471" s="442"/>
      <c r="AK471" s="442"/>
      <c r="AL471" s="442"/>
      <c r="AM471" s="442"/>
      <c r="AN471" s="442"/>
      <c r="AO471" s="442"/>
      <c r="AP471" s="442"/>
      <c r="AQ471" s="442"/>
      <c r="AR471" s="442"/>
      <c r="AS471" s="442"/>
      <c r="AT471" s="442"/>
      <c r="AU471" s="442"/>
      <c r="AV471" s="442"/>
      <c r="AW471" s="442"/>
      <c r="AX471" s="442"/>
      <c r="AY471" s="442"/>
      <c r="AZ471" s="442"/>
      <c r="BA471" s="442"/>
      <c r="BB471" s="442"/>
      <c r="BC471" s="442"/>
      <c r="BD471" s="442"/>
      <c r="BE471" s="442"/>
      <c r="BF471" s="442"/>
      <c r="BG471" s="442"/>
      <c r="BH471" s="442"/>
      <c r="BI471" s="442"/>
      <c r="BJ471" s="442"/>
      <c r="BK471" s="442"/>
      <c r="BL471" s="442"/>
      <c r="BM471" s="442"/>
      <c r="BN471" s="442"/>
      <c r="BO471" s="442"/>
      <c r="BP471" s="442"/>
      <c r="BQ471" s="442"/>
      <c r="BR471" s="442"/>
      <c r="BS471" s="442"/>
      <c r="BT471" s="442"/>
      <c r="BU471" s="442"/>
      <c r="BV471" s="442"/>
      <c r="BW471" s="442"/>
      <c r="BX471" s="442"/>
      <c r="BY471" s="442"/>
      <c r="BZ471" s="442"/>
      <c r="CA471" s="442"/>
      <c r="CB471" s="442"/>
      <c r="CC471" s="442"/>
      <c r="CD471" s="442"/>
      <c r="CE471" s="442"/>
      <c r="CF471" s="442"/>
      <c r="CG471" s="442"/>
      <c r="CH471" s="442"/>
      <c r="CI471" s="442"/>
    </row>
    <row r="472" spans="4:87" x14ac:dyDescent="0.2"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  <c r="AA472" s="442"/>
      <c r="AB472" s="442"/>
      <c r="AC472" s="442"/>
      <c r="AD472" s="442"/>
      <c r="AE472" s="442"/>
      <c r="AF472" s="442"/>
      <c r="AG472" s="442"/>
      <c r="AH472" s="442"/>
      <c r="AI472" s="442"/>
      <c r="AJ472" s="442"/>
      <c r="AK472" s="442"/>
      <c r="AL472" s="442"/>
      <c r="AM472" s="442"/>
      <c r="AN472" s="442"/>
      <c r="AO472" s="442"/>
      <c r="AP472" s="442"/>
      <c r="AQ472" s="442"/>
      <c r="AR472" s="442"/>
      <c r="AS472" s="442"/>
      <c r="AT472" s="442"/>
      <c r="AU472" s="442"/>
      <c r="AV472" s="442"/>
      <c r="AW472" s="442"/>
      <c r="AX472" s="442"/>
      <c r="AY472" s="442"/>
      <c r="AZ472" s="442"/>
      <c r="BA472" s="442"/>
      <c r="BB472" s="442"/>
      <c r="BC472" s="442"/>
      <c r="BD472" s="442"/>
      <c r="BE472" s="442"/>
      <c r="BF472" s="442"/>
      <c r="BG472" s="442"/>
      <c r="BH472" s="442"/>
      <c r="BI472" s="442"/>
      <c r="BJ472" s="442"/>
      <c r="BK472" s="442"/>
      <c r="BL472" s="442"/>
      <c r="BM472" s="442"/>
      <c r="BN472" s="442"/>
      <c r="BO472" s="442"/>
      <c r="BP472" s="442"/>
      <c r="BQ472" s="442"/>
      <c r="BR472" s="442"/>
      <c r="BS472" s="442"/>
      <c r="BT472" s="442"/>
      <c r="BU472" s="442"/>
      <c r="BV472" s="442"/>
      <c r="BW472" s="442"/>
      <c r="BX472" s="442"/>
      <c r="BY472" s="442"/>
      <c r="BZ472" s="442"/>
      <c r="CA472" s="442"/>
      <c r="CB472" s="442"/>
      <c r="CC472" s="442"/>
      <c r="CD472" s="442"/>
      <c r="CE472" s="442"/>
      <c r="CF472" s="442"/>
      <c r="CG472" s="442"/>
      <c r="CH472" s="442"/>
      <c r="CI472" s="442"/>
    </row>
    <row r="473" spans="4:87" x14ac:dyDescent="0.2">
      <c r="D473" s="442"/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  <c r="AA473" s="442"/>
      <c r="AB473" s="442"/>
      <c r="AC473" s="442"/>
      <c r="AD473" s="442"/>
      <c r="AE473" s="442"/>
      <c r="AF473" s="442"/>
      <c r="AG473" s="442"/>
      <c r="AH473" s="442"/>
      <c r="AI473" s="442"/>
      <c r="AJ473" s="442"/>
      <c r="AK473" s="442"/>
      <c r="AL473" s="442"/>
      <c r="AM473" s="442"/>
      <c r="AN473" s="442"/>
      <c r="AO473" s="442"/>
      <c r="AP473" s="442"/>
      <c r="AQ473" s="442"/>
      <c r="AR473" s="442"/>
      <c r="AS473" s="442"/>
      <c r="AT473" s="442"/>
      <c r="AU473" s="442"/>
      <c r="AV473" s="442"/>
      <c r="AW473" s="442"/>
      <c r="AX473" s="442"/>
      <c r="AY473" s="442"/>
      <c r="AZ473" s="442"/>
      <c r="BA473" s="442"/>
      <c r="BB473" s="442"/>
      <c r="BC473" s="442"/>
      <c r="BD473" s="442"/>
      <c r="BE473" s="442"/>
      <c r="BF473" s="442"/>
      <c r="BG473" s="442"/>
      <c r="BH473" s="442"/>
      <c r="BI473" s="442"/>
      <c r="BJ473" s="442"/>
      <c r="BK473" s="442"/>
      <c r="BL473" s="442"/>
      <c r="BM473" s="442"/>
      <c r="BN473" s="442"/>
      <c r="BO473" s="442"/>
      <c r="BP473" s="442"/>
      <c r="BQ473" s="442"/>
      <c r="BR473" s="442"/>
      <c r="BS473" s="442"/>
      <c r="BT473" s="442"/>
      <c r="BU473" s="442"/>
      <c r="BV473" s="442"/>
      <c r="BW473" s="442"/>
      <c r="BX473" s="442"/>
      <c r="BY473" s="442"/>
      <c r="BZ473" s="442"/>
      <c r="CA473" s="442"/>
      <c r="CB473" s="442"/>
      <c r="CC473" s="442"/>
      <c r="CD473" s="442"/>
      <c r="CE473" s="442"/>
      <c r="CF473" s="442"/>
      <c r="CG473" s="442"/>
      <c r="CH473" s="442"/>
      <c r="CI473" s="442"/>
    </row>
    <row r="474" spans="4:87" x14ac:dyDescent="0.2">
      <c r="D474" s="442"/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  <c r="AA474" s="442"/>
      <c r="AB474" s="442"/>
      <c r="AC474" s="442"/>
      <c r="AD474" s="442"/>
      <c r="AE474" s="442"/>
      <c r="AF474" s="442"/>
      <c r="AG474" s="442"/>
      <c r="AH474" s="442"/>
      <c r="AI474" s="442"/>
      <c r="AJ474" s="442"/>
      <c r="AK474" s="442"/>
      <c r="AL474" s="442"/>
      <c r="AM474" s="442"/>
      <c r="AN474" s="442"/>
      <c r="AO474" s="442"/>
      <c r="AP474" s="442"/>
      <c r="AQ474" s="442"/>
      <c r="AR474" s="442"/>
      <c r="AS474" s="442"/>
      <c r="AT474" s="442"/>
      <c r="AU474" s="442"/>
      <c r="AV474" s="442"/>
      <c r="AW474" s="442"/>
      <c r="AX474" s="442"/>
      <c r="AY474" s="442"/>
      <c r="AZ474" s="442"/>
      <c r="BA474" s="442"/>
      <c r="BB474" s="442"/>
      <c r="BC474" s="442"/>
      <c r="BD474" s="442"/>
      <c r="BE474" s="442"/>
      <c r="BF474" s="442"/>
      <c r="BG474" s="442"/>
      <c r="BH474" s="442"/>
      <c r="BI474" s="442"/>
      <c r="BJ474" s="442"/>
      <c r="BK474" s="442"/>
      <c r="BL474" s="442"/>
      <c r="BM474" s="442"/>
      <c r="BN474" s="442"/>
      <c r="BO474" s="442"/>
      <c r="BP474" s="442"/>
      <c r="BQ474" s="442"/>
      <c r="BR474" s="442"/>
      <c r="BS474" s="442"/>
      <c r="BT474" s="442"/>
      <c r="BU474" s="442"/>
      <c r="BV474" s="442"/>
      <c r="BW474" s="442"/>
      <c r="BX474" s="442"/>
      <c r="BY474" s="442"/>
      <c r="BZ474" s="442"/>
      <c r="CA474" s="442"/>
      <c r="CB474" s="442"/>
      <c r="CC474" s="442"/>
      <c r="CD474" s="442"/>
      <c r="CE474" s="442"/>
      <c r="CF474" s="442"/>
      <c r="CG474" s="442"/>
      <c r="CH474" s="442"/>
      <c r="CI474" s="442"/>
    </row>
    <row r="475" spans="4:87" x14ac:dyDescent="0.2">
      <c r="D475" s="442"/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  <c r="AA475" s="442"/>
      <c r="AB475" s="442"/>
      <c r="AC475" s="442"/>
      <c r="AD475" s="442"/>
      <c r="AE475" s="442"/>
      <c r="AF475" s="442"/>
      <c r="AG475" s="442"/>
      <c r="AH475" s="442"/>
      <c r="AI475" s="442"/>
      <c r="AJ475" s="442"/>
      <c r="AK475" s="442"/>
      <c r="AL475" s="442"/>
      <c r="AM475" s="442"/>
      <c r="AN475" s="442"/>
      <c r="AO475" s="442"/>
      <c r="AP475" s="442"/>
      <c r="AQ475" s="442"/>
      <c r="AR475" s="442"/>
      <c r="AS475" s="442"/>
      <c r="AT475" s="442"/>
      <c r="AU475" s="442"/>
      <c r="AV475" s="442"/>
      <c r="AW475" s="442"/>
      <c r="AX475" s="442"/>
      <c r="AY475" s="442"/>
      <c r="AZ475" s="442"/>
      <c r="BA475" s="442"/>
      <c r="BB475" s="442"/>
      <c r="BC475" s="442"/>
      <c r="BD475" s="442"/>
      <c r="BE475" s="442"/>
      <c r="BF475" s="442"/>
      <c r="BG475" s="442"/>
      <c r="BH475" s="442"/>
      <c r="BI475" s="442"/>
      <c r="BJ475" s="442"/>
      <c r="BK475" s="442"/>
      <c r="BL475" s="442"/>
      <c r="BM475" s="442"/>
      <c r="BN475" s="442"/>
      <c r="BO475" s="442"/>
      <c r="BP475" s="442"/>
      <c r="BQ475" s="442"/>
      <c r="BR475" s="442"/>
      <c r="BS475" s="442"/>
      <c r="BT475" s="442"/>
      <c r="BU475" s="442"/>
      <c r="BV475" s="442"/>
      <c r="BW475" s="442"/>
      <c r="BX475" s="442"/>
      <c r="BY475" s="442"/>
      <c r="BZ475" s="442"/>
      <c r="CA475" s="442"/>
      <c r="CB475" s="442"/>
      <c r="CC475" s="442"/>
      <c r="CD475" s="442"/>
      <c r="CE475" s="442"/>
      <c r="CF475" s="442"/>
      <c r="CG475" s="442"/>
      <c r="CH475" s="442"/>
      <c r="CI475" s="442"/>
    </row>
    <row r="476" spans="4:87" x14ac:dyDescent="0.2"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  <c r="AA476" s="442"/>
      <c r="AB476" s="442"/>
      <c r="AC476" s="442"/>
      <c r="AD476" s="442"/>
      <c r="AE476" s="442"/>
      <c r="AF476" s="442"/>
      <c r="AG476" s="442"/>
      <c r="AH476" s="442"/>
      <c r="AI476" s="442"/>
      <c r="AJ476" s="442"/>
      <c r="AK476" s="442"/>
      <c r="AL476" s="442"/>
      <c r="AM476" s="442"/>
      <c r="AN476" s="442"/>
      <c r="AO476" s="442"/>
      <c r="AP476" s="442"/>
      <c r="AQ476" s="442"/>
      <c r="AR476" s="442"/>
      <c r="AS476" s="442"/>
      <c r="AT476" s="442"/>
      <c r="AU476" s="442"/>
      <c r="AV476" s="442"/>
      <c r="AW476" s="442"/>
      <c r="AX476" s="442"/>
      <c r="AY476" s="442"/>
      <c r="AZ476" s="442"/>
      <c r="BA476" s="442"/>
      <c r="BB476" s="442"/>
      <c r="BC476" s="442"/>
      <c r="BD476" s="442"/>
      <c r="BE476" s="442"/>
      <c r="BF476" s="442"/>
      <c r="BG476" s="442"/>
      <c r="BH476" s="442"/>
      <c r="BI476" s="442"/>
      <c r="BJ476" s="442"/>
      <c r="BK476" s="442"/>
      <c r="BL476" s="442"/>
      <c r="BM476" s="442"/>
      <c r="BN476" s="442"/>
      <c r="BO476" s="442"/>
      <c r="BP476" s="442"/>
      <c r="BQ476" s="442"/>
      <c r="BR476" s="442"/>
      <c r="BS476" s="442"/>
      <c r="BT476" s="442"/>
      <c r="BU476" s="442"/>
      <c r="BV476" s="442"/>
      <c r="BW476" s="442"/>
      <c r="BX476" s="442"/>
      <c r="BY476" s="442"/>
      <c r="BZ476" s="442"/>
      <c r="CA476" s="442"/>
      <c r="CB476" s="442"/>
      <c r="CC476" s="442"/>
      <c r="CD476" s="442"/>
      <c r="CE476" s="442"/>
      <c r="CF476" s="442"/>
      <c r="CG476" s="442"/>
      <c r="CH476" s="442"/>
      <c r="CI476" s="442"/>
    </row>
    <row r="477" spans="4:87" x14ac:dyDescent="0.2">
      <c r="D477" s="442"/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  <c r="AA477" s="442"/>
      <c r="AB477" s="442"/>
      <c r="AC477" s="442"/>
      <c r="AD477" s="442"/>
      <c r="AE477" s="442"/>
      <c r="AF477" s="442"/>
      <c r="AG477" s="442"/>
      <c r="AH477" s="442"/>
      <c r="AI477" s="442"/>
      <c r="AJ477" s="442"/>
      <c r="AK477" s="442"/>
      <c r="AL477" s="442"/>
      <c r="AM477" s="442"/>
      <c r="AN477" s="442"/>
      <c r="AO477" s="442"/>
      <c r="AP477" s="442"/>
      <c r="AQ477" s="442"/>
      <c r="AR477" s="442"/>
      <c r="AS477" s="442"/>
      <c r="AT477" s="442"/>
      <c r="AU477" s="442"/>
      <c r="AV477" s="442"/>
      <c r="AW477" s="442"/>
      <c r="AX477" s="442"/>
      <c r="AY477" s="442"/>
      <c r="AZ477" s="442"/>
      <c r="BA477" s="442"/>
      <c r="BB477" s="442"/>
      <c r="BC477" s="442"/>
      <c r="BD477" s="442"/>
      <c r="BE477" s="442"/>
      <c r="BF477" s="442"/>
      <c r="BG477" s="442"/>
      <c r="BH477" s="442"/>
      <c r="BI477" s="442"/>
      <c r="BJ477" s="442"/>
      <c r="BK477" s="442"/>
      <c r="BL477" s="442"/>
      <c r="BM477" s="442"/>
      <c r="BN477" s="442"/>
      <c r="BO477" s="442"/>
      <c r="BP477" s="442"/>
      <c r="BQ477" s="442"/>
      <c r="BR477" s="442"/>
      <c r="BS477" s="442"/>
      <c r="BT477" s="442"/>
      <c r="BU477" s="442"/>
      <c r="BV477" s="442"/>
      <c r="BW477" s="442"/>
      <c r="BX477" s="442"/>
      <c r="BY477" s="442"/>
      <c r="BZ477" s="442"/>
      <c r="CA477" s="442"/>
      <c r="CB477" s="442"/>
      <c r="CC477" s="442"/>
      <c r="CD477" s="442"/>
      <c r="CE477" s="442"/>
      <c r="CF477" s="442"/>
      <c r="CG477" s="442"/>
      <c r="CH477" s="442"/>
      <c r="CI477" s="442"/>
    </row>
    <row r="478" spans="4:87" x14ac:dyDescent="0.2">
      <c r="D478" s="442"/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  <c r="AA478" s="442"/>
      <c r="AB478" s="442"/>
      <c r="AC478" s="442"/>
      <c r="AD478" s="442"/>
      <c r="AE478" s="442"/>
      <c r="AF478" s="442"/>
      <c r="AG478" s="442"/>
      <c r="AH478" s="442"/>
      <c r="AI478" s="442"/>
      <c r="AJ478" s="442"/>
      <c r="AK478" s="442"/>
      <c r="AL478" s="442"/>
      <c r="AM478" s="442"/>
      <c r="AN478" s="442"/>
      <c r="AO478" s="442"/>
      <c r="AP478" s="442"/>
      <c r="AQ478" s="442"/>
      <c r="AR478" s="442"/>
      <c r="AS478" s="442"/>
      <c r="AT478" s="442"/>
      <c r="AU478" s="442"/>
      <c r="AV478" s="442"/>
      <c r="AW478" s="442"/>
      <c r="AX478" s="442"/>
      <c r="AY478" s="442"/>
      <c r="AZ478" s="442"/>
      <c r="BA478" s="442"/>
      <c r="BB478" s="442"/>
      <c r="BC478" s="442"/>
      <c r="BD478" s="442"/>
      <c r="BE478" s="442"/>
      <c r="BF478" s="442"/>
      <c r="BG478" s="442"/>
      <c r="BH478" s="442"/>
      <c r="BI478" s="442"/>
      <c r="BJ478" s="442"/>
      <c r="BK478" s="442"/>
      <c r="BL478" s="442"/>
      <c r="BM478" s="442"/>
      <c r="BN478" s="442"/>
      <c r="BO478" s="442"/>
      <c r="BP478" s="442"/>
      <c r="BQ478" s="442"/>
      <c r="BR478" s="442"/>
      <c r="BS478" s="442"/>
      <c r="BT478" s="442"/>
      <c r="BU478" s="442"/>
      <c r="BV478" s="442"/>
      <c r="BW478" s="442"/>
      <c r="BX478" s="442"/>
      <c r="BY478" s="442"/>
      <c r="BZ478" s="442"/>
      <c r="CA478" s="442"/>
      <c r="CB478" s="442"/>
      <c r="CC478" s="442"/>
      <c r="CD478" s="442"/>
      <c r="CE478" s="442"/>
      <c r="CF478" s="442"/>
      <c r="CG478" s="442"/>
      <c r="CH478" s="442"/>
      <c r="CI478" s="442"/>
    </row>
    <row r="479" spans="4:87" x14ac:dyDescent="0.2"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  <c r="AA479" s="442"/>
      <c r="AB479" s="442"/>
      <c r="AC479" s="442"/>
      <c r="AD479" s="442"/>
      <c r="AE479" s="442"/>
      <c r="AF479" s="442"/>
      <c r="AG479" s="442"/>
      <c r="AH479" s="442"/>
      <c r="AI479" s="442"/>
      <c r="AJ479" s="442"/>
      <c r="AK479" s="442"/>
      <c r="AL479" s="442"/>
      <c r="AM479" s="442"/>
      <c r="AN479" s="442"/>
      <c r="AO479" s="442"/>
      <c r="AP479" s="442"/>
      <c r="AQ479" s="442"/>
      <c r="AR479" s="442"/>
      <c r="AS479" s="442"/>
      <c r="AT479" s="442"/>
      <c r="AU479" s="442"/>
      <c r="AV479" s="442"/>
      <c r="AW479" s="442"/>
      <c r="AX479" s="442"/>
      <c r="AY479" s="442"/>
      <c r="AZ479" s="442"/>
      <c r="BA479" s="442"/>
      <c r="BB479" s="442"/>
      <c r="BC479" s="442"/>
      <c r="BD479" s="442"/>
      <c r="BE479" s="442"/>
      <c r="BF479" s="442"/>
      <c r="BG479" s="442"/>
      <c r="BH479" s="442"/>
      <c r="BI479" s="442"/>
      <c r="BJ479" s="442"/>
      <c r="BK479" s="442"/>
      <c r="BL479" s="442"/>
      <c r="BM479" s="442"/>
      <c r="BN479" s="442"/>
      <c r="BO479" s="442"/>
      <c r="BP479" s="442"/>
      <c r="BQ479" s="442"/>
      <c r="BR479" s="442"/>
      <c r="BS479" s="442"/>
      <c r="BT479" s="442"/>
      <c r="BU479" s="442"/>
      <c r="BV479" s="442"/>
      <c r="BW479" s="442"/>
      <c r="BX479" s="442"/>
      <c r="BY479" s="442"/>
      <c r="BZ479" s="442"/>
      <c r="CA479" s="442"/>
      <c r="CB479" s="442"/>
      <c r="CC479" s="442"/>
      <c r="CD479" s="442"/>
      <c r="CE479" s="442"/>
      <c r="CF479" s="442"/>
      <c r="CG479" s="442"/>
      <c r="CH479" s="442"/>
      <c r="CI479" s="442"/>
    </row>
    <row r="480" spans="4:87" x14ac:dyDescent="0.2">
      <c r="D480" s="442"/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  <c r="AA480" s="442"/>
      <c r="AB480" s="442"/>
      <c r="AC480" s="442"/>
      <c r="AD480" s="442"/>
      <c r="AE480" s="442"/>
      <c r="AF480" s="442"/>
      <c r="AG480" s="442"/>
      <c r="AH480" s="442"/>
      <c r="AI480" s="442"/>
      <c r="AJ480" s="442"/>
      <c r="AK480" s="442"/>
      <c r="AL480" s="442"/>
      <c r="AM480" s="442"/>
      <c r="AN480" s="442"/>
      <c r="AO480" s="442"/>
      <c r="AP480" s="442"/>
      <c r="AQ480" s="442"/>
      <c r="AR480" s="442"/>
      <c r="AS480" s="442"/>
      <c r="AT480" s="442"/>
      <c r="AU480" s="442"/>
      <c r="AV480" s="442"/>
      <c r="AW480" s="442"/>
      <c r="AX480" s="442"/>
      <c r="AY480" s="442"/>
      <c r="AZ480" s="442"/>
      <c r="BA480" s="442"/>
      <c r="BB480" s="442"/>
      <c r="BC480" s="442"/>
      <c r="BD480" s="442"/>
      <c r="BE480" s="442"/>
      <c r="BF480" s="442"/>
      <c r="BG480" s="442"/>
      <c r="BH480" s="442"/>
      <c r="BI480" s="442"/>
      <c r="BJ480" s="442"/>
      <c r="BK480" s="442"/>
      <c r="BL480" s="442"/>
      <c r="BM480" s="442"/>
      <c r="BN480" s="442"/>
      <c r="BO480" s="442"/>
      <c r="BP480" s="442"/>
      <c r="BQ480" s="442"/>
      <c r="BR480" s="442"/>
      <c r="BS480" s="442"/>
      <c r="BT480" s="442"/>
      <c r="BU480" s="442"/>
      <c r="BV480" s="442"/>
      <c r="BW480" s="442"/>
      <c r="BX480" s="442"/>
      <c r="BY480" s="442"/>
      <c r="BZ480" s="442"/>
      <c r="CA480" s="442"/>
      <c r="CB480" s="442"/>
      <c r="CC480" s="442"/>
      <c r="CD480" s="442"/>
      <c r="CE480" s="442"/>
      <c r="CF480" s="442"/>
      <c r="CG480" s="442"/>
      <c r="CH480" s="442"/>
      <c r="CI480" s="442"/>
    </row>
    <row r="481" spans="4:87" x14ac:dyDescent="0.2">
      <c r="D481" s="442"/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  <c r="AA481" s="442"/>
      <c r="AB481" s="442"/>
      <c r="AC481" s="442"/>
      <c r="AD481" s="442"/>
      <c r="AE481" s="442"/>
      <c r="AF481" s="442"/>
      <c r="AG481" s="442"/>
      <c r="AH481" s="442"/>
      <c r="AI481" s="442"/>
      <c r="AJ481" s="442"/>
      <c r="AK481" s="442"/>
      <c r="AL481" s="442"/>
      <c r="AM481" s="442"/>
      <c r="AN481" s="442"/>
      <c r="AO481" s="442"/>
      <c r="AP481" s="442"/>
      <c r="AQ481" s="442"/>
      <c r="AR481" s="442"/>
      <c r="AS481" s="442"/>
      <c r="AT481" s="442"/>
      <c r="AU481" s="442"/>
      <c r="AV481" s="442"/>
      <c r="AW481" s="442"/>
      <c r="AX481" s="442"/>
      <c r="AY481" s="442"/>
      <c r="AZ481" s="442"/>
      <c r="BA481" s="442"/>
      <c r="BB481" s="442"/>
      <c r="BC481" s="442"/>
      <c r="BD481" s="442"/>
      <c r="BE481" s="442"/>
      <c r="BF481" s="442"/>
      <c r="BG481" s="442"/>
      <c r="BH481" s="442"/>
      <c r="BI481" s="442"/>
      <c r="BJ481" s="442"/>
      <c r="BK481" s="442"/>
      <c r="BL481" s="442"/>
      <c r="BM481" s="442"/>
      <c r="BN481" s="442"/>
      <c r="BO481" s="442"/>
      <c r="BP481" s="442"/>
      <c r="BQ481" s="442"/>
      <c r="BR481" s="442"/>
      <c r="BS481" s="442"/>
      <c r="BT481" s="442"/>
      <c r="BU481" s="442"/>
      <c r="BV481" s="442"/>
      <c r="BW481" s="442"/>
      <c r="BX481" s="442"/>
      <c r="BY481" s="442"/>
      <c r="BZ481" s="442"/>
      <c r="CA481" s="442"/>
      <c r="CB481" s="442"/>
      <c r="CC481" s="442"/>
      <c r="CD481" s="442"/>
      <c r="CE481" s="442"/>
      <c r="CF481" s="442"/>
      <c r="CG481" s="442"/>
      <c r="CH481" s="442"/>
      <c r="CI481" s="442"/>
    </row>
    <row r="482" spans="4:87" x14ac:dyDescent="0.2">
      <c r="D482" s="442"/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  <c r="AA482" s="442"/>
      <c r="AB482" s="442"/>
      <c r="AC482" s="442"/>
      <c r="AD482" s="442"/>
      <c r="AE482" s="442"/>
      <c r="AF482" s="442"/>
      <c r="AG482" s="442"/>
      <c r="AH482" s="442"/>
      <c r="AI482" s="442"/>
      <c r="AJ482" s="442"/>
      <c r="AK482" s="442"/>
      <c r="AL482" s="442"/>
      <c r="AM482" s="442"/>
      <c r="AN482" s="442"/>
      <c r="AO482" s="442"/>
      <c r="AP482" s="442"/>
      <c r="AQ482" s="442"/>
      <c r="AR482" s="442"/>
      <c r="AS482" s="442"/>
      <c r="AT482" s="442"/>
      <c r="AU482" s="442"/>
      <c r="AV482" s="442"/>
      <c r="AW482" s="442"/>
      <c r="AX482" s="442"/>
      <c r="AY482" s="442"/>
      <c r="AZ482" s="442"/>
      <c r="BA482" s="442"/>
      <c r="BB482" s="442"/>
      <c r="BC482" s="442"/>
      <c r="BD482" s="442"/>
      <c r="BE482" s="442"/>
      <c r="BF482" s="442"/>
      <c r="BG482" s="442"/>
      <c r="BH482" s="442"/>
      <c r="BI482" s="442"/>
      <c r="BJ482" s="442"/>
      <c r="BK482" s="442"/>
      <c r="BL482" s="442"/>
      <c r="BM482" s="442"/>
      <c r="BN482" s="442"/>
      <c r="BO482" s="442"/>
      <c r="BP482" s="442"/>
      <c r="BQ482" s="442"/>
      <c r="BR482" s="442"/>
      <c r="BS482" s="442"/>
      <c r="BT482" s="442"/>
      <c r="BU482" s="442"/>
      <c r="BV482" s="442"/>
      <c r="BW482" s="442"/>
      <c r="BX482" s="442"/>
      <c r="BY482" s="442"/>
      <c r="BZ482" s="442"/>
      <c r="CA482" s="442"/>
      <c r="CB482" s="442"/>
      <c r="CC482" s="442"/>
      <c r="CD482" s="442"/>
      <c r="CE482" s="442"/>
      <c r="CF482" s="442"/>
      <c r="CG482" s="442"/>
      <c r="CH482" s="442"/>
      <c r="CI482" s="442"/>
    </row>
    <row r="483" spans="4:87" x14ac:dyDescent="0.2"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  <c r="AA483" s="442"/>
      <c r="AB483" s="442"/>
      <c r="AC483" s="442"/>
      <c r="AD483" s="442"/>
      <c r="AE483" s="442"/>
      <c r="AF483" s="442"/>
      <c r="AG483" s="442"/>
      <c r="AH483" s="442"/>
      <c r="AI483" s="442"/>
      <c r="AJ483" s="442"/>
      <c r="AK483" s="442"/>
      <c r="AL483" s="442"/>
      <c r="AM483" s="442"/>
      <c r="AN483" s="442"/>
      <c r="AO483" s="442"/>
      <c r="AP483" s="442"/>
      <c r="AQ483" s="442"/>
      <c r="AR483" s="442"/>
      <c r="AS483" s="442"/>
      <c r="AT483" s="442"/>
      <c r="AU483" s="442"/>
      <c r="AV483" s="442"/>
      <c r="AW483" s="442"/>
      <c r="AX483" s="442"/>
      <c r="AY483" s="442"/>
      <c r="AZ483" s="442"/>
      <c r="BA483" s="442"/>
      <c r="BB483" s="442"/>
      <c r="BC483" s="442"/>
      <c r="BD483" s="442"/>
      <c r="BE483" s="442"/>
      <c r="BF483" s="442"/>
      <c r="BG483" s="442"/>
      <c r="BH483" s="442"/>
      <c r="BI483" s="442"/>
      <c r="BJ483" s="442"/>
      <c r="BK483" s="442"/>
      <c r="BL483" s="442"/>
      <c r="BM483" s="442"/>
      <c r="BN483" s="442"/>
      <c r="BO483" s="442"/>
      <c r="BP483" s="442"/>
      <c r="BQ483" s="442"/>
      <c r="BR483" s="442"/>
      <c r="BS483" s="442"/>
      <c r="BT483" s="442"/>
      <c r="BU483" s="442"/>
      <c r="BV483" s="442"/>
      <c r="BW483" s="442"/>
      <c r="BX483" s="442"/>
      <c r="BY483" s="442"/>
      <c r="BZ483" s="442"/>
      <c r="CA483" s="442"/>
      <c r="CB483" s="442"/>
      <c r="CC483" s="442"/>
      <c r="CD483" s="442"/>
      <c r="CE483" s="442"/>
      <c r="CF483" s="442"/>
      <c r="CG483" s="442"/>
      <c r="CH483" s="442"/>
      <c r="CI483" s="442"/>
    </row>
    <row r="484" spans="4:87" x14ac:dyDescent="0.2">
      <c r="D484" s="442"/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  <c r="AA484" s="442"/>
      <c r="AB484" s="442"/>
      <c r="AC484" s="442"/>
      <c r="AD484" s="442"/>
      <c r="AE484" s="442"/>
      <c r="AF484" s="442"/>
      <c r="AG484" s="442"/>
      <c r="AH484" s="442"/>
      <c r="AI484" s="442"/>
      <c r="AJ484" s="442"/>
      <c r="AK484" s="442"/>
      <c r="AL484" s="442"/>
      <c r="AM484" s="442"/>
      <c r="AN484" s="442"/>
      <c r="AO484" s="442"/>
      <c r="AP484" s="442"/>
      <c r="AQ484" s="442"/>
      <c r="AR484" s="442"/>
      <c r="AS484" s="442"/>
      <c r="AT484" s="442"/>
      <c r="AU484" s="442"/>
      <c r="AV484" s="442"/>
      <c r="AW484" s="442"/>
      <c r="AX484" s="442"/>
      <c r="AY484" s="442"/>
      <c r="AZ484" s="442"/>
      <c r="BA484" s="442"/>
      <c r="BB484" s="442"/>
      <c r="BC484" s="442"/>
      <c r="BD484" s="442"/>
      <c r="BE484" s="442"/>
      <c r="BF484" s="442"/>
      <c r="BG484" s="442"/>
      <c r="BH484" s="442"/>
      <c r="BI484" s="442"/>
      <c r="BJ484" s="442"/>
      <c r="BK484" s="442"/>
      <c r="BL484" s="442"/>
      <c r="BM484" s="442"/>
      <c r="BN484" s="442"/>
      <c r="BO484" s="442"/>
      <c r="BP484" s="442"/>
      <c r="BQ484" s="442"/>
      <c r="BR484" s="442"/>
      <c r="BS484" s="442"/>
      <c r="BT484" s="442"/>
      <c r="BU484" s="442"/>
      <c r="BV484" s="442"/>
      <c r="BW484" s="442"/>
      <c r="BX484" s="442"/>
      <c r="BY484" s="442"/>
      <c r="BZ484" s="442"/>
      <c r="CA484" s="442"/>
      <c r="CB484" s="442"/>
      <c r="CC484" s="442"/>
      <c r="CD484" s="442"/>
      <c r="CE484" s="442"/>
      <c r="CF484" s="442"/>
      <c r="CG484" s="442"/>
      <c r="CH484" s="442"/>
      <c r="CI484" s="442"/>
    </row>
    <row r="485" spans="4:87" x14ac:dyDescent="0.2">
      <c r="D485" s="442"/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  <c r="AA485" s="442"/>
      <c r="AB485" s="442"/>
      <c r="AC485" s="442"/>
      <c r="AD485" s="442"/>
      <c r="AE485" s="442"/>
      <c r="AF485" s="442"/>
      <c r="AG485" s="442"/>
      <c r="AH485" s="442"/>
      <c r="AI485" s="442"/>
      <c r="AJ485" s="442"/>
      <c r="AK485" s="442"/>
      <c r="AL485" s="442"/>
      <c r="AM485" s="442"/>
      <c r="AN485" s="442"/>
      <c r="AO485" s="442"/>
      <c r="AP485" s="442"/>
      <c r="AQ485" s="442"/>
      <c r="AR485" s="442"/>
      <c r="AS485" s="442"/>
      <c r="AT485" s="442"/>
      <c r="AU485" s="442"/>
      <c r="AV485" s="442"/>
      <c r="AW485" s="442"/>
      <c r="AX485" s="442"/>
      <c r="AY485" s="442"/>
      <c r="AZ485" s="442"/>
      <c r="BA485" s="442"/>
      <c r="BB485" s="442"/>
      <c r="BC485" s="442"/>
      <c r="BD485" s="442"/>
      <c r="BE485" s="442"/>
      <c r="BF485" s="442"/>
      <c r="BG485" s="442"/>
      <c r="BH485" s="442"/>
      <c r="BI485" s="442"/>
      <c r="BJ485" s="442"/>
      <c r="BK485" s="442"/>
      <c r="BL485" s="442"/>
      <c r="BM485" s="442"/>
      <c r="BN485" s="442"/>
      <c r="BO485" s="442"/>
      <c r="BP485" s="442"/>
      <c r="BQ485" s="442"/>
      <c r="BR485" s="442"/>
      <c r="BS485" s="442"/>
      <c r="BT485" s="442"/>
      <c r="BU485" s="442"/>
      <c r="BV485" s="442"/>
      <c r="BW485" s="442"/>
      <c r="BX485" s="442"/>
      <c r="BY485" s="442"/>
      <c r="BZ485" s="442"/>
      <c r="CA485" s="442"/>
      <c r="CB485" s="442"/>
      <c r="CC485" s="442"/>
      <c r="CD485" s="442"/>
      <c r="CE485" s="442"/>
      <c r="CF485" s="442"/>
      <c r="CG485" s="442"/>
      <c r="CH485" s="442"/>
      <c r="CI485" s="442"/>
    </row>
    <row r="486" spans="4:87" x14ac:dyDescent="0.2"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  <c r="AA486" s="442"/>
      <c r="AB486" s="442"/>
      <c r="AC486" s="442"/>
      <c r="AD486" s="442"/>
      <c r="AE486" s="442"/>
      <c r="AF486" s="442"/>
      <c r="AG486" s="442"/>
      <c r="AH486" s="442"/>
      <c r="AI486" s="442"/>
      <c r="AJ486" s="442"/>
      <c r="AK486" s="442"/>
      <c r="AL486" s="442"/>
      <c r="AM486" s="442"/>
      <c r="AN486" s="442"/>
      <c r="AO486" s="442"/>
      <c r="AP486" s="442"/>
      <c r="AQ486" s="442"/>
      <c r="AR486" s="442"/>
      <c r="AS486" s="442"/>
      <c r="AT486" s="442"/>
      <c r="AU486" s="442"/>
      <c r="AV486" s="442"/>
      <c r="AW486" s="442"/>
      <c r="AX486" s="442"/>
      <c r="AY486" s="442"/>
      <c r="AZ486" s="442"/>
      <c r="BA486" s="442"/>
      <c r="BB486" s="442"/>
      <c r="BC486" s="442"/>
      <c r="BD486" s="442"/>
      <c r="BE486" s="442"/>
      <c r="BF486" s="442"/>
      <c r="BG486" s="442"/>
      <c r="BH486" s="442"/>
      <c r="BI486" s="442"/>
      <c r="BJ486" s="442"/>
      <c r="BK486" s="442"/>
      <c r="BL486" s="442"/>
      <c r="BM486" s="442"/>
      <c r="BN486" s="442"/>
      <c r="BO486" s="442"/>
      <c r="BP486" s="442"/>
      <c r="BQ486" s="442"/>
      <c r="BR486" s="442"/>
      <c r="BS486" s="442"/>
      <c r="BT486" s="442"/>
      <c r="BU486" s="442"/>
      <c r="BV486" s="442"/>
      <c r="BW486" s="442"/>
      <c r="BX486" s="442"/>
      <c r="BY486" s="442"/>
      <c r="BZ486" s="442"/>
      <c r="CA486" s="442"/>
      <c r="CB486" s="442"/>
      <c r="CC486" s="442"/>
      <c r="CD486" s="442"/>
      <c r="CE486" s="442"/>
      <c r="CF486" s="442"/>
      <c r="CG486" s="442"/>
      <c r="CH486" s="442"/>
      <c r="CI486" s="442"/>
    </row>
    <row r="487" spans="4:87" x14ac:dyDescent="0.2"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  <c r="AA487" s="442"/>
      <c r="AB487" s="442"/>
      <c r="AC487" s="442"/>
      <c r="AD487" s="442"/>
      <c r="AE487" s="442"/>
      <c r="AF487" s="442"/>
      <c r="AG487" s="442"/>
      <c r="AH487" s="442"/>
      <c r="AI487" s="442"/>
      <c r="AJ487" s="442"/>
      <c r="AK487" s="442"/>
      <c r="AL487" s="442"/>
      <c r="AM487" s="442"/>
      <c r="AN487" s="442"/>
      <c r="AO487" s="442"/>
      <c r="AP487" s="442"/>
      <c r="AQ487" s="442"/>
      <c r="AR487" s="442"/>
      <c r="AS487" s="442"/>
      <c r="AT487" s="442"/>
      <c r="AU487" s="442"/>
      <c r="AV487" s="442"/>
      <c r="AW487" s="442"/>
      <c r="AX487" s="442"/>
      <c r="AY487" s="442"/>
      <c r="AZ487" s="442"/>
      <c r="BA487" s="442"/>
      <c r="BB487" s="442"/>
      <c r="BC487" s="442"/>
      <c r="BD487" s="442"/>
      <c r="BE487" s="442"/>
      <c r="BF487" s="442"/>
      <c r="BG487" s="442"/>
      <c r="BH487" s="442"/>
      <c r="BI487" s="442"/>
      <c r="BJ487" s="442"/>
      <c r="BK487" s="442"/>
      <c r="BL487" s="442"/>
      <c r="BM487" s="442"/>
      <c r="BN487" s="442"/>
      <c r="BO487" s="442"/>
      <c r="BP487" s="442"/>
      <c r="BQ487" s="442"/>
      <c r="BR487" s="442"/>
      <c r="BS487" s="442"/>
      <c r="BT487" s="442"/>
      <c r="BU487" s="442"/>
      <c r="BV487" s="442"/>
      <c r="BW487" s="442"/>
      <c r="BX487" s="442"/>
      <c r="BY487" s="442"/>
      <c r="BZ487" s="442"/>
      <c r="CA487" s="442"/>
      <c r="CB487" s="442"/>
      <c r="CC487" s="442"/>
      <c r="CD487" s="442"/>
      <c r="CE487" s="442"/>
      <c r="CF487" s="442"/>
      <c r="CG487" s="442"/>
      <c r="CH487" s="442"/>
      <c r="CI487" s="442"/>
    </row>
    <row r="488" spans="4:87" x14ac:dyDescent="0.2"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  <c r="AA488" s="442"/>
      <c r="AB488" s="442"/>
      <c r="AC488" s="442"/>
      <c r="AD488" s="442"/>
      <c r="AE488" s="442"/>
      <c r="AF488" s="442"/>
      <c r="AG488" s="442"/>
      <c r="AH488" s="442"/>
      <c r="AI488" s="442"/>
      <c r="AJ488" s="442"/>
      <c r="AK488" s="442"/>
      <c r="AL488" s="442"/>
      <c r="AM488" s="442"/>
      <c r="AN488" s="442"/>
      <c r="AO488" s="442"/>
      <c r="AP488" s="442"/>
      <c r="AQ488" s="442"/>
      <c r="AR488" s="442"/>
      <c r="AS488" s="442"/>
      <c r="AT488" s="442"/>
      <c r="AU488" s="442"/>
      <c r="AV488" s="442"/>
      <c r="AW488" s="442"/>
      <c r="AX488" s="442"/>
      <c r="AY488" s="442"/>
      <c r="AZ488" s="442"/>
      <c r="BA488" s="442"/>
      <c r="BB488" s="442"/>
      <c r="BC488" s="442"/>
      <c r="BD488" s="442"/>
      <c r="BE488" s="442"/>
      <c r="BF488" s="442"/>
      <c r="BG488" s="442"/>
      <c r="BH488" s="442"/>
      <c r="BI488" s="442"/>
      <c r="BJ488" s="442"/>
      <c r="BK488" s="442"/>
      <c r="BL488" s="442"/>
      <c r="BM488" s="442"/>
      <c r="BN488" s="442"/>
      <c r="BO488" s="442"/>
      <c r="BP488" s="442"/>
      <c r="BQ488" s="442"/>
      <c r="BR488" s="442"/>
      <c r="BS488" s="442"/>
      <c r="BT488" s="442"/>
      <c r="BU488" s="442"/>
      <c r="BV488" s="442"/>
      <c r="BW488" s="442"/>
      <c r="BX488" s="442"/>
      <c r="BY488" s="442"/>
      <c r="BZ488" s="442"/>
      <c r="CA488" s="442"/>
      <c r="CB488" s="442"/>
      <c r="CC488" s="442"/>
      <c r="CD488" s="442"/>
      <c r="CE488" s="442"/>
      <c r="CF488" s="442"/>
      <c r="CG488" s="442"/>
      <c r="CH488" s="442"/>
      <c r="CI488" s="442"/>
    </row>
    <row r="489" spans="4:87" x14ac:dyDescent="0.2"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  <c r="AA489" s="442"/>
      <c r="AB489" s="442"/>
      <c r="AC489" s="442"/>
      <c r="AD489" s="442"/>
      <c r="AE489" s="442"/>
      <c r="AF489" s="442"/>
      <c r="AG489" s="442"/>
      <c r="AH489" s="442"/>
      <c r="AI489" s="442"/>
      <c r="AJ489" s="442"/>
      <c r="AK489" s="442"/>
      <c r="AL489" s="442"/>
      <c r="AM489" s="442"/>
      <c r="AN489" s="442"/>
      <c r="AO489" s="442"/>
      <c r="AP489" s="442"/>
      <c r="AQ489" s="442"/>
      <c r="AR489" s="442"/>
      <c r="AS489" s="442"/>
      <c r="AT489" s="442"/>
      <c r="AU489" s="442"/>
      <c r="AV489" s="442"/>
      <c r="AW489" s="442"/>
      <c r="AX489" s="442"/>
      <c r="AY489" s="442"/>
      <c r="AZ489" s="442"/>
      <c r="BA489" s="442"/>
      <c r="BB489" s="442"/>
      <c r="BC489" s="442"/>
      <c r="BD489" s="442"/>
      <c r="BE489" s="442"/>
      <c r="BF489" s="442"/>
      <c r="BG489" s="442"/>
      <c r="BH489" s="442"/>
      <c r="BI489" s="442"/>
      <c r="BJ489" s="442"/>
      <c r="BK489" s="442"/>
      <c r="BL489" s="442"/>
      <c r="BM489" s="442"/>
      <c r="BN489" s="442"/>
      <c r="BO489" s="442"/>
      <c r="BP489" s="442"/>
      <c r="BQ489" s="442"/>
      <c r="BR489" s="442"/>
      <c r="BS489" s="442"/>
      <c r="BT489" s="442"/>
      <c r="BU489" s="442"/>
      <c r="BV489" s="442"/>
      <c r="BW489" s="442"/>
      <c r="BX489" s="442"/>
      <c r="BY489" s="442"/>
      <c r="BZ489" s="442"/>
      <c r="CA489" s="442"/>
      <c r="CB489" s="442"/>
      <c r="CC489" s="442"/>
      <c r="CD489" s="442"/>
      <c r="CE489" s="442"/>
      <c r="CF489" s="442"/>
      <c r="CG489" s="442"/>
      <c r="CH489" s="442"/>
      <c r="CI489" s="442"/>
    </row>
    <row r="490" spans="4:87" x14ac:dyDescent="0.2"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  <c r="AA490" s="442"/>
      <c r="AB490" s="442"/>
      <c r="AC490" s="442"/>
      <c r="AD490" s="442"/>
      <c r="AE490" s="442"/>
      <c r="AF490" s="442"/>
      <c r="AG490" s="442"/>
      <c r="AH490" s="442"/>
      <c r="AI490" s="442"/>
      <c r="AJ490" s="442"/>
      <c r="AK490" s="442"/>
      <c r="AL490" s="442"/>
      <c r="AM490" s="442"/>
      <c r="AN490" s="442"/>
      <c r="AO490" s="442"/>
      <c r="AP490" s="442"/>
      <c r="AQ490" s="442"/>
      <c r="AR490" s="442"/>
      <c r="AS490" s="442"/>
      <c r="AT490" s="442"/>
      <c r="AU490" s="442"/>
      <c r="AV490" s="442"/>
      <c r="AW490" s="442"/>
      <c r="AX490" s="442"/>
      <c r="AY490" s="442"/>
      <c r="AZ490" s="442"/>
      <c r="BA490" s="442"/>
      <c r="BB490" s="442"/>
      <c r="BC490" s="442"/>
      <c r="BD490" s="442"/>
      <c r="BE490" s="442"/>
      <c r="BF490" s="442"/>
      <c r="BG490" s="442"/>
      <c r="BH490" s="442"/>
      <c r="BI490" s="442"/>
      <c r="BJ490" s="442"/>
      <c r="BK490" s="442"/>
      <c r="BL490" s="442"/>
      <c r="BM490" s="442"/>
      <c r="BN490" s="442"/>
      <c r="BO490" s="442"/>
      <c r="BP490" s="442"/>
      <c r="BQ490" s="442"/>
      <c r="BR490" s="442"/>
      <c r="BS490" s="442"/>
      <c r="BT490" s="442"/>
      <c r="BU490" s="442"/>
      <c r="BV490" s="442"/>
      <c r="BW490" s="442"/>
      <c r="BX490" s="442"/>
      <c r="BY490" s="442"/>
      <c r="BZ490" s="442"/>
      <c r="CA490" s="442"/>
      <c r="CB490" s="442"/>
      <c r="CC490" s="442"/>
      <c r="CD490" s="442"/>
      <c r="CE490" s="442"/>
      <c r="CF490" s="442"/>
      <c r="CG490" s="442"/>
      <c r="CH490" s="442"/>
      <c r="CI490" s="442"/>
    </row>
    <row r="491" spans="4:87" x14ac:dyDescent="0.2"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  <c r="AA491" s="442"/>
      <c r="AB491" s="442"/>
      <c r="AC491" s="442"/>
      <c r="AD491" s="442"/>
      <c r="AE491" s="442"/>
      <c r="AF491" s="442"/>
      <c r="AG491" s="442"/>
      <c r="AH491" s="442"/>
      <c r="AI491" s="442"/>
      <c r="AJ491" s="442"/>
      <c r="AK491" s="442"/>
      <c r="AL491" s="442"/>
      <c r="AM491" s="442"/>
      <c r="AN491" s="442"/>
      <c r="AO491" s="442"/>
      <c r="AP491" s="442"/>
      <c r="AQ491" s="442"/>
      <c r="AR491" s="442"/>
      <c r="AS491" s="442"/>
      <c r="AT491" s="442"/>
      <c r="AU491" s="442"/>
      <c r="AV491" s="442"/>
      <c r="AW491" s="442"/>
      <c r="AX491" s="442"/>
      <c r="AY491" s="442"/>
      <c r="AZ491" s="442"/>
      <c r="BA491" s="442"/>
      <c r="BB491" s="442"/>
      <c r="BC491" s="442"/>
      <c r="BD491" s="442"/>
      <c r="BE491" s="442"/>
      <c r="BF491" s="442"/>
      <c r="BG491" s="442"/>
      <c r="BH491" s="442"/>
      <c r="BI491" s="442"/>
      <c r="BJ491" s="442"/>
      <c r="BK491" s="442"/>
      <c r="BL491" s="442"/>
      <c r="BM491" s="442"/>
      <c r="BN491" s="442"/>
      <c r="BO491" s="442"/>
      <c r="BP491" s="442"/>
      <c r="BQ491" s="442"/>
      <c r="BR491" s="442"/>
      <c r="BS491" s="442"/>
      <c r="BT491" s="442"/>
      <c r="BU491" s="442"/>
      <c r="BV491" s="442"/>
      <c r="BW491" s="442"/>
      <c r="BX491" s="442"/>
      <c r="BY491" s="442"/>
      <c r="BZ491" s="442"/>
      <c r="CA491" s="442"/>
      <c r="CB491" s="442"/>
      <c r="CC491" s="442"/>
      <c r="CD491" s="442"/>
      <c r="CE491" s="442"/>
      <c r="CF491" s="442"/>
      <c r="CG491" s="442"/>
      <c r="CH491" s="442"/>
      <c r="CI491" s="442"/>
    </row>
    <row r="492" spans="4:87" x14ac:dyDescent="0.2"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  <c r="AA492" s="442"/>
      <c r="AB492" s="442"/>
      <c r="AC492" s="442"/>
      <c r="AD492" s="442"/>
      <c r="AE492" s="442"/>
      <c r="AF492" s="442"/>
      <c r="AG492" s="442"/>
      <c r="AH492" s="442"/>
      <c r="AI492" s="442"/>
      <c r="AJ492" s="442"/>
      <c r="AK492" s="442"/>
      <c r="AL492" s="442"/>
      <c r="AM492" s="442"/>
      <c r="AN492" s="442"/>
      <c r="AO492" s="442"/>
      <c r="AP492" s="442"/>
      <c r="AQ492" s="442"/>
      <c r="AR492" s="442"/>
      <c r="AS492" s="442"/>
      <c r="AT492" s="442"/>
      <c r="AU492" s="442"/>
      <c r="AV492" s="442"/>
      <c r="AW492" s="442"/>
      <c r="AX492" s="442"/>
      <c r="AY492" s="442"/>
      <c r="AZ492" s="442"/>
      <c r="BA492" s="442"/>
      <c r="BB492" s="442"/>
      <c r="BC492" s="442"/>
      <c r="BD492" s="442"/>
      <c r="BE492" s="442"/>
      <c r="BF492" s="442"/>
      <c r="BG492" s="442"/>
      <c r="BH492" s="442"/>
      <c r="BI492" s="442"/>
      <c r="BJ492" s="442"/>
      <c r="BK492" s="442"/>
      <c r="BL492" s="442"/>
      <c r="BM492" s="442"/>
      <c r="BN492" s="442"/>
      <c r="BO492" s="442"/>
      <c r="BP492" s="442"/>
      <c r="BQ492" s="442"/>
      <c r="BR492" s="442"/>
      <c r="BS492" s="442"/>
      <c r="BT492" s="442"/>
      <c r="BU492" s="442"/>
      <c r="BV492" s="442"/>
      <c r="BW492" s="442"/>
      <c r="BX492" s="442"/>
      <c r="BY492" s="442"/>
      <c r="BZ492" s="442"/>
      <c r="CA492" s="442"/>
      <c r="CB492" s="442"/>
      <c r="CC492" s="442"/>
      <c r="CD492" s="442"/>
      <c r="CE492" s="442"/>
      <c r="CF492" s="442"/>
      <c r="CG492" s="442"/>
      <c r="CH492" s="442"/>
      <c r="CI492" s="442"/>
    </row>
    <row r="493" spans="4:87" x14ac:dyDescent="0.2"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  <c r="AA493" s="442"/>
      <c r="AB493" s="442"/>
      <c r="AC493" s="442"/>
      <c r="AD493" s="442"/>
      <c r="AE493" s="442"/>
      <c r="AF493" s="442"/>
      <c r="AG493" s="442"/>
      <c r="AH493" s="442"/>
      <c r="AI493" s="442"/>
      <c r="AJ493" s="442"/>
      <c r="AK493" s="442"/>
      <c r="AL493" s="442"/>
      <c r="AM493" s="442"/>
      <c r="AN493" s="442"/>
      <c r="AO493" s="442"/>
      <c r="AP493" s="442"/>
      <c r="AQ493" s="442"/>
      <c r="AR493" s="442"/>
      <c r="AS493" s="442"/>
      <c r="AT493" s="442"/>
      <c r="AU493" s="442"/>
      <c r="AV493" s="442"/>
      <c r="AW493" s="442"/>
      <c r="AX493" s="442"/>
      <c r="AY493" s="442"/>
      <c r="AZ493" s="442"/>
      <c r="BA493" s="442"/>
      <c r="BB493" s="442"/>
      <c r="BC493" s="442"/>
      <c r="BD493" s="442"/>
      <c r="BE493" s="442"/>
      <c r="BF493" s="442"/>
      <c r="BG493" s="442"/>
      <c r="BH493" s="442"/>
      <c r="BI493" s="442"/>
      <c r="BJ493" s="442"/>
      <c r="BK493" s="442"/>
      <c r="BL493" s="442"/>
      <c r="BM493" s="442"/>
      <c r="BN493" s="442"/>
      <c r="BO493" s="442"/>
      <c r="BP493" s="442"/>
      <c r="BQ493" s="442"/>
      <c r="BR493" s="442"/>
      <c r="BS493" s="442"/>
      <c r="BT493" s="442"/>
      <c r="BU493" s="442"/>
      <c r="BV493" s="442"/>
      <c r="BW493" s="442"/>
      <c r="BX493" s="442"/>
      <c r="BY493" s="442"/>
      <c r="BZ493" s="442"/>
      <c r="CA493" s="442"/>
      <c r="CB493" s="442"/>
      <c r="CC493" s="442"/>
      <c r="CD493" s="442"/>
      <c r="CE493" s="442"/>
      <c r="CF493" s="442"/>
      <c r="CG493" s="442"/>
      <c r="CH493" s="442"/>
      <c r="CI493" s="442"/>
    </row>
    <row r="494" spans="4:87" x14ac:dyDescent="0.2">
      <c r="D494" s="442"/>
      <c r="E494" s="442"/>
      <c r="F494" s="442"/>
      <c r="G494" s="442"/>
      <c r="H494" s="442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  <c r="AA494" s="442"/>
      <c r="AB494" s="442"/>
      <c r="AC494" s="442"/>
      <c r="AD494" s="442"/>
      <c r="AE494" s="442"/>
      <c r="AF494" s="442"/>
      <c r="AG494" s="442"/>
      <c r="AH494" s="442"/>
      <c r="AI494" s="442"/>
      <c r="AJ494" s="442"/>
      <c r="AK494" s="442"/>
      <c r="AL494" s="442"/>
      <c r="AM494" s="442"/>
      <c r="AN494" s="442"/>
      <c r="AO494" s="442"/>
      <c r="AP494" s="442"/>
      <c r="AQ494" s="442"/>
      <c r="AR494" s="442"/>
      <c r="AS494" s="442"/>
      <c r="AT494" s="442"/>
      <c r="AU494" s="442"/>
      <c r="AV494" s="442"/>
      <c r="AW494" s="442"/>
      <c r="AX494" s="442"/>
      <c r="AY494" s="442"/>
      <c r="AZ494" s="442"/>
      <c r="BA494" s="442"/>
      <c r="BB494" s="442"/>
      <c r="BC494" s="442"/>
      <c r="BD494" s="442"/>
      <c r="BE494" s="442"/>
      <c r="BF494" s="442"/>
      <c r="BG494" s="442"/>
      <c r="BH494" s="442"/>
      <c r="BI494" s="442"/>
      <c r="BJ494" s="442"/>
      <c r="BK494" s="442"/>
      <c r="BL494" s="442"/>
      <c r="BM494" s="442"/>
      <c r="BN494" s="442"/>
      <c r="BO494" s="442"/>
      <c r="BP494" s="442"/>
      <c r="BQ494" s="442"/>
      <c r="BR494" s="442"/>
      <c r="BS494" s="442"/>
      <c r="BT494" s="442"/>
      <c r="BU494" s="442"/>
      <c r="BV494" s="442"/>
      <c r="BW494" s="442"/>
      <c r="BX494" s="442"/>
      <c r="BY494" s="442"/>
      <c r="BZ494" s="442"/>
      <c r="CA494" s="442"/>
      <c r="CB494" s="442"/>
      <c r="CC494" s="442"/>
      <c r="CD494" s="442"/>
      <c r="CE494" s="442"/>
      <c r="CF494" s="442"/>
      <c r="CG494" s="442"/>
      <c r="CH494" s="442"/>
      <c r="CI494" s="442"/>
    </row>
    <row r="495" spans="4:87" x14ac:dyDescent="0.2">
      <c r="D495" s="442"/>
      <c r="E495" s="442"/>
      <c r="F495" s="442"/>
      <c r="G495" s="442"/>
      <c r="H495" s="442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  <c r="AA495" s="442"/>
      <c r="AB495" s="442"/>
      <c r="AC495" s="442"/>
      <c r="AD495" s="442"/>
      <c r="AE495" s="442"/>
      <c r="AF495" s="442"/>
      <c r="AG495" s="442"/>
      <c r="AH495" s="442"/>
      <c r="AI495" s="442"/>
      <c r="AJ495" s="442"/>
      <c r="AK495" s="442"/>
      <c r="AL495" s="442"/>
      <c r="AM495" s="442"/>
      <c r="AN495" s="442"/>
      <c r="AO495" s="442"/>
      <c r="AP495" s="442"/>
      <c r="AQ495" s="442"/>
      <c r="AR495" s="442"/>
      <c r="AS495" s="442"/>
      <c r="AT495" s="442"/>
      <c r="AU495" s="442"/>
      <c r="AV495" s="442"/>
      <c r="AW495" s="442"/>
      <c r="AX495" s="442"/>
      <c r="AY495" s="442"/>
      <c r="AZ495" s="442"/>
      <c r="BA495" s="442"/>
      <c r="BB495" s="442"/>
      <c r="BC495" s="442"/>
      <c r="BD495" s="442"/>
      <c r="BE495" s="442"/>
      <c r="BF495" s="442"/>
      <c r="BG495" s="442"/>
      <c r="BH495" s="442"/>
      <c r="BI495" s="442"/>
      <c r="BJ495" s="442"/>
      <c r="BK495" s="442"/>
      <c r="BL495" s="442"/>
      <c r="BM495" s="442"/>
      <c r="BN495" s="442"/>
      <c r="BO495" s="442"/>
      <c r="BP495" s="442"/>
      <c r="BQ495" s="442"/>
      <c r="BR495" s="442"/>
      <c r="BS495" s="442"/>
      <c r="BT495" s="442"/>
      <c r="BU495" s="442"/>
      <c r="BV495" s="442"/>
      <c r="BW495" s="442"/>
      <c r="BX495" s="442"/>
      <c r="BY495" s="442"/>
      <c r="BZ495" s="442"/>
      <c r="CA495" s="442"/>
      <c r="CB495" s="442"/>
      <c r="CC495" s="442"/>
      <c r="CD495" s="442"/>
      <c r="CE495" s="442"/>
      <c r="CF495" s="442"/>
      <c r="CG495" s="442"/>
      <c r="CH495" s="442"/>
      <c r="CI495" s="442"/>
    </row>
    <row r="496" spans="4:87" x14ac:dyDescent="0.2"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  <c r="AA496" s="442"/>
      <c r="AB496" s="442"/>
      <c r="AC496" s="442"/>
      <c r="AD496" s="442"/>
      <c r="AE496" s="442"/>
      <c r="AF496" s="442"/>
      <c r="AG496" s="442"/>
      <c r="AH496" s="442"/>
      <c r="AI496" s="442"/>
      <c r="AJ496" s="442"/>
      <c r="AK496" s="442"/>
      <c r="AL496" s="442"/>
      <c r="AM496" s="442"/>
      <c r="AN496" s="442"/>
      <c r="AO496" s="442"/>
      <c r="AP496" s="442"/>
      <c r="AQ496" s="442"/>
      <c r="AR496" s="442"/>
      <c r="AS496" s="442"/>
      <c r="AT496" s="442"/>
      <c r="AU496" s="442"/>
      <c r="AV496" s="442"/>
      <c r="AW496" s="442"/>
      <c r="AX496" s="442"/>
      <c r="AY496" s="442"/>
      <c r="AZ496" s="442"/>
      <c r="BA496" s="442"/>
      <c r="BB496" s="442"/>
      <c r="BC496" s="442"/>
      <c r="BD496" s="442"/>
      <c r="BE496" s="442"/>
      <c r="BF496" s="442"/>
      <c r="BG496" s="442"/>
      <c r="BH496" s="442"/>
      <c r="BI496" s="442"/>
      <c r="BJ496" s="442"/>
      <c r="BK496" s="442"/>
      <c r="BL496" s="442"/>
      <c r="BM496" s="442"/>
      <c r="BN496" s="442"/>
      <c r="BO496" s="442"/>
      <c r="BP496" s="442"/>
      <c r="BQ496" s="442"/>
      <c r="BR496" s="442"/>
      <c r="BS496" s="442"/>
      <c r="BT496" s="442"/>
      <c r="BU496" s="442"/>
      <c r="BV496" s="442"/>
      <c r="BW496" s="442"/>
      <c r="BX496" s="442"/>
      <c r="BY496" s="442"/>
      <c r="BZ496" s="442"/>
      <c r="CA496" s="442"/>
      <c r="CB496" s="442"/>
      <c r="CC496" s="442"/>
      <c r="CD496" s="442"/>
      <c r="CE496" s="442"/>
      <c r="CF496" s="442"/>
      <c r="CG496" s="442"/>
      <c r="CH496" s="442"/>
      <c r="CI496" s="442"/>
    </row>
    <row r="497" spans="4:87" x14ac:dyDescent="0.2">
      <c r="D497" s="442"/>
      <c r="E497" s="442"/>
      <c r="F497" s="442"/>
      <c r="G497" s="442"/>
      <c r="H497" s="442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  <c r="AA497" s="442"/>
      <c r="AB497" s="442"/>
      <c r="AC497" s="442"/>
      <c r="AD497" s="442"/>
      <c r="AE497" s="442"/>
      <c r="AF497" s="442"/>
      <c r="AG497" s="442"/>
      <c r="AH497" s="442"/>
      <c r="AI497" s="442"/>
      <c r="AJ497" s="442"/>
      <c r="AK497" s="442"/>
      <c r="AL497" s="442"/>
      <c r="AM497" s="442"/>
      <c r="AN497" s="442"/>
      <c r="AO497" s="442"/>
      <c r="AP497" s="442"/>
      <c r="AQ497" s="442"/>
      <c r="AR497" s="442"/>
      <c r="AS497" s="442"/>
      <c r="AT497" s="442"/>
      <c r="AU497" s="442"/>
      <c r="AV497" s="442"/>
      <c r="AW497" s="442"/>
      <c r="AX497" s="442"/>
      <c r="AY497" s="442"/>
      <c r="AZ497" s="442"/>
      <c r="BA497" s="442"/>
      <c r="BB497" s="442"/>
      <c r="BC497" s="442"/>
      <c r="BD497" s="442"/>
      <c r="BE497" s="442"/>
      <c r="BF497" s="442"/>
      <c r="BG497" s="442"/>
      <c r="BH497" s="442"/>
      <c r="BI497" s="442"/>
      <c r="BJ497" s="442"/>
      <c r="BK497" s="442"/>
      <c r="BL497" s="442"/>
      <c r="BM497" s="442"/>
      <c r="BN497" s="442"/>
      <c r="BO497" s="442"/>
      <c r="BP497" s="442"/>
      <c r="BQ497" s="442"/>
      <c r="BR497" s="442"/>
      <c r="BS497" s="442"/>
      <c r="BT497" s="442"/>
      <c r="BU497" s="442"/>
      <c r="BV497" s="442"/>
      <c r="BW497" s="442"/>
      <c r="BX497" s="442"/>
      <c r="BY497" s="442"/>
      <c r="BZ497" s="442"/>
      <c r="CA497" s="442"/>
      <c r="CB497" s="442"/>
      <c r="CC497" s="442"/>
      <c r="CD497" s="442"/>
      <c r="CE497" s="442"/>
      <c r="CF497" s="442"/>
      <c r="CG497" s="442"/>
      <c r="CH497" s="442"/>
      <c r="CI497" s="442"/>
    </row>
    <row r="498" spans="4:87" x14ac:dyDescent="0.2">
      <c r="D498" s="442"/>
      <c r="E498" s="442"/>
      <c r="F498" s="442"/>
      <c r="G498" s="442"/>
      <c r="H498" s="442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  <c r="AA498" s="442"/>
      <c r="AB498" s="442"/>
      <c r="AC498" s="442"/>
      <c r="AD498" s="442"/>
      <c r="AE498" s="442"/>
      <c r="AF498" s="442"/>
      <c r="AG498" s="442"/>
      <c r="AH498" s="442"/>
      <c r="AI498" s="442"/>
      <c r="AJ498" s="442"/>
      <c r="AK498" s="442"/>
      <c r="AL498" s="442"/>
      <c r="AM498" s="442"/>
      <c r="AN498" s="442"/>
      <c r="AO498" s="442"/>
      <c r="AP498" s="442"/>
      <c r="AQ498" s="442"/>
      <c r="AR498" s="442"/>
      <c r="AS498" s="442"/>
      <c r="AT498" s="442"/>
      <c r="AU498" s="442"/>
      <c r="AV498" s="442"/>
      <c r="AW498" s="442"/>
      <c r="AX498" s="442"/>
      <c r="AY498" s="442"/>
      <c r="AZ498" s="442"/>
      <c r="BA498" s="442"/>
      <c r="BB498" s="442"/>
      <c r="BC498" s="442"/>
      <c r="BD498" s="442"/>
      <c r="BE498" s="442"/>
      <c r="BF498" s="442"/>
      <c r="BG498" s="442"/>
      <c r="BH498" s="442"/>
      <c r="BI498" s="442"/>
      <c r="BJ498" s="442"/>
      <c r="BK498" s="442"/>
      <c r="BL498" s="442"/>
      <c r="BM498" s="442"/>
      <c r="BN498" s="442"/>
      <c r="BO498" s="442"/>
      <c r="BP498" s="442"/>
      <c r="BQ498" s="442"/>
      <c r="BR498" s="442"/>
      <c r="BS498" s="442"/>
      <c r="BT498" s="442"/>
      <c r="BU498" s="442"/>
      <c r="BV498" s="442"/>
      <c r="BW498" s="442"/>
      <c r="BX498" s="442"/>
      <c r="BY498" s="442"/>
      <c r="BZ498" s="442"/>
      <c r="CA498" s="442"/>
      <c r="CB498" s="442"/>
      <c r="CC498" s="442"/>
      <c r="CD498" s="442"/>
      <c r="CE498" s="442"/>
      <c r="CF498" s="442"/>
      <c r="CG498" s="442"/>
      <c r="CH498" s="442"/>
      <c r="CI498" s="442"/>
    </row>
    <row r="499" spans="4:87" x14ac:dyDescent="0.2"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  <c r="AA499" s="442"/>
      <c r="AB499" s="442"/>
      <c r="AC499" s="442"/>
      <c r="AD499" s="442"/>
      <c r="AE499" s="442"/>
      <c r="AF499" s="442"/>
      <c r="AG499" s="442"/>
      <c r="AH499" s="442"/>
      <c r="AI499" s="442"/>
      <c r="AJ499" s="442"/>
      <c r="AK499" s="442"/>
      <c r="AL499" s="442"/>
      <c r="AM499" s="442"/>
      <c r="AN499" s="442"/>
      <c r="AO499" s="442"/>
      <c r="AP499" s="442"/>
      <c r="AQ499" s="442"/>
      <c r="AR499" s="442"/>
      <c r="AS499" s="442"/>
      <c r="AT499" s="442"/>
      <c r="AU499" s="442"/>
      <c r="AV499" s="442"/>
      <c r="AW499" s="442"/>
      <c r="AX499" s="442"/>
      <c r="AY499" s="442"/>
      <c r="AZ499" s="442"/>
      <c r="BA499" s="442"/>
      <c r="BB499" s="442"/>
      <c r="BC499" s="442"/>
      <c r="BD499" s="442"/>
      <c r="BE499" s="442"/>
      <c r="BF499" s="442"/>
      <c r="BG499" s="442"/>
      <c r="BH499" s="442"/>
      <c r="BI499" s="442"/>
      <c r="BJ499" s="442"/>
      <c r="BK499" s="442"/>
      <c r="BL499" s="442"/>
      <c r="BM499" s="442"/>
      <c r="BN499" s="442"/>
      <c r="BO499" s="442"/>
      <c r="BP499" s="442"/>
      <c r="BQ499" s="442"/>
      <c r="BR499" s="442"/>
      <c r="BS499" s="442"/>
      <c r="BT499" s="442"/>
      <c r="BU499" s="442"/>
      <c r="BV499" s="442"/>
      <c r="BW499" s="442"/>
      <c r="BX499" s="442"/>
      <c r="BY499" s="442"/>
      <c r="BZ499" s="442"/>
      <c r="CA499" s="442"/>
      <c r="CB499" s="442"/>
      <c r="CC499" s="442"/>
      <c r="CD499" s="442"/>
      <c r="CE499" s="442"/>
      <c r="CF499" s="442"/>
      <c r="CG499" s="442"/>
      <c r="CH499" s="442"/>
      <c r="CI499" s="442"/>
    </row>
    <row r="500" spans="4:87" x14ac:dyDescent="0.2">
      <c r="D500" s="442"/>
      <c r="E500" s="442"/>
      <c r="F500" s="442"/>
      <c r="G500" s="442"/>
      <c r="H500" s="442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  <c r="AA500" s="442"/>
      <c r="AB500" s="442"/>
      <c r="AC500" s="442"/>
      <c r="AD500" s="442"/>
      <c r="AE500" s="442"/>
      <c r="AF500" s="442"/>
      <c r="AG500" s="442"/>
      <c r="AH500" s="442"/>
      <c r="AI500" s="442"/>
      <c r="AJ500" s="442"/>
      <c r="AK500" s="442"/>
      <c r="AL500" s="442"/>
      <c r="AM500" s="442"/>
      <c r="AN500" s="442"/>
      <c r="AO500" s="442"/>
      <c r="AP500" s="442"/>
      <c r="AQ500" s="442"/>
      <c r="AR500" s="442"/>
      <c r="AS500" s="442"/>
      <c r="AT500" s="442"/>
      <c r="AU500" s="442"/>
      <c r="AV500" s="442"/>
      <c r="AW500" s="442"/>
      <c r="AX500" s="442"/>
      <c r="AY500" s="442"/>
      <c r="AZ500" s="442"/>
      <c r="BA500" s="442"/>
      <c r="BB500" s="442"/>
      <c r="BC500" s="442"/>
      <c r="BD500" s="442"/>
      <c r="BE500" s="442"/>
      <c r="BF500" s="442"/>
      <c r="BG500" s="442"/>
      <c r="BH500" s="442"/>
      <c r="BI500" s="442"/>
      <c r="BJ500" s="442"/>
      <c r="BK500" s="442"/>
      <c r="BL500" s="442"/>
      <c r="BM500" s="442"/>
      <c r="BN500" s="442"/>
      <c r="BO500" s="442"/>
      <c r="BP500" s="442"/>
      <c r="BQ500" s="442"/>
      <c r="BR500" s="442"/>
      <c r="BS500" s="442"/>
      <c r="BT500" s="442"/>
      <c r="BU500" s="442"/>
      <c r="BV500" s="442"/>
      <c r="BW500" s="442"/>
      <c r="BX500" s="442"/>
      <c r="BY500" s="442"/>
      <c r="BZ500" s="442"/>
      <c r="CA500" s="442"/>
      <c r="CB500" s="442"/>
      <c r="CC500" s="442"/>
      <c r="CD500" s="442"/>
      <c r="CE500" s="442"/>
      <c r="CF500" s="442"/>
      <c r="CG500" s="442"/>
      <c r="CH500" s="442"/>
      <c r="CI500" s="442"/>
    </row>
    <row r="501" spans="4:87" x14ac:dyDescent="0.2">
      <c r="D501" s="442"/>
      <c r="E501" s="442"/>
      <c r="F501" s="442"/>
      <c r="G501" s="442"/>
      <c r="H501" s="442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  <c r="AA501" s="442"/>
      <c r="AB501" s="442"/>
      <c r="AC501" s="442"/>
      <c r="AD501" s="442"/>
      <c r="AE501" s="442"/>
      <c r="AF501" s="442"/>
      <c r="AG501" s="442"/>
      <c r="AH501" s="442"/>
      <c r="AI501" s="442"/>
      <c r="AJ501" s="442"/>
      <c r="AK501" s="442"/>
      <c r="AL501" s="442"/>
      <c r="AM501" s="442"/>
      <c r="AN501" s="442"/>
      <c r="AO501" s="442"/>
      <c r="AP501" s="442"/>
      <c r="AQ501" s="442"/>
      <c r="AR501" s="442"/>
      <c r="AS501" s="442"/>
      <c r="AT501" s="442"/>
      <c r="AU501" s="442"/>
      <c r="AV501" s="442"/>
      <c r="AW501" s="442"/>
      <c r="AX501" s="442"/>
      <c r="AY501" s="442"/>
      <c r="AZ501" s="442"/>
      <c r="BA501" s="442"/>
      <c r="BB501" s="442"/>
      <c r="BC501" s="442"/>
      <c r="BD501" s="442"/>
      <c r="BE501" s="442"/>
      <c r="BF501" s="442"/>
      <c r="BG501" s="442"/>
      <c r="BH501" s="442"/>
      <c r="BI501" s="442"/>
      <c r="BJ501" s="442"/>
      <c r="BK501" s="442"/>
      <c r="BL501" s="442"/>
      <c r="BM501" s="442"/>
      <c r="BN501" s="442"/>
      <c r="BO501" s="442"/>
      <c r="BP501" s="442"/>
      <c r="BQ501" s="442"/>
      <c r="BR501" s="442"/>
      <c r="BS501" s="442"/>
      <c r="BT501" s="442"/>
      <c r="BU501" s="442"/>
      <c r="BV501" s="442"/>
      <c r="BW501" s="442"/>
      <c r="BX501" s="442"/>
      <c r="BY501" s="442"/>
      <c r="BZ501" s="442"/>
      <c r="CA501" s="442"/>
      <c r="CB501" s="442"/>
      <c r="CC501" s="442"/>
      <c r="CD501" s="442"/>
      <c r="CE501" s="442"/>
      <c r="CF501" s="442"/>
      <c r="CG501" s="442"/>
      <c r="CH501" s="442"/>
      <c r="CI501" s="442"/>
    </row>
    <row r="502" spans="4:87" x14ac:dyDescent="0.2">
      <c r="D502" s="442"/>
      <c r="E502" s="442"/>
      <c r="F502" s="442"/>
      <c r="G502" s="442"/>
      <c r="H502" s="442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  <c r="AA502" s="442"/>
      <c r="AB502" s="442"/>
      <c r="AC502" s="442"/>
      <c r="AD502" s="442"/>
      <c r="AE502" s="442"/>
      <c r="AF502" s="442"/>
      <c r="AG502" s="442"/>
      <c r="AH502" s="442"/>
      <c r="AI502" s="442"/>
      <c r="AJ502" s="442"/>
      <c r="AK502" s="442"/>
      <c r="AL502" s="442"/>
      <c r="AM502" s="442"/>
      <c r="AN502" s="442"/>
      <c r="AO502" s="442"/>
      <c r="AP502" s="442"/>
      <c r="AQ502" s="442"/>
      <c r="AR502" s="442"/>
      <c r="AS502" s="442"/>
      <c r="AT502" s="442"/>
      <c r="AU502" s="442"/>
      <c r="AV502" s="442"/>
      <c r="AW502" s="442"/>
      <c r="AX502" s="442"/>
      <c r="AY502" s="442"/>
      <c r="AZ502" s="442"/>
      <c r="BA502" s="442"/>
      <c r="BB502" s="442"/>
      <c r="BC502" s="442"/>
      <c r="BD502" s="442"/>
      <c r="BE502" s="442"/>
      <c r="BF502" s="442"/>
      <c r="BG502" s="442"/>
      <c r="BH502" s="442"/>
      <c r="BI502" s="442"/>
      <c r="BJ502" s="442"/>
      <c r="BK502" s="442"/>
      <c r="BL502" s="442"/>
      <c r="BM502" s="442"/>
      <c r="BN502" s="442"/>
      <c r="BO502" s="442"/>
      <c r="BP502" s="442"/>
      <c r="BQ502" s="442"/>
      <c r="BR502" s="442"/>
      <c r="BS502" s="442"/>
      <c r="BT502" s="442"/>
      <c r="BU502" s="442"/>
      <c r="BV502" s="442"/>
      <c r="BW502" s="442"/>
      <c r="BX502" s="442"/>
      <c r="BY502" s="442"/>
      <c r="BZ502" s="442"/>
      <c r="CA502" s="442"/>
      <c r="CB502" s="442"/>
      <c r="CC502" s="442"/>
      <c r="CD502" s="442"/>
      <c r="CE502" s="442"/>
      <c r="CF502" s="442"/>
      <c r="CG502" s="442"/>
      <c r="CH502" s="442"/>
      <c r="CI502" s="442"/>
    </row>
    <row r="503" spans="4:87" x14ac:dyDescent="0.2"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  <c r="AA503" s="442"/>
      <c r="AB503" s="442"/>
      <c r="AC503" s="442"/>
      <c r="AD503" s="442"/>
      <c r="AE503" s="442"/>
      <c r="AF503" s="442"/>
      <c r="AG503" s="442"/>
      <c r="AH503" s="442"/>
      <c r="AI503" s="442"/>
      <c r="AJ503" s="442"/>
      <c r="AK503" s="442"/>
      <c r="AL503" s="442"/>
      <c r="AM503" s="442"/>
      <c r="AN503" s="442"/>
      <c r="AO503" s="442"/>
      <c r="AP503" s="442"/>
      <c r="AQ503" s="442"/>
      <c r="AR503" s="442"/>
      <c r="AS503" s="442"/>
      <c r="AT503" s="442"/>
      <c r="AU503" s="442"/>
      <c r="AV503" s="442"/>
      <c r="AW503" s="442"/>
      <c r="AX503" s="442"/>
      <c r="AY503" s="442"/>
      <c r="AZ503" s="442"/>
      <c r="BA503" s="442"/>
      <c r="BB503" s="442"/>
      <c r="BC503" s="442"/>
      <c r="BD503" s="442"/>
      <c r="BE503" s="442"/>
      <c r="BF503" s="442"/>
      <c r="BG503" s="442"/>
      <c r="BH503" s="442"/>
      <c r="BI503" s="442"/>
      <c r="BJ503" s="442"/>
      <c r="BK503" s="442"/>
      <c r="BL503" s="442"/>
      <c r="BM503" s="442"/>
      <c r="BN503" s="442"/>
      <c r="BO503" s="442"/>
      <c r="BP503" s="442"/>
      <c r="BQ503" s="442"/>
      <c r="BR503" s="442"/>
      <c r="BS503" s="442"/>
      <c r="BT503" s="442"/>
      <c r="BU503" s="442"/>
      <c r="BV503" s="442"/>
      <c r="BW503" s="442"/>
      <c r="BX503" s="442"/>
      <c r="BY503" s="442"/>
      <c r="BZ503" s="442"/>
      <c r="CA503" s="442"/>
      <c r="CB503" s="442"/>
      <c r="CC503" s="442"/>
      <c r="CD503" s="442"/>
      <c r="CE503" s="442"/>
      <c r="CF503" s="442"/>
      <c r="CG503" s="442"/>
      <c r="CH503" s="442"/>
      <c r="CI503" s="442"/>
    </row>
    <row r="504" spans="4:87" x14ac:dyDescent="0.2"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  <c r="AA504" s="442"/>
      <c r="AB504" s="442"/>
      <c r="AC504" s="442"/>
      <c r="AD504" s="442"/>
      <c r="AE504" s="442"/>
      <c r="AF504" s="442"/>
      <c r="AG504" s="442"/>
      <c r="AH504" s="442"/>
      <c r="AI504" s="442"/>
      <c r="AJ504" s="442"/>
      <c r="AK504" s="442"/>
      <c r="AL504" s="442"/>
      <c r="AM504" s="442"/>
      <c r="AN504" s="442"/>
      <c r="AO504" s="442"/>
      <c r="AP504" s="442"/>
      <c r="AQ504" s="442"/>
      <c r="AR504" s="442"/>
      <c r="AS504" s="442"/>
      <c r="AT504" s="442"/>
      <c r="AU504" s="442"/>
      <c r="AV504" s="442"/>
      <c r="AW504" s="442"/>
      <c r="AX504" s="442"/>
      <c r="AY504" s="442"/>
      <c r="AZ504" s="442"/>
      <c r="BA504" s="442"/>
      <c r="BB504" s="442"/>
      <c r="BC504" s="442"/>
      <c r="BD504" s="442"/>
      <c r="BE504" s="442"/>
      <c r="BF504" s="442"/>
      <c r="BG504" s="442"/>
      <c r="BH504" s="442"/>
      <c r="BI504" s="442"/>
      <c r="BJ504" s="442"/>
      <c r="BK504" s="442"/>
      <c r="BL504" s="442"/>
      <c r="BM504" s="442"/>
      <c r="BN504" s="442"/>
      <c r="BO504" s="442"/>
      <c r="BP504" s="442"/>
      <c r="BQ504" s="442"/>
      <c r="BR504" s="442"/>
      <c r="BS504" s="442"/>
      <c r="BT504" s="442"/>
      <c r="BU504" s="442"/>
      <c r="BV504" s="442"/>
      <c r="BW504" s="442"/>
      <c r="BX504" s="442"/>
      <c r="BY504" s="442"/>
      <c r="BZ504" s="442"/>
      <c r="CA504" s="442"/>
      <c r="CB504" s="442"/>
      <c r="CC504" s="442"/>
      <c r="CD504" s="442"/>
      <c r="CE504" s="442"/>
      <c r="CF504" s="442"/>
      <c r="CG504" s="442"/>
      <c r="CH504" s="442"/>
      <c r="CI504" s="442"/>
    </row>
    <row r="505" spans="4:87" x14ac:dyDescent="0.2"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  <c r="AA505" s="442"/>
      <c r="AB505" s="442"/>
      <c r="AC505" s="442"/>
      <c r="AD505" s="442"/>
      <c r="AE505" s="442"/>
      <c r="AF505" s="442"/>
      <c r="AG505" s="442"/>
      <c r="AH505" s="442"/>
      <c r="AI505" s="442"/>
      <c r="AJ505" s="442"/>
      <c r="AK505" s="442"/>
      <c r="AL505" s="442"/>
      <c r="AM505" s="442"/>
      <c r="AN505" s="442"/>
      <c r="AO505" s="442"/>
      <c r="AP505" s="442"/>
      <c r="AQ505" s="442"/>
      <c r="AR505" s="442"/>
      <c r="AS505" s="442"/>
      <c r="AT505" s="442"/>
      <c r="AU505" s="442"/>
      <c r="AV505" s="442"/>
      <c r="AW505" s="442"/>
      <c r="AX505" s="442"/>
      <c r="AY505" s="442"/>
      <c r="AZ505" s="442"/>
      <c r="BA505" s="442"/>
      <c r="BB505" s="442"/>
      <c r="BC505" s="442"/>
      <c r="BD505" s="442"/>
      <c r="BE505" s="442"/>
      <c r="BF505" s="442"/>
      <c r="BG505" s="442"/>
      <c r="BH505" s="442"/>
      <c r="BI505" s="442"/>
      <c r="BJ505" s="442"/>
      <c r="BK505" s="442"/>
      <c r="BL505" s="442"/>
      <c r="BM505" s="442"/>
      <c r="BN505" s="442"/>
      <c r="BO505" s="442"/>
      <c r="BP505" s="442"/>
      <c r="BQ505" s="442"/>
      <c r="BR505" s="442"/>
      <c r="BS505" s="442"/>
      <c r="BT505" s="442"/>
      <c r="BU505" s="442"/>
      <c r="BV505" s="442"/>
      <c r="BW505" s="442"/>
      <c r="BX505" s="442"/>
      <c r="BY505" s="442"/>
      <c r="BZ505" s="442"/>
      <c r="CA505" s="442"/>
      <c r="CB505" s="442"/>
      <c r="CC505" s="442"/>
      <c r="CD505" s="442"/>
      <c r="CE505" s="442"/>
      <c r="CF505" s="442"/>
      <c r="CG505" s="442"/>
      <c r="CH505" s="442"/>
      <c r="CI505" s="442"/>
    </row>
    <row r="506" spans="4:87" x14ac:dyDescent="0.2"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  <c r="AA506" s="442"/>
      <c r="AB506" s="442"/>
      <c r="AC506" s="442"/>
      <c r="AD506" s="442"/>
      <c r="AE506" s="442"/>
      <c r="AF506" s="442"/>
      <c r="AG506" s="442"/>
      <c r="AH506" s="442"/>
      <c r="AI506" s="442"/>
      <c r="AJ506" s="442"/>
      <c r="AK506" s="442"/>
      <c r="AL506" s="442"/>
      <c r="AM506" s="442"/>
      <c r="AN506" s="442"/>
      <c r="AO506" s="442"/>
      <c r="AP506" s="442"/>
      <c r="AQ506" s="442"/>
      <c r="AR506" s="442"/>
      <c r="AS506" s="442"/>
      <c r="AT506" s="442"/>
      <c r="AU506" s="442"/>
      <c r="AV506" s="442"/>
      <c r="AW506" s="442"/>
      <c r="AX506" s="442"/>
      <c r="AY506" s="442"/>
      <c r="AZ506" s="442"/>
      <c r="BA506" s="442"/>
      <c r="BB506" s="442"/>
      <c r="BC506" s="442"/>
      <c r="BD506" s="442"/>
      <c r="BE506" s="442"/>
      <c r="BF506" s="442"/>
      <c r="BG506" s="442"/>
      <c r="BH506" s="442"/>
      <c r="BI506" s="442"/>
      <c r="BJ506" s="442"/>
      <c r="BK506" s="442"/>
      <c r="BL506" s="442"/>
      <c r="BM506" s="442"/>
      <c r="BN506" s="442"/>
      <c r="BO506" s="442"/>
      <c r="BP506" s="442"/>
      <c r="BQ506" s="442"/>
      <c r="BR506" s="442"/>
      <c r="BS506" s="442"/>
      <c r="BT506" s="442"/>
      <c r="BU506" s="442"/>
      <c r="BV506" s="442"/>
      <c r="BW506" s="442"/>
      <c r="BX506" s="442"/>
      <c r="BY506" s="442"/>
      <c r="BZ506" s="442"/>
      <c r="CA506" s="442"/>
      <c r="CB506" s="442"/>
      <c r="CC506" s="442"/>
      <c r="CD506" s="442"/>
      <c r="CE506" s="442"/>
      <c r="CF506" s="442"/>
      <c r="CG506" s="442"/>
      <c r="CH506" s="442"/>
      <c r="CI506" s="442"/>
    </row>
    <row r="507" spans="4:87" x14ac:dyDescent="0.2"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  <c r="AA507" s="442"/>
      <c r="AB507" s="442"/>
      <c r="AC507" s="442"/>
      <c r="AD507" s="442"/>
      <c r="AE507" s="442"/>
      <c r="AF507" s="442"/>
      <c r="AG507" s="442"/>
      <c r="AH507" s="442"/>
      <c r="AI507" s="442"/>
      <c r="AJ507" s="442"/>
      <c r="AK507" s="442"/>
      <c r="AL507" s="442"/>
      <c r="AM507" s="442"/>
      <c r="AN507" s="442"/>
      <c r="AO507" s="442"/>
      <c r="AP507" s="442"/>
      <c r="AQ507" s="442"/>
      <c r="AR507" s="442"/>
      <c r="AS507" s="442"/>
      <c r="AT507" s="442"/>
      <c r="AU507" s="442"/>
      <c r="AV507" s="442"/>
      <c r="AW507" s="442"/>
      <c r="AX507" s="442"/>
      <c r="AY507" s="442"/>
      <c r="AZ507" s="442"/>
      <c r="BA507" s="442"/>
      <c r="BB507" s="442"/>
      <c r="BC507" s="442"/>
      <c r="BD507" s="442"/>
      <c r="BE507" s="442"/>
      <c r="BF507" s="442"/>
      <c r="BG507" s="442"/>
      <c r="BH507" s="442"/>
      <c r="BI507" s="442"/>
      <c r="BJ507" s="442"/>
      <c r="BK507" s="442"/>
      <c r="BL507" s="442"/>
      <c r="BM507" s="442"/>
      <c r="BN507" s="442"/>
      <c r="BO507" s="442"/>
      <c r="BP507" s="442"/>
      <c r="BQ507" s="442"/>
      <c r="BR507" s="442"/>
      <c r="BS507" s="442"/>
      <c r="BT507" s="442"/>
      <c r="BU507" s="442"/>
      <c r="BV507" s="442"/>
      <c r="BW507" s="442"/>
      <c r="BX507" s="442"/>
      <c r="BY507" s="442"/>
      <c r="BZ507" s="442"/>
      <c r="CA507" s="442"/>
      <c r="CB507" s="442"/>
      <c r="CC507" s="442"/>
      <c r="CD507" s="442"/>
      <c r="CE507" s="442"/>
      <c r="CF507" s="442"/>
      <c r="CG507" s="442"/>
      <c r="CH507" s="442"/>
      <c r="CI507" s="442"/>
    </row>
    <row r="508" spans="4:87" x14ac:dyDescent="0.2"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  <c r="AA508" s="442"/>
      <c r="AB508" s="442"/>
      <c r="AC508" s="442"/>
      <c r="AD508" s="442"/>
      <c r="AE508" s="442"/>
      <c r="AF508" s="442"/>
      <c r="AG508" s="442"/>
      <c r="AH508" s="442"/>
      <c r="AI508" s="442"/>
      <c r="AJ508" s="442"/>
      <c r="AK508" s="442"/>
      <c r="AL508" s="442"/>
      <c r="AM508" s="442"/>
      <c r="AN508" s="442"/>
      <c r="AO508" s="442"/>
      <c r="AP508" s="442"/>
      <c r="AQ508" s="442"/>
      <c r="AR508" s="442"/>
      <c r="AS508" s="442"/>
      <c r="AT508" s="442"/>
      <c r="AU508" s="442"/>
      <c r="AV508" s="442"/>
      <c r="AW508" s="442"/>
      <c r="AX508" s="442"/>
      <c r="AY508" s="442"/>
      <c r="AZ508" s="442"/>
      <c r="BA508" s="442"/>
      <c r="BB508" s="442"/>
      <c r="BC508" s="442"/>
      <c r="BD508" s="442"/>
      <c r="BE508" s="442"/>
      <c r="BF508" s="442"/>
      <c r="BG508" s="442"/>
      <c r="BH508" s="442"/>
      <c r="BI508" s="442"/>
      <c r="BJ508" s="442"/>
      <c r="BK508" s="442"/>
      <c r="BL508" s="442"/>
      <c r="BM508" s="442"/>
      <c r="BN508" s="442"/>
      <c r="BO508" s="442"/>
      <c r="BP508" s="442"/>
      <c r="BQ508" s="442"/>
      <c r="BR508" s="442"/>
      <c r="BS508" s="442"/>
      <c r="BT508" s="442"/>
      <c r="BU508" s="442"/>
      <c r="BV508" s="442"/>
      <c r="BW508" s="442"/>
      <c r="BX508" s="442"/>
      <c r="BY508" s="442"/>
      <c r="BZ508" s="442"/>
      <c r="CA508" s="442"/>
      <c r="CB508" s="442"/>
      <c r="CC508" s="442"/>
      <c r="CD508" s="442"/>
      <c r="CE508" s="442"/>
      <c r="CF508" s="442"/>
      <c r="CG508" s="442"/>
      <c r="CH508" s="442"/>
      <c r="CI508" s="442"/>
    </row>
    <row r="509" spans="4:87" x14ac:dyDescent="0.2"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  <c r="AA509" s="442"/>
      <c r="AB509" s="442"/>
      <c r="AC509" s="442"/>
      <c r="AD509" s="442"/>
      <c r="AE509" s="442"/>
      <c r="AF509" s="442"/>
      <c r="AG509" s="442"/>
      <c r="AH509" s="442"/>
      <c r="AI509" s="442"/>
      <c r="AJ509" s="442"/>
      <c r="AK509" s="442"/>
      <c r="AL509" s="442"/>
      <c r="AM509" s="442"/>
      <c r="AN509" s="442"/>
      <c r="AO509" s="442"/>
      <c r="AP509" s="442"/>
      <c r="AQ509" s="442"/>
      <c r="AR509" s="442"/>
      <c r="AS509" s="442"/>
      <c r="AT509" s="442"/>
      <c r="AU509" s="442"/>
      <c r="AV509" s="442"/>
      <c r="AW509" s="442"/>
      <c r="AX509" s="442"/>
      <c r="AY509" s="442"/>
      <c r="AZ509" s="442"/>
      <c r="BA509" s="442"/>
      <c r="BB509" s="442"/>
      <c r="BC509" s="442"/>
      <c r="BD509" s="442"/>
      <c r="BE509" s="442"/>
      <c r="BF509" s="442"/>
      <c r="BG509" s="442"/>
      <c r="BH509" s="442"/>
      <c r="BI509" s="442"/>
      <c r="BJ509" s="442"/>
      <c r="BK509" s="442"/>
      <c r="BL509" s="442"/>
      <c r="BM509" s="442"/>
      <c r="BN509" s="442"/>
      <c r="BO509" s="442"/>
      <c r="BP509" s="442"/>
      <c r="BQ509" s="442"/>
      <c r="BR509" s="442"/>
      <c r="BS509" s="442"/>
      <c r="BT509" s="442"/>
      <c r="BU509" s="442"/>
      <c r="BV509" s="442"/>
      <c r="BW509" s="442"/>
      <c r="BX509" s="442"/>
      <c r="BY509" s="442"/>
      <c r="BZ509" s="442"/>
      <c r="CA509" s="442"/>
      <c r="CB509" s="442"/>
      <c r="CC509" s="442"/>
      <c r="CD509" s="442"/>
      <c r="CE509" s="442"/>
      <c r="CF509" s="442"/>
      <c r="CG509" s="442"/>
      <c r="CH509" s="442"/>
      <c r="CI509" s="442"/>
    </row>
    <row r="510" spans="4:87" x14ac:dyDescent="0.2"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  <c r="AA510" s="442"/>
      <c r="AB510" s="442"/>
      <c r="AC510" s="442"/>
      <c r="AD510" s="442"/>
      <c r="AE510" s="442"/>
      <c r="AF510" s="442"/>
      <c r="AG510" s="442"/>
      <c r="AH510" s="442"/>
      <c r="AI510" s="442"/>
      <c r="AJ510" s="442"/>
      <c r="AK510" s="442"/>
      <c r="AL510" s="442"/>
      <c r="AM510" s="442"/>
      <c r="AN510" s="442"/>
      <c r="AO510" s="442"/>
      <c r="AP510" s="442"/>
      <c r="AQ510" s="442"/>
      <c r="AR510" s="442"/>
      <c r="AS510" s="442"/>
      <c r="AT510" s="442"/>
      <c r="AU510" s="442"/>
      <c r="AV510" s="442"/>
      <c r="AW510" s="442"/>
      <c r="AX510" s="442"/>
      <c r="AY510" s="442"/>
      <c r="AZ510" s="442"/>
      <c r="BA510" s="442"/>
      <c r="BB510" s="442"/>
      <c r="BC510" s="442"/>
      <c r="BD510" s="442"/>
      <c r="BE510" s="442"/>
      <c r="BF510" s="442"/>
      <c r="BG510" s="442"/>
      <c r="BH510" s="442"/>
      <c r="BI510" s="442"/>
      <c r="BJ510" s="442"/>
      <c r="BK510" s="442"/>
      <c r="BL510" s="442"/>
      <c r="BM510" s="442"/>
      <c r="BN510" s="442"/>
      <c r="BO510" s="442"/>
      <c r="BP510" s="442"/>
      <c r="BQ510" s="442"/>
      <c r="BR510" s="442"/>
      <c r="BS510" s="442"/>
      <c r="BT510" s="442"/>
      <c r="BU510" s="442"/>
      <c r="BV510" s="442"/>
      <c r="BW510" s="442"/>
      <c r="BX510" s="442"/>
      <c r="BY510" s="442"/>
      <c r="BZ510" s="442"/>
      <c r="CA510" s="442"/>
      <c r="CB510" s="442"/>
      <c r="CC510" s="442"/>
      <c r="CD510" s="442"/>
      <c r="CE510" s="442"/>
      <c r="CF510" s="442"/>
      <c r="CG510" s="442"/>
      <c r="CH510" s="442"/>
      <c r="CI510" s="442"/>
    </row>
    <row r="511" spans="4:87" x14ac:dyDescent="0.2"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  <c r="AA511" s="442"/>
      <c r="AB511" s="442"/>
      <c r="AC511" s="442"/>
      <c r="AD511" s="442"/>
      <c r="AE511" s="442"/>
      <c r="AF511" s="442"/>
      <c r="AG511" s="442"/>
      <c r="AH511" s="442"/>
      <c r="AI511" s="442"/>
      <c r="AJ511" s="442"/>
      <c r="AK511" s="442"/>
      <c r="AL511" s="442"/>
      <c r="AM511" s="442"/>
      <c r="AN511" s="442"/>
      <c r="AO511" s="442"/>
      <c r="AP511" s="442"/>
      <c r="AQ511" s="442"/>
      <c r="AR511" s="442"/>
      <c r="AS511" s="442"/>
      <c r="AT511" s="442"/>
      <c r="AU511" s="442"/>
      <c r="AV511" s="442"/>
      <c r="AW511" s="442"/>
      <c r="AX511" s="442"/>
      <c r="AY511" s="442"/>
      <c r="AZ511" s="442"/>
      <c r="BA511" s="442"/>
      <c r="BB511" s="442"/>
      <c r="BC511" s="442"/>
      <c r="BD511" s="442"/>
      <c r="BE511" s="442"/>
      <c r="BF511" s="442"/>
      <c r="BG511" s="442"/>
      <c r="BH511" s="442"/>
      <c r="BI511" s="442"/>
      <c r="BJ511" s="442"/>
      <c r="BK511" s="442"/>
      <c r="BL511" s="442"/>
      <c r="BM511" s="442"/>
      <c r="BN511" s="442"/>
      <c r="BO511" s="442"/>
      <c r="BP511" s="442"/>
      <c r="BQ511" s="442"/>
      <c r="BR511" s="442"/>
      <c r="BS511" s="442"/>
      <c r="BT511" s="442"/>
      <c r="BU511" s="442"/>
      <c r="BV511" s="442"/>
      <c r="BW511" s="442"/>
      <c r="BX511" s="442"/>
      <c r="BY511" s="442"/>
      <c r="BZ511" s="442"/>
      <c r="CA511" s="442"/>
      <c r="CB511" s="442"/>
      <c r="CC511" s="442"/>
      <c r="CD511" s="442"/>
      <c r="CE511" s="442"/>
      <c r="CF511" s="442"/>
      <c r="CG511" s="442"/>
      <c r="CH511" s="442"/>
      <c r="CI511" s="442"/>
    </row>
    <row r="512" spans="4:87" x14ac:dyDescent="0.2"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  <c r="AA512" s="442"/>
      <c r="AB512" s="442"/>
      <c r="AC512" s="442"/>
      <c r="AD512" s="442"/>
      <c r="AE512" s="442"/>
      <c r="AF512" s="442"/>
      <c r="AG512" s="442"/>
      <c r="AH512" s="442"/>
      <c r="AI512" s="442"/>
      <c r="AJ512" s="442"/>
      <c r="AK512" s="442"/>
      <c r="AL512" s="442"/>
      <c r="AM512" s="442"/>
      <c r="AN512" s="442"/>
      <c r="AO512" s="442"/>
      <c r="AP512" s="442"/>
      <c r="AQ512" s="442"/>
      <c r="AR512" s="442"/>
      <c r="AS512" s="442"/>
      <c r="AT512" s="442"/>
      <c r="AU512" s="442"/>
      <c r="AV512" s="442"/>
      <c r="AW512" s="442"/>
      <c r="AX512" s="442"/>
      <c r="AY512" s="442"/>
      <c r="AZ512" s="442"/>
      <c r="BA512" s="442"/>
      <c r="BB512" s="442"/>
      <c r="BC512" s="442"/>
      <c r="BD512" s="442"/>
      <c r="BE512" s="442"/>
      <c r="BF512" s="442"/>
      <c r="BG512" s="442"/>
      <c r="BH512" s="442"/>
      <c r="BI512" s="442"/>
      <c r="BJ512" s="442"/>
      <c r="BK512" s="442"/>
      <c r="BL512" s="442"/>
      <c r="BM512" s="442"/>
      <c r="BN512" s="442"/>
      <c r="BO512" s="442"/>
      <c r="BP512" s="442"/>
      <c r="BQ512" s="442"/>
      <c r="BR512" s="442"/>
      <c r="BS512" s="442"/>
      <c r="BT512" s="442"/>
      <c r="BU512" s="442"/>
      <c r="BV512" s="442"/>
      <c r="BW512" s="442"/>
      <c r="BX512" s="442"/>
      <c r="BY512" s="442"/>
      <c r="BZ512" s="442"/>
      <c r="CA512" s="442"/>
      <c r="CB512" s="442"/>
      <c r="CC512" s="442"/>
      <c r="CD512" s="442"/>
      <c r="CE512" s="442"/>
      <c r="CF512" s="442"/>
      <c r="CG512" s="442"/>
      <c r="CH512" s="442"/>
      <c r="CI512" s="442"/>
    </row>
    <row r="513" spans="4:87" x14ac:dyDescent="0.2"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  <c r="AA513" s="442"/>
      <c r="AB513" s="442"/>
      <c r="AC513" s="442"/>
      <c r="AD513" s="442"/>
      <c r="AE513" s="442"/>
      <c r="AF513" s="442"/>
      <c r="AG513" s="442"/>
      <c r="AH513" s="442"/>
      <c r="AI513" s="442"/>
      <c r="AJ513" s="442"/>
      <c r="AK513" s="442"/>
      <c r="AL513" s="442"/>
      <c r="AM513" s="442"/>
      <c r="AN513" s="442"/>
      <c r="AO513" s="442"/>
      <c r="AP513" s="442"/>
      <c r="AQ513" s="442"/>
      <c r="AR513" s="442"/>
      <c r="AS513" s="442"/>
      <c r="AT513" s="442"/>
      <c r="AU513" s="442"/>
      <c r="AV513" s="442"/>
      <c r="AW513" s="442"/>
      <c r="AX513" s="442"/>
      <c r="AY513" s="442"/>
      <c r="AZ513" s="442"/>
      <c r="BA513" s="442"/>
      <c r="BB513" s="442"/>
      <c r="BC513" s="442"/>
      <c r="BD513" s="442"/>
      <c r="BE513" s="442"/>
      <c r="BF513" s="442"/>
      <c r="BG513" s="442"/>
      <c r="BH513" s="442"/>
      <c r="BI513" s="442"/>
      <c r="BJ513" s="442"/>
      <c r="BK513" s="442"/>
      <c r="BL513" s="442"/>
      <c r="BM513" s="442"/>
      <c r="BN513" s="442"/>
      <c r="BO513" s="442"/>
      <c r="BP513" s="442"/>
      <c r="BQ513" s="442"/>
      <c r="BR513" s="442"/>
      <c r="BS513" s="442"/>
      <c r="BT513" s="442"/>
      <c r="BU513" s="442"/>
      <c r="BV513" s="442"/>
      <c r="BW513" s="442"/>
      <c r="BX513" s="442"/>
      <c r="BY513" s="442"/>
      <c r="BZ513" s="442"/>
      <c r="CA513" s="442"/>
      <c r="CB513" s="442"/>
      <c r="CC513" s="442"/>
      <c r="CD513" s="442"/>
      <c r="CE513" s="442"/>
      <c r="CF513" s="442"/>
      <c r="CG513" s="442"/>
      <c r="CH513" s="442"/>
      <c r="CI513" s="442"/>
    </row>
    <row r="514" spans="4:87" x14ac:dyDescent="0.2"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  <c r="AA514" s="442"/>
      <c r="AB514" s="442"/>
      <c r="AC514" s="442"/>
      <c r="AD514" s="442"/>
      <c r="AE514" s="442"/>
      <c r="AF514" s="442"/>
      <c r="AG514" s="442"/>
      <c r="AH514" s="442"/>
      <c r="AI514" s="442"/>
      <c r="AJ514" s="442"/>
      <c r="AK514" s="442"/>
      <c r="AL514" s="442"/>
      <c r="AM514" s="442"/>
      <c r="AN514" s="442"/>
      <c r="AO514" s="442"/>
      <c r="AP514" s="442"/>
      <c r="AQ514" s="442"/>
      <c r="AR514" s="442"/>
      <c r="AS514" s="442"/>
      <c r="AT514" s="442"/>
      <c r="AU514" s="442"/>
      <c r="AV514" s="442"/>
      <c r="AW514" s="442"/>
      <c r="AX514" s="442"/>
      <c r="AY514" s="442"/>
      <c r="AZ514" s="442"/>
      <c r="BA514" s="442"/>
      <c r="BB514" s="442"/>
      <c r="BC514" s="442"/>
      <c r="BD514" s="442"/>
      <c r="BE514" s="442"/>
      <c r="BF514" s="442"/>
      <c r="BG514" s="442"/>
      <c r="BH514" s="442"/>
      <c r="BI514" s="442"/>
      <c r="BJ514" s="442"/>
      <c r="BK514" s="442"/>
      <c r="BL514" s="442"/>
      <c r="BM514" s="442"/>
      <c r="BN514" s="442"/>
      <c r="BO514" s="442"/>
      <c r="BP514" s="442"/>
      <c r="BQ514" s="442"/>
      <c r="BR514" s="442"/>
      <c r="BS514" s="442"/>
      <c r="BT514" s="442"/>
      <c r="BU514" s="442"/>
      <c r="BV514" s="442"/>
      <c r="BW514" s="442"/>
      <c r="BX514" s="442"/>
      <c r="BY514" s="442"/>
      <c r="BZ514" s="442"/>
      <c r="CA514" s="442"/>
      <c r="CB514" s="442"/>
      <c r="CC514" s="442"/>
      <c r="CD514" s="442"/>
      <c r="CE514" s="442"/>
      <c r="CF514" s="442"/>
      <c r="CG514" s="442"/>
      <c r="CH514" s="442"/>
      <c r="CI514" s="442"/>
    </row>
    <row r="515" spans="4:87" x14ac:dyDescent="0.2"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  <c r="AA515" s="442"/>
      <c r="AB515" s="442"/>
      <c r="AC515" s="442"/>
      <c r="AD515" s="442"/>
      <c r="AE515" s="442"/>
      <c r="AF515" s="442"/>
      <c r="AG515" s="442"/>
      <c r="AH515" s="442"/>
      <c r="AI515" s="442"/>
      <c r="AJ515" s="442"/>
      <c r="AK515" s="442"/>
      <c r="AL515" s="442"/>
      <c r="AM515" s="442"/>
      <c r="AN515" s="442"/>
      <c r="AO515" s="442"/>
      <c r="AP515" s="442"/>
      <c r="AQ515" s="442"/>
      <c r="AR515" s="442"/>
      <c r="AS515" s="442"/>
      <c r="AT515" s="442"/>
      <c r="AU515" s="442"/>
      <c r="AV515" s="442"/>
      <c r="AW515" s="442"/>
      <c r="AX515" s="442"/>
      <c r="AY515" s="442"/>
      <c r="AZ515" s="442"/>
      <c r="BA515" s="442"/>
      <c r="BB515" s="442"/>
      <c r="BC515" s="442"/>
      <c r="BD515" s="442"/>
      <c r="BE515" s="442"/>
      <c r="BF515" s="442"/>
      <c r="BG515" s="442"/>
      <c r="BH515" s="442"/>
      <c r="BI515" s="442"/>
      <c r="BJ515" s="442"/>
      <c r="BK515" s="442"/>
      <c r="BL515" s="442"/>
      <c r="BM515" s="442"/>
      <c r="BN515" s="442"/>
      <c r="BO515" s="442"/>
      <c r="BP515" s="442"/>
      <c r="BQ515" s="442"/>
      <c r="BR515" s="442"/>
      <c r="BS515" s="442"/>
      <c r="BT515" s="442"/>
      <c r="BU515" s="442"/>
      <c r="BV515" s="442"/>
      <c r="BW515" s="442"/>
      <c r="BX515" s="442"/>
      <c r="BY515" s="442"/>
      <c r="BZ515" s="442"/>
      <c r="CA515" s="442"/>
      <c r="CB515" s="442"/>
      <c r="CC515" s="442"/>
      <c r="CD515" s="442"/>
      <c r="CE515" s="442"/>
      <c r="CF515" s="442"/>
      <c r="CG515" s="442"/>
      <c r="CH515" s="442"/>
      <c r="CI515" s="442"/>
    </row>
    <row r="516" spans="4:87" x14ac:dyDescent="0.2"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  <c r="AA516" s="442"/>
      <c r="AB516" s="442"/>
      <c r="AC516" s="442"/>
      <c r="AD516" s="442"/>
      <c r="AE516" s="442"/>
      <c r="AF516" s="442"/>
      <c r="AG516" s="442"/>
      <c r="AH516" s="442"/>
      <c r="AI516" s="442"/>
      <c r="AJ516" s="442"/>
      <c r="AK516" s="442"/>
      <c r="AL516" s="442"/>
      <c r="AM516" s="442"/>
      <c r="AN516" s="442"/>
      <c r="AO516" s="442"/>
      <c r="AP516" s="442"/>
      <c r="AQ516" s="442"/>
      <c r="AR516" s="442"/>
      <c r="AS516" s="442"/>
      <c r="AT516" s="442"/>
      <c r="AU516" s="442"/>
      <c r="AV516" s="442"/>
      <c r="AW516" s="442"/>
      <c r="AX516" s="442"/>
      <c r="AY516" s="442"/>
      <c r="AZ516" s="442"/>
      <c r="BA516" s="442"/>
      <c r="BB516" s="442"/>
      <c r="BC516" s="442"/>
      <c r="BD516" s="442"/>
      <c r="BE516" s="442"/>
      <c r="BF516" s="442"/>
      <c r="BG516" s="442"/>
      <c r="BH516" s="442"/>
      <c r="BI516" s="442"/>
      <c r="BJ516" s="442"/>
      <c r="BK516" s="442"/>
      <c r="BL516" s="442"/>
      <c r="BM516" s="442"/>
      <c r="BN516" s="442"/>
      <c r="BO516" s="442"/>
      <c r="BP516" s="442"/>
      <c r="BQ516" s="442"/>
      <c r="BR516" s="442"/>
      <c r="BS516" s="442"/>
      <c r="BT516" s="442"/>
      <c r="BU516" s="442"/>
      <c r="BV516" s="442"/>
      <c r="BW516" s="442"/>
      <c r="BX516" s="442"/>
      <c r="BY516" s="442"/>
      <c r="BZ516" s="442"/>
      <c r="CA516" s="442"/>
      <c r="CB516" s="442"/>
      <c r="CC516" s="442"/>
      <c r="CD516" s="442"/>
      <c r="CE516" s="442"/>
      <c r="CF516" s="442"/>
      <c r="CG516" s="442"/>
      <c r="CH516" s="442"/>
      <c r="CI516" s="442"/>
    </row>
    <row r="517" spans="4:87" x14ac:dyDescent="0.2"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  <c r="AA517" s="442"/>
      <c r="AB517" s="442"/>
      <c r="AC517" s="442"/>
      <c r="AD517" s="442"/>
      <c r="AE517" s="442"/>
      <c r="AF517" s="442"/>
      <c r="AG517" s="442"/>
      <c r="AH517" s="442"/>
      <c r="AI517" s="442"/>
      <c r="AJ517" s="442"/>
      <c r="AK517" s="442"/>
      <c r="AL517" s="442"/>
      <c r="AM517" s="442"/>
      <c r="AN517" s="442"/>
      <c r="AO517" s="442"/>
      <c r="AP517" s="442"/>
      <c r="AQ517" s="442"/>
      <c r="AR517" s="442"/>
      <c r="AS517" s="442"/>
      <c r="AT517" s="442"/>
      <c r="AU517" s="442"/>
      <c r="AV517" s="442"/>
      <c r="AW517" s="442"/>
      <c r="AX517" s="442"/>
      <c r="AY517" s="442"/>
      <c r="AZ517" s="442"/>
      <c r="BA517" s="442"/>
      <c r="BB517" s="442"/>
      <c r="BC517" s="442"/>
      <c r="BD517" s="442"/>
      <c r="BE517" s="442"/>
      <c r="BF517" s="442"/>
      <c r="BG517" s="442"/>
      <c r="BH517" s="442"/>
      <c r="BI517" s="442"/>
      <c r="BJ517" s="442"/>
      <c r="BK517" s="442"/>
      <c r="BL517" s="442"/>
      <c r="BM517" s="442"/>
      <c r="BN517" s="442"/>
      <c r="BO517" s="442"/>
      <c r="BP517" s="442"/>
      <c r="BQ517" s="442"/>
      <c r="BR517" s="442"/>
      <c r="BS517" s="442"/>
      <c r="BT517" s="442"/>
      <c r="BU517" s="442"/>
      <c r="BV517" s="442"/>
      <c r="BW517" s="442"/>
      <c r="BX517" s="442"/>
      <c r="BY517" s="442"/>
      <c r="BZ517" s="442"/>
      <c r="CA517" s="442"/>
      <c r="CB517" s="442"/>
      <c r="CC517" s="442"/>
      <c r="CD517" s="442"/>
      <c r="CE517" s="442"/>
      <c r="CF517" s="442"/>
      <c r="CG517" s="442"/>
      <c r="CH517" s="442"/>
      <c r="CI517" s="442"/>
    </row>
    <row r="518" spans="4:87" x14ac:dyDescent="0.2"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  <c r="AA518" s="442"/>
      <c r="AB518" s="442"/>
      <c r="AC518" s="442"/>
      <c r="AD518" s="442"/>
      <c r="AE518" s="442"/>
      <c r="AF518" s="442"/>
      <c r="AG518" s="442"/>
      <c r="AH518" s="442"/>
      <c r="AI518" s="442"/>
      <c r="AJ518" s="442"/>
      <c r="AK518" s="442"/>
      <c r="AL518" s="442"/>
      <c r="AM518" s="442"/>
      <c r="AN518" s="442"/>
      <c r="AO518" s="442"/>
      <c r="AP518" s="442"/>
      <c r="AQ518" s="442"/>
      <c r="AR518" s="442"/>
      <c r="AS518" s="442"/>
      <c r="AT518" s="442"/>
      <c r="AU518" s="442"/>
      <c r="AV518" s="442"/>
      <c r="AW518" s="442"/>
      <c r="AX518" s="442"/>
      <c r="AY518" s="442"/>
      <c r="AZ518" s="442"/>
      <c r="BA518" s="442"/>
      <c r="BB518" s="442"/>
      <c r="BC518" s="442"/>
      <c r="BD518" s="442"/>
      <c r="BE518" s="442"/>
      <c r="BF518" s="442"/>
      <c r="BG518" s="442"/>
      <c r="BH518" s="442"/>
      <c r="BI518" s="442"/>
      <c r="BJ518" s="442"/>
      <c r="BK518" s="442"/>
      <c r="BL518" s="442"/>
      <c r="BM518" s="442"/>
      <c r="BN518" s="442"/>
      <c r="BO518" s="442"/>
      <c r="BP518" s="442"/>
      <c r="BQ518" s="442"/>
      <c r="BR518" s="442"/>
      <c r="BS518" s="442"/>
      <c r="BT518" s="442"/>
      <c r="BU518" s="442"/>
      <c r="BV518" s="442"/>
      <c r="BW518" s="442"/>
      <c r="BX518" s="442"/>
      <c r="BY518" s="442"/>
      <c r="BZ518" s="442"/>
      <c r="CA518" s="442"/>
      <c r="CB518" s="442"/>
      <c r="CC518" s="442"/>
      <c r="CD518" s="442"/>
      <c r="CE518" s="442"/>
      <c r="CF518" s="442"/>
      <c r="CG518" s="442"/>
      <c r="CH518" s="442"/>
      <c r="CI518" s="442"/>
    </row>
    <row r="519" spans="4:87" x14ac:dyDescent="0.2"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  <c r="AA519" s="442"/>
      <c r="AB519" s="442"/>
      <c r="AC519" s="442"/>
      <c r="AD519" s="442"/>
      <c r="AE519" s="442"/>
      <c r="AF519" s="442"/>
      <c r="AG519" s="442"/>
      <c r="AH519" s="442"/>
      <c r="AI519" s="442"/>
      <c r="AJ519" s="442"/>
      <c r="AK519" s="442"/>
      <c r="AL519" s="442"/>
      <c r="AM519" s="442"/>
      <c r="AN519" s="442"/>
      <c r="AO519" s="442"/>
      <c r="AP519" s="442"/>
      <c r="AQ519" s="442"/>
      <c r="AR519" s="442"/>
      <c r="AS519" s="442"/>
      <c r="AT519" s="442"/>
      <c r="AU519" s="442"/>
      <c r="AV519" s="442"/>
      <c r="AW519" s="442"/>
      <c r="AX519" s="442"/>
      <c r="AY519" s="442"/>
      <c r="AZ519" s="442"/>
      <c r="BA519" s="442"/>
      <c r="BB519" s="442"/>
      <c r="BC519" s="442"/>
      <c r="BD519" s="442"/>
      <c r="BE519" s="442"/>
      <c r="BF519" s="442"/>
      <c r="BG519" s="442"/>
      <c r="BH519" s="442"/>
      <c r="BI519" s="442"/>
      <c r="BJ519" s="442"/>
      <c r="BK519" s="442"/>
      <c r="BL519" s="442"/>
      <c r="BM519" s="442"/>
      <c r="BN519" s="442"/>
      <c r="BO519" s="442"/>
      <c r="BP519" s="442"/>
      <c r="BQ519" s="442"/>
      <c r="BR519" s="442"/>
      <c r="BS519" s="442"/>
      <c r="BT519" s="442"/>
      <c r="BU519" s="442"/>
      <c r="BV519" s="442"/>
      <c r="BW519" s="442"/>
      <c r="BX519" s="442"/>
      <c r="BY519" s="442"/>
      <c r="BZ519" s="442"/>
      <c r="CA519" s="442"/>
      <c r="CB519" s="442"/>
      <c r="CC519" s="442"/>
      <c r="CD519" s="442"/>
      <c r="CE519" s="442"/>
      <c r="CF519" s="442"/>
      <c r="CG519" s="442"/>
      <c r="CH519" s="442"/>
      <c r="CI519" s="442"/>
    </row>
    <row r="520" spans="4:87" x14ac:dyDescent="0.2"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  <c r="AA520" s="442"/>
      <c r="AB520" s="442"/>
      <c r="AC520" s="442"/>
      <c r="AD520" s="442"/>
      <c r="AE520" s="442"/>
      <c r="AF520" s="442"/>
      <c r="AG520" s="442"/>
      <c r="AH520" s="442"/>
      <c r="AI520" s="442"/>
      <c r="AJ520" s="442"/>
      <c r="AK520" s="442"/>
      <c r="AL520" s="442"/>
      <c r="AM520" s="442"/>
      <c r="AN520" s="442"/>
      <c r="AO520" s="442"/>
      <c r="AP520" s="442"/>
      <c r="AQ520" s="442"/>
      <c r="AR520" s="442"/>
      <c r="AS520" s="442"/>
      <c r="AT520" s="442"/>
      <c r="AU520" s="442"/>
      <c r="AV520" s="442"/>
      <c r="AW520" s="442"/>
      <c r="AX520" s="442"/>
      <c r="AY520" s="442"/>
      <c r="AZ520" s="442"/>
      <c r="BA520" s="442"/>
      <c r="BB520" s="442"/>
      <c r="BC520" s="442"/>
      <c r="BD520" s="442"/>
      <c r="BE520" s="442"/>
      <c r="BF520" s="442"/>
      <c r="BG520" s="442"/>
      <c r="BH520" s="442"/>
      <c r="BI520" s="442"/>
      <c r="BJ520" s="442"/>
      <c r="BK520" s="442"/>
      <c r="BL520" s="442"/>
      <c r="BM520" s="442"/>
      <c r="BN520" s="442"/>
      <c r="BO520" s="442"/>
      <c r="BP520" s="442"/>
      <c r="BQ520" s="442"/>
      <c r="BR520" s="442"/>
      <c r="BS520" s="442"/>
      <c r="BT520" s="442"/>
      <c r="BU520" s="442"/>
      <c r="BV520" s="442"/>
      <c r="BW520" s="442"/>
      <c r="BX520" s="442"/>
      <c r="BY520" s="442"/>
      <c r="BZ520" s="442"/>
      <c r="CA520" s="442"/>
      <c r="CB520" s="442"/>
      <c r="CC520" s="442"/>
      <c r="CD520" s="442"/>
      <c r="CE520" s="442"/>
      <c r="CF520" s="442"/>
      <c r="CG520" s="442"/>
      <c r="CH520" s="442"/>
      <c r="CI520" s="442"/>
    </row>
    <row r="521" spans="4:87" x14ac:dyDescent="0.2">
      <c r="D521" s="442"/>
      <c r="E521" s="442"/>
      <c r="F521" s="442"/>
      <c r="G521" s="442"/>
      <c r="H521" s="442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  <c r="AA521" s="442"/>
      <c r="AB521" s="442"/>
      <c r="AC521" s="442"/>
      <c r="AD521" s="442"/>
      <c r="AE521" s="442"/>
      <c r="AF521" s="442"/>
      <c r="AG521" s="442"/>
      <c r="AH521" s="442"/>
      <c r="AI521" s="442"/>
      <c r="AJ521" s="442"/>
      <c r="AK521" s="442"/>
      <c r="AL521" s="442"/>
      <c r="AM521" s="442"/>
      <c r="AN521" s="442"/>
      <c r="AO521" s="442"/>
      <c r="AP521" s="442"/>
      <c r="AQ521" s="442"/>
      <c r="AR521" s="442"/>
      <c r="AS521" s="442"/>
      <c r="AT521" s="442"/>
      <c r="AU521" s="442"/>
      <c r="AV521" s="442"/>
      <c r="AW521" s="442"/>
      <c r="AX521" s="442"/>
      <c r="AY521" s="442"/>
      <c r="AZ521" s="442"/>
      <c r="BA521" s="442"/>
      <c r="BB521" s="442"/>
      <c r="BC521" s="442"/>
      <c r="BD521" s="442"/>
      <c r="BE521" s="442"/>
      <c r="BF521" s="442"/>
      <c r="BG521" s="442"/>
      <c r="BH521" s="442"/>
      <c r="BI521" s="442"/>
      <c r="BJ521" s="442"/>
      <c r="BK521" s="442"/>
      <c r="BL521" s="442"/>
      <c r="BM521" s="442"/>
      <c r="BN521" s="442"/>
      <c r="BO521" s="442"/>
      <c r="BP521" s="442"/>
      <c r="BQ521" s="442"/>
      <c r="BR521" s="442"/>
      <c r="BS521" s="442"/>
      <c r="BT521" s="442"/>
      <c r="BU521" s="442"/>
      <c r="BV521" s="442"/>
      <c r="BW521" s="442"/>
      <c r="BX521" s="442"/>
      <c r="BY521" s="442"/>
      <c r="BZ521" s="442"/>
      <c r="CA521" s="442"/>
      <c r="CB521" s="442"/>
      <c r="CC521" s="442"/>
      <c r="CD521" s="442"/>
      <c r="CE521" s="442"/>
      <c r="CF521" s="442"/>
      <c r="CG521" s="442"/>
      <c r="CH521" s="442"/>
      <c r="CI521" s="442"/>
    </row>
    <row r="522" spans="4:87" x14ac:dyDescent="0.2">
      <c r="D522" s="442"/>
      <c r="E522" s="442"/>
      <c r="F522" s="442"/>
      <c r="G522" s="442"/>
      <c r="H522" s="442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  <c r="AA522" s="442"/>
      <c r="AB522" s="442"/>
      <c r="AC522" s="442"/>
      <c r="AD522" s="442"/>
      <c r="AE522" s="442"/>
      <c r="AF522" s="442"/>
      <c r="AG522" s="442"/>
      <c r="AH522" s="442"/>
      <c r="AI522" s="442"/>
      <c r="AJ522" s="442"/>
      <c r="AK522" s="442"/>
      <c r="AL522" s="442"/>
      <c r="AM522" s="442"/>
      <c r="AN522" s="442"/>
      <c r="AO522" s="442"/>
      <c r="AP522" s="442"/>
      <c r="AQ522" s="442"/>
      <c r="AR522" s="442"/>
      <c r="AS522" s="442"/>
      <c r="AT522" s="442"/>
      <c r="AU522" s="442"/>
      <c r="AV522" s="442"/>
      <c r="AW522" s="442"/>
      <c r="AX522" s="442"/>
      <c r="AY522" s="442"/>
      <c r="AZ522" s="442"/>
      <c r="BA522" s="442"/>
      <c r="BB522" s="442"/>
      <c r="BC522" s="442"/>
      <c r="BD522" s="442"/>
      <c r="BE522" s="442"/>
      <c r="BF522" s="442"/>
      <c r="BG522" s="442"/>
      <c r="BH522" s="442"/>
      <c r="BI522" s="442"/>
      <c r="BJ522" s="442"/>
      <c r="BK522" s="442"/>
      <c r="BL522" s="442"/>
      <c r="BM522" s="442"/>
      <c r="BN522" s="442"/>
      <c r="BO522" s="442"/>
      <c r="BP522" s="442"/>
      <c r="BQ522" s="442"/>
      <c r="BR522" s="442"/>
      <c r="BS522" s="442"/>
      <c r="BT522" s="442"/>
      <c r="BU522" s="442"/>
      <c r="BV522" s="442"/>
      <c r="BW522" s="442"/>
      <c r="BX522" s="442"/>
      <c r="BY522" s="442"/>
      <c r="BZ522" s="442"/>
      <c r="CA522" s="442"/>
      <c r="CB522" s="442"/>
      <c r="CC522" s="442"/>
      <c r="CD522" s="442"/>
      <c r="CE522" s="442"/>
      <c r="CF522" s="442"/>
      <c r="CG522" s="442"/>
      <c r="CH522" s="442"/>
      <c r="CI522" s="442"/>
    </row>
    <row r="523" spans="4:87" x14ac:dyDescent="0.2">
      <c r="D523" s="442"/>
      <c r="E523" s="442"/>
      <c r="F523" s="442"/>
      <c r="G523" s="442"/>
      <c r="H523" s="442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  <c r="AA523" s="442"/>
      <c r="AB523" s="442"/>
      <c r="AC523" s="442"/>
      <c r="AD523" s="442"/>
      <c r="AE523" s="442"/>
      <c r="AF523" s="442"/>
      <c r="AG523" s="442"/>
      <c r="AH523" s="442"/>
      <c r="AI523" s="442"/>
      <c r="AJ523" s="442"/>
      <c r="AK523" s="442"/>
      <c r="AL523" s="442"/>
      <c r="AM523" s="442"/>
      <c r="AN523" s="442"/>
      <c r="AO523" s="442"/>
      <c r="AP523" s="442"/>
      <c r="AQ523" s="442"/>
      <c r="AR523" s="442"/>
      <c r="AS523" s="442"/>
      <c r="AT523" s="442"/>
      <c r="AU523" s="442"/>
      <c r="AV523" s="442"/>
      <c r="AW523" s="442"/>
      <c r="AX523" s="442"/>
      <c r="AY523" s="442"/>
      <c r="AZ523" s="442"/>
      <c r="BA523" s="442"/>
      <c r="BB523" s="442"/>
      <c r="BC523" s="442"/>
      <c r="BD523" s="442"/>
      <c r="BE523" s="442"/>
      <c r="BF523" s="442"/>
      <c r="BG523" s="442"/>
      <c r="BH523" s="442"/>
      <c r="BI523" s="442"/>
      <c r="BJ523" s="442"/>
      <c r="BK523" s="442"/>
      <c r="BL523" s="442"/>
      <c r="BM523" s="442"/>
      <c r="BN523" s="442"/>
      <c r="BO523" s="442"/>
      <c r="BP523" s="442"/>
      <c r="BQ523" s="442"/>
      <c r="BR523" s="442"/>
      <c r="BS523" s="442"/>
      <c r="BT523" s="442"/>
      <c r="BU523" s="442"/>
      <c r="BV523" s="442"/>
      <c r="BW523" s="442"/>
      <c r="BX523" s="442"/>
      <c r="BY523" s="442"/>
      <c r="BZ523" s="442"/>
      <c r="CA523" s="442"/>
      <c r="CB523" s="442"/>
      <c r="CC523" s="442"/>
      <c r="CD523" s="442"/>
      <c r="CE523" s="442"/>
      <c r="CF523" s="442"/>
      <c r="CG523" s="442"/>
      <c r="CH523" s="442"/>
      <c r="CI523" s="442"/>
    </row>
    <row r="524" spans="4:87" x14ac:dyDescent="0.2">
      <c r="D524" s="442"/>
      <c r="E524" s="442"/>
      <c r="F524" s="442"/>
      <c r="G524" s="442"/>
      <c r="H524" s="442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  <c r="AA524" s="442"/>
      <c r="AB524" s="442"/>
      <c r="AC524" s="442"/>
      <c r="AD524" s="442"/>
      <c r="AE524" s="442"/>
      <c r="AF524" s="442"/>
      <c r="AG524" s="442"/>
      <c r="AH524" s="442"/>
      <c r="AI524" s="442"/>
      <c r="AJ524" s="442"/>
      <c r="AK524" s="442"/>
      <c r="AL524" s="442"/>
      <c r="AM524" s="442"/>
      <c r="AN524" s="442"/>
      <c r="AO524" s="442"/>
      <c r="AP524" s="442"/>
      <c r="AQ524" s="442"/>
      <c r="AR524" s="442"/>
      <c r="AS524" s="442"/>
      <c r="AT524" s="442"/>
      <c r="AU524" s="442"/>
      <c r="AV524" s="442"/>
      <c r="AW524" s="442"/>
      <c r="AX524" s="442"/>
      <c r="AY524" s="442"/>
      <c r="AZ524" s="442"/>
      <c r="BA524" s="442"/>
      <c r="BB524" s="442"/>
      <c r="BC524" s="442"/>
      <c r="BD524" s="442"/>
      <c r="BE524" s="442"/>
      <c r="BF524" s="442"/>
      <c r="BG524" s="442"/>
      <c r="BH524" s="442"/>
      <c r="BI524" s="442"/>
      <c r="BJ524" s="442"/>
      <c r="BK524" s="442"/>
      <c r="BL524" s="442"/>
      <c r="BM524" s="442"/>
      <c r="BN524" s="442"/>
      <c r="BO524" s="442"/>
      <c r="BP524" s="442"/>
      <c r="BQ524" s="442"/>
      <c r="BR524" s="442"/>
      <c r="BS524" s="442"/>
      <c r="BT524" s="442"/>
      <c r="BU524" s="442"/>
      <c r="BV524" s="442"/>
      <c r="BW524" s="442"/>
      <c r="BX524" s="442"/>
      <c r="BY524" s="442"/>
      <c r="BZ524" s="442"/>
      <c r="CA524" s="442"/>
      <c r="CB524" s="442"/>
      <c r="CC524" s="442"/>
      <c r="CD524" s="442"/>
      <c r="CE524" s="442"/>
      <c r="CF524" s="442"/>
      <c r="CG524" s="442"/>
      <c r="CH524" s="442"/>
      <c r="CI524" s="442"/>
    </row>
    <row r="525" spans="4:87" x14ac:dyDescent="0.2">
      <c r="D525" s="442"/>
      <c r="E525" s="442"/>
      <c r="F525" s="442"/>
      <c r="G525" s="442"/>
      <c r="H525" s="442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  <c r="AA525" s="442"/>
      <c r="AB525" s="442"/>
      <c r="AC525" s="442"/>
      <c r="AD525" s="442"/>
      <c r="AE525" s="442"/>
      <c r="AF525" s="442"/>
      <c r="AG525" s="442"/>
      <c r="AH525" s="442"/>
      <c r="AI525" s="442"/>
      <c r="AJ525" s="442"/>
      <c r="AK525" s="442"/>
      <c r="AL525" s="442"/>
      <c r="AM525" s="442"/>
      <c r="AN525" s="442"/>
      <c r="AO525" s="442"/>
      <c r="AP525" s="442"/>
      <c r="AQ525" s="442"/>
      <c r="AR525" s="442"/>
      <c r="AS525" s="442"/>
      <c r="AT525" s="442"/>
      <c r="AU525" s="442"/>
      <c r="AV525" s="442"/>
      <c r="AW525" s="442"/>
      <c r="AX525" s="442"/>
      <c r="AY525" s="442"/>
      <c r="AZ525" s="442"/>
      <c r="BA525" s="442"/>
      <c r="BB525" s="442"/>
      <c r="BC525" s="442"/>
      <c r="BD525" s="442"/>
      <c r="BE525" s="442"/>
      <c r="BF525" s="442"/>
      <c r="BG525" s="442"/>
      <c r="BH525" s="442"/>
      <c r="BI525" s="442"/>
      <c r="BJ525" s="442"/>
      <c r="BK525" s="442"/>
      <c r="BL525" s="442"/>
      <c r="BM525" s="442"/>
      <c r="BN525" s="442"/>
      <c r="BO525" s="442"/>
      <c r="BP525" s="442"/>
      <c r="BQ525" s="442"/>
      <c r="BR525" s="442"/>
      <c r="BS525" s="442"/>
      <c r="BT525" s="442"/>
      <c r="BU525" s="442"/>
      <c r="BV525" s="442"/>
      <c r="BW525" s="442"/>
      <c r="BX525" s="442"/>
      <c r="BY525" s="442"/>
      <c r="BZ525" s="442"/>
      <c r="CA525" s="442"/>
      <c r="CB525" s="442"/>
      <c r="CC525" s="442"/>
      <c r="CD525" s="442"/>
      <c r="CE525" s="442"/>
      <c r="CF525" s="442"/>
      <c r="CG525" s="442"/>
      <c r="CH525" s="442"/>
      <c r="CI525" s="442"/>
    </row>
    <row r="526" spans="4:87" x14ac:dyDescent="0.2">
      <c r="D526" s="442"/>
      <c r="E526" s="442"/>
      <c r="F526" s="442"/>
      <c r="G526" s="442"/>
      <c r="H526" s="442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  <c r="AA526" s="442"/>
      <c r="AB526" s="442"/>
      <c r="AC526" s="442"/>
      <c r="AD526" s="442"/>
      <c r="AE526" s="442"/>
      <c r="AF526" s="442"/>
      <c r="AG526" s="442"/>
      <c r="AH526" s="442"/>
      <c r="AI526" s="442"/>
      <c r="AJ526" s="442"/>
      <c r="AK526" s="442"/>
      <c r="AL526" s="442"/>
      <c r="AM526" s="442"/>
      <c r="AN526" s="442"/>
      <c r="AO526" s="442"/>
      <c r="AP526" s="442"/>
      <c r="AQ526" s="442"/>
      <c r="AR526" s="442"/>
      <c r="AS526" s="442"/>
      <c r="AT526" s="442"/>
      <c r="AU526" s="442"/>
      <c r="AV526" s="442"/>
      <c r="AW526" s="442"/>
      <c r="AX526" s="442"/>
      <c r="AY526" s="442"/>
      <c r="AZ526" s="442"/>
      <c r="BA526" s="442"/>
      <c r="BB526" s="442"/>
      <c r="BC526" s="442"/>
      <c r="BD526" s="442"/>
      <c r="BE526" s="442"/>
      <c r="BF526" s="442"/>
      <c r="BG526" s="442"/>
      <c r="BH526" s="442"/>
      <c r="BI526" s="442"/>
      <c r="BJ526" s="442"/>
      <c r="BK526" s="442"/>
      <c r="BL526" s="442"/>
      <c r="BM526" s="442"/>
      <c r="BN526" s="442"/>
      <c r="BO526" s="442"/>
      <c r="BP526" s="442"/>
      <c r="BQ526" s="442"/>
      <c r="BR526" s="442"/>
      <c r="BS526" s="442"/>
      <c r="BT526" s="442"/>
      <c r="BU526" s="442"/>
      <c r="BV526" s="442"/>
      <c r="BW526" s="442"/>
      <c r="BX526" s="442"/>
      <c r="BY526" s="442"/>
      <c r="BZ526" s="442"/>
      <c r="CA526" s="442"/>
      <c r="CB526" s="442"/>
      <c r="CC526" s="442"/>
      <c r="CD526" s="442"/>
      <c r="CE526" s="442"/>
      <c r="CF526" s="442"/>
      <c r="CG526" s="442"/>
      <c r="CH526" s="442"/>
      <c r="CI526" s="442"/>
    </row>
    <row r="527" spans="4:87" x14ac:dyDescent="0.2">
      <c r="D527" s="442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  <c r="AA527" s="442"/>
      <c r="AB527" s="442"/>
      <c r="AC527" s="442"/>
      <c r="AD527" s="442"/>
      <c r="AE527" s="442"/>
      <c r="AF527" s="442"/>
      <c r="AG527" s="442"/>
      <c r="AH527" s="442"/>
      <c r="AI527" s="442"/>
      <c r="AJ527" s="442"/>
      <c r="AK527" s="442"/>
      <c r="AL527" s="442"/>
      <c r="AM527" s="442"/>
      <c r="AN527" s="442"/>
      <c r="AO527" s="442"/>
      <c r="AP527" s="442"/>
      <c r="AQ527" s="442"/>
      <c r="AR527" s="442"/>
      <c r="AS527" s="442"/>
      <c r="AT527" s="442"/>
      <c r="AU527" s="442"/>
      <c r="AV527" s="442"/>
      <c r="AW527" s="442"/>
      <c r="AX527" s="442"/>
      <c r="AY527" s="442"/>
      <c r="AZ527" s="442"/>
      <c r="BA527" s="442"/>
      <c r="BB527" s="442"/>
      <c r="BC527" s="442"/>
      <c r="BD527" s="442"/>
      <c r="BE527" s="442"/>
      <c r="BF527" s="442"/>
      <c r="BG527" s="442"/>
      <c r="BH527" s="442"/>
      <c r="BI527" s="442"/>
      <c r="BJ527" s="442"/>
      <c r="BK527" s="442"/>
      <c r="BL527" s="442"/>
      <c r="BM527" s="442"/>
      <c r="BN527" s="442"/>
      <c r="BO527" s="442"/>
      <c r="BP527" s="442"/>
      <c r="BQ527" s="442"/>
      <c r="BR527" s="442"/>
      <c r="BS527" s="442"/>
      <c r="BT527" s="442"/>
      <c r="BU527" s="442"/>
      <c r="BV527" s="442"/>
      <c r="BW527" s="442"/>
      <c r="BX527" s="442"/>
      <c r="BY527" s="442"/>
      <c r="BZ527" s="442"/>
      <c r="CA527" s="442"/>
      <c r="CB527" s="442"/>
      <c r="CC527" s="442"/>
      <c r="CD527" s="442"/>
      <c r="CE527" s="442"/>
      <c r="CF527" s="442"/>
      <c r="CG527" s="442"/>
      <c r="CH527" s="442"/>
      <c r="CI527" s="442"/>
    </row>
    <row r="528" spans="4:87" x14ac:dyDescent="0.2">
      <c r="D528" s="442"/>
      <c r="E528" s="442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  <c r="AC528" s="442"/>
      <c r="AD528" s="442"/>
      <c r="AE528" s="442"/>
      <c r="AF528" s="442"/>
      <c r="AG528" s="442"/>
      <c r="AH528" s="442"/>
      <c r="AI528" s="442"/>
      <c r="AJ528" s="442"/>
      <c r="AK528" s="442"/>
      <c r="AL528" s="442"/>
      <c r="AM528" s="442"/>
      <c r="AN528" s="442"/>
      <c r="AO528" s="442"/>
      <c r="AP528" s="442"/>
      <c r="AQ528" s="442"/>
      <c r="AR528" s="442"/>
      <c r="AS528" s="442"/>
      <c r="AT528" s="442"/>
      <c r="AU528" s="442"/>
      <c r="AV528" s="442"/>
      <c r="AW528" s="442"/>
      <c r="AX528" s="442"/>
      <c r="AY528" s="442"/>
      <c r="AZ528" s="442"/>
      <c r="BA528" s="442"/>
      <c r="BB528" s="442"/>
      <c r="BC528" s="442"/>
      <c r="BD528" s="442"/>
      <c r="BE528" s="442"/>
      <c r="BF528" s="442"/>
      <c r="BG528" s="442"/>
      <c r="BH528" s="442"/>
      <c r="BI528" s="442"/>
      <c r="BJ528" s="442"/>
      <c r="BK528" s="442"/>
      <c r="BL528" s="442"/>
      <c r="BM528" s="442"/>
      <c r="BN528" s="442"/>
      <c r="BO528" s="442"/>
      <c r="BP528" s="442"/>
      <c r="BQ528" s="442"/>
      <c r="BR528" s="442"/>
      <c r="BS528" s="442"/>
      <c r="BT528" s="442"/>
      <c r="BU528" s="442"/>
      <c r="BV528" s="442"/>
      <c r="BW528" s="442"/>
      <c r="BX528" s="442"/>
      <c r="BY528" s="442"/>
      <c r="BZ528" s="442"/>
      <c r="CA528" s="442"/>
      <c r="CB528" s="442"/>
      <c r="CC528" s="442"/>
      <c r="CD528" s="442"/>
      <c r="CE528" s="442"/>
      <c r="CF528" s="442"/>
      <c r="CG528" s="442"/>
      <c r="CH528" s="442"/>
      <c r="CI528" s="442"/>
    </row>
    <row r="529" spans="4:87" x14ac:dyDescent="0.2"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  <c r="AA529" s="442"/>
      <c r="AB529" s="442"/>
      <c r="AC529" s="442"/>
      <c r="AD529" s="442"/>
      <c r="AE529" s="442"/>
      <c r="AF529" s="442"/>
      <c r="AG529" s="442"/>
      <c r="AH529" s="442"/>
      <c r="AI529" s="442"/>
      <c r="AJ529" s="442"/>
      <c r="AK529" s="442"/>
      <c r="AL529" s="442"/>
      <c r="AM529" s="442"/>
      <c r="AN529" s="442"/>
      <c r="AO529" s="442"/>
      <c r="AP529" s="442"/>
      <c r="AQ529" s="442"/>
      <c r="AR529" s="442"/>
      <c r="AS529" s="442"/>
      <c r="AT529" s="442"/>
      <c r="AU529" s="442"/>
      <c r="AV529" s="442"/>
      <c r="AW529" s="442"/>
      <c r="AX529" s="442"/>
      <c r="AY529" s="442"/>
      <c r="AZ529" s="442"/>
      <c r="BA529" s="442"/>
      <c r="BB529" s="442"/>
      <c r="BC529" s="442"/>
      <c r="BD529" s="442"/>
      <c r="BE529" s="442"/>
      <c r="BF529" s="442"/>
      <c r="BG529" s="442"/>
      <c r="BH529" s="442"/>
      <c r="BI529" s="442"/>
      <c r="BJ529" s="442"/>
      <c r="BK529" s="442"/>
      <c r="BL529" s="442"/>
      <c r="BM529" s="442"/>
      <c r="BN529" s="442"/>
      <c r="BO529" s="442"/>
      <c r="BP529" s="442"/>
      <c r="BQ529" s="442"/>
      <c r="BR529" s="442"/>
      <c r="BS529" s="442"/>
      <c r="BT529" s="442"/>
      <c r="BU529" s="442"/>
      <c r="BV529" s="442"/>
      <c r="BW529" s="442"/>
      <c r="BX529" s="442"/>
      <c r="BY529" s="442"/>
      <c r="BZ529" s="442"/>
      <c r="CA529" s="442"/>
      <c r="CB529" s="442"/>
      <c r="CC529" s="442"/>
      <c r="CD529" s="442"/>
      <c r="CE529" s="442"/>
      <c r="CF529" s="442"/>
      <c r="CG529" s="442"/>
      <c r="CH529" s="442"/>
      <c r="CI529" s="442"/>
    </row>
    <row r="530" spans="4:87" x14ac:dyDescent="0.2"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  <c r="AA530" s="442"/>
      <c r="AB530" s="442"/>
      <c r="AC530" s="442"/>
      <c r="AD530" s="442"/>
      <c r="AE530" s="442"/>
      <c r="AF530" s="442"/>
      <c r="AG530" s="442"/>
      <c r="AH530" s="442"/>
      <c r="AI530" s="442"/>
      <c r="AJ530" s="442"/>
      <c r="AK530" s="442"/>
      <c r="AL530" s="442"/>
      <c r="AM530" s="442"/>
      <c r="AN530" s="442"/>
      <c r="AO530" s="442"/>
      <c r="AP530" s="442"/>
      <c r="AQ530" s="442"/>
      <c r="AR530" s="442"/>
      <c r="AS530" s="442"/>
      <c r="AT530" s="442"/>
      <c r="AU530" s="442"/>
      <c r="AV530" s="442"/>
      <c r="AW530" s="442"/>
      <c r="AX530" s="442"/>
      <c r="AY530" s="442"/>
      <c r="AZ530" s="442"/>
      <c r="BA530" s="442"/>
      <c r="BB530" s="442"/>
      <c r="BC530" s="442"/>
      <c r="BD530" s="442"/>
      <c r="BE530" s="442"/>
      <c r="BF530" s="442"/>
      <c r="BG530" s="442"/>
      <c r="BH530" s="442"/>
      <c r="BI530" s="442"/>
      <c r="BJ530" s="442"/>
      <c r="BK530" s="442"/>
      <c r="BL530" s="442"/>
      <c r="BM530" s="442"/>
      <c r="BN530" s="442"/>
      <c r="BO530" s="442"/>
      <c r="BP530" s="442"/>
      <c r="BQ530" s="442"/>
      <c r="BR530" s="442"/>
      <c r="BS530" s="442"/>
      <c r="BT530" s="442"/>
      <c r="BU530" s="442"/>
      <c r="BV530" s="442"/>
      <c r="BW530" s="442"/>
      <c r="BX530" s="442"/>
      <c r="BY530" s="442"/>
      <c r="BZ530" s="442"/>
      <c r="CA530" s="442"/>
      <c r="CB530" s="442"/>
      <c r="CC530" s="442"/>
      <c r="CD530" s="442"/>
      <c r="CE530" s="442"/>
      <c r="CF530" s="442"/>
      <c r="CG530" s="442"/>
      <c r="CH530" s="442"/>
      <c r="CI530" s="442"/>
    </row>
    <row r="531" spans="4:87" x14ac:dyDescent="0.2"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  <c r="AA531" s="442"/>
      <c r="AB531" s="442"/>
      <c r="AC531" s="442"/>
      <c r="AD531" s="442"/>
      <c r="AE531" s="442"/>
      <c r="AF531" s="442"/>
      <c r="AG531" s="442"/>
      <c r="AH531" s="442"/>
      <c r="AI531" s="442"/>
      <c r="AJ531" s="442"/>
      <c r="AK531" s="442"/>
      <c r="AL531" s="442"/>
      <c r="AM531" s="442"/>
      <c r="AN531" s="442"/>
      <c r="AO531" s="442"/>
      <c r="AP531" s="442"/>
      <c r="AQ531" s="442"/>
      <c r="AR531" s="442"/>
      <c r="AS531" s="442"/>
      <c r="AT531" s="442"/>
      <c r="AU531" s="442"/>
      <c r="AV531" s="442"/>
      <c r="AW531" s="442"/>
      <c r="AX531" s="442"/>
      <c r="AY531" s="442"/>
      <c r="AZ531" s="442"/>
      <c r="BA531" s="442"/>
      <c r="BB531" s="442"/>
      <c r="BC531" s="442"/>
      <c r="BD531" s="442"/>
      <c r="BE531" s="442"/>
      <c r="BF531" s="442"/>
      <c r="BG531" s="442"/>
      <c r="BH531" s="442"/>
      <c r="BI531" s="442"/>
      <c r="BJ531" s="442"/>
      <c r="BK531" s="442"/>
      <c r="BL531" s="442"/>
      <c r="BM531" s="442"/>
      <c r="BN531" s="442"/>
      <c r="BO531" s="442"/>
      <c r="BP531" s="442"/>
      <c r="BQ531" s="442"/>
      <c r="BR531" s="442"/>
      <c r="BS531" s="442"/>
      <c r="BT531" s="442"/>
      <c r="BU531" s="442"/>
      <c r="BV531" s="442"/>
      <c r="BW531" s="442"/>
      <c r="BX531" s="442"/>
      <c r="BY531" s="442"/>
      <c r="BZ531" s="442"/>
      <c r="CA531" s="442"/>
      <c r="CB531" s="442"/>
      <c r="CC531" s="442"/>
      <c r="CD531" s="442"/>
      <c r="CE531" s="442"/>
      <c r="CF531" s="442"/>
      <c r="CG531" s="442"/>
      <c r="CH531" s="442"/>
      <c r="CI531" s="442"/>
    </row>
    <row r="532" spans="4:87" x14ac:dyDescent="0.2"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  <c r="AA532" s="442"/>
      <c r="AB532" s="442"/>
      <c r="AC532" s="442"/>
      <c r="AD532" s="442"/>
      <c r="AE532" s="442"/>
      <c r="AF532" s="442"/>
      <c r="AG532" s="442"/>
      <c r="AH532" s="442"/>
      <c r="AI532" s="442"/>
      <c r="AJ532" s="442"/>
      <c r="AK532" s="442"/>
      <c r="AL532" s="442"/>
      <c r="AM532" s="442"/>
      <c r="AN532" s="442"/>
      <c r="AO532" s="442"/>
      <c r="AP532" s="442"/>
      <c r="AQ532" s="442"/>
      <c r="AR532" s="442"/>
      <c r="AS532" s="442"/>
      <c r="AT532" s="442"/>
      <c r="AU532" s="442"/>
      <c r="AV532" s="442"/>
      <c r="AW532" s="442"/>
      <c r="AX532" s="442"/>
      <c r="AY532" s="442"/>
      <c r="AZ532" s="442"/>
      <c r="BA532" s="442"/>
      <c r="BB532" s="442"/>
      <c r="BC532" s="442"/>
      <c r="BD532" s="442"/>
      <c r="BE532" s="442"/>
      <c r="BF532" s="442"/>
      <c r="BG532" s="442"/>
      <c r="BH532" s="442"/>
      <c r="BI532" s="442"/>
      <c r="BJ532" s="442"/>
      <c r="BK532" s="442"/>
      <c r="BL532" s="442"/>
      <c r="BM532" s="442"/>
      <c r="BN532" s="442"/>
      <c r="BO532" s="442"/>
      <c r="BP532" s="442"/>
      <c r="BQ532" s="442"/>
      <c r="BR532" s="442"/>
      <c r="BS532" s="442"/>
      <c r="BT532" s="442"/>
      <c r="BU532" s="442"/>
      <c r="BV532" s="442"/>
      <c r="BW532" s="442"/>
      <c r="BX532" s="442"/>
      <c r="BY532" s="442"/>
      <c r="BZ532" s="442"/>
      <c r="CA532" s="442"/>
      <c r="CB532" s="442"/>
      <c r="CC532" s="442"/>
      <c r="CD532" s="442"/>
      <c r="CE532" s="442"/>
      <c r="CF532" s="442"/>
      <c r="CG532" s="442"/>
      <c r="CH532" s="442"/>
      <c r="CI532" s="442"/>
    </row>
    <row r="533" spans="4:87" x14ac:dyDescent="0.2">
      <c r="D533" s="442"/>
      <c r="E533" s="442"/>
      <c r="F533" s="442"/>
      <c r="G533" s="442"/>
      <c r="H533" s="442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  <c r="AA533" s="442"/>
      <c r="AB533" s="442"/>
      <c r="AC533" s="442"/>
      <c r="AD533" s="442"/>
      <c r="AE533" s="442"/>
      <c r="AF533" s="442"/>
      <c r="AG533" s="442"/>
      <c r="AH533" s="442"/>
      <c r="AI533" s="442"/>
      <c r="AJ533" s="442"/>
      <c r="AK533" s="442"/>
      <c r="AL533" s="442"/>
      <c r="AM533" s="442"/>
      <c r="AN533" s="442"/>
      <c r="AO533" s="442"/>
      <c r="AP533" s="442"/>
      <c r="AQ533" s="442"/>
      <c r="AR533" s="442"/>
      <c r="AS533" s="442"/>
      <c r="AT533" s="442"/>
      <c r="AU533" s="442"/>
      <c r="AV533" s="442"/>
      <c r="AW533" s="442"/>
      <c r="AX533" s="442"/>
      <c r="AY533" s="442"/>
      <c r="AZ533" s="442"/>
      <c r="BA533" s="442"/>
      <c r="BB533" s="442"/>
      <c r="BC533" s="442"/>
      <c r="BD533" s="442"/>
      <c r="BE533" s="442"/>
      <c r="BF533" s="442"/>
      <c r="BG533" s="442"/>
      <c r="BH533" s="442"/>
      <c r="BI533" s="442"/>
      <c r="BJ533" s="442"/>
      <c r="BK533" s="442"/>
      <c r="BL533" s="442"/>
      <c r="BM533" s="442"/>
      <c r="BN533" s="442"/>
      <c r="BO533" s="442"/>
      <c r="BP533" s="442"/>
      <c r="BQ533" s="442"/>
      <c r="BR533" s="442"/>
      <c r="BS533" s="442"/>
      <c r="BT533" s="442"/>
      <c r="BU533" s="442"/>
      <c r="BV533" s="442"/>
      <c r="BW533" s="442"/>
      <c r="BX533" s="442"/>
      <c r="BY533" s="442"/>
      <c r="BZ533" s="442"/>
      <c r="CA533" s="442"/>
      <c r="CB533" s="442"/>
      <c r="CC533" s="442"/>
      <c r="CD533" s="442"/>
      <c r="CE533" s="442"/>
      <c r="CF533" s="442"/>
      <c r="CG533" s="442"/>
      <c r="CH533" s="442"/>
      <c r="CI533" s="442"/>
    </row>
    <row r="534" spans="4:87" x14ac:dyDescent="0.2">
      <c r="D534" s="442"/>
      <c r="E534" s="442"/>
      <c r="F534" s="442"/>
      <c r="G534" s="442"/>
      <c r="H534" s="442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  <c r="AA534" s="442"/>
      <c r="AB534" s="442"/>
      <c r="AC534" s="442"/>
      <c r="AD534" s="442"/>
      <c r="AE534" s="442"/>
      <c r="AF534" s="442"/>
      <c r="AG534" s="442"/>
      <c r="AH534" s="442"/>
      <c r="AI534" s="442"/>
      <c r="AJ534" s="442"/>
      <c r="AK534" s="442"/>
      <c r="AL534" s="442"/>
      <c r="AM534" s="442"/>
      <c r="AN534" s="442"/>
      <c r="AO534" s="442"/>
      <c r="AP534" s="442"/>
      <c r="AQ534" s="442"/>
      <c r="AR534" s="442"/>
      <c r="AS534" s="442"/>
      <c r="AT534" s="442"/>
      <c r="AU534" s="442"/>
      <c r="AV534" s="442"/>
      <c r="AW534" s="442"/>
      <c r="AX534" s="442"/>
      <c r="AY534" s="442"/>
      <c r="AZ534" s="442"/>
      <c r="BA534" s="442"/>
      <c r="BB534" s="442"/>
      <c r="BC534" s="442"/>
      <c r="BD534" s="442"/>
      <c r="BE534" s="442"/>
      <c r="BF534" s="442"/>
      <c r="BG534" s="442"/>
      <c r="BH534" s="442"/>
      <c r="BI534" s="442"/>
      <c r="BJ534" s="442"/>
      <c r="BK534" s="442"/>
      <c r="BL534" s="442"/>
      <c r="BM534" s="442"/>
      <c r="BN534" s="442"/>
      <c r="BO534" s="442"/>
      <c r="BP534" s="442"/>
      <c r="BQ534" s="442"/>
      <c r="BR534" s="442"/>
      <c r="BS534" s="442"/>
      <c r="BT534" s="442"/>
      <c r="BU534" s="442"/>
      <c r="BV534" s="442"/>
      <c r="BW534" s="442"/>
      <c r="BX534" s="442"/>
      <c r="BY534" s="442"/>
      <c r="BZ534" s="442"/>
      <c r="CA534" s="442"/>
      <c r="CB534" s="442"/>
      <c r="CC534" s="442"/>
      <c r="CD534" s="442"/>
      <c r="CE534" s="442"/>
      <c r="CF534" s="442"/>
      <c r="CG534" s="442"/>
      <c r="CH534" s="442"/>
      <c r="CI534" s="442"/>
    </row>
    <row r="535" spans="4:87" x14ac:dyDescent="0.2"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  <c r="AA535" s="442"/>
      <c r="AB535" s="442"/>
      <c r="AC535" s="442"/>
      <c r="AD535" s="442"/>
      <c r="AE535" s="442"/>
      <c r="AF535" s="442"/>
      <c r="AG535" s="442"/>
      <c r="AH535" s="442"/>
      <c r="AI535" s="442"/>
      <c r="AJ535" s="442"/>
      <c r="AK535" s="442"/>
      <c r="AL535" s="442"/>
      <c r="AM535" s="442"/>
      <c r="AN535" s="442"/>
      <c r="AO535" s="442"/>
      <c r="AP535" s="442"/>
      <c r="AQ535" s="442"/>
      <c r="AR535" s="442"/>
      <c r="AS535" s="442"/>
      <c r="AT535" s="442"/>
      <c r="AU535" s="442"/>
      <c r="AV535" s="442"/>
      <c r="AW535" s="442"/>
      <c r="AX535" s="442"/>
      <c r="AY535" s="442"/>
      <c r="AZ535" s="442"/>
      <c r="BA535" s="442"/>
      <c r="BB535" s="442"/>
      <c r="BC535" s="442"/>
      <c r="BD535" s="442"/>
      <c r="BE535" s="442"/>
      <c r="BF535" s="442"/>
      <c r="BG535" s="442"/>
      <c r="BH535" s="442"/>
      <c r="BI535" s="442"/>
      <c r="BJ535" s="442"/>
      <c r="BK535" s="442"/>
      <c r="BL535" s="442"/>
      <c r="BM535" s="442"/>
      <c r="BN535" s="442"/>
      <c r="BO535" s="442"/>
      <c r="BP535" s="442"/>
      <c r="BQ535" s="442"/>
      <c r="BR535" s="442"/>
      <c r="BS535" s="442"/>
      <c r="BT535" s="442"/>
      <c r="BU535" s="442"/>
      <c r="BV535" s="442"/>
      <c r="BW535" s="442"/>
      <c r="BX535" s="442"/>
      <c r="BY535" s="442"/>
      <c r="BZ535" s="442"/>
      <c r="CA535" s="442"/>
      <c r="CB535" s="442"/>
      <c r="CC535" s="442"/>
      <c r="CD535" s="442"/>
      <c r="CE535" s="442"/>
      <c r="CF535" s="442"/>
      <c r="CG535" s="442"/>
      <c r="CH535" s="442"/>
      <c r="CI535" s="442"/>
    </row>
    <row r="536" spans="4:87" x14ac:dyDescent="0.2"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  <c r="AA536" s="442"/>
      <c r="AB536" s="442"/>
      <c r="AC536" s="442"/>
      <c r="AD536" s="442"/>
      <c r="AE536" s="442"/>
      <c r="AF536" s="442"/>
      <c r="AG536" s="442"/>
      <c r="AH536" s="442"/>
      <c r="AI536" s="442"/>
      <c r="AJ536" s="442"/>
      <c r="AK536" s="442"/>
      <c r="AL536" s="442"/>
      <c r="AM536" s="442"/>
      <c r="AN536" s="442"/>
      <c r="AO536" s="442"/>
      <c r="AP536" s="442"/>
      <c r="AQ536" s="442"/>
      <c r="AR536" s="442"/>
      <c r="AS536" s="442"/>
      <c r="AT536" s="442"/>
      <c r="AU536" s="442"/>
      <c r="AV536" s="442"/>
      <c r="AW536" s="442"/>
      <c r="AX536" s="442"/>
      <c r="AY536" s="442"/>
      <c r="AZ536" s="442"/>
      <c r="BA536" s="442"/>
      <c r="BB536" s="442"/>
      <c r="BC536" s="442"/>
      <c r="BD536" s="442"/>
      <c r="BE536" s="442"/>
      <c r="BF536" s="442"/>
      <c r="BG536" s="442"/>
      <c r="BH536" s="442"/>
      <c r="BI536" s="442"/>
      <c r="BJ536" s="442"/>
      <c r="BK536" s="442"/>
      <c r="BL536" s="442"/>
      <c r="BM536" s="442"/>
      <c r="BN536" s="442"/>
      <c r="BO536" s="442"/>
      <c r="BP536" s="442"/>
      <c r="BQ536" s="442"/>
      <c r="BR536" s="442"/>
      <c r="BS536" s="442"/>
      <c r="BT536" s="442"/>
      <c r="BU536" s="442"/>
      <c r="BV536" s="442"/>
      <c r="BW536" s="442"/>
      <c r="BX536" s="442"/>
      <c r="BY536" s="442"/>
      <c r="BZ536" s="442"/>
      <c r="CA536" s="442"/>
      <c r="CB536" s="442"/>
      <c r="CC536" s="442"/>
      <c r="CD536" s="442"/>
      <c r="CE536" s="442"/>
      <c r="CF536" s="442"/>
      <c r="CG536" s="442"/>
      <c r="CH536" s="442"/>
      <c r="CI536" s="442"/>
    </row>
    <row r="537" spans="4:87" x14ac:dyDescent="0.2"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  <c r="AA537" s="442"/>
      <c r="AB537" s="442"/>
      <c r="AC537" s="442"/>
      <c r="AD537" s="442"/>
      <c r="AE537" s="442"/>
      <c r="AF537" s="442"/>
      <c r="AG537" s="442"/>
      <c r="AH537" s="442"/>
      <c r="AI537" s="442"/>
      <c r="AJ537" s="442"/>
      <c r="AK537" s="442"/>
      <c r="AL537" s="442"/>
      <c r="AM537" s="442"/>
      <c r="AN537" s="442"/>
      <c r="AO537" s="442"/>
      <c r="AP537" s="442"/>
      <c r="AQ537" s="442"/>
      <c r="AR537" s="442"/>
      <c r="AS537" s="442"/>
      <c r="AT537" s="442"/>
      <c r="AU537" s="442"/>
      <c r="AV537" s="442"/>
      <c r="AW537" s="442"/>
      <c r="AX537" s="442"/>
      <c r="AY537" s="442"/>
      <c r="AZ537" s="442"/>
      <c r="BA537" s="442"/>
      <c r="BB537" s="442"/>
      <c r="BC537" s="442"/>
      <c r="BD537" s="442"/>
      <c r="BE537" s="442"/>
      <c r="BF537" s="442"/>
      <c r="BG537" s="442"/>
      <c r="BH537" s="442"/>
      <c r="BI537" s="442"/>
      <c r="BJ537" s="442"/>
      <c r="BK537" s="442"/>
      <c r="BL537" s="442"/>
      <c r="BM537" s="442"/>
      <c r="BN537" s="442"/>
      <c r="BO537" s="442"/>
      <c r="BP537" s="442"/>
      <c r="BQ537" s="442"/>
      <c r="BR537" s="442"/>
      <c r="BS537" s="442"/>
      <c r="BT537" s="442"/>
      <c r="BU537" s="442"/>
      <c r="BV537" s="442"/>
      <c r="BW537" s="442"/>
      <c r="BX537" s="442"/>
      <c r="BY537" s="442"/>
      <c r="BZ537" s="442"/>
      <c r="CA537" s="442"/>
      <c r="CB537" s="442"/>
      <c r="CC537" s="442"/>
      <c r="CD537" s="442"/>
      <c r="CE537" s="442"/>
      <c r="CF537" s="442"/>
      <c r="CG537" s="442"/>
      <c r="CH537" s="442"/>
      <c r="CI537" s="442"/>
    </row>
    <row r="538" spans="4:87" x14ac:dyDescent="0.2">
      <c r="D538" s="442"/>
      <c r="E538" s="442"/>
      <c r="F538" s="442"/>
      <c r="G538" s="442"/>
      <c r="H538" s="442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  <c r="AA538" s="442"/>
      <c r="AB538" s="442"/>
      <c r="AC538" s="442"/>
      <c r="AD538" s="442"/>
      <c r="AE538" s="442"/>
      <c r="AF538" s="442"/>
      <c r="AG538" s="442"/>
      <c r="AH538" s="442"/>
      <c r="AI538" s="442"/>
      <c r="AJ538" s="442"/>
      <c r="AK538" s="442"/>
      <c r="AL538" s="442"/>
      <c r="AM538" s="442"/>
      <c r="AN538" s="442"/>
      <c r="AO538" s="442"/>
      <c r="AP538" s="442"/>
      <c r="AQ538" s="442"/>
      <c r="AR538" s="442"/>
      <c r="AS538" s="442"/>
      <c r="AT538" s="442"/>
      <c r="AU538" s="442"/>
      <c r="AV538" s="442"/>
      <c r="AW538" s="442"/>
      <c r="AX538" s="442"/>
      <c r="AY538" s="442"/>
      <c r="AZ538" s="442"/>
      <c r="BA538" s="442"/>
      <c r="BB538" s="442"/>
      <c r="BC538" s="442"/>
      <c r="BD538" s="442"/>
      <c r="BE538" s="442"/>
      <c r="BF538" s="442"/>
      <c r="BG538" s="442"/>
      <c r="BH538" s="442"/>
      <c r="BI538" s="442"/>
      <c r="BJ538" s="442"/>
      <c r="BK538" s="442"/>
      <c r="BL538" s="442"/>
      <c r="BM538" s="442"/>
      <c r="BN538" s="442"/>
      <c r="BO538" s="442"/>
      <c r="BP538" s="442"/>
      <c r="BQ538" s="442"/>
      <c r="BR538" s="442"/>
      <c r="BS538" s="442"/>
      <c r="BT538" s="442"/>
      <c r="BU538" s="442"/>
      <c r="BV538" s="442"/>
      <c r="BW538" s="442"/>
      <c r="BX538" s="442"/>
      <c r="BY538" s="442"/>
      <c r="BZ538" s="442"/>
      <c r="CA538" s="442"/>
      <c r="CB538" s="442"/>
      <c r="CC538" s="442"/>
      <c r="CD538" s="442"/>
      <c r="CE538" s="442"/>
      <c r="CF538" s="442"/>
      <c r="CG538" s="442"/>
      <c r="CH538" s="442"/>
      <c r="CI538" s="442"/>
    </row>
    <row r="539" spans="4:87" x14ac:dyDescent="0.2"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  <c r="AA539" s="442"/>
      <c r="AB539" s="442"/>
      <c r="AC539" s="442"/>
      <c r="AD539" s="442"/>
      <c r="AE539" s="442"/>
      <c r="AF539" s="442"/>
      <c r="AG539" s="442"/>
      <c r="AH539" s="442"/>
      <c r="AI539" s="442"/>
      <c r="AJ539" s="442"/>
      <c r="AK539" s="442"/>
      <c r="AL539" s="442"/>
      <c r="AM539" s="442"/>
      <c r="AN539" s="442"/>
      <c r="AO539" s="442"/>
      <c r="AP539" s="442"/>
      <c r="AQ539" s="442"/>
      <c r="AR539" s="442"/>
      <c r="AS539" s="442"/>
      <c r="AT539" s="442"/>
      <c r="AU539" s="442"/>
      <c r="AV539" s="442"/>
      <c r="AW539" s="442"/>
      <c r="AX539" s="442"/>
      <c r="AY539" s="442"/>
      <c r="AZ539" s="442"/>
      <c r="BA539" s="442"/>
      <c r="BB539" s="442"/>
      <c r="BC539" s="442"/>
      <c r="BD539" s="442"/>
      <c r="BE539" s="442"/>
      <c r="BF539" s="442"/>
      <c r="BG539" s="442"/>
      <c r="BH539" s="442"/>
      <c r="BI539" s="442"/>
      <c r="BJ539" s="442"/>
      <c r="BK539" s="442"/>
      <c r="BL539" s="442"/>
      <c r="BM539" s="442"/>
      <c r="BN539" s="442"/>
      <c r="BO539" s="442"/>
      <c r="BP539" s="442"/>
      <c r="BQ539" s="442"/>
      <c r="BR539" s="442"/>
      <c r="BS539" s="442"/>
      <c r="BT539" s="442"/>
      <c r="BU539" s="442"/>
      <c r="BV539" s="442"/>
      <c r="BW539" s="442"/>
      <c r="BX539" s="442"/>
      <c r="BY539" s="442"/>
      <c r="BZ539" s="442"/>
      <c r="CA539" s="442"/>
      <c r="CB539" s="442"/>
      <c r="CC539" s="442"/>
      <c r="CD539" s="442"/>
      <c r="CE539" s="442"/>
      <c r="CF539" s="442"/>
      <c r="CG539" s="442"/>
      <c r="CH539" s="442"/>
      <c r="CI539" s="442"/>
    </row>
    <row r="540" spans="4:87" x14ac:dyDescent="0.2"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  <c r="AA540" s="442"/>
      <c r="AB540" s="442"/>
      <c r="AC540" s="442"/>
      <c r="AD540" s="442"/>
      <c r="AE540" s="442"/>
      <c r="AF540" s="442"/>
      <c r="AG540" s="442"/>
      <c r="AH540" s="442"/>
      <c r="AI540" s="442"/>
      <c r="AJ540" s="442"/>
      <c r="AK540" s="442"/>
      <c r="AL540" s="442"/>
      <c r="AM540" s="442"/>
      <c r="AN540" s="442"/>
      <c r="AO540" s="442"/>
      <c r="AP540" s="442"/>
      <c r="AQ540" s="442"/>
      <c r="AR540" s="442"/>
      <c r="AS540" s="442"/>
      <c r="AT540" s="442"/>
      <c r="AU540" s="442"/>
      <c r="AV540" s="442"/>
      <c r="AW540" s="442"/>
      <c r="AX540" s="442"/>
      <c r="AY540" s="442"/>
      <c r="AZ540" s="442"/>
      <c r="BA540" s="442"/>
      <c r="BB540" s="442"/>
      <c r="BC540" s="442"/>
      <c r="BD540" s="442"/>
      <c r="BE540" s="442"/>
      <c r="BF540" s="442"/>
      <c r="BG540" s="442"/>
      <c r="BH540" s="442"/>
      <c r="BI540" s="442"/>
      <c r="BJ540" s="442"/>
      <c r="BK540" s="442"/>
      <c r="BL540" s="442"/>
      <c r="BM540" s="442"/>
      <c r="BN540" s="442"/>
      <c r="BO540" s="442"/>
      <c r="BP540" s="442"/>
      <c r="BQ540" s="442"/>
      <c r="BR540" s="442"/>
      <c r="BS540" s="442"/>
      <c r="BT540" s="442"/>
      <c r="BU540" s="442"/>
      <c r="BV540" s="442"/>
      <c r="BW540" s="442"/>
      <c r="BX540" s="442"/>
      <c r="BY540" s="442"/>
      <c r="BZ540" s="442"/>
      <c r="CA540" s="442"/>
      <c r="CB540" s="442"/>
      <c r="CC540" s="442"/>
      <c r="CD540" s="442"/>
      <c r="CE540" s="442"/>
      <c r="CF540" s="442"/>
      <c r="CG540" s="442"/>
      <c r="CH540" s="442"/>
      <c r="CI540" s="442"/>
    </row>
    <row r="541" spans="4:87" x14ac:dyDescent="0.2">
      <c r="D541" s="442"/>
      <c r="E541" s="442"/>
      <c r="F541" s="442"/>
      <c r="G541" s="442"/>
      <c r="H541" s="442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  <c r="AA541" s="442"/>
      <c r="AB541" s="442"/>
      <c r="AC541" s="442"/>
      <c r="AD541" s="442"/>
      <c r="AE541" s="442"/>
      <c r="AF541" s="442"/>
      <c r="AG541" s="442"/>
      <c r="AH541" s="442"/>
      <c r="AI541" s="442"/>
      <c r="AJ541" s="442"/>
      <c r="AK541" s="442"/>
      <c r="AL541" s="442"/>
      <c r="AM541" s="442"/>
      <c r="AN541" s="442"/>
      <c r="AO541" s="442"/>
      <c r="AP541" s="442"/>
      <c r="AQ541" s="442"/>
      <c r="AR541" s="442"/>
      <c r="AS541" s="442"/>
      <c r="AT541" s="442"/>
      <c r="AU541" s="442"/>
      <c r="AV541" s="442"/>
      <c r="AW541" s="442"/>
      <c r="AX541" s="442"/>
      <c r="AY541" s="442"/>
      <c r="AZ541" s="442"/>
      <c r="BA541" s="442"/>
      <c r="BB541" s="442"/>
      <c r="BC541" s="442"/>
      <c r="BD541" s="442"/>
      <c r="BE541" s="442"/>
      <c r="BF541" s="442"/>
      <c r="BG541" s="442"/>
      <c r="BH541" s="442"/>
      <c r="BI541" s="442"/>
      <c r="BJ541" s="442"/>
      <c r="BK541" s="442"/>
      <c r="BL541" s="442"/>
      <c r="BM541" s="442"/>
      <c r="BN541" s="442"/>
      <c r="BO541" s="442"/>
      <c r="BP541" s="442"/>
      <c r="BQ541" s="442"/>
      <c r="BR541" s="442"/>
      <c r="BS541" s="442"/>
      <c r="BT541" s="442"/>
      <c r="BU541" s="442"/>
      <c r="BV541" s="442"/>
      <c r="BW541" s="442"/>
      <c r="BX541" s="442"/>
      <c r="BY541" s="442"/>
      <c r="BZ541" s="442"/>
      <c r="CA541" s="442"/>
      <c r="CB541" s="442"/>
      <c r="CC541" s="442"/>
      <c r="CD541" s="442"/>
      <c r="CE541" s="442"/>
      <c r="CF541" s="442"/>
      <c r="CG541" s="442"/>
      <c r="CH541" s="442"/>
      <c r="CI541" s="442"/>
    </row>
    <row r="542" spans="4:87" x14ac:dyDescent="0.2"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  <c r="AA542" s="442"/>
      <c r="AB542" s="442"/>
      <c r="AC542" s="442"/>
      <c r="AD542" s="442"/>
      <c r="AE542" s="442"/>
      <c r="AF542" s="442"/>
      <c r="AG542" s="442"/>
      <c r="AH542" s="442"/>
      <c r="AI542" s="442"/>
      <c r="AJ542" s="442"/>
      <c r="AK542" s="442"/>
      <c r="AL542" s="442"/>
      <c r="AM542" s="442"/>
      <c r="AN542" s="442"/>
      <c r="AO542" s="442"/>
      <c r="AP542" s="442"/>
      <c r="AQ542" s="442"/>
      <c r="AR542" s="442"/>
      <c r="AS542" s="442"/>
      <c r="AT542" s="442"/>
      <c r="AU542" s="442"/>
      <c r="AV542" s="442"/>
      <c r="AW542" s="442"/>
      <c r="AX542" s="442"/>
      <c r="AY542" s="442"/>
      <c r="AZ542" s="442"/>
      <c r="BA542" s="442"/>
      <c r="BB542" s="442"/>
      <c r="BC542" s="442"/>
      <c r="BD542" s="442"/>
      <c r="BE542" s="442"/>
      <c r="BF542" s="442"/>
      <c r="BG542" s="442"/>
      <c r="BH542" s="442"/>
      <c r="BI542" s="442"/>
      <c r="BJ542" s="442"/>
      <c r="BK542" s="442"/>
      <c r="BL542" s="442"/>
      <c r="BM542" s="442"/>
      <c r="BN542" s="442"/>
      <c r="BO542" s="442"/>
      <c r="BP542" s="442"/>
      <c r="BQ542" s="442"/>
      <c r="BR542" s="442"/>
      <c r="BS542" s="442"/>
      <c r="BT542" s="442"/>
      <c r="BU542" s="442"/>
      <c r="BV542" s="442"/>
      <c r="BW542" s="442"/>
      <c r="BX542" s="442"/>
      <c r="BY542" s="442"/>
      <c r="BZ542" s="442"/>
      <c r="CA542" s="442"/>
      <c r="CB542" s="442"/>
      <c r="CC542" s="442"/>
      <c r="CD542" s="442"/>
      <c r="CE542" s="442"/>
      <c r="CF542" s="442"/>
      <c r="CG542" s="442"/>
      <c r="CH542" s="442"/>
      <c r="CI542" s="442"/>
    </row>
    <row r="543" spans="4:87" x14ac:dyDescent="0.2">
      <c r="D543" s="442"/>
      <c r="E543" s="442"/>
      <c r="F543" s="442"/>
      <c r="G543" s="442"/>
      <c r="H543" s="442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  <c r="AA543" s="442"/>
      <c r="AB543" s="442"/>
      <c r="AC543" s="442"/>
      <c r="AD543" s="442"/>
      <c r="AE543" s="442"/>
      <c r="AF543" s="442"/>
      <c r="AG543" s="442"/>
      <c r="AH543" s="442"/>
      <c r="AI543" s="442"/>
      <c r="AJ543" s="442"/>
      <c r="AK543" s="442"/>
      <c r="AL543" s="442"/>
      <c r="AM543" s="442"/>
      <c r="AN543" s="442"/>
      <c r="AO543" s="442"/>
      <c r="AP543" s="442"/>
      <c r="AQ543" s="442"/>
      <c r="AR543" s="442"/>
      <c r="AS543" s="442"/>
      <c r="AT543" s="442"/>
      <c r="AU543" s="442"/>
      <c r="AV543" s="442"/>
      <c r="AW543" s="442"/>
      <c r="AX543" s="442"/>
      <c r="AY543" s="442"/>
      <c r="AZ543" s="442"/>
      <c r="BA543" s="442"/>
      <c r="BB543" s="442"/>
      <c r="BC543" s="442"/>
      <c r="BD543" s="442"/>
      <c r="BE543" s="442"/>
      <c r="BF543" s="442"/>
      <c r="BG543" s="442"/>
      <c r="BH543" s="442"/>
      <c r="BI543" s="442"/>
      <c r="BJ543" s="442"/>
      <c r="BK543" s="442"/>
      <c r="BL543" s="442"/>
      <c r="BM543" s="442"/>
      <c r="BN543" s="442"/>
      <c r="BO543" s="442"/>
      <c r="BP543" s="442"/>
      <c r="BQ543" s="442"/>
      <c r="BR543" s="442"/>
      <c r="BS543" s="442"/>
      <c r="BT543" s="442"/>
      <c r="BU543" s="442"/>
      <c r="BV543" s="442"/>
      <c r="BW543" s="442"/>
      <c r="BX543" s="442"/>
      <c r="BY543" s="442"/>
      <c r="BZ543" s="442"/>
      <c r="CA543" s="442"/>
      <c r="CB543" s="442"/>
      <c r="CC543" s="442"/>
      <c r="CD543" s="442"/>
      <c r="CE543" s="442"/>
      <c r="CF543" s="442"/>
      <c r="CG543" s="442"/>
      <c r="CH543" s="442"/>
      <c r="CI543" s="442"/>
    </row>
    <row r="544" spans="4:87" x14ac:dyDescent="0.2">
      <c r="D544" s="442"/>
      <c r="E544" s="442"/>
      <c r="F544" s="442"/>
      <c r="G544" s="442"/>
      <c r="H544" s="442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  <c r="AA544" s="442"/>
      <c r="AB544" s="442"/>
      <c r="AC544" s="442"/>
      <c r="AD544" s="442"/>
      <c r="AE544" s="442"/>
      <c r="AF544" s="442"/>
      <c r="AG544" s="442"/>
      <c r="AH544" s="442"/>
      <c r="AI544" s="442"/>
      <c r="AJ544" s="442"/>
      <c r="AK544" s="442"/>
      <c r="AL544" s="442"/>
      <c r="AM544" s="442"/>
      <c r="AN544" s="442"/>
      <c r="AO544" s="442"/>
      <c r="AP544" s="442"/>
      <c r="AQ544" s="442"/>
      <c r="AR544" s="442"/>
      <c r="AS544" s="442"/>
      <c r="AT544" s="442"/>
      <c r="AU544" s="442"/>
      <c r="AV544" s="442"/>
      <c r="AW544" s="442"/>
      <c r="AX544" s="442"/>
      <c r="AY544" s="442"/>
      <c r="AZ544" s="442"/>
      <c r="BA544" s="442"/>
      <c r="BB544" s="442"/>
      <c r="BC544" s="442"/>
      <c r="BD544" s="442"/>
      <c r="BE544" s="442"/>
      <c r="BF544" s="442"/>
      <c r="BG544" s="442"/>
      <c r="BH544" s="442"/>
      <c r="BI544" s="442"/>
      <c r="BJ544" s="442"/>
      <c r="BK544" s="442"/>
      <c r="BL544" s="442"/>
      <c r="BM544" s="442"/>
      <c r="BN544" s="442"/>
      <c r="BO544" s="442"/>
      <c r="BP544" s="442"/>
      <c r="BQ544" s="442"/>
      <c r="BR544" s="442"/>
      <c r="BS544" s="442"/>
      <c r="BT544" s="442"/>
      <c r="BU544" s="442"/>
      <c r="BV544" s="442"/>
      <c r="BW544" s="442"/>
      <c r="BX544" s="442"/>
      <c r="BY544" s="442"/>
      <c r="BZ544" s="442"/>
      <c r="CA544" s="442"/>
      <c r="CB544" s="442"/>
      <c r="CC544" s="442"/>
      <c r="CD544" s="442"/>
      <c r="CE544" s="442"/>
      <c r="CF544" s="442"/>
      <c r="CG544" s="442"/>
      <c r="CH544" s="442"/>
      <c r="CI544" s="442"/>
    </row>
    <row r="545" spans="4:87" x14ac:dyDescent="0.2">
      <c r="D545" s="442"/>
      <c r="E545" s="442"/>
      <c r="F545" s="442"/>
      <c r="G545" s="442"/>
      <c r="H545" s="442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  <c r="AA545" s="442"/>
      <c r="AB545" s="442"/>
      <c r="AC545" s="442"/>
      <c r="AD545" s="442"/>
      <c r="AE545" s="442"/>
      <c r="AF545" s="442"/>
      <c r="AG545" s="442"/>
      <c r="AH545" s="442"/>
      <c r="AI545" s="442"/>
      <c r="AJ545" s="442"/>
      <c r="AK545" s="442"/>
      <c r="AL545" s="442"/>
      <c r="AM545" s="442"/>
      <c r="AN545" s="442"/>
      <c r="AO545" s="442"/>
      <c r="AP545" s="442"/>
      <c r="AQ545" s="442"/>
      <c r="AR545" s="442"/>
      <c r="AS545" s="442"/>
      <c r="AT545" s="442"/>
      <c r="AU545" s="442"/>
      <c r="AV545" s="442"/>
      <c r="AW545" s="442"/>
      <c r="AX545" s="442"/>
      <c r="AY545" s="442"/>
      <c r="AZ545" s="442"/>
      <c r="BA545" s="442"/>
      <c r="BB545" s="442"/>
      <c r="BC545" s="442"/>
      <c r="BD545" s="442"/>
      <c r="BE545" s="442"/>
      <c r="BF545" s="442"/>
      <c r="BG545" s="442"/>
      <c r="BH545" s="442"/>
      <c r="BI545" s="442"/>
      <c r="BJ545" s="442"/>
      <c r="BK545" s="442"/>
      <c r="BL545" s="442"/>
      <c r="BM545" s="442"/>
      <c r="BN545" s="442"/>
      <c r="BO545" s="442"/>
      <c r="BP545" s="442"/>
      <c r="BQ545" s="442"/>
      <c r="BR545" s="442"/>
      <c r="BS545" s="442"/>
      <c r="BT545" s="442"/>
      <c r="BU545" s="442"/>
      <c r="BV545" s="442"/>
      <c r="BW545" s="442"/>
      <c r="BX545" s="442"/>
      <c r="BY545" s="442"/>
      <c r="BZ545" s="442"/>
      <c r="CA545" s="442"/>
      <c r="CB545" s="442"/>
      <c r="CC545" s="442"/>
      <c r="CD545" s="442"/>
      <c r="CE545" s="442"/>
      <c r="CF545" s="442"/>
      <c r="CG545" s="442"/>
      <c r="CH545" s="442"/>
      <c r="CI545" s="442"/>
    </row>
    <row r="546" spans="4:87" x14ac:dyDescent="0.2">
      <c r="D546" s="442"/>
      <c r="E546" s="442"/>
      <c r="F546" s="442"/>
      <c r="G546" s="442"/>
      <c r="H546" s="442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  <c r="AA546" s="442"/>
      <c r="AB546" s="442"/>
      <c r="AC546" s="442"/>
      <c r="AD546" s="442"/>
      <c r="AE546" s="442"/>
      <c r="AF546" s="442"/>
      <c r="AG546" s="442"/>
      <c r="AH546" s="442"/>
      <c r="AI546" s="442"/>
      <c r="AJ546" s="442"/>
      <c r="AK546" s="442"/>
      <c r="AL546" s="442"/>
      <c r="AM546" s="442"/>
      <c r="AN546" s="442"/>
      <c r="AO546" s="442"/>
      <c r="AP546" s="442"/>
      <c r="AQ546" s="442"/>
      <c r="AR546" s="442"/>
      <c r="AS546" s="442"/>
      <c r="AT546" s="442"/>
      <c r="AU546" s="442"/>
      <c r="AV546" s="442"/>
      <c r="AW546" s="442"/>
      <c r="AX546" s="442"/>
      <c r="AY546" s="442"/>
      <c r="AZ546" s="442"/>
      <c r="BA546" s="442"/>
      <c r="BB546" s="442"/>
      <c r="BC546" s="442"/>
      <c r="BD546" s="442"/>
      <c r="BE546" s="442"/>
      <c r="BF546" s="442"/>
      <c r="BG546" s="442"/>
      <c r="BH546" s="442"/>
      <c r="BI546" s="442"/>
      <c r="BJ546" s="442"/>
      <c r="BK546" s="442"/>
      <c r="BL546" s="442"/>
      <c r="BM546" s="442"/>
      <c r="BN546" s="442"/>
      <c r="BO546" s="442"/>
      <c r="BP546" s="442"/>
      <c r="BQ546" s="442"/>
      <c r="BR546" s="442"/>
      <c r="BS546" s="442"/>
      <c r="BT546" s="442"/>
      <c r="BU546" s="442"/>
      <c r="BV546" s="442"/>
      <c r="BW546" s="442"/>
      <c r="BX546" s="442"/>
      <c r="BY546" s="442"/>
      <c r="BZ546" s="442"/>
      <c r="CA546" s="442"/>
      <c r="CB546" s="442"/>
      <c r="CC546" s="442"/>
      <c r="CD546" s="442"/>
      <c r="CE546" s="442"/>
      <c r="CF546" s="442"/>
      <c r="CG546" s="442"/>
      <c r="CH546" s="442"/>
      <c r="CI546" s="442"/>
    </row>
    <row r="547" spans="4:87" x14ac:dyDescent="0.2">
      <c r="D547" s="442"/>
      <c r="E547" s="442"/>
      <c r="F547" s="442"/>
      <c r="G547" s="442"/>
      <c r="H547" s="442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  <c r="AA547" s="442"/>
      <c r="AB547" s="442"/>
      <c r="AC547" s="442"/>
      <c r="AD547" s="442"/>
      <c r="AE547" s="442"/>
      <c r="AF547" s="442"/>
      <c r="AG547" s="442"/>
      <c r="AH547" s="442"/>
      <c r="AI547" s="442"/>
      <c r="AJ547" s="442"/>
      <c r="AK547" s="442"/>
      <c r="AL547" s="442"/>
      <c r="AM547" s="442"/>
      <c r="AN547" s="442"/>
      <c r="AO547" s="442"/>
      <c r="AP547" s="442"/>
      <c r="AQ547" s="442"/>
      <c r="AR547" s="442"/>
      <c r="AS547" s="442"/>
      <c r="AT547" s="442"/>
      <c r="AU547" s="442"/>
      <c r="AV547" s="442"/>
      <c r="AW547" s="442"/>
      <c r="AX547" s="442"/>
      <c r="AY547" s="442"/>
      <c r="AZ547" s="442"/>
      <c r="BA547" s="442"/>
      <c r="BB547" s="442"/>
      <c r="BC547" s="442"/>
      <c r="BD547" s="442"/>
      <c r="BE547" s="442"/>
      <c r="BF547" s="442"/>
      <c r="BG547" s="442"/>
      <c r="BH547" s="442"/>
      <c r="BI547" s="442"/>
      <c r="BJ547" s="442"/>
      <c r="BK547" s="442"/>
      <c r="BL547" s="442"/>
      <c r="BM547" s="442"/>
      <c r="BN547" s="442"/>
      <c r="BO547" s="442"/>
      <c r="BP547" s="442"/>
      <c r="BQ547" s="442"/>
      <c r="BR547" s="442"/>
      <c r="BS547" s="442"/>
      <c r="BT547" s="442"/>
      <c r="BU547" s="442"/>
      <c r="BV547" s="442"/>
      <c r="BW547" s="442"/>
      <c r="BX547" s="442"/>
      <c r="BY547" s="442"/>
      <c r="BZ547" s="442"/>
      <c r="CA547" s="442"/>
      <c r="CB547" s="442"/>
      <c r="CC547" s="442"/>
      <c r="CD547" s="442"/>
      <c r="CE547" s="442"/>
      <c r="CF547" s="442"/>
      <c r="CG547" s="442"/>
      <c r="CH547" s="442"/>
      <c r="CI547" s="442"/>
    </row>
    <row r="548" spans="4:87" x14ac:dyDescent="0.2">
      <c r="D548" s="442"/>
      <c r="E548" s="442"/>
      <c r="F548" s="442"/>
      <c r="G548" s="442"/>
      <c r="H548" s="442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  <c r="AA548" s="442"/>
      <c r="AB548" s="442"/>
      <c r="AC548" s="442"/>
      <c r="AD548" s="442"/>
      <c r="AE548" s="442"/>
      <c r="AF548" s="442"/>
      <c r="AG548" s="442"/>
      <c r="AH548" s="442"/>
      <c r="AI548" s="442"/>
      <c r="AJ548" s="442"/>
      <c r="AK548" s="442"/>
      <c r="AL548" s="442"/>
      <c r="AM548" s="442"/>
      <c r="AN548" s="442"/>
      <c r="AO548" s="442"/>
      <c r="AP548" s="442"/>
      <c r="AQ548" s="442"/>
      <c r="AR548" s="442"/>
      <c r="AS548" s="442"/>
      <c r="AT548" s="442"/>
      <c r="AU548" s="442"/>
      <c r="AV548" s="442"/>
      <c r="AW548" s="442"/>
      <c r="AX548" s="442"/>
      <c r="AY548" s="442"/>
      <c r="AZ548" s="442"/>
      <c r="BA548" s="442"/>
      <c r="BB548" s="442"/>
      <c r="BC548" s="442"/>
      <c r="BD548" s="442"/>
      <c r="BE548" s="442"/>
      <c r="BF548" s="442"/>
      <c r="BG548" s="442"/>
      <c r="BH548" s="442"/>
      <c r="BI548" s="442"/>
      <c r="BJ548" s="442"/>
      <c r="BK548" s="442"/>
      <c r="BL548" s="442"/>
      <c r="BM548" s="442"/>
      <c r="BN548" s="442"/>
      <c r="BO548" s="442"/>
      <c r="BP548" s="442"/>
      <c r="BQ548" s="442"/>
      <c r="BR548" s="442"/>
      <c r="BS548" s="442"/>
      <c r="BT548" s="442"/>
      <c r="BU548" s="442"/>
      <c r="BV548" s="442"/>
      <c r="BW548" s="442"/>
      <c r="BX548" s="442"/>
      <c r="BY548" s="442"/>
      <c r="BZ548" s="442"/>
      <c r="CA548" s="442"/>
      <c r="CB548" s="442"/>
      <c r="CC548" s="442"/>
      <c r="CD548" s="442"/>
      <c r="CE548" s="442"/>
      <c r="CF548" s="442"/>
      <c r="CG548" s="442"/>
      <c r="CH548" s="442"/>
      <c r="CI548" s="442"/>
    </row>
    <row r="549" spans="4:87" x14ac:dyDescent="0.2"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  <c r="AA549" s="442"/>
      <c r="AB549" s="442"/>
      <c r="AC549" s="442"/>
      <c r="AD549" s="442"/>
      <c r="AE549" s="442"/>
      <c r="AF549" s="442"/>
      <c r="AG549" s="442"/>
      <c r="AH549" s="442"/>
      <c r="AI549" s="442"/>
      <c r="AJ549" s="442"/>
      <c r="AK549" s="442"/>
      <c r="AL549" s="442"/>
      <c r="AM549" s="442"/>
      <c r="AN549" s="442"/>
      <c r="AO549" s="442"/>
      <c r="AP549" s="442"/>
      <c r="AQ549" s="442"/>
      <c r="AR549" s="442"/>
      <c r="AS549" s="442"/>
      <c r="AT549" s="442"/>
      <c r="AU549" s="442"/>
      <c r="AV549" s="442"/>
      <c r="AW549" s="442"/>
      <c r="AX549" s="442"/>
      <c r="AY549" s="442"/>
      <c r="AZ549" s="442"/>
      <c r="BA549" s="442"/>
      <c r="BB549" s="442"/>
      <c r="BC549" s="442"/>
      <c r="BD549" s="442"/>
      <c r="BE549" s="442"/>
      <c r="BF549" s="442"/>
      <c r="BG549" s="442"/>
      <c r="BH549" s="442"/>
      <c r="BI549" s="442"/>
      <c r="BJ549" s="442"/>
      <c r="BK549" s="442"/>
      <c r="BL549" s="442"/>
      <c r="BM549" s="442"/>
      <c r="BN549" s="442"/>
      <c r="BO549" s="442"/>
      <c r="BP549" s="442"/>
      <c r="BQ549" s="442"/>
      <c r="BR549" s="442"/>
      <c r="BS549" s="442"/>
      <c r="BT549" s="442"/>
      <c r="BU549" s="442"/>
      <c r="BV549" s="442"/>
      <c r="BW549" s="442"/>
      <c r="BX549" s="442"/>
      <c r="BY549" s="442"/>
      <c r="BZ549" s="442"/>
      <c r="CA549" s="442"/>
      <c r="CB549" s="442"/>
      <c r="CC549" s="442"/>
      <c r="CD549" s="442"/>
      <c r="CE549" s="442"/>
      <c r="CF549" s="442"/>
      <c r="CG549" s="442"/>
      <c r="CH549" s="442"/>
      <c r="CI549" s="442"/>
    </row>
    <row r="550" spans="4:87" x14ac:dyDescent="0.2">
      <c r="D550" s="442"/>
      <c r="E550" s="442"/>
      <c r="F550" s="442"/>
      <c r="G550" s="442"/>
      <c r="H550" s="442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  <c r="AA550" s="442"/>
      <c r="AB550" s="442"/>
      <c r="AC550" s="442"/>
      <c r="AD550" s="442"/>
      <c r="AE550" s="442"/>
      <c r="AF550" s="442"/>
      <c r="AG550" s="442"/>
      <c r="AH550" s="442"/>
      <c r="AI550" s="442"/>
      <c r="AJ550" s="442"/>
      <c r="AK550" s="442"/>
      <c r="AL550" s="442"/>
      <c r="AM550" s="442"/>
      <c r="AN550" s="442"/>
      <c r="AO550" s="442"/>
      <c r="AP550" s="442"/>
      <c r="AQ550" s="442"/>
      <c r="AR550" s="442"/>
      <c r="AS550" s="442"/>
      <c r="AT550" s="442"/>
      <c r="AU550" s="442"/>
      <c r="AV550" s="442"/>
      <c r="AW550" s="442"/>
      <c r="AX550" s="442"/>
      <c r="AY550" s="442"/>
      <c r="AZ550" s="442"/>
      <c r="BA550" s="442"/>
      <c r="BB550" s="442"/>
      <c r="BC550" s="442"/>
      <c r="BD550" s="442"/>
      <c r="BE550" s="442"/>
      <c r="BF550" s="442"/>
      <c r="BG550" s="442"/>
      <c r="BH550" s="442"/>
      <c r="BI550" s="442"/>
      <c r="BJ550" s="442"/>
      <c r="BK550" s="442"/>
      <c r="BL550" s="442"/>
      <c r="BM550" s="442"/>
      <c r="BN550" s="442"/>
      <c r="BO550" s="442"/>
      <c r="BP550" s="442"/>
      <c r="BQ550" s="442"/>
      <c r="BR550" s="442"/>
      <c r="BS550" s="442"/>
      <c r="BT550" s="442"/>
      <c r="BU550" s="442"/>
      <c r="BV550" s="442"/>
      <c r="BW550" s="442"/>
      <c r="BX550" s="442"/>
      <c r="BY550" s="442"/>
      <c r="BZ550" s="442"/>
      <c r="CA550" s="442"/>
      <c r="CB550" s="442"/>
      <c r="CC550" s="442"/>
      <c r="CD550" s="442"/>
      <c r="CE550" s="442"/>
      <c r="CF550" s="442"/>
      <c r="CG550" s="442"/>
      <c r="CH550" s="442"/>
      <c r="CI550" s="442"/>
    </row>
    <row r="551" spans="4:87" x14ac:dyDescent="0.2">
      <c r="D551" s="442"/>
      <c r="E551" s="442"/>
      <c r="F551" s="442"/>
      <c r="G551" s="442"/>
      <c r="H551" s="442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  <c r="AA551" s="442"/>
      <c r="AB551" s="442"/>
      <c r="AC551" s="442"/>
      <c r="AD551" s="442"/>
      <c r="AE551" s="442"/>
      <c r="AF551" s="442"/>
      <c r="AG551" s="442"/>
      <c r="AH551" s="442"/>
      <c r="AI551" s="442"/>
      <c r="AJ551" s="442"/>
      <c r="AK551" s="442"/>
      <c r="AL551" s="442"/>
      <c r="AM551" s="442"/>
      <c r="AN551" s="442"/>
      <c r="AO551" s="442"/>
      <c r="AP551" s="442"/>
      <c r="AQ551" s="442"/>
      <c r="AR551" s="442"/>
      <c r="AS551" s="442"/>
      <c r="AT551" s="442"/>
      <c r="AU551" s="442"/>
      <c r="AV551" s="442"/>
      <c r="AW551" s="442"/>
      <c r="AX551" s="442"/>
      <c r="AY551" s="442"/>
      <c r="AZ551" s="442"/>
      <c r="BA551" s="442"/>
      <c r="BB551" s="442"/>
      <c r="BC551" s="442"/>
      <c r="BD551" s="442"/>
      <c r="BE551" s="442"/>
      <c r="BF551" s="442"/>
      <c r="BG551" s="442"/>
      <c r="BH551" s="442"/>
      <c r="BI551" s="442"/>
      <c r="BJ551" s="442"/>
      <c r="BK551" s="442"/>
      <c r="BL551" s="442"/>
      <c r="BM551" s="442"/>
      <c r="BN551" s="442"/>
      <c r="BO551" s="442"/>
      <c r="BP551" s="442"/>
      <c r="BQ551" s="442"/>
      <c r="BR551" s="442"/>
      <c r="BS551" s="442"/>
      <c r="BT551" s="442"/>
      <c r="BU551" s="442"/>
      <c r="BV551" s="442"/>
      <c r="BW551" s="442"/>
      <c r="BX551" s="442"/>
      <c r="BY551" s="442"/>
      <c r="BZ551" s="442"/>
      <c r="CA551" s="442"/>
      <c r="CB551" s="442"/>
      <c r="CC551" s="442"/>
      <c r="CD551" s="442"/>
      <c r="CE551" s="442"/>
      <c r="CF551" s="442"/>
      <c r="CG551" s="442"/>
      <c r="CH551" s="442"/>
      <c r="CI551" s="442"/>
    </row>
    <row r="552" spans="4:87" x14ac:dyDescent="0.2">
      <c r="D552" s="442"/>
      <c r="E552" s="442"/>
      <c r="F552" s="442"/>
      <c r="G552" s="442"/>
      <c r="H552" s="442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  <c r="AA552" s="442"/>
      <c r="AB552" s="442"/>
      <c r="AC552" s="442"/>
      <c r="AD552" s="442"/>
      <c r="AE552" s="442"/>
      <c r="AF552" s="442"/>
      <c r="AG552" s="442"/>
      <c r="AH552" s="442"/>
      <c r="AI552" s="442"/>
      <c r="AJ552" s="442"/>
      <c r="AK552" s="442"/>
      <c r="AL552" s="442"/>
      <c r="AM552" s="442"/>
      <c r="AN552" s="442"/>
      <c r="AO552" s="442"/>
      <c r="AP552" s="442"/>
      <c r="AQ552" s="442"/>
      <c r="AR552" s="442"/>
      <c r="AS552" s="442"/>
      <c r="AT552" s="442"/>
      <c r="AU552" s="442"/>
      <c r="AV552" s="442"/>
      <c r="AW552" s="442"/>
      <c r="AX552" s="442"/>
      <c r="AY552" s="442"/>
      <c r="AZ552" s="442"/>
      <c r="BA552" s="442"/>
      <c r="BB552" s="442"/>
      <c r="BC552" s="442"/>
      <c r="BD552" s="442"/>
      <c r="BE552" s="442"/>
      <c r="BF552" s="442"/>
      <c r="BG552" s="442"/>
      <c r="BH552" s="442"/>
      <c r="BI552" s="442"/>
      <c r="BJ552" s="442"/>
      <c r="BK552" s="442"/>
      <c r="BL552" s="442"/>
      <c r="BM552" s="442"/>
      <c r="BN552" s="442"/>
      <c r="BO552" s="442"/>
      <c r="BP552" s="442"/>
      <c r="BQ552" s="442"/>
      <c r="BR552" s="442"/>
      <c r="BS552" s="442"/>
      <c r="BT552" s="442"/>
      <c r="BU552" s="442"/>
      <c r="BV552" s="442"/>
      <c r="BW552" s="442"/>
      <c r="BX552" s="442"/>
      <c r="BY552" s="442"/>
      <c r="BZ552" s="442"/>
      <c r="CA552" s="442"/>
      <c r="CB552" s="442"/>
      <c r="CC552" s="442"/>
      <c r="CD552" s="442"/>
      <c r="CE552" s="442"/>
      <c r="CF552" s="442"/>
      <c r="CG552" s="442"/>
      <c r="CH552" s="442"/>
      <c r="CI552" s="442"/>
    </row>
    <row r="553" spans="4:87" x14ac:dyDescent="0.2">
      <c r="D553" s="442"/>
      <c r="E553" s="442"/>
      <c r="F553" s="442"/>
      <c r="G553" s="442"/>
      <c r="H553" s="442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  <c r="AA553" s="442"/>
      <c r="AB553" s="442"/>
      <c r="AC553" s="442"/>
      <c r="AD553" s="442"/>
      <c r="AE553" s="442"/>
      <c r="AF553" s="442"/>
      <c r="AG553" s="442"/>
      <c r="AH553" s="442"/>
      <c r="AI553" s="442"/>
      <c r="AJ553" s="442"/>
      <c r="AK553" s="442"/>
      <c r="AL553" s="442"/>
      <c r="AM553" s="442"/>
      <c r="AN553" s="442"/>
      <c r="AO553" s="442"/>
      <c r="AP553" s="442"/>
      <c r="AQ553" s="442"/>
      <c r="AR553" s="442"/>
      <c r="AS553" s="442"/>
      <c r="AT553" s="442"/>
      <c r="AU553" s="442"/>
      <c r="AV553" s="442"/>
      <c r="AW553" s="442"/>
      <c r="AX553" s="442"/>
      <c r="AY553" s="442"/>
      <c r="AZ553" s="442"/>
      <c r="BA553" s="442"/>
      <c r="BB553" s="442"/>
      <c r="BC553" s="442"/>
      <c r="BD553" s="442"/>
      <c r="BE553" s="442"/>
      <c r="BF553" s="442"/>
      <c r="BG553" s="442"/>
      <c r="BH553" s="442"/>
      <c r="BI553" s="442"/>
      <c r="BJ553" s="442"/>
      <c r="BK553" s="442"/>
      <c r="BL553" s="442"/>
      <c r="BM553" s="442"/>
      <c r="BN553" s="442"/>
      <c r="BO553" s="442"/>
      <c r="BP553" s="442"/>
      <c r="BQ553" s="442"/>
      <c r="BR553" s="442"/>
      <c r="BS553" s="442"/>
      <c r="BT553" s="442"/>
      <c r="BU553" s="442"/>
      <c r="BV553" s="442"/>
      <c r="BW553" s="442"/>
      <c r="BX553" s="442"/>
      <c r="BY553" s="442"/>
      <c r="BZ553" s="442"/>
      <c r="CA553" s="442"/>
      <c r="CB553" s="442"/>
      <c r="CC553" s="442"/>
      <c r="CD553" s="442"/>
      <c r="CE553" s="442"/>
      <c r="CF553" s="442"/>
      <c r="CG553" s="442"/>
      <c r="CH553" s="442"/>
      <c r="CI553" s="442"/>
    </row>
    <row r="554" spans="4:87" x14ac:dyDescent="0.2">
      <c r="D554" s="442"/>
      <c r="E554" s="442"/>
      <c r="F554" s="442"/>
      <c r="G554" s="442"/>
      <c r="H554" s="442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  <c r="AA554" s="442"/>
      <c r="AB554" s="442"/>
      <c r="AC554" s="442"/>
      <c r="AD554" s="442"/>
      <c r="AE554" s="442"/>
      <c r="AF554" s="442"/>
      <c r="AG554" s="442"/>
      <c r="AH554" s="442"/>
      <c r="AI554" s="442"/>
      <c r="AJ554" s="442"/>
      <c r="AK554" s="442"/>
      <c r="AL554" s="442"/>
      <c r="AM554" s="442"/>
      <c r="AN554" s="442"/>
      <c r="AO554" s="442"/>
      <c r="AP554" s="442"/>
      <c r="AQ554" s="442"/>
      <c r="AR554" s="442"/>
      <c r="AS554" s="442"/>
      <c r="AT554" s="442"/>
      <c r="AU554" s="442"/>
      <c r="AV554" s="442"/>
      <c r="AW554" s="442"/>
      <c r="AX554" s="442"/>
      <c r="AY554" s="442"/>
      <c r="AZ554" s="442"/>
      <c r="BA554" s="442"/>
      <c r="BB554" s="442"/>
      <c r="BC554" s="442"/>
      <c r="BD554" s="442"/>
      <c r="BE554" s="442"/>
      <c r="BF554" s="442"/>
      <c r="BG554" s="442"/>
      <c r="BH554" s="442"/>
      <c r="BI554" s="442"/>
      <c r="BJ554" s="442"/>
      <c r="BK554" s="442"/>
      <c r="BL554" s="442"/>
      <c r="BM554" s="442"/>
      <c r="BN554" s="442"/>
      <c r="BO554" s="442"/>
      <c r="BP554" s="442"/>
      <c r="BQ554" s="442"/>
      <c r="BR554" s="442"/>
      <c r="BS554" s="442"/>
      <c r="BT554" s="442"/>
      <c r="BU554" s="442"/>
      <c r="BV554" s="442"/>
      <c r="BW554" s="442"/>
      <c r="BX554" s="442"/>
      <c r="BY554" s="442"/>
      <c r="BZ554" s="442"/>
      <c r="CA554" s="442"/>
      <c r="CB554" s="442"/>
      <c r="CC554" s="442"/>
      <c r="CD554" s="442"/>
      <c r="CE554" s="442"/>
      <c r="CF554" s="442"/>
      <c r="CG554" s="442"/>
      <c r="CH554" s="442"/>
      <c r="CI554" s="442"/>
    </row>
    <row r="555" spans="4:87" x14ac:dyDescent="0.2">
      <c r="D555" s="442"/>
      <c r="E555" s="442"/>
      <c r="F555" s="442"/>
      <c r="G555" s="442"/>
      <c r="H555" s="442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  <c r="AA555" s="442"/>
      <c r="AB555" s="442"/>
      <c r="AC555" s="442"/>
      <c r="AD555" s="442"/>
      <c r="AE555" s="442"/>
      <c r="AF555" s="442"/>
      <c r="AG555" s="442"/>
      <c r="AH555" s="442"/>
      <c r="AI555" s="442"/>
      <c r="AJ555" s="442"/>
      <c r="AK555" s="442"/>
      <c r="AL555" s="442"/>
      <c r="AM555" s="442"/>
      <c r="AN555" s="442"/>
      <c r="AO555" s="442"/>
      <c r="AP555" s="442"/>
      <c r="AQ555" s="442"/>
      <c r="AR555" s="442"/>
      <c r="AS555" s="442"/>
      <c r="AT555" s="442"/>
      <c r="AU555" s="442"/>
      <c r="AV555" s="442"/>
      <c r="AW555" s="442"/>
      <c r="AX555" s="442"/>
      <c r="AY555" s="442"/>
      <c r="AZ555" s="442"/>
      <c r="BA555" s="442"/>
      <c r="BB555" s="442"/>
      <c r="BC555" s="442"/>
      <c r="BD555" s="442"/>
      <c r="BE555" s="442"/>
      <c r="BF555" s="442"/>
      <c r="BG555" s="442"/>
      <c r="BH555" s="442"/>
      <c r="BI555" s="442"/>
      <c r="BJ555" s="442"/>
      <c r="BK555" s="442"/>
      <c r="BL555" s="442"/>
      <c r="BM555" s="442"/>
      <c r="BN555" s="442"/>
      <c r="BO555" s="442"/>
      <c r="BP555" s="442"/>
      <c r="BQ555" s="442"/>
      <c r="BR555" s="442"/>
      <c r="BS555" s="442"/>
      <c r="BT555" s="442"/>
      <c r="BU555" s="442"/>
      <c r="BV555" s="442"/>
      <c r="BW555" s="442"/>
      <c r="BX555" s="442"/>
      <c r="BY555" s="442"/>
      <c r="BZ555" s="442"/>
      <c r="CA555" s="442"/>
      <c r="CB555" s="442"/>
      <c r="CC555" s="442"/>
      <c r="CD555" s="442"/>
      <c r="CE555" s="442"/>
      <c r="CF555" s="442"/>
      <c r="CG555" s="442"/>
      <c r="CH555" s="442"/>
      <c r="CI555" s="442"/>
    </row>
    <row r="556" spans="4:87" x14ac:dyDescent="0.2">
      <c r="D556" s="442"/>
      <c r="E556" s="442"/>
      <c r="F556" s="442"/>
      <c r="G556" s="442"/>
      <c r="H556" s="442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  <c r="AA556" s="442"/>
      <c r="AB556" s="442"/>
      <c r="AC556" s="442"/>
      <c r="AD556" s="442"/>
      <c r="AE556" s="442"/>
      <c r="AF556" s="442"/>
      <c r="AG556" s="442"/>
      <c r="AH556" s="442"/>
      <c r="AI556" s="442"/>
      <c r="AJ556" s="442"/>
      <c r="AK556" s="442"/>
      <c r="AL556" s="442"/>
      <c r="AM556" s="442"/>
      <c r="AN556" s="442"/>
      <c r="AO556" s="442"/>
      <c r="AP556" s="442"/>
      <c r="AQ556" s="442"/>
      <c r="AR556" s="442"/>
      <c r="AS556" s="442"/>
      <c r="AT556" s="442"/>
      <c r="AU556" s="442"/>
      <c r="AV556" s="442"/>
      <c r="AW556" s="442"/>
      <c r="AX556" s="442"/>
      <c r="AY556" s="442"/>
      <c r="AZ556" s="442"/>
      <c r="BA556" s="442"/>
      <c r="BB556" s="442"/>
      <c r="BC556" s="442"/>
      <c r="BD556" s="442"/>
      <c r="BE556" s="442"/>
      <c r="BF556" s="442"/>
      <c r="BG556" s="442"/>
      <c r="BH556" s="442"/>
      <c r="BI556" s="442"/>
      <c r="BJ556" s="442"/>
      <c r="BK556" s="442"/>
      <c r="BL556" s="442"/>
      <c r="BM556" s="442"/>
      <c r="BN556" s="442"/>
      <c r="BO556" s="442"/>
      <c r="BP556" s="442"/>
      <c r="BQ556" s="442"/>
      <c r="BR556" s="442"/>
      <c r="BS556" s="442"/>
      <c r="BT556" s="442"/>
      <c r="BU556" s="442"/>
      <c r="BV556" s="442"/>
      <c r="BW556" s="442"/>
      <c r="BX556" s="442"/>
      <c r="BY556" s="442"/>
      <c r="BZ556" s="442"/>
      <c r="CA556" s="442"/>
      <c r="CB556" s="442"/>
      <c r="CC556" s="442"/>
      <c r="CD556" s="442"/>
      <c r="CE556" s="442"/>
      <c r="CF556" s="442"/>
      <c r="CG556" s="442"/>
      <c r="CH556" s="442"/>
      <c r="CI556" s="442"/>
    </row>
    <row r="557" spans="4:87" x14ac:dyDescent="0.2">
      <c r="D557" s="442"/>
      <c r="E557" s="442"/>
      <c r="F557" s="442"/>
      <c r="G557" s="442"/>
      <c r="H557" s="442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  <c r="AA557" s="442"/>
      <c r="AB557" s="442"/>
      <c r="AC557" s="442"/>
      <c r="AD557" s="442"/>
      <c r="AE557" s="442"/>
      <c r="AF557" s="442"/>
      <c r="AG557" s="442"/>
      <c r="AH557" s="442"/>
      <c r="AI557" s="442"/>
      <c r="AJ557" s="442"/>
      <c r="AK557" s="442"/>
      <c r="AL557" s="442"/>
      <c r="AM557" s="442"/>
      <c r="AN557" s="442"/>
      <c r="AO557" s="442"/>
      <c r="AP557" s="442"/>
      <c r="AQ557" s="442"/>
      <c r="AR557" s="442"/>
      <c r="AS557" s="442"/>
      <c r="AT557" s="442"/>
      <c r="AU557" s="442"/>
      <c r="AV557" s="442"/>
      <c r="AW557" s="442"/>
      <c r="AX557" s="442"/>
      <c r="AY557" s="442"/>
      <c r="AZ557" s="442"/>
      <c r="BA557" s="442"/>
      <c r="BB557" s="442"/>
      <c r="BC557" s="442"/>
      <c r="BD557" s="442"/>
      <c r="BE557" s="442"/>
      <c r="BF557" s="442"/>
      <c r="BG557" s="442"/>
      <c r="BH557" s="442"/>
      <c r="BI557" s="442"/>
      <c r="BJ557" s="442"/>
      <c r="BK557" s="442"/>
      <c r="BL557" s="442"/>
      <c r="BM557" s="442"/>
      <c r="BN557" s="442"/>
      <c r="BO557" s="442"/>
      <c r="BP557" s="442"/>
      <c r="BQ557" s="442"/>
      <c r="BR557" s="442"/>
      <c r="BS557" s="442"/>
      <c r="BT557" s="442"/>
      <c r="BU557" s="442"/>
      <c r="BV557" s="442"/>
      <c r="BW557" s="442"/>
      <c r="BX557" s="442"/>
      <c r="BY557" s="442"/>
      <c r="BZ557" s="442"/>
      <c r="CA557" s="442"/>
      <c r="CB557" s="442"/>
      <c r="CC557" s="442"/>
      <c r="CD557" s="442"/>
      <c r="CE557" s="442"/>
      <c r="CF557" s="442"/>
      <c r="CG557" s="442"/>
      <c r="CH557" s="442"/>
      <c r="CI557" s="442"/>
    </row>
    <row r="558" spans="4:87" x14ac:dyDescent="0.2">
      <c r="D558" s="442"/>
      <c r="E558" s="442"/>
      <c r="F558" s="442"/>
      <c r="G558" s="442"/>
      <c r="H558" s="442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  <c r="AA558" s="442"/>
      <c r="AB558" s="442"/>
      <c r="AC558" s="442"/>
      <c r="AD558" s="442"/>
      <c r="AE558" s="442"/>
      <c r="AF558" s="442"/>
      <c r="AG558" s="442"/>
      <c r="AH558" s="442"/>
      <c r="AI558" s="442"/>
      <c r="AJ558" s="442"/>
      <c r="AK558" s="442"/>
      <c r="AL558" s="442"/>
      <c r="AM558" s="442"/>
      <c r="AN558" s="442"/>
      <c r="AO558" s="442"/>
      <c r="AP558" s="442"/>
      <c r="AQ558" s="442"/>
      <c r="AR558" s="442"/>
      <c r="AS558" s="442"/>
      <c r="AT558" s="442"/>
      <c r="AU558" s="442"/>
      <c r="AV558" s="442"/>
      <c r="AW558" s="442"/>
      <c r="AX558" s="442"/>
      <c r="AY558" s="442"/>
      <c r="AZ558" s="442"/>
      <c r="BA558" s="442"/>
      <c r="BB558" s="442"/>
      <c r="BC558" s="442"/>
      <c r="BD558" s="442"/>
      <c r="BE558" s="442"/>
      <c r="BF558" s="442"/>
      <c r="BG558" s="442"/>
      <c r="BH558" s="442"/>
      <c r="BI558" s="442"/>
      <c r="BJ558" s="442"/>
      <c r="BK558" s="442"/>
      <c r="BL558" s="442"/>
      <c r="BM558" s="442"/>
      <c r="BN558" s="442"/>
      <c r="BO558" s="442"/>
      <c r="BP558" s="442"/>
      <c r="BQ558" s="442"/>
      <c r="BR558" s="442"/>
      <c r="BS558" s="442"/>
      <c r="BT558" s="442"/>
      <c r="BU558" s="442"/>
      <c r="BV558" s="442"/>
      <c r="BW558" s="442"/>
      <c r="BX558" s="442"/>
      <c r="BY558" s="442"/>
      <c r="BZ558" s="442"/>
      <c r="CA558" s="442"/>
      <c r="CB558" s="442"/>
      <c r="CC558" s="442"/>
      <c r="CD558" s="442"/>
      <c r="CE558" s="442"/>
      <c r="CF558" s="442"/>
      <c r="CG558" s="442"/>
      <c r="CH558" s="442"/>
      <c r="CI558" s="442"/>
    </row>
    <row r="559" spans="4:87" x14ac:dyDescent="0.2">
      <c r="D559" s="442"/>
      <c r="E559" s="442"/>
      <c r="F559" s="442"/>
      <c r="G559" s="442"/>
      <c r="H559" s="442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  <c r="AA559" s="442"/>
      <c r="AB559" s="442"/>
      <c r="AC559" s="442"/>
      <c r="AD559" s="442"/>
      <c r="AE559" s="442"/>
      <c r="AF559" s="442"/>
      <c r="AG559" s="442"/>
      <c r="AH559" s="442"/>
      <c r="AI559" s="442"/>
      <c r="AJ559" s="442"/>
      <c r="AK559" s="442"/>
      <c r="AL559" s="442"/>
      <c r="AM559" s="442"/>
      <c r="AN559" s="442"/>
      <c r="AO559" s="442"/>
      <c r="AP559" s="442"/>
      <c r="AQ559" s="442"/>
      <c r="AR559" s="442"/>
      <c r="AS559" s="442"/>
      <c r="AT559" s="442"/>
      <c r="AU559" s="442"/>
      <c r="AV559" s="442"/>
      <c r="AW559" s="442"/>
      <c r="AX559" s="442"/>
      <c r="AY559" s="442"/>
      <c r="AZ559" s="442"/>
      <c r="BA559" s="442"/>
      <c r="BB559" s="442"/>
      <c r="BC559" s="442"/>
      <c r="BD559" s="442"/>
      <c r="BE559" s="442"/>
      <c r="BF559" s="442"/>
      <c r="BG559" s="442"/>
      <c r="BH559" s="442"/>
      <c r="BI559" s="442"/>
      <c r="BJ559" s="442"/>
      <c r="BK559" s="442"/>
      <c r="BL559" s="442"/>
      <c r="BM559" s="442"/>
      <c r="BN559" s="442"/>
      <c r="BO559" s="442"/>
      <c r="BP559" s="442"/>
      <c r="BQ559" s="442"/>
      <c r="BR559" s="442"/>
      <c r="BS559" s="442"/>
      <c r="BT559" s="442"/>
      <c r="BU559" s="442"/>
      <c r="BV559" s="442"/>
      <c r="BW559" s="442"/>
      <c r="BX559" s="442"/>
      <c r="BY559" s="442"/>
      <c r="BZ559" s="442"/>
      <c r="CA559" s="442"/>
      <c r="CB559" s="442"/>
      <c r="CC559" s="442"/>
      <c r="CD559" s="442"/>
      <c r="CE559" s="442"/>
      <c r="CF559" s="442"/>
      <c r="CG559" s="442"/>
      <c r="CH559" s="442"/>
      <c r="CI559" s="442"/>
    </row>
    <row r="560" spans="4:87" x14ac:dyDescent="0.2">
      <c r="D560" s="442"/>
      <c r="E560" s="442"/>
      <c r="F560" s="442"/>
      <c r="G560" s="442"/>
      <c r="H560" s="442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  <c r="AA560" s="442"/>
      <c r="AB560" s="442"/>
      <c r="AC560" s="442"/>
      <c r="AD560" s="442"/>
      <c r="AE560" s="442"/>
      <c r="AF560" s="442"/>
      <c r="AG560" s="442"/>
      <c r="AH560" s="442"/>
      <c r="AI560" s="442"/>
      <c r="AJ560" s="442"/>
      <c r="AK560" s="442"/>
      <c r="AL560" s="442"/>
      <c r="AM560" s="442"/>
      <c r="AN560" s="442"/>
      <c r="AO560" s="442"/>
      <c r="AP560" s="442"/>
      <c r="AQ560" s="442"/>
      <c r="AR560" s="442"/>
      <c r="AS560" s="442"/>
      <c r="AT560" s="442"/>
      <c r="AU560" s="442"/>
      <c r="AV560" s="442"/>
      <c r="AW560" s="442"/>
      <c r="AX560" s="442"/>
      <c r="AY560" s="442"/>
      <c r="AZ560" s="442"/>
      <c r="BA560" s="442"/>
      <c r="BB560" s="442"/>
      <c r="BC560" s="442"/>
      <c r="BD560" s="442"/>
      <c r="BE560" s="442"/>
      <c r="BF560" s="442"/>
      <c r="BG560" s="442"/>
      <c r="BH560" s="442"/>
      <c r="BI560" s="442"/>
      <c r="BJ560" s="442"/>
      <c r="BK560" s="442"/>
      <c r="BL560" s="442"/>
      <c r="BM560" s="442"/>
      <c r="BN560" s="442"/>
      <c r="BO560" s="442"/>
      <c r="BP560" s="442"/>
      <c r="BQ560" s="442"/>
      <c r="BR560" s="442"/>
      <c r="BS560" s="442"/>
      <c r="BT560" s="442"/>
      <c r="BU560" s="442"/>
      <c r="BV560" s="442"/>
      <c r="BW560" s="442"/>
      <c r="BX560" s="442"/>
      <c r="BY560" s="442"/>
      <c r="BZ560" s="442"/>
      <c r="CA560" s="442"/>
      <c r="CB560" s="442"/>
      <c r="CC560" s="442"/>
      <c r="CD560" s="442"/>
      <c r="CE560" s="442"/>
      <c r="CF560" s="442"/>
      <c r="CG560" s="442"/>
      <c r="CH560" s="442"/>
      <c r="CI560" s="442"/>
    </row>
    <row r="561" spans="4:87" x14ac:dyDescent="0.2">
      <c r="D561" s="442"/>
      <c r="E561" s="442"/>
      <c r="F561" s="442"/>
      <c r="G561" s="442"/>
      <c r="H561" s="442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  <c r="AA561" s="442"/>
      <c r="AB561" s="442"/>
      <c r="AC561" s="442"/>
      <c r="AD561" s="442"/>
      <c r="AE561" s="442"/>
      <c r="AF561" s="442"/>
      <c r="AG561" s="442"/>
      <c r="AH561" s="442"/>
      <c r="AI561" s="442"/>
      <c r="AJ561" s="442"/>
      <c r="AK561" s="442"/>
      <c r="AL561" s="442"/>
      <c r="AM561" s="442"/>
      <c r="AN561" s="442"/>
      <c r="AO561" s="442"/>
      <c r="AP561" s="442"/>
      <c r="AQ561" s="442"/>
      <c r="AR561" s="442"/>
      <c r="AS561" s="442"/>
      <c r="AT561" s="442"/>
      <c r="AU561" s="442"/>
      <c r="AV561" s="442"/>
      <c r="AW561" s="442"/>
      <c r="AX561" s="442"/>
      <c r="AY561" s="442"/>
      <c r="AZ561" s="442"/>
      <c r="BA561" s="442"/>
      <c r="BB561" s="442"/>
      <c r="BC561" s="442"/>
      <c r="BD561" s="442"/>
      <c r="BE561" s="442"/>
      <c r="BF561" s="442"/>
      <c r="BG561" s="442"/>
      <c r="BH561" s="442"/>
      <c r="BI561" s="442"/>
      <c r="BJ561" s="442"/>
      <c r="BK561" s="442"/>
      <c r="BL561" s="442"/>
      <c r="BM561" s="442"/>
      <c r="BN561" s="442"/>
      <c r="BO561" s="442"/>
      <c r="BP561" s="442"/>
      <c r="BQ561" s="442"/>
      <c r="BR561" s="442"/>
      <c r="BS561" s="442"/>
      <c r="BT561" s="442"/>
      <c r="BU561" s="442"/>
      <c r="BV561" s="442"/>
      <c r="BW561" s="442"/>
      <c r="BX561" s="442"/>
      <c r="BY561" s="442"/>
      <c r="BZ561" s="442"/>
      <c r="CA561" s="442"/>
      <c r="CB561" s="442"/>
      <c r="CC561" s="442"/>
      <c r="CD561" s="442"/>
      <c r="CE561" s="442"/>
      <c r="CF561" s="442"/>
      <c r="CG561" s="442"/>
      <c r="CH561" s="442"/>
      <c r="CI561" s="442"/>
    </row>
    <row r="562" spans="4:87" x14ac:dyDescent="0.2">
      <c r="D562" s="442"/>
      <c r="E562" s="442"/>
      <c r="F562" s="442"/>
      <c r="G562" s="442"/>
      <c r="H562" s="442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  <c r="AA562" s="442"/>
      <c r="AB562" s="442"/>
      <c r="AC562" s="442"/>
      <c r="AD562" s="442"/>
      <c r="AE562" s="442"/>
      <c r="AF562" s="442"/>
      <c r="AG562" s="442"/>
      <c r="AH562" s="442"/>
      <c r="AI562" s="442"/>
      <c r="AJ562" s="442"/>
      <c r="AK562" s="442"/>
      <c r="AL562" s="442"/>
      <c r="AM562" s="442"/>
      <c r="AN562" s="442"/>
      <c r="AO562" s="442"/>
      <c r="AP562" s="442"/>
      <c r="AQ562" s="442"/>
      <c r="AR562" s="442"/>
      <c r="AS562" s="442"/>
      <c r="AT562" s="442"/>
      <c r="AU562" s="442"/>
      <c r="AV562" s="442"/>
      <c r="AW562" s="442"/>
      <c r="AX562" s="442"/>
      <c r="AY562" s="442"/>
      <c r="AZ562" s="442"/>
      <c r="BA562" s="442"/>
      <c r="BB562" s="442"/>
      <c r="BC562" s="442"/>
      <c r="BD562" s="442"/>
      <c r="BE562" s="442"/>
      <c r="BF562" s="442"/>
      <c r="BG562" s="442"/>
      <c r="BH562" s="442"/>
      <c r="BI562" s="442"/>
      <c r="BJ562" s="442"/>
      <c r="BK562" s="442"/>
      <c r="BL562" s="442"/>
      <c r="BM562" s="442"/>
      <c r="BN562" s="442"/>
      <c r="BO562" s="442"/>
      <c r="BP562" s="442"/>
      <c r="BQ562" s="442"/>
      <c r="BR562" s="442"/>
      <c r="BS562" s="442"/>
      <c r="BT562" s="442"/>
      <c r="BU562" s="442"/>
      <c r="BV562" s="442"/>
      <c r="BW562" s="442"/>
      <c r="BX562" s="442"/>
      <c r="BY562" s="442"/>
      <c r="BZ562" s="442"/>
      <c r="CA562" s="442"/>
      <c r="CB562" s="442"/>
      <c r="CC562" s="442"/>
      <c r="CD562" s="442"/>
      <c r="CE562" s="442"/>
      <c r="CF562" s="442"/>
      <c r="CG562" s="442"/>
      <c r="CH562" s="442"/>
      <c r="CI562" s="442"/>
    </row>
    <row r="563" spans="4:87" x14ac:dyDescent="0.2">
      <c r="D563" s="442"/>
      <c r="E563" s="442"/>
      <c r="F563" s="442"/>
      <c r="G563" s="442"/>
      <c r="H563" s="442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  <c r="AA563" s="442"/>
      <c r="AB563" s="442"/>
      <c r="AC563" s="442"/>
      <c r="AD563" s="442"/>
      <c r="AE563" s="442"/>
      <c r="AF563" s="442"/>
      <c r="AG563" s="442"/>
      <c r="AH563" s="442"/>
      <c r="AI563" s="442"/>
      <c r="AJ563" s="442"/>
      <c r="AK563" s="442"/>
      <c r="AL563" s="442"/>
      <c r="AM563" s="442"/>
      <c r="AN563" s="442"/>
      <c r="AO563" s="442"/>
      <c r="AP563" s="442"/>
      <c r="AQ563" s="442"/>
      <c r="AR563" s="442"/>
      <c r="AS563" s="442"/>
      <c r="AT563" s="442"/>
      <c r="AU563" s="442"/>
      <c r="AV563" s="442"/>
      <c r="AW563" s="442"/>
      <c r="AX563" s="442"/>
      <c r="AY563" s="442"/>
      <c r="AZ563" s="442"/>
      <c r="BA563" s="442"/>
      <c r="BB563" s="442"/>
      <c r="BC563" s="442"/>
      <c r="BD563" s="442"/>
      <c r="BE563" s="442"/>
      <c r="BF563" s="442"/>
      <c r="BG563" s="442"/>
      <c r="BH563" s="442"/>
      <c r="BI563" s="442"/>
      <c r="BJ563" s="442"/>
      <c r="BK563" s="442"/>
      <c r="BL563" s="442"/>
      <c r="BM563" s="442"/>
      <c r="BN563" s="442"/>
      <c r="BO563" s="442"/>
      <c r="BP563" s="442"/>
      <c r="BQ563" s="442"/>
      <c r="BR563" s="442"/>
      <c r="BS563" s="442"/>
      <c r="BT563" s="442"/>
      <c r="BU563" s="442"/>
      <c r="BV563" s="442"/>
      <c r="BW563" s="442"/>
      <c r="BX563" s="442"/>
      <c r="BY563" s="442"/>
      <c r="BZ563" s="442"/>
      <c r="CA563" s="442"/>
      <c r="CB563" s="442"/>
      <c r="CC563" s="442"/>
      <c r="CD563" s="442"/>
      <c r="CE563" s="442"/>
      <c r="CF563" s="442"/>
      <c r="CG563" s="442"/>
      <c r="CH563" s="442"/>
      <c r="CI563" s="442"/>
    </row>
    <row r="564" spans="4:87" x14ac:dyDescent="0.2">
      <c r="D564" s="442"/>
      <c r="E564" s="442"/>
      <c r="F564" s="442"/>
      <c r="G564" s="442"/>
      <c r="H564" s="442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  <c r="AA564" s="442"/>
      <c r="AB564" s="442"/>
      <c r="AC564" s="442"/>
      <c r="AD564" s="442"/>
      <c r="AE564" s="442"/>
      <c r="AF564" s="442"/>
      <c r="AG564" s="442"/>
      <c r="AH564" s="442"/>
      <c r="AI564" s="442"/>
      <c r="AJ564" s="442"/>
      <c r="AK564" s="442"/>
      <c r="AL564" s="442"/>
      <c r="AM564" s="442"/>
      <c r="AN564" s="442"/>
      <c r="AO564" s="442"/>
      <c r="AP564" s="442"/>
      <c r="AQ564" s="442"/>
      <c r="AR564" s="442"/>
      <c r="AS564" s="442"/>
      <c r="AT564" s="442"/>
      <c r="AU564" s="442"/>
      <c r="AV564" s="442"/>
      <c r="AW564" s="442"/>
      <c r="AX564" s="442"/>
      <c r="AY564" s="442"/>
      <c r="AZ564" s="442"/>
      <c r="BA564" s="442"/>
      <c r="BB564" s="442"/>
      <c r="BC564" s="442"/>
      <c r="BD564" s="442"/>
      <c r="BE564" s="442"/>
      <c r="BF564" s="442"/>
      <c r="BG564" s="442"/>
      <c r="BH564" s="442"/>
      <c r="BI564" s="442"/>
      <c r="BJ564" s="442"/>
      <c r="BK564" s="442"/>
      <c r="BL564" s="442"/>
      <c r="BM564" s="442"/>
      <c r="BN564" s="442"/>
      <c r="BO564" s="442"/>
      <c r="BP564" s="442"/>
      <c r="BQ564" s="442"/>
      <c r="BR564" s="442"/>
      <c r="BS564" s="442"/>
      <c r="BT564" s="442"/>
      <c r="BU564" s="442"/>
      <c r="BV564" s="442"/>
      <c r="BW564" s="442"/>
      <c r="BX564" s="442"/>
      <c r="BY564" s="442"/>
      <c r="BZ564" s="442"/>
      <c r="CA564" s="442"/>
      <c r="CB564" s="442"/>
      <c r="CC564" s="442"/>
      <c r="CD564" s="442"/>
      <c r="CE564" s="442"/>
      <c r="CF564" s="442"/>
      <c r="CG564" s="442"/>
      <c r="CH564" s="442"/>
      <c r="CI564" s="442"/>
    </row>
    <row r="565" spans="4:87" x14ac:dyDescent="0.2">
      <c r="D565" s="442"/>
      <c r="E565" s="442"/>
      <c r="F565" s="442"/>
      <c r="G565" s="442"/>
      <c r="H565" s="442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  <c r="AA565" s="442"/>
      <c r="AB565" s="442"/>
      <c r="AC565" s="442"/>
      <c r="AD565" s="442"/>
      <c r="AE565" s="442"/>
      <c r="AF565" s="442"/>
      <c r="AG565" s="442"/>
      <c r="AH565" s="442"/>
      <c r="AI565" s="442"/>
      <c r="AJ565" s="442"/>
      <c r="AK565" s="442"/>
      <c r="AL565" s="442"/>
      <c r="AM565" s="442"/>
      <c r="AN565" s="442"/>
      <c r="AO565" s="442"/>
      <c r="AP565" s="442"/>
      <c r="AQ565" s="442"/>
      <c r="AR565" s="442"/>
      <c r="AS565" s="442"/>
      <c r="AT565" s="442"/>
      <c r="AU565" s="442"/>
      <c r="AV565" s="442"/>
      <c r="AW565" s="442"/>
      <c r="AX565" s="442"/>
      <c r="AY565" s="442"/>
      <c r="AZ565" s="442"/>
      <c r="BA565" s="442"/>
      <c r="BB565" s="442"/>
      <c r="BC565" s="442"/>
      <c r="BD565" s="442"/>
      <c r="BE565" s="442"/>
      <c r="BF565" s="442"/>
      <c r="BG565" s="442"/>
      <c r="BH565" s="442"/>
      <c r="BI565" s="442"/>
      <c r="BJ565" s="442"/>
      <c r="BK565" s="442"/>
      <c r="BL565" s="442"/>
      <c r="BM565" s="442"/>
      <c r="BN565" s="442"/>
      <c r="BO565" s="442"/>
      <c r="BP565" s="442"/>
      <c r="BQ565" s="442"/>
      <c r="BR565" s="442"/>
      <c r="BS565" s="442"/>
      <c r="BT565" s="442"/>
      <c r="BU565" s="442"/>
      <c r="BV565" s="442"/>
      <c r="BW565" s="442"/>
      <c r="BX565" s="442"/>
      <c r="BY565" s="442"/>
      <c r="BZ565" s="442"/>
      <c r="CA565" s="442"/>
      <c r="CB565" s="442"/>
      <c r="CC565" s="442"/>
      <c r="CD565" s="442"/>
      <c r="CE565" s="442"/>
      <c r="CF565" s="442"/>
      <c r="CG565" s="442"/>
      <c r="CH565" s="442"/>
      <c r="CI565" s="442"/>
    </row>
    <row r="566" spans="4:87" x14ac:dyDescent="0.2"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  <c r="AA566" s="442"/>
      <c r="AB566" s="442"/>
      <c r="AC566" s="442"/>
      <c r="AD566" s="442"/>
      <c r="AE566" s="442"/>
      <c r="AF566" s="442"/>
      <c r="AG566" s="442"/>
      <c r="AH566" s="442"/>
      <c r="AI566" s="442"/>
      <c r="AJ566" s="442"/>
      <c r="AK566" s="442"/>
      <c r="AL566" s="442"/>
      <c r="AM566" s="442"/>
      <c r="AN566" s="442"/>
      <c r="AO566" s="442"/>
      <c r="AP566" s="442"/>
      <c r="AQ566" s="442"/>
      <c r="AR566" s="442"/>
      <c r="AS566" s="442"/>
      <c r="AT566" s="442"/>
      <c r="AU566" s="442"/>
      <c r="AV566" s="442"/>
      <c r="AW566" s="442"/>
      <c r="AX566" s="442"/>
      <c r="AY566" s="442"/>
      <c r="AZ566" s="442"/>
      <c r="BA566" s="442"/>
      <c r="BB566" s="442"/>
      <c r="BC566" s="442"/>
      <c r="BD566" s="442"/>
      <c r="BE566" s="442"/>
      <c r="BF566" s="442"/>
      <c r="BG566" s="442"/>
      <c r="BH566" s="442"/>
      <c r="BI566" s="442"/>
      <c r="BJ566" s="442"/>
      <c r="BK566" s="442"/>
      <c r="BL566" s="442"/>
      <c r="BM566" s="442"/>
      <c r="BN566" s="442"/>
      <c r="BO566" s="442"/>
      <c r="BP566" s="442"/>
      <c r="BQ566" s="442"/>
      <c r="BR566" s="442"/>
      <c r="BS566" s="442"/>
      <c r="BT566" s="442"/>
      <c r="BU566" s="442"/>
      <c r="BV566" s="442"/>
      <c r="BW566" s="442"/>
      <c r="BX566" s="442"/>
      <c r="BY566" s="442"/>
      <c r="BZ566" s="442"/>
      <c r="CA566" s="442"/>
      <c r="CB566" s="442"/>
      <c r="CC566" s="442"/>
      <c r="CD566" s="442"/>
      <c r="CE566" s="442"/>
      <c r="CF566" s="442"/>
      <c r="CG566" s="442"/>
      <c r="CH566" s="442"/>
      <c r="CI566" s="442"/>
    </row>
    <row r="567" spans="4:87" x14ac:dyDescent="0.2">
      <c r="D567" s="442"/>
      <c r="E567" s="442"/>
      <c r="F567" s="442"/>
      <c r="G567" s="442"/>
      <c r="H567" s="442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  <c r="AA567" s="442"/>
      <c r="AB567" s="442"/>
      <c r="AC567" s="442"/>
      <c r="AD567" s="442"/>
      <c r="AE567" s="442"/>
      <c r="AF567" s="442"/>
      <c r="AG567" s="442"/>
      <c r="AH567" s="442"/>
      <c r="AI567" s="442"/>
      <c r="AJ567" s="442"/>
      <c r="AK567" s="442"/>
      <c r="AL567" s="442"/>
      <c r="AM567" s="442"/>
      <c r="AN567" s="442"/>
      <c r="AO567" s="442"/>
      <c r="AP567" s="442"/>
      <c r="AQ567" s="442"/>
      <c r="AR567" s="442"/>
      <c r="AS567" s="442"/>
      <c r="AT567" s="442"/>
      <c r="AU567" s="442"/>
      <c r="AV567" s="442"/>
      <c r="AW567" s="442"/>
      <c r="AX567" s="442"/>
      <c r="AY567" s="442"/>
      <c r="AZ567" s="442"/>
      <c r="BA567" s="442"/>
      <c r="BB567" s="442"/>
      <c r="BC567" s="442"/>
      <c r="BD567" s="442"/>
      <c r="BE567" s="442"/>
      <c r="BF567" s="442"/>
      <c r="BG567" s="442"/>
      <c r="BH567" s="442"/>
      <c r="BI567" s="442"/>
      <c r="BJ567" s="442"/>
      <c r="BK567" s="442"/>
      <c r="BL567" s="442"/>
      <c r="BM567" s="442"/>
      <c r="BN567" s="442"/>
      <c r="BO567" s="442"/>
      <c r="BP567" s="442"/>
      <c r="BQ567" s="442"/>
      <c r="BR567" s="442"/>
      <c r="BS567" s="442"/>
      <c r="BT567" s="442"/>
      <c r="BU567" s="442"/>
      <c r="BV567" s="442"/>
      <c r="BW567" s="442"/>
      <c r="BX567" s="442"/>
      <c r="BY567" s="442"/>
      <c r="BZ567" s="442"/>
      <c r="CA567" s="442"/>
      <c r="CB567" s="442"/>
      <c r="CC567" s="442"/>
      <c r="CD567" s="442"/>
      <c r="CE567" s="442"/>
      <c r="CF567" s="442"/>
      <c r="CG567" s="442"/>
      <c r="CH567" s="442"/>
      <c r="CI567" s="442"/>
    </row>
    <row r="568" spans="4:87" x14ac:dyDescent="0.2"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  <c r="AA568" s="442"/>
      <c r="AB568" s="442"/>
      <c r="AC568" s="442"/>
      <c r="AD568" s="442"/>
      <c r="AE568" s="442"/>
      <c r="AF568" s="442"/>
      <c r="AG568" s="442"/>
      <c r="AH568" s="442"/>
      <c r="AI568" s="442"/>
      <c r="AJ568" s="442"/>
      <c r="AK568" s="442"/>
      <c r="AL568" s="442"/>
      <c r="AM568" s="442"/>
      <c r="AN568" s="442"/>
      <c r="AO568" s="442"/>
      <c r="AP568" s="442"/>
      <c r="AQ568" s="442"/>
      <c r="AR568" s="442"/>
      <c r="AS568" s="442"/>
      <c r="AT568" s="442"/>
      <c r="AU568" s="442"/>
      <c r="AV568" s="442"/>
      <c r="AW568" s="442"/>
      <c r="AX568" s="442"/>
      <c r="AY568" s="442"/>
      <c r="AZ568" s="442"/>
      <c r="BA568" s="442"/>
      <c r="BB568" s="442"/>
      <c r="BC568" s="442"/>
      <c r="BD568" s="442"/>
      <c r="BE568" s="442"/>
      <c r="BF568" s="442"/>
      <c r="BG568" s="442"/>
      <c r="BH568" s="442"/>
      <c r="BI568" s="442"/>
      <c r="BJ568" s="442"/>
      <c r="BK568" s="442"/>
      <c r="BL568" s="442"/>
      <c r="BM568" s="442"/>
      <c r="BN568" s="442"/>
      <c r="BO568" s="442"/>
      <c r="BP568" s="442"/>
      <c r="BQ568" s="442"/>
      <c r="BR568" s="442"/>
      <c r="BS568" s="442"/>
      <c r="BT568" s="442"/>
      <c r="BU568" s="442"/>
      <c r="BV568" s="442"/>
      <c r="BW568" s="442"/>
      <c r="BX568" s="442"/>
      <c r="BY568" s="442"/>
      <c r="BZ568" s="442"/>
      <c r="CA568" s="442"/>
      <c r="CB568" s="442"/>
      <c r="CC568" s="442"/>
      <c r="CD568" s="442"/>
      <c r="CE568" s="442"/>
      <c r="CF568" s="442"/>
      <c r="CG568" s="442"/>
      <c r="CH568" s="442"/>
      <c r="CI568" s="442"/>
    </row>
    <row r="569" spans="4:87" x14ac:dyDescent="0.2">
      <c r="D569" s="442"/>
      <c r="E569" s="442"/>
      <c r="F569" s="442"/>
      <c r="G569" s="442"/>
      <c r="H569" s="442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  <c r="AA569" s="442"/>
      <c r="AB569" s="442"/>
      <c r="AC569" s="442"/>
      <c r="AD569" s="442"/>
      <c r="AE569" s="442"/>
      <c r="AF569" s="442"/>
      <c r="AG569" s="442"/>
      <c r="AH569" s="442"/>
      <c r="AI569" s="442"/>
      <c r="AJ569" s="442"/>
      <c r="AK569" s="442"/>
      <c r="AL569" s="442"/>
      <c r="AM569" s="442"/>
      <c r="AN569" s="442"/>
      <c r="AO569" s="442"/>
      <c r="AP569" s="442"/>
      <c r="AQ569" s="442"/>
      <c r="AR569" s="442"/>
      <c r="AS569" s="442"/>
      <c r="AT569" s="442"/>
      <c r="AU569" s="442"/>
      <c r="AV569" s="442"/>
      <c r="AW569" s="442"/>
      <c r="AX569" s="442"/>
      <c r="AY569" s="442"/>
      <c r="AZ569" s="442"/>
      <c r="BA569" s="442"/>
      <c r="BB569" s="442"/>
      <c r="BC569" s="442"/>
      <c r="BD569" s="442"/>
      <c r="BE569" s="442"/>
      <c r="BF569" s="442"/>
      <c r="BG569" s="442"/>
      <c r="BH569" s="442"/>
      <c r="BI569" s="442"/>
      <c r="BJ569" s="442"/>
      <c r="BK569" s="442"/>
      <c r="BL569" s="442"/>
      <c r="BM569" s="442"/>
      <c r="BN569" s="442"/>
      <c r="BO569" s="442"/>
      <c r="BP569" s="442"/>
      <c r="BQ569" s="442"/>
      <c r="BR569" s="442"/>
      <c r="BS569" s="442"/>
      <c r="BT569" s="442"/>
      <c r="BU569" s="442"/>
      <c r="BV569" s="442"/>
      <c r="BW569" s="442"/>
      <c r="BX569" s="442"/>
      <c r="BY569" s="442"/>
      <c r="BZ569" s="442"/>
      <c r="CA569" s="442"/>
      <c r="CB569" s="442"/>
      <c r="CC569" s="442"/>
      <c r="CD569" s="442"/>
      <c r="CE569" s="442"/>
      <c r="CF569" s="442"/>
      <c r="CG569" s="442"/>
      <c r="CH569" s="442"/>
      <c r="CI569" s="442"/>
    </row>
    <row r="570" spans="4:87" x14ac:dyDescent="0.2">
      <c r="D570" s="442"/>
      <c r="E570" s="442"/>
      <c r="F570" s="442"/>
      <c r="G570" s="442"/>
      <c r="H570" s="442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  <c r="AA570" s="442"/>
      <c r="AB570" s="442"/>
      <c r="AC570" s="442"/>
      <c r="AD570" s="442"/>
      <c r="AE570" s="442"/>
      <c r="AF570" s="442"/>
      <c r="AG570" s="442"/>
      <c r="AH570" s="442"/>
      <c r="AI570" s="442"/>
      <c r="AJ570" s="442"/>
      <c r="AK570" s="442"/>
      <c r="AL570" s="442"/>
      <c r="AM570" s="442"/>
      <c r="AN570" s="442"/>
      <c r="AO570" s="442"/>
      <c r="AP570" s="442"/>
      <c r="AQ570" s="442"/>
      <c r="AR570" s="442"/>
      <c r="AS570" s="442"/>
      <c r="AT570" s="442"/>
      <c r="AU570" s="442"/>
      <c r="AV570" s="442"/>
      <c r="AW570" s="442"/>
      <c r="AX570" s="442"/>
      <c r="AY570" s="442"/>
      <c r="AZ570" s="442"/>
      <c r="BA570" s="442"/>
      <c r="BB570" s="442"/>
      <c r="BC570" s="442"/>
      <c r="BD570" s="442"/>
      <c r="BE570" s="442"/>
      <c r="BF570" s="442"/>
      <c r="BG570" s="442"/>
      <c r="BH570" s="442"/>
      <c r="BI570" s="442"/>
      <c r="BJ570" s="442"/>
      <c r="BK570" s="442"/>
      <c r="BL570" s="442"/>
      <c r="BM570" s="442"/>
      <c r="BN570" s="442"/>
      <c r="BO570" s="442"/>
      <c r="BP570" s="442"/>
      <c r="BQ570" s="442"/>
      <c r="BR570" s="442"/>
      <c r="BS570" s="442"/>
      <c r="BT570" s="442"/>
      <c r="BU570" s="442"/>
      <c r="BV570" s="442"/>
      <c r="BW570" s="442"/>
      <c r="BX570" s="442"/>
      <c r="BY570" s="442"/>
      <c r="BZ570" s="442"/>
      <c r="CA570" s="442"/>
      <c r="CB570" s="442"/>
      <c r="CC570" s="442"/>
      <c r="CD570" s="442"/>
      <c r="CE570" s="442"/>
      <c r="CF570" s="442"/>
      <c r="CG570" s="442"/>
      <c r="CH570" s="442"/>
      <c r="CI570" s="442"/>
    </row>
    <row r="571" spans="4:87" x14ac:dyDescent="0.2"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  <c r="AA571" s="442"/>
      <c r="AB571" s="442"/>
      <c r="AC571" s="442"/>
      <c r="AD571" s="442"/>
      <c r="AE571" s="442"/>
      <c r="AF571" s="442"/>
      <c r="AG571" s="442"/>
      <c r="AH571" s="442"/>
      <c r="AI571" s="442"/>
      <c r="AJ571" s="442"/>
      <c r="AK571" s="442"/>
      <c r="AL571" s="442"/>
      <c r="AM571" s="442"/>
      <c r="AN571" s="442"/>
      <c r="AO571" s="442"/>
      <c r="AP571" s="442"/>
      <c r="AQ571" s="442"/>
      <c r="AR571" s="442"/>
      <c r="AS571" s="442"/>
      <c r="AT571" s="442"/>
      <c r="AU571" s="442"/>
      <c r="AV571" s="442"/>
      <c r="AW571" s="442"/>
      <c r="AX571" s="442"/>
      <c r="AY571" s="442"/>
      <c r="AZ571" s="442"/>
      <c r="BA571" s="442"/>
      <c r="BB571" s="442"/>
      <c r="BC571" s="442"/>
      <c r="BD571" s="442"/>
      <c r="BE571" s="442"/>
      <c r="BF571" s="442"/>
      <c r="BG571" s="442"/>
      <c r="BH571" s="442"/>
      <c r="BI571" s="442"/>
      <c r="BJ571" s="442"/>
      <c r="BK571" s="442"/>
      <c r="BL571" s="442"/>
      <c r="BM571" s="442"/>
      <c r="BN571" s="442"/>
      <c r="BO571" s="442"/>
      <c r="BP571" s="442"/>
      <c r="BQ571" s="442"/>
      <c r="BR571" s="442"/>
      <c r="BS571" s="442"/>
      <c r="BT571" s="442"/>
      <c r="BU571" s="442"/>
      <c r="BV571" s="442"/>
      <c r="BW571" s="442"/>
      <c r="BX571" s="442"/>
      <c r="BY571" s="442"/>
      <c r="BZ571" s="442"/>
      <c r="CA571" s="442"/>
      <c r="CB571" s="442"/>
      <c r="CC571" s="442"/>
      <c r="CD571" s="442"/>
      <c r="CE571" s="442"/>
      <c r="CF571" s="442"/>
      <c r="CG571" s="442"/>
      <c r="CH571" s="442"/>
      <c r="CI571" s="442"/>
    </row>
    <row r="572" spans="4:87" x14ac:dyDescent="0.2">
      <c r="D572" s="442"/>
      <c r="E572" s="442"/>
      <c r="F572" s="442"/>
      <c r="G572" s="442"/>
      <c r="H572" s="442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  <c r="AA572" s="442"/>
      <c r="AB572" s="442"/>
      <c r="AC572" s="442"/>
      <c r="AD572" s="442"/>
      <c r="AE572" s="442"/>
      <c r="AF572" s="442"/>
      <c r="AG572" s="442"/>
      <c r="AH572" s="442"/>
      <c r="AI572" s="442"/>
      <c r="AJ572" s="442"/>
      <c r="AK572" s="442"/>
      <c r="AL572" s="442"/>
      <c r="AM572" s="442"/>
      <c r="AN572" s="442"/>
      <c r="AO572" s="442"/>
      <c r="AP572" s="442"/>
      <c r="AQ572" s="442"/>
      <c r="AR572" s="442"/>
      <c r="AS572" s="442"/>
      <c r="AT572" s="442"/>
      <c r="AU572" s="442"/>
      <c r="AV572" s="442"/>
      <c r="AW572" s="442"/>
      <c r="AX572" s="442"/>
      <c r="AY572" s="442"/>
      <c r="AZ572" s="442"/>
      <c r="BA572" s="442"/>
      <c r="BB572" s="442"/>
      <c r="BC572" s="442"/>
      <c r="BD572" s="442"/>
      <c r="BE572" s="442"/>
      <c r="BF572" s="442"/>
      <c r="BG572" s="442"/>
      <c r="BH572" s="442"/>
      <c r="BI572" s="442"/>
      <c r="BJ572" s="442"/>
      <c r="BK572" s="442"/>
      <c r="BL572" s="442"/>
      <c r="BM572" s="442"/>
      <c r="BN572" s="442"/>
      <c r="BO572" s="442"/>
      <c r="BP572" s="442"/>
      <c r="BQ572" s="442"/>
      <c r="BR572" s="442"/>
      <c r="BS572" s="442"/>
      <c r="BT572" s="442"/>
      <c r="BU572" s="442"/>
      <c r="BV572" s="442"/>
      <c r="BW572" s="442"/>
      <c r="BX572" s="442"/>
      <c r="BY572" s="442"/>
      <c r="BZ572" s="442"/>
      <c r="CA572" s="442"/>
      <c r="CB572" s="442"/>
      <c r="CC572" s="442"/>
      <c r="CD572" s="442"/>
      <c r="CE572" s="442"/>
      <c r="CF572" s="442"/>
      <c r="CG572" s="442"/>
      <c r="CH572" s="442"/>
      <c r="CI572" s="442"/>
    </row>
    <row r="573" spans="4:87" x14ac:dyDescent="0.2">
      <c r="D573" s="442"/>
      <c r="E573" s="442"/>
      <c r="F573" s="442"/>
      <c r="G573" s="442"/>
      <c r="H573" s="442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  <c r="AA573" s="442"/>
      <c r="AB573" s="442"/>
      <c r="AC573" s="442"/>
      <c r="AD573" s="442"/>
      <c r="AE573" s="442"/>
      <c r="AF573" s="442"/>
      <c r="AG573" s="442"/>
      <c r="AH573" s="442"/>
      <c r="AI573" s="442"/>
      <c r="AJ573" s="442"/>
      <c r="AK573" s="442"/>
      <c r="AL573" s="442"/>
      <c r="AM573" s="442"/>
      <c r="AN573" s="442"/>
      <c r="AO573" s="442"/>
      <c r="AP573" s="442"/>
      <c r="AQ573" s="442"/>
      <c r="AR573" s="442"/>
      <c r="AS573" s="442"/>
      <c r="AT573" s="442"/>
      <c r="AU573" s="442"/>
      <c r="AV573" s="442"/>
      <c r="AW573" s="442"/>
      <c r="AX573" s="442"/>
      <c r="AY573" s="442"/>
      <c r="AZ573" s="442"/>
      <c r="BA573" s="442"/>
      <c r="BB573" s="442"/>
      <c r="BC573" s="442"/>
      <c r="BD573" s="442"/>
      <c r="BE573" s="442"/>
      <c r="BF573" s="442"/>
      <c r="BG573" s="442"/>
      <c r="BH573" s="442"/>
      <c r="BI573" s="442"/>
      <c r="BJ573" s="442"/>
      <c r="BK573" s="442"/>
      <c r="BL573" s="442"/>
      <c r="BM573" s="442"/>
      <c r="BN573" s="442"/>
      <c r="BO573" s="442"/>
      <c r="BP573" s="442"/>
      <c r="BQ573" s="442"/>
      <c r="BR573" s="442"/>
      <c r="BS573" s="442"/>
      <c r="BT573" s="442"/>
      <c r="BU573" s="442"/>
      <c r="BV573" s="442"/>
      <c r="BW573" s="442"/>
      <c r="BX573" s="442"/>
      <c r="BY573" s="442"/>
      <c r="BZ573" s="442"/>
      <c r="CA573" s="442"/>
      <c r="CB573" s="442"/>
      <c r="CC573" s="442"/>
      <c r="CD573" s="442"/>
      <c r="CE573" s="442"/>
      <c r="CF573" s="442"/>
      <c r="CG573" s="442"/>
      <c r="CH573" s="442"/>
      <c r="CI573" s="442"/>
    </row>
    <row r="574" spans="4:87" x14ac:dyDescent="0.2"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  <c r="AA574" s="442"/>
      <c r="AB574" s="442"/>
      <c r="AC574" s="442"/>
      <c r="AD574" s="442"/>
      <c r="AE574" s="442"/>
      <c r="AF574" s="442"/>
      <c r="AG574" s="442"/>
      <c r="AH574" s="442"/>
      <c r="AI574" s="442"/>
      <c r="AJ574" s="442"/>
      <c r="AK574" s="442"/>
      <c r="AL574" s="442"/>
      <c r="AM574" s="442"/>
      <c r="AN574" s="442"/>
      <c r="AO574" s="442"/>
      <c r="AP574" s="442"/>
      <c r="AQ574" s="442"/>
      <c r="AR574" s="442"/>
      <c r="AS574" s="442"/>
      <c r="AT574" s="442"/>
      <c r="AU574" s="442"/>
      <c r="AV574" s="442"/>
      <c r="AW574" s="442"/>
      <c r="AX574" s="442"/>
      <c r="AY574" s="442"/>
      <c r="AZ574" s="442"/>
      <c r="BA574" s="442"/>
      <c r="BB574" s="442"/>
      <c r="BC574" s="442"/>
      <c r="BD574" s="442"/>
      <c r="BE574" s="442"/>
      <c r="BF574" s="442"/>
      <c r="BG574" s="442"/>
      <c r="BH574" s="442"/>
      <c r="BI574" s="442"/>
      <c r="BJ574" s="442"/>
      <c r="BK574" s="442"/>
      <c r="BL574" s="442"/>
      <c r="BM574" s="442"/>
      <c r="BN574" s="442"/>
      <c r="BO574" s="442"/>
      <c r="BP574" s="442"/>
      <c r="BQ574" s="442"/>
      <c r="BR574" s="442"/>
      <c r="BS574" s="442"/>
      <c r="BT574" s="442"/>
      <c r="BU574" s="442"/>
      <c r="BV574" s="442"/>
      <c r="BW574" s="442"/>
      <c r="BX574" s="442"/>
      <c r="BY574" s="442"/>
      <c r="BZ574" s="442"/>
      <c r="CA574" s="442"/>
      <c r="CB574" s="442"/>
      <c r="CC574" s="442"/>
      <c r="CD574" s="442"/>
      <c r="CE574" s="442"/>
      <c r="CF574" s="442"/>
      <c r="CG574" s="442"/>
      <c r="CH574" s="442"/>
      <c r="CI574" s="442"/>
    </row>
    <row r="575" spans="4:87" x14ac:dyDescent="0.2"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  <c r="AA575" s="442"/>
      <c r="AB575" s="442"/>
      <c r="AC575" s="442"/>
      <c r="AD575" s="442"/>
      <c r="AE575" s="442"/>
      <c r="AF575" s="442"/>
      <c r="AG575" s="442"/>
      <c r="AH575" s="442"/>
      <c r="AI575" s="442"/>
      <c r="AJ575" s="442"/>
      <c r="AK575" s="442"/>
      <c r="AL575" s="442"/>
      <c r="AM575" s="442"/>
      <c r="AN575" s="442"/>
      <c r="AO575" s="442"/>
      <c r="AP575" s="442"/>
      <c r="AQ575" s="442"/>
      <c r="AR575" s="442"/>
      <c r="AS575" s="442"/>
      <c r="AT575" s="442"/>
      <c r="AU575" s="442"/>
      <c r="AV575" s="442"/>
      <c r="AW575" s="442"/>
      <c r="AX575" s="442"/>
      <c r="AY575" s="442"/>
      <c r="AZ575" s="442"/>
      <c r="BA575" s="442"/>
      <c r="BB575" s="442"/>
      <c r="BC575" s="442"/>
      <c r="BD575" s="442"/>
      <c r="BE575" s="442"/>
      <c r="BF575" s="442"/>
      <c r="BG575" s="442"/>
      <c r="BH575" s="442"/>
      <c r="BI575" s="442"/>
      <c r="BJ575" s="442"/>
      <c r="BK575" s="442"/>
      <c r="BL575" s="442"/>
      <c r="BM575" s="442"/>
      <c r="BN575" s="442"/>
      <c r="BO575" s="442"/>
      <c r="BP575" s="442"/>
      <c r="BQ575" s="442"/>
      <c r="BR575" s="442"/>
      <c r="BS575" s="442"/>
      <c r="BT575" s="442"/>
      <c r="BU575" s="442"/>
      <c r="BV575" s="442"/>
      <c r="BW575" s="442"/>
      <c r="BX575" s="442"/>
      <c r="BY575" s="442"/>
      <c r="BZ575" s="442"/>
      <c r="CA575" s="442"/>
      <c r="CB575" s="442"/>
      <c r="CC575" s="442"/>
      <c r="CD575" s="442"/>
      <c r="CE575" s="442"/>
      <c r="CF575" s="442"/>
      <c r="CG575" s="442"/>
      <c r="CH575" s="442"/>
      <c r="CI575" s="442"/>
    </row>
    <row r="576" spans="4:87" x14ac:dyDescent="0.2">
      <c r="D576" s="442"/>
      <c r="E576" s="442"/>
      <c r="F576" s="442"/>
      <c r="G576" s="442"/>
      <c r="H576" s="442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  <c r="AA576" s="442"/>
      <c r="AB576" s="442"/>
      <c r="AC576" s="442"/>
      <c r="AD576" s="442"/>
      <c r="AE576" s="442"/>
      <c r="AF576" s="442"/>
      <c r="AG576" s="442"/>
      <c r="AH576" s="442"/>
      <c r="AI576" s="442"/>
      <c r="AJ576" s="442"/>
      <c r="AK576" s="442"/>
      <c r="AL576" s="442"/>
      <c r="AM576" s="442"/>
      <c r="AN576" s="442"/>
      <c r="AO576" s="442"/>
      <c r="AP576" s="442"/>
      <c r="AQ576" s="442"/>
      <c r="AR576" s="442"/>
      <c r="AS576" s="442"/>
      <c r="AT576" s="442"/>
      <c r="AU576" s="442"/>
      <c r="AV576" s="442"/>
      <c r="AW576" s="442"/>
      <c r="AX576" s="442"/>
      <c r="AY576" s="442"/>
      <c r="AZ576" s="442"/>
      <c r="BA576" s="442"/>
      <c r="BB576" s="442"/>
      <c r="BC576" s="442"/>
      <c r="BD576" s="442"/>
      <c r="BE576" s="442"/>
      <c r="BF576" s="442"/>
      <c r="BG576" s="442"/>
      <c r="BH576" s="442"/>
      <c r="BI576" s="442"/>
      <c r="BJ576" s="442"/>
      <c r="BK576" s="442"/>
      <c r="BL576" s="442"/>
      <c r="BM576" s="442"/>
      <c r="BN576" s="442"/>
      <c r="BO576" s="442"/>
      <c r="BP576" s="442"/>
      <c r="BQ576" s="442"/>
      <c r="BR576" s="442"/>
      <c r="BS576" s="442"/>
      <c r="BT576" s="442"/>
      <c r="BU576" s="442"/>
      <c r="BV576" s="442"/>
      <c r="BW576" s="442"/>
      <c r="BX576" s="442"/>
      <c r="BY576" s="442"/>
      <c r="BZ576" s="442"/>
      <c r="CA576" s="442"/>
      <c r="CB576" s="442"/>
      <c r="CC576" s="442"/>
      <c r="CD576" s="442"/>
      <c r="CE576" s="442"/>
      <c r="CF576" s="442"/>
      <c r="CG576" s="442"/>
      <c r="CH576" s="442"/>
      <c r="CI576" s="442"/>
    </row>
    <row r="577" spans="4:87" x14ac:dyDescent="0.2">
      <c r="D577" s="442"/>
      <c r="E577" s="442"/>
      <c r="F577" s="442"/>
      <c r="G577" s="442"/>
      <c r="H577" s="442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  <c r="AA577" s="442"/>
      <c r="AB577" s="442"/>
      <c r="AC577" s="442"/>
      <c r="AD577" s="442"/>
      <c r="AE577" s="442"/>
      <c r="AF577" s="442"/>
      <c r="AG577" s="442"/>
      <c r="AH577" s="442"/>
      <c r="AI577" s="442"/>
      <c r="AJ577" s="442"/>
      <c r="AK577" s="442"/>
      <c r="AL577" s="442"/>
      <c r="AM577" s="442"/>
      <c r="AN577" s="442"/>
      <c r="AO577" s="442"/>
      <c r="AP577" s="442"/>
      <c r="AQ577" s="442"/>
      <c r="AR577" s="442"/>
      <c r="AS577" s="442"/>
      <c r="AT577" s="442"/>
      <c r="AU577" s="442"/>
      <c r="AV577" s="442"/>
      <c r="AW577" s="442"/>
      <c r="AX577" s="442"/>
      <c r="AY577" s="442"/>
      <c r="AZ577" s="442"/>
      <c r="BA577" s="442"/>
      <c r="BB577" s="442"/>
      <c r="BC577" s="442"/>
      <c r="BD577" s="442"/>
      <c r="BE577" s="442"/>
      <c r="BF577" s="442"/>
      <c r="BG577" s="442"/>
      <c r="BH577" s="442"/>
      <c r="BI577" s="442"/>
      <c r="BJ577" s="442"/>
      <c r="BK577" s="442"/>
      <c r="BL577" s="442"/>
      <c r="BM577" s="442"/>
      <c r="BN577" s="442"/>
      <c r="BO577" s="442"/>
      <c r="BP577" s="442"/>
      <c r="BQ577" s="442"/>
      <c r="BR577" s="442"/>
      <c r="BS577" s="442"/>
      <c r="BT577" s="442"/>
      <c r="BU577" s="442"/>
      <c r="BV577" s="442"/>
      <c r="BW577" s="442"/>
      <c r="BX577" s="442"/>
      <c r="BY577" s="442"/>
      <c r="BZ577" s="442"/>
      <c r="CA577" s="442"/>
      <c r="CB577" s="442"/>
      <c r="CC577" s="442"/>
      <c r="CD577" s="442"/>
      <c r="CE577" s="442"/>
      <c r="CF577" s="442"/>
      <c r="CG577" s="442"/>
      <c r="CH577" s="442"/>
      <c r="CI577" s="442"/>
    </row>
    <row r="578" spans="4:87" x14ac:dyDescent="0.2"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  <c r="AA578" s="442"/>
      <c r="AB578" s="442"/>
      <c r="AC578" s="442"/>
      <c r="AD578" s="442"/>
      <c r="AE578" s="442"/>
      <c r="AF578" s="442"/>
      <c r="AG578" s="442"/>
      <c r="AH578" s="442"/>
      <c r="AI578" s="442"/>
      <c r="AJ578" s="442"/>
      <c r="AK578" s="442"/>
      <c r="AL578" s="442"/>
      <c r="AM578" s="442"/>
      <c r="AN578" s="442"/>
      <c r="AO578" s="442"/>
      <c r="AP578" s="442"/>
      <c r="AQ578" s="442"/>
      <c r="AR578" s="442"/>
      <c r="AS578" s="442"/>
      <c r="AT578" s="442"/>
      <c r="AU578" s="442"/>
      <c r="AV578" s="442"/>
      <c r="AW578" s="442"/>
      <c r="AX578" s="442"/>
      <c r="AY578" s="442"/>
      <c r="AZ578" s="442"/>
      <c r="BA578" s="442"/>
      <c r="BB578" s="442"/>
      <c r="BC578" s="442"/>
      <c r="BD578" s="442"/>
      <c r="BE578" s="442"/>
      <c r="BF578" s="442"/>
      <c r="BG578" s="442"/>
      <c r="BH578" s="442"/>
      <c r="BI578" s="442"/>
      <c r="BJ578" s="442"/>
      <c r="BK578" s="442"/>
      <c r="BL578" s="442"/>
      <c r="BM578" s="442"/>
      <c r="BN578" s="442"/>
      <c r="BO578" s="442"/>
      <c r="BP578" s="442"/>
      <c r="BQ578" s="442"/>
      <c r="BR578" s="442"/>
      <c r="BS578" s="442"/>
      <c r="BT578" s="442"/>
      <c r="BU578" s="442"/>
      <c r="BV578" s="442"/>
      <c r="BW578" s="442"/>
      <c r="BX578" s="442"/>
      <c r="BY578" s="442"/>
      <c r="BZ578" s="442"/>
      <c r="CA578" s="442"/>
      <c r="CB578" s="442"/>
      <c r="CC578" s="442"/>
      <c r="CD578" s="442"/>
      <c r="CE578" s="442"/>
      <c r="CF578" s="442"/>
      <c r="CG578" s="442"/>
      <c r="CH578" s="442"/>
      <c r="CI578" s="442"/>
    </row>
    <row r="579" spans="4:87" x14ac:dyDescent="0.2">
      <c r="D579" s="442"/>
      <c r="E579" s="442"/>
      <c r="F579" s="442"/>
      <c r="G579" s="442"/>
      <c r="H579" s="442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  <c r="AA579" s="442"/>
      <c r="AB579" s="442"/>
      <c r="AC579" s="442"/>
      <c r="AD579" s="442"/>
      <c r="AE579" s="442"/>
      <c r="AF579" s="442"/>
      <c r="AG579" s="442"/>
      <c r="AH579" s="442"/>
      <c r="AI579" s="442"/>
      <c r="AJ579" s="442"/>
      <c r="AK579" s="442"/>
      <c r="AL579" s="442"/>
      <c r="AM579" s="442"/>
      <c r="AN579" s="442"/>
      <c r="AO579" s="442"/>
      <c r="AP579" s="442"/>
      <c r="AQ579" s="442"/>
      <c r="AR579" s="442"/>
      <c r="AS579" s="442"/>
      <c r="AT579" s="442"/>
      <c r="AU579" s="442"/>
      <c r="AV579" s="442"/>
      <c r="AW579" s="442"/>
      <c r="AX579" s="442"/>
      <c r="AY579" s="442"/>
      <c r="AZ579" s="442"/>
      <c r="BA579" s="442"/>
      <c r="BB579" s="442"/>
      <c r="BC579" s="442"/>
      <c r="BD579" s="442"/>
      <c r="BE579" s="442"/>
      <c r="BF579" s="442"/>
      <c r="BG579" s="442"/>
      <c r="BH579" s="442"/>
      <c r="BI579" s="442"/>
      <c r="BJ579" s="442"/>
      <c r="BK579" s="442"/>
      <c r="BL579" s="442"/>
      <c r="BM579" s="442"/>
      <c r="BN579" s="442"/>
      <c r="BO579" s="442"/>
      <c r="BP579" s="442"/>
      <c r="BQ579" s="442"/>
      <c r="BR579" s="442"/>
      <c r="BS579" s="442"/>
      <c r="BT579" s="442"/>
      <c r="BU579" s="442"/>
      <c r="BV579" s="442"/>
      <c r="BW579" s="442"/>
      <c r="BX579" s="442"/>
      <c r="BY579" s="442"/>
      <c r="BZ579" s="442"/>
      <c r="CA579" s="442"/>
      <c r="CB579" s="442"/>
      <c r="CC579" s="442"/>
      <c r="CD579" s="442"/>
      <c r="CE579" s="442"/>
      <c r="CF579" s="442"/>
      <c r="CG579" s="442"/>
      <c r="CH579" s="442"/>
      <c r="CI579" s="442"/>
    </row>
    <row r="580" spans="4:87" x14ac:dyDescent="0.2">
      <c r="D580" s="442"/>
      <c r="E580" s="442"/>
      <c r="F580" s="442"/>
      <c r="G580" s="442"/>
      <c r="H580" s="442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  <c r="AA580" s="442"/>
      <c r="AB580" s="442"/>
      <c r="AC580" s="442"/>
      <c r="AD580" s="442"/>
      <c r="AE580" s="442"/>
      <c r="AF580" s="442"/>
      <c r="AG580" s="442"/>
      <c r="AH580" s="442"/>
      <c r="AI580" s="442"/>
      <c r="AJ580" s="442"/>
      <c r="AK580" s="442"/>
      <c r="AL580" s="442"/>
      <c r="AM580" s="442"/>
      <c r="AN580" s="442"/>
      <c r="AO580" s="442"/>
      <c r="AP580" s="442"/>
      <c r="AQ580" s="442"/>
      <c r="AR580" s="442"/>
      <c r="AS580" s="442"/>
      <c r="AT580" s="442"/>
      <c r="AU580" s="442"/>
      <c r="AV580" s="442"/>
      <c r="AW580" s="442"/>
      <c r="AX580" s="442"/>
      <c r="AY580" s="442"/>
      <c r="AZ580" s="442"/>
      <c r="BA580" s="442"/>
      <c r="BB580" s="442"/>
      <c r="BC580" s="442"/>
      <c r="BD580" s="442"/>
      <c r="BE580" s="442"/>
      <c r="BF580" s="442"/>
      <c r="BG580" s="442"/>
      <c r="BH580" s="442"/>
      <c r="BI580" s="442"/>
      <c r="BJ580" s="442"/>
      <c r="BK580" s="442"/>
      <c r="BL580" s="442"/>
      <c r="BM580" s="442"/>
      <c r="BN580" s="442"/>
      <c r="BO580" s="442"/>
      <c r="BP580" s="442"/>
      <c r="BQ580" s="442"/>
      <c r="BR580" s="442"/>
      <c r="BS580" s="442"/>
      <c r="BT580" s="442"/>
      <c r="BU580" s="442"/>
      <c r="BV580" s="442"/>
      <c r="BW580" s="442"/>
      <c r="BX580" s="442"/>
      <c r="BY580" s="442"/>
      <c r="BZ580" s="442"/>
      <c r="CA580" s="442"/>
      <c r="CB580" s="442"/>
      <c r="CC580" s="442"/>
      <c r="CD580" s="442"/>
      <c r="CE580" s="442"/>
      <c r="CF580" s="442"/>
      <c r="CG580" s="442"/>
      <c r="CH580" s="442"/>
      <c r="CI580" s="442"/>
    </row>
    <row r="581" spans="4:87" x14ac:dyDescent="0.2"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  <c r="AA581" s="442"/>
      <c r="AB581" s="442"/>
      <c r="AC581" s="442"/>
      <c r="AD581" s="442"/>
      <c r="AE581" s="442"/>
      <c r="AF581" s="442"/>
      <c r="AG581" s="442"/>
      <c r="AH581" s="442"/>
      <c r="AI581" s="442"/>
      <c r="AJ581" s="442"/>
      <c r="AK581" s="442"/>
      <c r="AL581" s="442"/>
      <c r="AM581" s="442"/>
      <c r="AN581" s="442"/>
      <c r="AO581" s="442"/>
      <c r="AP581" s="442"/>
      <c r="AQ581" s="442"/>
      <c r="AR581" s="442"/>
      <c r="AS581" s="442"/>
      <c r="AT581" s="442"/>
      <c r="AU581" s="442"/>
      <c r="AV581" s="442"/>
      <c r="AW581" s="442"/>
      <c r="AX581" s="442"/>
      <c r="AY581" s="442"/>
      <c r="AZ581" s="442"/>
      <c r="BA581" s="442"/>
      <c r="BB581" s="442"/>
      <c r="BC581" s="442"/>
      <c r="BD581" s="442"/>
      <c r="BE581" s="442"/>
      <c r="BF581" s="442"/>
      <c r="BG581" s="442"/>
      <c r="BH581" s="442"/>
      <c r="BI581" s="442"/>
      <c r="BJ581" s="442"/>
      <c r="BK581" s="442"/>
      <c r="BL581" s="442"/>
      <c r="BM581" s="442"/>
      <c r="BN581" s="442"/>
      <c r="BO581" s="442"/>
      <c r="BP581" s="442"/>
      <c r="BQ581" s="442"/>
      <c r="BR581" s="442"/>
      <c r="BS581" s="442"/>
      <c r="BT581" s="442"/>
      <c r="BU581" s="442"/>
      <c r="BV581" s="442"/>
      <c r="BW581" s="442"/>
      <c r="BX581" s="442"/>
      <c r="BY581" s="442"/>
      <c r="BZ581" s="442"/>
      <c r="CA581" s="442"/>
      <c r="CB581" s="442"/>
      <c r="CC581" s="442"/>
      <c r="CD581" s="442"/>
      <c r="CE581" s="442"/>
      <c r="CF581" s="442"/>
      <c r="CG581" s="442"/>
      <c r="CH581" s="442"/>
      <c r="CI581" s="442"/>
    </row>
    <row r="582" spans="4:87" x14ac:dyDescent="0.2">
      <c r="D582" s="442"/>
      <c r="E582" s="442"/>
      <c r="F582" s="442"/>
      <c r="G582" s="442"/>
      <c r="H582" s="442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  <c r="AA582" s="442"/>
      <c r="AB582" s="442"/>
      <c r="AC582" s="442"/>
      <c r="AD582" s="442"/>
      <c r="AE582" s="442"/>
      <c r="AF582" s="442"/>
      <c r="AG582" s="442"/>
      <c r="AH582" s="442"/>
      <c r="AI582" s="442"/>
      <c r="AJ582" s="442"/>
      <c r="AK582" s="442"/>
      <c r="AL582" s="442"/>
      <c r="AM582" s="442"/>
      <c r="AN582" s="442"/>
      <c r="AO582" s="442"/>
      <c r="AP582" s="442"/>
      <c r="AQ582" s="442"/>
      <c r="AR582" s="442"/>
      <c r="AS582" s="442"/>
      <c r="AT582" s="442"/>
      <c r="AU582" s="442"/>
      <c r="AV582" s="442"/>
      <c r="AW582" s="442"/>
      <c r="AX582" s="442"/>
      <c r="AY582" s="442"/>
      <c r="AZ582" s="442"/>
      <c r="BA582" s="442"/>
      <c r="BB582" s="442"/>
      <c r="BC582" s="442"/>
      <c r="BD582" s="442"/>
      <c r="BE582" s="442"/>
      <c r="BF582" s="442"/>
      <c r="BG582" s="442"/>
      <c r="BH582" s="442"/>
      <c r="BI582" s="442"/>
      <c r="BJ582" s="442"/>
      <c r="BK582" s="442"/>
      <c r="BL582" s="442"/>
      <c r="BM582" s="442"/>
      <c r="BN582" s="442"/>
      <c r="BO582" s="442"/>
      <c r="BP582" s="442"/>
      <c r="BQ582" s="442"/>
      <c r="BR582" s="442"/>
      <c r="BS582" s="442"/>
      <c r="BT582" s="442"/>
      <c r="BU582" s="442"/>
      <c r="BV582" s="442"/>
      <c r="BW582" s="442"/>
      <c r="BX582" s="442"/>
      <c r="BY582" s="442"/>
      <c r="BZ582" s="442"/>
      <c r="CA582" s="442"/>
      <c r="CB582" s="442"/>
      <c r="CC582" s="442"/>
      <c r="CD582" s="442"/>
      <c r="CE582" s="442"/>
      <c r="CF582" s="442"/>
      <c r="CG582" s="442"/>
      <c r="CH582" s="442"/>
      <c r="CI582" s="442"/>
    </row>
    <row r="583" spans="4:87" x14ac:dyDescent="0.2">
      <c r="D583" s="442"/>
      <c r="E583" s="442"/>
      <c r="F583" s="442"/>
      <c r="G583" s="442"/>
      <c r="H583" s="442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  <c r="AA583" s="442"/>
      <c r="AB583" s="442"/>
      <c r="AC583" s="442"/>
      <c r="AD583" s="442"/>
      <c r="AE583" s="442"/>
      <c r="AF583" s="442"/>
      <c r="AG583" s="442"/>
      <c r="AH583" s="442"/>
      <c r="AI583" s="442"/>
      <c r="AJ583" s="442"/>
      <c r="AK583" s="442"/>
      <c r="AL583" s="442"/>
      <c r="AM583" s="442"/>
      <c r="AN583" s="442"/>
      <c r="AO583" s="442"/>
      <c r="AP583" s="442"/>
      <c r="AQ583" s="442"/>
      <c r="AR583" s="442"/>
      <c r="AS583" s="442"/>
      <c r="AT583" s="442"/>
      <c r="AU583" s="442"/>
      <c r="AV583" s="442"/>
      <c r="AW583" s="442"/>
      <c r="AX583" s="442"/>
      <c r="AY583" s="442"/>
      <c r="AZ583" s="442"/>
      <c r="BA583" s="442"/>
      <c r="BB583" s="442"/>
      <c r="BC583" s="442"/>
      <c r="BD583" s="442"/>
      <c r="BE583" s="442"/>
      <c r="BF583" s="442"/>
      <c r="BG583" s="442"/>
      <c r="BH583" s="442"/>
      <c r="BI583" s="442"/>
      <c r="BJ583" s="442"/>
      <c r="BK583" s="442"/>
      <c r="BL583" s="442"/>
      <c r="BM583" s="442"/>
      <c r="BN583" s="442"/>
      <c r="BO583" s="442"/>
      <c r="BP583" s="442"/>
      <c r="BQ583" s="442"/>
      <c r="BR583" s="442"/>
      <c r="BS583" s="442"/>
      <c r="BT583" s="442"/>
      <c r="BU583" s="442"/>
      <c r="BV583" s="442"/>
      <c r="BW583" s="442"/>
      <c r="BX583" s="442"/>
      <c r="BY583" s="442"/>
      <c r="BZ583" s="442"/>
      <c r="CA583" s="442"/>
      <c r="CB583" s="442"/>
      <c r="CC583" s="442"/>
      <c r="CD583" s="442"/>
      <c r="CE583" s="442"/>
      <c r="CF583" s="442"/>
      <c r="CG583" s="442"/>
      <c r="CH583" s="442"/>
      <c r="CI583" s="442"/>
    </row>
    <row r="584" spans="4:87" x14ac:dyDescent="0.2">
      <c r="D584" s="442"/>
      <c r="E584" s="442"/>
      <c r="F584" s="442"/>
      <c r="G584" s="442"/>
      <c r="H584" s="442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  <c r="AA584" s="442"/>
      <c r="AB584" s="442"/>
      <c r="AC584" s="442"/>
      <c r="AD584" s="442"/>
      <c r="AE584" s="442"/>
      <c r="AF584" s="442"/>
      <c r="AG584" s="442"/>
      <c r="AH584" s="442"/>
      <c r="AI584" s="442"/>
      <c r="AJ584" s="442"/>
      <c r="AK584" s="442"/>
      <c r="AL584" s="442"/>
      <c r="AM584" s="442"/>
      <c r="AN584" s="442"/>
      <c r="AO584" s="442"/>
      <c r="AP584" s="442"/>
      <c r="AQ584" s="442"/>
      <c r="AR584" s="442"/>
      <c r="AS584" s="442"/>
      <c r="AT584" s="442"/>
      <c r="AU584" s="442"/>
      <c r="AV584" s="442"/>
      <c r="AW584" s="442"/>
      <c r="AX584" s="442"/>
      <c r="AY584" s="442"/>
      <c r="AZ584" s="442"/>
      <c r="BA584" s="442"/>
      <c r="BB584" s="442"/>
      <c r="BC584" s="442"/>
      <c r="BD584" s="442"/>
      <c r="BE584" s="442"/>
      <c r="BF584" s="442"/>
      <c r="BG584" s="442"/>
      <c r="BH584" s="442"/>
      <c r="BI584" s="442"/>
      <c r="BJ584" s="442"/>
      <c r="BK584" s="442"/>
      <c r="BL584" s="442"/>
      <c r="BM584" s="442"/>
      <c r="BN584" s="442"/>
      <c r="BO584" s="442"/>
      <c r="BP584" s="442"/>
      <c r="BQ584" s="442"/>
      <c r="BR584" s="442"/>
      <c r="BS584" s="442"/>
      <c r="BT584" s="442"/>
      <c r="BU584" s="442"/>
      <c r="BV584" s="442"/>
      <c r="BW584" s="442"/>
      <c r="BX584" s="442"/>
      <c r="BY584" s="442"/>
      <c r="BZ584" s="442"/>
      <c r="CA584" s="442"/>
      <c r="CB584" s="442"/>
      <c r="CC584" s="442"/>
      <c r="CD584" s="442"/>
      <c r="CE584" s="442"/>
      <c r="CF584" s="442"/>
      <c r="CG584" s="442"/>
      <c r="CH584" s="442"/>
      <c r="CI584" s="442"/>
    </row>
    <row r="585" spans="4:87" x14ac:dyDescent="0.2"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  <c r="AA585" s="442"/>
      <c r="AB585" s="442"/>
      <c r="AC585" s="442"/>
      <c r="AD585" s="442"/>
      <c r="AE585" s="442"/>
      <c r="AF585" s="442"/>
      <c r="AG585" s="442"/>
      <c r="AH585" s="442"/>
      <c r="AI585" s="442"/>
      <c r="AJ585" s="442"/>
      <c r="AK585" s="442"/>
      <c r="AL585" s="442"/>
      <c r="AM585" s="442"/>
      <c r="AN585" s="442"/>
      <c r="AO585" s="442"/>
      <c r="AP585" s="442"/>
      <c r="AQ585" s="442"/>
      <c r="AR585" s="442"/>
      <c r="AS585" s="442"/>
      <c r="AT585" s="442"/>
      <c r="AU585" s="442"/>
      <c r="AV585" s="442"/>
      <c r="AW585" s="442"/>
      <c r="AX585" s="442"/>
      <c r="AY585" s="442"/>
      <c r="AZ585" s="442"/>
      <c r="BA585" s="442"/>
      <c r="BB585" s="442"/>
      <c r="BC585" s="442"/>
      <c r="BD585" s="442"/>
      <c r="BE585" s="442"/>
      <c r="BF585" s="442"/>
      <c r="BG585" s="442"/>
      <c r="BH585" s="442"/>
      <c r="BI585" s="442"/>
      <c r="BJ585" s="442"/>
      <c r="BK585" s="442"/>
      <c r="BL585" s="442"/>
      <c r="BM585" s="442"/>
      <c r="BN585" s="442"/>
      <c r="BO585" s="442"/>
      <c r="BP585" s="442"/>
      <c r="BQ585" s="442"/>
      <c r="BR585" s="442"/>
      <c r="BS585" s="442"/>
      <c r="BT585" s="442"/>
      <c r="BU585" s="442"/>
      <c r="BV585" s="442"/>
      <c r="BW585" s="442"/>
      <c r="BX585" s="442"/>
      <c r="BY585" s="442"/>
      <c r="BZ585" s="442"/>
      <c r="CA585" s="442"/>
      <c r="CB585" s="442"/>
      <c r="CC585" s="442"/>
      <c r="CD585" s="442"/>
      <c r="CE585" s="442"/>
      <c r="CF585" s="442"/>
      <c r="CG585" s="442"/>
      <c r="CH585" s="442"/>
      <c r="CI585" s="442"/>
    </row>
    <row r="586" spans="4:87" x14ac:dyDescent="0.2">
      <c r="D586" s="442"/>
      <c r="E586" s="442"/>
      <c r="F586" s="442"/>
      <c r="G586" s="442"/>
      <c r="H586" s="442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  <c r="AA586" s="442"/>
      <c r="AB586" s="442"/>
      <c r="AC586" s="442"/>
      <c r="AD586" s="442"/>
      <c r="AE586" s="442"/>
      <c r="AF586" s="442"/>
      <c r="AG586" s="442"/>
      <c r="AH586" s="442"/>
      <c r="AI586" s="442"/>
      <c r="AJ586" s="442"/>
      <c r="AK586" s="442"/>
      <c r="AL586" s="442"/>
      <c r="AM586" s="442"/>
      <c r="AN586" s="442"/>
      <c r="AO586" s="442"/>
      <c r="AP586" s="442"/>
      <c r="AQ586" s="442"/>
      <c r="AR586" s="442"/>
      <c r="AS586" s="442"/>
      <c r="AT586" s="442"/>
      <c r="AU586" s="442"/>
      <c r="AV586" s="442"/>
      <c r="AW586" s="442"/>
      <c r="AX586" s="442"/>
      <c r="AY586" s="442"/>
      <c r="AZ586" s="442"/>
      <c r="BA586" s="442"/>
      <c r="BB586" s="442"/>
      <c r="BC586" s="442"/>
      <c r="BD586" s="442"/>
      <c r="BE586" s="442"/>
      <c r="BF586" s="442"/>
      <c r="BG586" s="442"/>
      <c r="BH586" s="442"/>
      <c r="BI586" s="442"/>
      <c r="BJ586" s="442"/>
      <c r="BK586" s="442"/>
      <c r="BL586" s="442"/>
      <c r="BM586" s="442"/>
      <c r="BN586" s="442"/>
      <c r="BO586" s="442"/>
      <c r="BP586" s="442"/>
      <c r="BQ586" s="442"/>
      <c r="BR586" s="442"/>
      <c r="BS586" s="442"/>
      <c r="BT586" s="442"/>
      <c r="BU586" s="442"/>
      <c r="BV586" s="442"/>
      <c r="BW586" s="442"/>
      <c r="BX586" s="442"/>
      <c r="BY586" s="442"/>
      <c r="BZ586" s="442"/>
      <c r="CA586" s="442"/>
      <c r="CB586" s="442"/>
      <c r="CC586" s="442"/>
      <c r="CD586" s="442"/>
      <c r="CE586" s="442"/>
      <c r="CF586" s="442"/>
      <c r="CG586" s="442"/>
      <c r="CH586" s="442"/>
      <c r="CI586" s="442"/>
    </row>
    <row r="587" spans="4:87" x14ac:dyDescent="0.2">
      <c r="D587" s="442"/>
      <c r="E587" s="442"/>
      <c r="F587" s="442"/>
      <c r="G587" s="442"/>
      <c r="H587" s="442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  <c r="AA587" s="442"/>
      <c r="AB587" s="442"/>
      <c r="AC587" s="442"/>
      <c r="AD587" s="442"/>
      <c r="AE587" s="442"/>
      <c r="AF587" s="442"/>
      <c r="AG587" s="442"/>
      <c r="AH587" s="442"/>
      <c r="AI587" s="442"/>
      <c r="AJ587" s="442"/>
      <c r="AK587" s="442"/>
      <c r="AL587" s="442"/>
      <c r="AM587" s="442"/>
      <c r="AN587" s="442"/>
      <c r="AO587" s="442"/>
      <c r="AP587" s="442"/>
      <c r="AQ587" s="442"/>
      <c r="AR587" s="442"/>
      <c r="AS587" s="442"/>
      <c r="AT587" s="442"/>
      <c r="AU587" s="442"/>
      <c r="AV587" s="442"/>
      <c r="AW587" s="442"/>
      <c r="AX587" s="442"/>
      <c r="AY587" s="442"/>
      <c r="AZ587" s="442"/>
      <c r="BA587" s="442"/>
      <c r="BB587" s="442"/>
      <c r="BC587" s="442"/>
      <c r="BD587" s="442"/>
      <c r="BE587" s="442"/>
      <c r="BF587" s="442"/>
      <c r="BG587" s="442"/>
      <c r="BH587" s="442"/>
      <c r="BI587" s="442"/>
      <c r="BJ587" s="442"/>
      <c r="BK587" s="442"/>
      <c r="BL587" s="442"/>
      <c r="BM587" s="442"/>
      <c r="BN587" s="442"/>
      <c r="BO587" s="442"/>
      <c r="BP587" s="442"/>
      <c r="BQ587" s="442"/>
      <c r="BR587" s="442"/>
      <c r="BS587" s="442"/>
      <c r="BT587" s="442"/>
      <c r="BU587" s="442"/>
      <c r="BV587" s="442"/>
      <c r="BW587" s="442"/>
      <c r="BX587" s="442"/>
      <c r="BY587" s="442"/>
      <c r="BZ587" s="442"/>
      <c r="CA587" s="442"/>
      <c r="CB587" s="442"/>
      <c r="CC587" s="442"/>
      <c r="CD587" s="442"/>
      <c r="CE587" s="442"/>
      <c r="CF587" s="442"/>
      <c r="CG587" s="442"/>
      <c r="CH587" s="442"/>
      <c r="CI587" s="442"/>
    </row>
    <row r="588" spans="4:87" x14ac:dyDescent="0.2">
      <c r="D588" s="442"/>
      <c r="E588" s="442"/>
      <c r="F588" s="442"/>
      <c r="G588" s="442"/>
      <c r="H588" s="442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  <c r="AA588" s="442"/>
      <c r="AB588" s="442"/>
      <c r="AC588" s="442"/>
      <c r="AD588" s="442"/>
      <c r="AE588" s="442"/>
      <c r="AF588" s="442"/>
      <c r="AG588" s="442"/>
      <c r="AH588" s="442"/>
      <c r="AI588" s="442"/>
      <c r="AJ588" s="442"/>
      <c r="AK588" s="442"/>
      <c r="AL588" s="442"/>
      <c r="AM588" s="442"/>
      <c r="AN588" s="442"/>
      <c r="AO588" s="442"/>
      <c r="AP588" s="442"/>
      <c r="AQ588" s="442"/>
      <c r="AR588" s="442"/>
      <c r="AS588" s="442"/>
      <c r="AT588" s="442"/>
      <c r="AU588" s="442"/>
      <c r="AV588" s="442"/>
      <c r="AW588" s="442"/>
      <c r="AX588" s="442"/>
      <c r="AY588" s="442"/>
      <c r="AZ588" s="442"/>
      <c r="BA588" s="442"/>
      <c r="BB588" s="442"/>
      <c r="BC588" s="442"/>
      <c r="BD588" s="442"/>
      <c r="BE588" s="442"/>
      <c r="BF588" s="442"/>
      <c r="BG588" s="442"/>
      <c r="BH588" s="442"/>
      <c r="BI588" s="442"/>
      <c r="BJ588" s="442"/>
      <c r="BK588" s="442"/>
      <c r="BL588" s="442"/>
      <c r="BM588" s="442"/>
      <c r="BN588" s="442"/>
      <c r="BO588" s="442"/>
      <c r="BP588" s="442"/>
      <c r="BQ588" s="442"/>
      <c r="BR588" s="442"/>
      <c r="BS588" s="442"/>
      <c r="BT588" s="442"/>
      <c r="BU588" s="442"/>
      <c r="BV588" s="442"/>
      <c r="BW588" s="442"/>
      <c r="BX588" s="442"/>
      <c r="BY588" s="442"/>
      <c r="BZ588" s="442"/>
      <c r="CA588" s="442"/>
      <c r="CB588" s="442"/>
      <c r="CC588" s="442"/>
      <c r="CD588" s="442"/>
      <c r="CE588" s="442"/>
      <c r="CF588" s="442"/>
      <c r="CG588" s="442"/>
      <c r="CH588" s="442"/>
      <c r="CI588" s="442"/>
    </row>
    <row r="589" spans="4:87" x14ac:dyDescent="0.2">
      <c r="D589" s="442"/>
      <c r="E589" s="442"/>
      <c r="F589" s="442"/>
      <c r="G589" s="442"/>
      <c r="H589" s="442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  <c r="AA589" s="442"/>
      <c r="AB589" s="442"/>
      <c r="AC589" s="442"/>
      <c r="AD589" s="442"/>
      <c r="AE589" s="442"/>
      <c r="AF589" s="442"/>
      <c r="AG589" s="442"/>
      <c r="AH589" s="442"/>
      <c r="AI589" s="442"/>
      <c r="AJ589" s="442"/>
      <c r="AK589" s="442"/>
      <c r="AL589" s="442"/>
      <c r="AM589" s="442"/>
      <c r="AN589" s="442"/>
      <c r="AO589" s="442"/>
      <c r="AP589" s="442"/>
      <c r="AQ589" s="442"/>
      <c r="AR589" s="442"/>
      <c r="AS589" s="442"/>
      <c r="AT589" s="442"/>
      <c r="AU589" s="442"/>
      <c r="AV589" s="442"/>
      <c r="AW589" s="442"/>
      <c r="AX589" s="442"/>
      <c r="AY589" s="442"/>
      <c r="AZ589" s="442"/>
      <c r="BA589" s="442"/>
      <c r="BB589" s="442"/>
      <c r="BC589" s="442"/>
      <c r="BD589" s="442"/>
      <c r="BE589" s="442"/>
      <c r="BF589" s="442"/>
      <c r="BG589" s="442"/>
      <c r="BH589" s="442"/>
      <c r="BI589" s="442"/>
      <c r="BJ589" s="442"/>
      <c r="BK589" s="442"/>
      <c r="BL589" s="442"/>
      <c r="BM589" s="442"/>
      <c r="BN589" s="442"/>
      <c r="BO589" s="442"/>
      <c r="BP589" s="442"/>
      <c r="BQ589" s="442"/>
      <c r="BR589" s="442"/>
      <c r="BS589" s="442"/>
      <c r="BT589" s="442"/>
      <c r="BU589" s="442"/>
      <c r="BV589" s="442"/>
      <c r="BW589" s="442"/>
      <c r="BX589" s="442"/>
      <c r="BY589" s="442"/>
      <c r="BZ589" s="442"/>
      <c r="CA589" s="442"/>
      <c r="CB589" s="442"/>
      <c r="CC589" s="442"/>
      <c r="CD589" s="442"/>
      <c r="CE589" s="442"/>
      <c r="CF589" s="442"/>
      <c r="CG589" s="442"/>
      <c r="CH589" s="442"/>
      <c r="CI589" s="442"/>
    </row>
    <row r="590" spans="4:87" x14ac:dyDescent="0.2">
      <c r="D590" s="442"/>
      <c r="E590" s="442"/>
      <c r="F590" s="442"/>
      <c r="G590" s="442"/>
      <c r="H590" s="442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  <c r="AA590" s="442"/>
      <c r="AB590" s="442"/>
      <c r="AC590" s="442"/>
      <c r="AD590" s="442"/>
      <c r="AE590" s="442"/>
      <c r="AF590" s="442"/>
      <c r="AG590" s="442"/>
      <c r="AH590" s="442"/>
      <c r="AI590" s="442"/>
      <c r="AJ590" s="442"/>
      <c r="AK590" s="442"/>
      <c r="AL590" s="442"/>
      <c r="AM590" s="442"/>
      <c r="AN590" s="442"/>
      <c r="AO590" s="442"/>
      <c r="AP590" s="442"/>
      <c r="AQ590" s="442"/>
      <c r="AR590" s="442"/>
      <c r="AS590" s="442"/>
      <c r="AT590" s="442"/>
      <c r="AU590" s="442"/>
      <c r="AV590" s="442"/>
      <c r="AW590" s="442"/>
      <c r="AX590" s="442"/>
      <c r="AY590" s="442"/>
      <c r="AZ590" s="442"/>
      <c r="BA590" s="442"/>
      <c r="BB590" s="442"/>
      <c r="BC590" s="442"/>
      <c r="BD590" s="442"/>
      <c r="BE590" s="442"/>
      <c r="BF590" s="442"/>
      <c r="BG590" s="442"/>
      <c r="BH590" s="442"/>
      <c r="BI590" s="442"/>
      <c r="BJ590" s="442"/>
      <c r="BK590" s="442"/>
      <c r="BL590" s="442"/>
      <c r="BM590" s="442"/>
      <c r="BN590" s="442"/>
      <c r="BO590" s="442"/>
      <c r="BP590" s="442"/>
      <c r="BQ590" s="442"/>
      <c r="BR590" s="442"/>
      <c r="BS590" s="442"/>
      <c r="BT590" s="442"/>
      <c r="BU590" s="442"/>
      <c r="BV590" s="442"/>
      <c r="BW590" s="442"/>
      <c r="BX590" s="442"/>
      <c r="BY590" s="442"/>
      <c r="BZ590" s="442"/>
      <c r="CA590" s="442"/>
      <c r="CB590" s="442"/>
      <c r="CC590" s="442"/>
      <c r="CD590" s="442"/>
      <c r="CE590" s="442"/>
      <c r="CF590" s="442"/>
      <c r="CG590" s="442"/>
      <c r="CH590" s="442"/>
      <c r="CI590" s="442"/>
    </row>
    <row r="591" spans="4:87" x14ac:dyDescent="0.2">
      <c r="D591" s="442"/>
      <c r="E591" s="442"/>
      <c r="F591" s="442"/>
      <c r="G591" s="442"/>
      <c r="H591" s="442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  <c r="AA591" s="442"/>
      <c r="AB591" s="442"/>
      <c r="AC591" s="442"/>
      <c r="AD591" s="442"/>
      <c r="AE591" s="442"/>
      <c r="AF591" s="442"/>
      <c r="AG591" s="442"/>
      <c r="AH591" s="442"/>
      <c r="AI591" s="442"/>
      <c r="AJ591" s="442"/>
      <c r="AK591" s="442"/>
      <c r="AL591" s="442"/>
      <c r="AM591" s="442"/>
      <c r="AN591" s="442"/>
      <c r="AO591" s="442"/>
      <c r="AP591" s="442"/>
      <c r="AQ591" s="442"/>
      <c r="AR591" s="442"/>
      <c r="AS591" s="442"/>
      <c r="AT591" s="442"/>
      <c r="AU591" s="442"/>
      <c r="AV591" s="442"/>
      <c r="AW591" s="442"/>
      <c r="AX591" s="442"/>
      <c r="AY591" s="442"/>
      <c r="AZ591" s="442"/>
      <c r="BA591" s="442"/>
      <c r="BB591" s="442"/>
      <c r="BC591" s="442"/>
      <c r="BD591" s="442"/>
      <c r="BE591" s="442"/>
      <c r="BF591" s="442"/>
      <c r="BG591" s="442"/>
      <c r="BH591" s="442"/>
      <c r="BI591" s="442"/>
      <c r="BJ591" s="442"/>
      <c r="BK591" s="442"/>
      <c r="BL591" s="442"/>
      <c r="BM591" s="442"/>
      <c r="BN591" s="442"/>
      <c r="BO591" s="442"/>
      <c r="BP591" s="442"/>
      <c r="BQ591" s="442"/>
      <c r="BR591" s="442"/>
      <c r="BS591" s="442"/>
      <c r="BT591" s="442"/>
      <c r="BU591" s="442"/>
      <c r="BV591" s="442"/>
      <c r="BW591" s="442"/>
      <c r="BX591" s="442"/>
      <c r="BY591" s="442"/>
      <c r="BZ591" s="442"/>
      <c r="CA591" s="442"/>
      <c r="CB591" s="442"/>
      <c r="CC591" s="442"/>
      <c r="CD591" s="442"/>
      <c r="CE591" s="442"/>
      <c r="CF591" s="442"/>
      <c r="CG591" s="442"/>
      <c r="CH591" s="442"/>
      <c r="CI591" s="442"/>
    </row>
    <row r="592" spans="4:87" x14ac:dyDescent="0.2">
      <c r="D592" s="442"/>
      <c r="E592" s="442"/>
      <c r="F592" s="442"/>
      <c r="G592" s="442"/>
      <c r="H592" s="442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  <c r="AA592" s="442"/>
      <c r="AB592" s="442"/>
      <c r="AC592" s="442"/>
      <c r="AD592" s="442"/>
      <c r="AE592" s="442"/>
      <c r="AF592" s="442"/>
      <c r="AG592" s="442"/>
      <c r="AH592" s="442"/>
      <c r="AI592" s="442"/>
      <c r="AJ592" s="442"/>
      <c r="AK592" s="442"/>
      <c r="AL592" s="442"/>
      <c r="AM592" s="442"/>
      <c r="AN592" s="442"/>
      <c r="AO592" s="442"/>
      <c r="AP592" s="442"/>
      <c r="AQ592" s="442"/>
      <c r="AR592" s="442"/>
      <c r="AS592" s="442"/>
      <c r="AT592" s="442"/>
      <c r="AU592" s="442"/>
      <c r="AV592" s="442"/>
      <c r="AW592" s="442"/>
      <c r="AX592" s="442"/>
      <c r="AY592" s="442"/>
      <c r="AZ592" s="442"/>
      <c r="BA592" s="442"/>
      <c r="BB592" s="442"/>
      <c r="BC592" s="442"/>
      <c r="BD592" s="442"/>
      <c r="BE592" s="442"/>
      <c r="BF592" s="442"/>
      <c r="BG592" s="442"/>
      <c r="BH592" s="442"/>
      <c r="BI592" s="442"/>
      <c r="BJ592" s="442"/>
      <c r="BK592" s="442"/>
      <c r="BL592" s="442"/>
      <c r="BM592" s="442"/>
      <c r="BN592" s="442"/>
      <c r="BO592" s="442"/>
      <c r="BP592" s="442"/>
      <c r="BQ592" s="442"/>
      <c r="BR592" s="442"/>
      <c r="BS592" s="442"/>
      <c r="BT592" s="442"/>
      <c r="BU592" s="442"/>
      <c r="BV592" s="442"/>
      <c r="BW592" s="442"/>
      <c r="BX592" s="442"/>
      <c r="BY592" s="442"/>
      <c r="BZ592" s="442"/>
      <c r="CA592" s="442"/>
      <c r="CB592" s="442"/>
      <c r="CC592" s="442"/>
      <c r="CD592" s="442"/>
      <c r="CE592" s="442"/>
      <c r="CF592" s="442"/>
      <c r="CG592" s="442"/>
      <c r="CH592" s="442"/>
      <c r="CI592" s="442"/>
    </row>
    <row r="593" spans="4:87" x14ac:dyDescent="0.2">
      <c r="D593" s="442"/>
      <c r="E593" s="442"/>
      <c r="F593" s="442"/>
      <c r="G593" s="442"/>
      <c r="H593" s="442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  <c r="AA593" s="442"/>
      <c r="AB593" s="442"/>
      <c r="AC593" s="442"/>
      <c r="AD593" s="442"/>
      <c r="AE593" s="442"/>
      <c r="AF593" s="442"/>
      <c r="AG593" s="442"/>
      <c r="AH593" s="442"/>
      <c r="AI593" s="442"/>
      <c r="AJ593" s="442"/>
      <c r="AK593" s="442"/>
      <c r="AL593" s="442"/>
      <c r="AM593" s="442"/>
      <c r="AN593" s="442"/>
      <c r="AO593" s="442"/>
      <c r="AP593" s="442"/>
      <c r="AQ593" s="442"/>
      <c r="AR593" s="442"/>
      <c r="AS593" s="442"/>
      <c r="AT593" s="442"/>
      <c r="AU593" s="442"/>
      <c r="AV593" s="442"/>
      <c r="AW593" s="442"/>
      <c r="AX593" s="442"/>
      <c r="AY593" s="442"/>
      <c r="AZ593" s="442"/>
      <c r="BA593" s="442"/>
      <c r="BB593" s="442"/>
      <c r="BC593" s="442"/>
      <c r="BD593" s="442"/>
      <c r="BE593" s="442"/>
      <c r="BF593" s="442"/>
      <c r="BG593" s="442"/>
      <c r="BH593" s="442"/>
      <c r="BI593" s="442"/>
      <c r="BJ593" s="442"/>
      <c r="BK593" s="442"/>
      <c r="BL593" s="442"/>
      <c r="BM593" s="442"/>
      <c r="BN593" s="442"/>
      <c r="BO593" s="442"/>
      <c r="BP593" s="442"/>
      <c r="BQ593" s="442"/>
      <c r="BR593" s="442"/>
      <c r="BS593" s="442"/>
      <c r="BT593" s="442"/>
      <c r="BU593" s="442"/>
      <c r="BV593" s="442"/>
      <c r="BW593" s="442"/>
      <c r="BX593" s="442"/>
      <c r="BY593" s="442"/>
      <c r="BZ593" s="442"/>
      <c r="CA593" s="442"/>
      <c r="CB593" s="442"/>
      <c r="CC593" s="442"/>
      <c r="CD593" s="442"/>
      <c r="CE593" s="442"/>
      <c r="CF593" s="442"/>
      <c r="CG593" s="442"/>
      <c r="CH593" s="442"/>
      <c r="CI593" s="442"/>
    </row>
    <row r="594" spans="4:87" x14ac:dyDescent="0.2">
      <c r="D594" s="442"/>
      <c r="E594" s="442"/>
      <c r="F594" s="442"/>
      <c r="G594" s="442"/>
      <c r="H594" s="442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  <c r="AA594" s="442"/>
      <c r="AB594" s="442"/>
      <c r="AC594" s="442"/>
      <c r="AD594" s="442"/>
      <c r="AE594" s="442"/>
      <c r="AF594" s="442"/>
      <c r="AG594" s="442"/>
      <c r="AH594" s="442"/>
      <c r="AI594" s="442"/>
      <c r="AJ594" s="442"/>
      <c r="AK594" s="442"/>
      <c r="AL594" s="442"/>
      <c r="AM594" s="442"/>
      <c r="AN594" s="442"/>
      <c r="AO594" s="442"/>
      <c r="AP594" s="442"/>
      <c r="AQ594" s="442"/>
      <c r="AR594" s="442"/>
      <c r="AS594" s="442"/>
      <c r="AT594" s="442"/>
      <c r="AU594" s="442"/>
      <c r="AV594" s="442"/>
      <c r="AW594" s="442"/>
      <c r="AX594" s="442"/>
      <c r="AY594" s="442"/>
      <c r="AZ594" s="442"/>
      <c r="BA594" s="442"/>
      <c r="BB594" s="442"/>
      <c r="BC594" s="442"/>
      <c r="BD594" s="442"/>
      <c r="BE594" s="442"/>
      <c r="BF594" s="442"/>
      <c r="BG594" s="442"/>
      <c r="BH594" s="442"/>
      <c r="BI594" s="442"/>
      <c r="BJ594" s="442"/>
      <c r="BK594" s="442"/>
      <c r="BL594" s="442"/>
      <c r="BM594" s="442"/>
      <c r="BN594" s="442"/>
      <c r="BO594" s="442"/>
      <c r="BP594" s="442"/>
      <c r="BQ594" s="442"/>
      <c r="BR594" s="442"/>
      <c r="BS594" s="442"/>
      <c r="BT594" s="442"/>
      <c r="BU594" s="442"/>
      <c r="BV594" s="442"/>
      <c r="BW594" s="442"/>
      <c r="BX594" s="442"/>
      <c r="BY594" s="442"/>
      <c r="BZ594" s="442"/>
      <c r="CA594" s="442"/>
      <c r="CB594" s="442"/>
      <c r="CC594" s="442"/>
      <c r="CD594" s="442"/>
      <c r="CE594" s="442"/>
      <c r="CF594" s="442"/>
      <c r="CG594" s="442"/>
      <c r="CH594" s="442"/>
      <c r="CI594" s="442"/>
    </row>
    <row r="595" spans="4:87" x14ac:dyDescent="0.2">
      <c r="D595" s="442"/>
      <c r="E595" s="442"/>
      <c r="F595" s="442"/>
      <c r="G595" s="442"/>
      <c r="H595" s="442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  <c r="AA595" s="442"/>
      <c r="AB595" s="442"/>
      <c r="AC595" s="442"/>
      <c r="AD595" s="442"/>
      <c r="AE595" s="442"/>
      <c r="AF595" s="442"/>
      <c r="AG595" s="442"/>
      <c r="AH595" s="442"/>
      <c r="AI595" s="442"/>
      <c r="AJ595" s="442"/>
      <c r="AK595" s="442"/>
      <c r="AL595" s="442"/>
      <c r="AM595" s="442"/>
      <c r="AN595" s="442"/>
      <c r="AO595" s="442"/>
      <c r="AP595" s="442"/>
      <c r="AQ595" s="442"/>
      <c r="AR595" s="442"/>
      <c r="AS595" s="442"/>
      <c r="AT595" s="442"/>
      <c r="AU595" s="442"/>
      <c r="AV595" s="442"/>
      <c r="AW595" s="442"/>
      <c r="AX595" s="442"/>
      <c r="AY595" s="442"/>
      <c r="AZ595" s="442"/>
      <c r="BA595" s="442"/>
      <c r="BB595" s="442"/>
      <c r="BC595" s="442"/>
      <c r="BD595" s="442"/>
      <c r="BE595" s="442"/>
      <c r="BF595" s="442"/>
      <c r="BG595" s="442"/>
      <c r="BH595" s="442"/>
      <c r="BI595" s="442"/>
      <c r="BJ595" s="442"/>
      <c r="BK595" s="442"/>
      <c r="BL595" s="442"/>
      <c r="BM595" s="442"/>
      <c r="BN595" s="442"/>
      <c r="BO595" s="442"/>
      <c r="BP595" s="442"/>
      <c r="BQ595" s="442"/>
      <c r="BR595" s="442"/>
      <c r="BS595" s="442"/>
      <c r="BT595" s="442"/>
      <c r="BU595" s="442"/>
      <c r="BV595" s="442"/>
      <c r="BW595" s="442"/>
      <c r="BX595" s="442"/>
      <c r="BY595" s="442"/>
      <c r="BZ595" s="442"/>
      <c r="CA595" s="442"/>
      <c r="CB595" s="442"/>
      <c r="CC595" s="442"/>
      <c r="CD595" s="442"/>
      <c r="CE595" s="442"/>
      <c r="CF595" s="442"/>
      <c r="CG595" s="442"/>
      <c r="CH595" s="442"/>
      <c r="CI595" s="442"/>
    </row>
    <row r="596" spans="4:87" x14ac:dyDescent="0.2">
      <c r="D596" s="442"/>
      <c r="E596" s="442"/>
      <c r="F596" s="442"/>
      <c r="G596" s="442"/>
      <c r="H596" s="442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  <c r="AA596" s="442"/>
      <c r="AB596" s="442"/>
      <c r="AC596" s="442"/>
      <c r="AD596" s="442"/>
      <c r="AE596" s="442"/>
      <c r="AF596" s="442"/>
      <c r="AG596" s="442"/>
      <c r="AH596" s="442"/>
      <c r="AI596" s="442"/>
      <c r="AJ596" s="442"/>
      <c r="AK596" s="442"/>
      <c r="AL596" s="442"/>
      <c r="AM596" s="442"/>
      <c r="AN596" s="442"/>
      <c r="AO596" s="442"/>
      <c r="AP596" s="442"/>
      <c r="AQ596" s="442"/>
      <c r="AR596" s="442"/>
      <c r="AS596" s="442"/>
      <c r="AT596" s="442"/>
      <c r="AU596" s="442"/>
      <c r="AV596" s="442"/>
      <c r="AW596" s="442"/>
      <c r="AX596" s="442"/>
      <c r="AY596" s="442"/>
      <c r="AZ596" s="442"/>
      <c r="BA596" s="442"/>
      <c r="BB596" s="442"/>
      <c r="BC596" s="442"/>
      <c r="BD596" s="442"/>
      <c r="BE596" s="442"/>
      <c r="BF596" s="442"/>
      <c r="BG596" s="442"/>
      <c r="BH596" s="442"/>
      <c r="BI596" s="442"/>
      <c r="BJ596" s="442"/>
      <c r="BK596" s="442"/>
      <c r="BL596" s="442"/>
      <c r="BM596" s="442"/>
      <c r="BN596" s="442"/>
      <c r="BO596" s="442"/>
      <c r="BP596" s="442"/>
      <c r="BQ596" s="442"/>
      <c r="BR596" s="442"/>
      <c r="BS596" s="442"/>
      <c r="BT596" s="442"/>
      <c r="BU596" s="442"/>
      <c r="BV596" s="442"/>
      <c r="BW596" s="442"/>
      <c r="BX596" s="442"/>
      <c r="BY596" s="442"/>
      <c r="BZ596" s="442"/>
      <c r="CA596" s="442"/>
      <c r="CB596" s="442"/>
      <c r="CC596" s="442"/>
      <c r="CD596" s="442"/>
      <c r="CE596" s="442"/>
      <c r="CF596" s="442"/>
      <c r="CG596" s="442"/>
      <c r="CH596" s="442"/>
      <c r="CI596" s="442"/>
    </row>
    <row r="597" spans="4:87" x14ac:dyDescent="0.2">
      <c r="D597" s="442"/>
      <c r="E597" s="442"/>
      <c r="F597" s="442"/>
      <c r="G597" s="442"/>
      <c r="H597" s="442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  <c r="AA597" s="442"/>
      <c r="AB597" s="442"/>
      <c r="AC597" s="442"/>
      <c r="AD597" s="442"/>
      <c r="AE597" s="442"/>
      <c r="AF597" s="442"/>
      <c r="AG597" s="442"/>
      <c r="AH597" s="442"/>
      <c r="AI597" s="442"/>
      <c r="AJ597" s="442"/>
      <c r="AK597" s="442"/>
      <c r="AL597" s="442"/>
      <c r="AM597" s="442"/>
      <c r="AN597" s="442"/>
      <c r="AO597" s="442"/>
      <c r="AP597" s="442"/>
      <c r="AQ597" s="442"/>
      <c r="AR597" s="442"/>
      <c r="AS597" s="442"/>
      <c r="AT597" s="442"/>
      <c r="AU597" s="442"/>
      <c r="AV597" s="442"/>
      <c r="AW597" s="442"/>
      <c r="AX597" s="442"/>
      <c r="AY597" s="442"/>
      <c r="AZ597" s="442"/>
      <c r="BA597" s="442"/>
      <c r="BB597" s="442"/>
      <c r="BC597" s="442"/>
      <c r="BD597" s="442"/>
      <c r="BE597" s="442"/>
      <c r="BF597" s="442"/>
      <c r="BG597" s="442"/>
      <c r="BH597" s="442"/>
      <c r="BI597" s="442"/>
      <c r="BJ597" s="442"/>
      <c r="BK597" s="442"/>
      <c r="BL597" s="442"/>
      <c r="BM597" s="442"/>
      <c r="BN597" s="442"/>
      <c r="BO597" s="442"/>
      <c r="BP597" s="442"/>
      <c r="BQ597" s="442"/>
      <c r="BR597" s="442"/>
      <c r="BS597" s="442"/>
      <c r="BT597" s="442"/>
      <c r="BU597" s="442"/>
      <c r="BV597" s="442"/>
      <c r="BW597" s="442"/>
      <c r="BX597" s="442"/>
      <c r="BY597" s="442"/>
      <c r="BZ597" s="442"/>
      <c r="CA597" s="442"/>
      <c r="CB597" s="442"/>
      <c r="CC597" s="442"/>
      <c r="CD597" s="442"/>
      <c r="CE597" s="442"/>
      <c r="CF597" s="442"/>
      <c r="CG597" s="442"/>
      <c r="CH597" s="442"/>
      <c r="CI597" s="442"/>
    </row>
    <row r="598" spans="4:87" x14ac:dyDescent="0.2">
      <c r="D598" s="442"/>
      <c r="E598" s="442"/>
      <c r="F598" s="442"/>
      <c r="G598" s="442"/>
      <c r="H598" s="442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  <c r="AA598" s="442"/>
      <c r="AB598" s="442"/>
      <c r="AC598" s="442"/>
      <c r="AD598" s="442"/>
      <c r="AE598" s="442"/>
      <c r="AF598" s="442"/>
      <c r="AG598" s="442"/>
      <c r="AH598" s="442"/>
      <c r="AI598" s="442"/>
      <c r="AJ598" s="442"/>
      <c r="AK598" s="442"/>
      <c r="AL598" s="442"/>
      <c r="AM598" s="442"/>
      <c r="AN598" s="442"/>
      <c r="AO598" s="442"/>
      <c r="AP598" s="442"/>
      <c r="AQ598" s="442"/>
      <c r="AR598" s="442"/>
      <c r="AS598" s="442"/>
      <c r="AT598" s="442"/>
      <c r="AU598" s="442"/>
      <c r="AV598" s="442"/>
      <c r="AW598" s="442"/>
      <c r="AX598" s="442"/>
      <c r="AY598" s="442"/>
      <c r="AZ598" s="442"/>
      <c r="BA598" s="442"/>
      <c r="BB598" s="442"/>
      <c r="BC598" s="442"/>
      <c r="BD598" s="442"/>
      <c r="BE598" s="442"/>
      <c r="BF598" s="442"/>
      <c r="BG598" s="442"/>
      <c r="BH598" s="442"/>
      <c r="BI598" s="442"/>
      <c r="BJ598" s="442"/>
      <c r="BK598" s="442"/>
      <c r="BL598" s="442"/>
      <c r="BM598" s="442"/>
      <c r="BN598" s="442"/>
      <c r="BO598" s="442"/>
      <c r="BP598" s="442"/>
      <c r="BQ598" s="442"/>
      <c r="BR598" s="442"/>
      <c r="BS598" s="442"/>
      <c r="BT598" s="442"/>
      <c r="BU598" s="442"/>
      <c r="BV598" s="442"/>
      <c r="BW598" s="442"/>
      <c r="BX598" s="442"/>
      <c r="BY598" s="442"/>
      <c r="BZ598" s="442"/>
      <c r="CA598" s="442"/>
      <c r="CB598" s="442"/>
      <c r="CC598" s="442"/>
      <c r="CD598" s="442"/>
      <c r="CE598" s="442"/>
      <c r="CF598" s="442"/>
      <c r="CG598" s="442"/>
      <c r="CH598" s="442"/>
      <c r="CI598" s="442"/>
    </row>
    <row r="599" spans="4:87" x14ac:dyDescent="0.2">
      <c r="D599" s="442"/>
      <c r="E599" s="442"/>
      <c r="F599" s="442"/>
      <c r="G599" s="442"/>
      <c r="H599" s="442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  <c r="AA599" s="442"/>
      <c r="AB599" s="442"/>
      <c r="AC599" s="442"/>
      <c r="AD599" s="442"/>
      <c r="AE599" s="442"/>
      <c r="AF599" s="442"/>
      <c r="AG599" s="442"/>
      <c r="AH599" s="442"/>
      <c r="AI599" s="442"/>
      <c r="AJ599" s="442"/>
      <c r="AK599" s="442"/>
      <c r="AL599" s="442"/>
      <c r="AM599" s="442"/>
      <c r="AN599" s="442"/>
      <c r="AO599" s="442"/>
      <c r="AP599" s="442"/>
      <c r="AQ599" s="442"/>
      <c r="AR599" s="442"/>
      <c r="AS599" s="442"/>
      <c r="AT599" s="442"/>
      <c r="AU599" s="442"/>
      <c r="AV599" s="442"/>
      <c r="AW599" s="442"/>
      <c r="AX599" s="442"/>
      <c r="AY599" s="442"/>
      <c r="AZ599" s="442"/>
      <c r="BA599" s="442"/>
      <c r="BB599" s="442"/>
      <c r="BC599" s="442"/>
      <c r="BD599" s="442"/>
      <c r="BE599" s="442"/>
      <c r="BF599" s="442"/>
      <c r="BG599" s="442"/>
      <c r="BH599" s="442"/>
      <c r="BI599" s="442"/>
      <c r="BJ599" s="442"/>
      <c r="BK599" s="442"/>
      <c r="BL599" s="442"/>
      <c r="BM599" s="442"/>
      <c r="BN599" s="442"/>
      <c r="BO599" s="442"/>
      <c r="BP599" s="442"/>
      <c r="BQ599" s="442"/>
      <c r="BR599" s="442"/>
      <c r="BS599" s="442"/>
      <c r="BT599" s="442"/>
      <c r="BU599" s="442"/>
      <c r="BV599" s="442"/>
      <c r="BW599" s="442"/>
      <c r="BX599" s="442"/>
      <c r="BY599" s="442"/>
      <c r="BZ599" s="442"/>
      <c r="CA599" s="442"/>
      <c r="CB599" s="442"/>
      <c r="CC599" s="442"/>
      <c r="CD599" s="442"/>
      <c r="CE599" s="442"/>
      <c r="CF599" s="442"/>
      <c r="CG599" s="442"/>
      <c r="CH599" s="442"/>
      <c r="CI599" s="442"/>
    </row>
    <row r="600" spans="4:87" x14ac:dyDescent="0.2">
      <c r="D600" s="442"/>
      <c r="E600" s="442"/>
      <c r="F600" s="442"/>
      <c r="G600" s="442"/>
      <c r="H600" s="442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  <c r="AA600" s="442"/>
      <c r="AB600" s="442"/>
      <c r="AC600" s="442"/>
      <c r="AD600" s="442"/>
      <c r="AE600" s="442"/>
      <c r="AF600" s="442"/>
      <c r="AG600" s="442"/>
      <c r="AH600" s="442"/>
      <c r="AI600" s="442"/>
      <c r="AJ600" s="442"/>
      <c r="AK600" s="442"/>
      <c r="AL600" s="442"/>
      <c r="AM600" s="442"/>
      <c r="AN600" s="442"/>
      <c r="AO600" s="442"/>
      <c r="AP600" s="442"/>
      <c r="AQ600" s="442"/>
      <c r="AR600" s="442"/>
      <c r="AS600" s="442"/>
      <c r="AT600" s="442"/>
      <c r="AU600" s="442"/>
      <c r="AV600" s="442"/>
      <c r="AW600" s="442"/>
      <c r="AX600" s="442"/>
      <c r="AY600" s="442"/>
      <c r="AZ600" s="442"/>
      <c r="BA600" s="442"/>
      <c r="BB600" s="442"/>
      <c r="BC600" s="442"/>
      <c r="BD600" s="442"/>
      <c r="BE600" s="442"/>
      <c r="BF600" s="442"/>
      <c r="BG600" s="442"/>
      <c r="BH600" s="442"/>
      <c r="BI600" s="442"/>
      <c r="BJ600" s="442"/>
      <c r="BK600" s="442"/>
      <c r="BL600" s="442"/>
      <c r="BM600" s="442"/>
      <c r="BN600" s="442"/>
      <c r="BO600" s="442"/>
      <c r="BP600" s="442"/>
      <c r="BQ600" s="442"/>
      <c r="BR600" s="442"/>
      <c r="BS600" s="442"/>
      <c r="BT600" s="442"/>
      <c r="BU600" s="442"/>
      <c r="BV600" s="442"/>
      <c r="BW600" s="442"/>
      <c r="BX600" s="442"/>
      <c r="BY600" s="442"/>
      <c r="BZ600" s="442"/>
      <c r="CA600" s="442"/>
      <c r="CB600" s="442"/>
      <c r="CC600" s="442"/>
      <c r="CD600" s="442"/>
      <c r="CE600" s="442"/>
      <c r="CF600" s="442"/>
      <c r="CG600" s="442"/>
      <c r="CH600" s="442"/>
      <c r="CI600" s="442"/>
    </row>
    <row r="601" spans="4:87" x14ac:dyDescent="0.2">
      <c r="D601" s="442"/>
      <c r="E601" s="442"/>
      <c r="F601" s="442"/>
      <c r="G601" s="442"/>
      <c r="H601" s="442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  <c r="AA601" s="442"/>
      <c r="AB601" s="442"/>
      <c r="AC601" s="442"/>
      <c r="AD601" s="442"/>
      <c r="AE601" s="442"/>
      <c r="AF601" s="442"/>
      <c r="AG601" s="442"/>
      <c r="AH601" s="442"/>
      <c r="AI601" s="442"/>
      <c r="AJ601" s="442"/>
      <c r="AK601" s="442"/>
      <c r="AL601" s="442"/>
      <c r="AM601" s="442"/>
      <c r="AN601" s="442"/>
      <c r="AO601" s="442"/>
      <c r="AP601" s="442"/>
      <c r="AQ601" s="442"/>
      <c r="AR601" s="442"/>
      <c r="AS601" s="442"/>
      <c r="AT601" s="442"/>
      <c r="AU601" s="442"/>
      <c r="AV601" s="442"/>
      <c r="AW601" s="442"/>
      <c r="AX601" s="442"/>
      <c r="AY601" s="442"/>
      <c r="AZ601" s="442"/>
      <c r="BA601" s="442"/>
      <c r="BB601" s="442"/>
      <c r="BC601" s="442"/>
      <c r="BD601" s="442"/>
      <c r="BE601" s="442"/>
      <c r="BF601" s="442"/>
      <c r="BG601" s="442"/>
      <c r="BH601" s="442"/>
      <c r="BI601" s="442"/>
      <c r="BJ601" s="442"/>
      <c r="BK601" s="442"/>
      <c r="BL601" s="442"/>
      <c r="BM601" s="442"/>
      <c r="BN601" s="442"/>
      <c r="BO601" s="442"/>
      <c r="BP601" s="442"/>
      <c r="BQ601" s="442"/>
      <c r="BR601" s="442"/>
      <c r="BS601" s="442"/>
      <c r="BT601" s="442"/>
      <c r="BU601" s="442"/>
      <c r="BV601" s="442"/>
      <c r="BW601" s="442"/>
      <c r="BX601" s="442"/>
      <c r="BY601" s="442"/>
      <c r="BZ601" s="442"/>
      <c r="CA601" s="442"/>
      <c r="CB601" s="442"/>
      <c r="CC601" s="442"/>
      <c r="CD601" s="442"/>
      <c r="CE601" s="442"/>
      <c r="CF601" s="442"/>
      <c r="CG601" s="442"/>
      <c r="CH601" s="442"/>
      <c r="CI601" s="442"/>
    </row>
    <row r="602" spans="4:87" x14ac:dyDescent="0.2">
      <c r="D602" s="442"/>
      <c r="E602" s="442"/>
      <c r="F602" s="442"/>
      <c r="G602" s="442"/>
      <c r="H602" s="442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  <c r="AA602" s="442"/>
      <c r="AB602" s="442"/>
      <c r="AC602" s="442"/>
      <c r="AD602" s="442"/>
      <c r="AE602" s="442"/>
      <c r="AF602" s="442"/>
      <c r="AG602" s="442"/>
      <c r="AH602" s="442"/>
      <c r="AI602" s="442"/>
      <c r="AJ602" s="442"/>
      <c r="AK602" s="442"/>
      <c r="AL602" s="442"/>
      <c r="AM602" s="442"/>
      <c r="AN602" s="442"/>
      <c r="AO602" s="442"/>
      <c r="AP602" s="442"/>
      <c r="AQ602" s="442"/>
      <c r="AR602" s="442"/>
      <c r="AS602" s="442"/>
      <c r="AT602" s="442"/>
      <c r="AU602" s="442"/>
      <c r="AV602" s="442"/>
      <c r="AW602" s="442"/>
      <c r="AX602" s="442"/>
      <c r="AY602" s="442"/>
      <c r="AZ602" s="442"/>
      <c r="BA602" s="442"/>
      <c r="BB602" s="442"/>
      <c r="BC602" s="442"/>
      <c r="BD602" s="442"/>
      <c r="BE602" s="442"/>
      <c r="BF602" s="442"/>
      <c r="BG602" s="442"/>
      <c r="BH602" s="442"/>
      <c r="BI602" s="442"/>
      <c r="BJ602" s="442"/>
      <c r="BK602" s="442"/>
      <c r="BL602" s="442"/>
      <c r="BM602" s="442"/>
      <c r="BN602" s="442"/>
      <c r="BO602" s="442"/>
      <c r="BP602" s="442"/>
      <c r="BQ602" s="442"/>
      <c r="BR602" s="442"/>
      <c r="BS602" s="442"/>
      <c r="BT602" s="442"/>
      <c r="BU602" s="442"/>
      <c r="BV602" s="442"/>
      <c r="BW602" s="442"/>
      <c r="BX602" s="442"/>
      <c r="BY602" s="442"/>
      <c r="BZ602" s="442"/>
      <c r="CA602" s="442"/>
      <c r="CB602" s="442"/>
      <c r="CC602" s="442"/>
      <c r="CD602" s="442"/>
      <c r="CE602" s="442"/>
      <c r="CF602" s="442"/>
      <c r="CG602" s="442"/>
      <c r="CH602" s="442"/>
      <c r="CI602" s="442"/>
    </row>
    <row r="603" spans="4:87" x14ac:dyDescent="0.2">
      <c r="D603" s="442"/>
      <c r="E603" s="442"/>
      <c r="F603" s="442"/>
      <c r="G603" s="442"/>
      <c r="H603" s="442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  <c r="AA603" s="442"/>
      <c r="AB603" s="442"/>
      <c r="AC603" s="442"/>
      <c r="AD603" s="442"/>
      <c r="AE603" s="442"/>
      <c r="AF603" s="442"/>
      <c r="AG603" s="442"/>
      <c r="AH603" s="442"/>
      <c r="AI603" s="442"/>
      <c r="AJ603" s="442"/>
      <c r="AK603" s="442"/>
      <c r="AL603" s="442"/>
      <c r="AM603" s="442"/>
      <c r="AN603" s="442"/>
      <c r="AO603" s="442"/>
      <c r="AP603" s="442"/>
      <c r="AQ603" s="442"/>
      <c r="AR603" s="442"/>
      <c r="AS603" s="442"/>
      <c r="AT603" s="442"/>
      <c r="AU603" s="442"/>
      <c r="AV603" s="442"/>
      <c r="AW603" s="442"/>
      <c r="AX603" s="442"/>
      <c r="AY603" s="442"/>
      <c r="AZ603" s="442"/>
      <c r="BA603" s="442"/>
      <c r="BB603" s="442"/>
      <c r="BC603" s="442"/>
      <c r="BD603" s="442"/>
      <c r="BE603" s="442"/>
      <c r="BF603" s="442"/>
      <c r="BG603" s="442"/>
      <c r="BH603" s="442"/>
      <c r="BI603" s="442"/>
      <c r="BJ603" s="442"/>
      <c r="BK603" s="442"/>
      <c r="BL603" s="442"/>
      <c r="BM603" s="442"/>
      <c r="BN603" s="442"/>
      <c r="BO603" s="442"/>
      <c r="BP603" s="442"/>
      <c r="BQ603" s="442"/>
      <c r="BR603" s="442"/>
      <c r="BS603" s="442"/>
      <c r="BT603" s="442"/>
      <c r="BU603" s="442"/>
      <c r="BV603" s="442"/>
      <c r="BW603" s="442"/>
      <c r="BX603" s="442"/>
      <c r="BY603" s="442"/>
      <c r="BZ603" s="442"/>
      <c r="CA603" s="442"/>
      <c r="CB603" s="442"/>
      <c r="CC603" s="442"/>
      <c r="CD603" s="442"/>
      <c r="CE603" s="442"/>
      <c r="CF603" s="442"/>
      <c r="CG603" s="442"/>
      <c r="CH603" s="442"/>
      <c r="CI603" s="442"/>
    </row>
    <row r="604" spans="4:87" x14ac:dyDescent="0.2"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  <c r="AA604" s="442"/>
      <c r="AB604" s="442"/>
      <c r="AC604" s="442"/>
      <c r="AD604" s="442"/>
      <c r="AE604" s="442"/>
      <c r="AF604" s="442"/>
      <c r="AG604" s="442"/>
      <c r="AH604" s="442"/>
      <c r="AI604" s="442"/>
      <c r="AJ604" s="442"/>
      <c r="AK604" s="442"/>
      <c r="AL604" s="442"/>
      <c r="AM604" s="442"/>
      <c r="AN604" s="442"/>
      <c r="AO604" s="442"/>
      <c r="AP604" s="442"/>
      <c r="AQ604" s="442"/>
      <c r="AR604" s="442"/>
      <c r="AS604" s="442"/>
      <c r="AT604" s="442"/>
      <c r="AU604" s="442"/>
      <c r="AV604" s="442"/>
      <c r="AW604" s="442"/>
      <c r="AX604" s="442"/>
      <c r="AY604" s="442"/>
      <c r="AZ604" s="442"/>
      <c r="BA604" s="442"/>
      <c r="BB604" s="442"/>
      <c r="BC604" s="442"/>
      <c r="BD604" s="442"/>
      <c r="BE604" s="442"/>
      <c r="BF604" s="442"/>
      <c r="BG604" s="442"/>
      <c r="BH604" s="442"/>
      <c r="BI604" s="442"/>
      <c r="BJ604" s="442"/>
      <c r="BK604" s="442"/>
      <c r="BL604" s="442"/>
      <c r="BM604" s="442"/>
      <c r="BN604" s="442"/>
      <c r="BO604" s="442"/>
      <c r="BP604" s="442"/>
      <c r="BQ604" s="442"/>
      <c r="BR604" s="442"/>
      <c r="BS604" s="442"/>
      <c r="BT604" s="442"/>
      <c r="BU604" s="442"/>
      <c r="BV604" s="442"/>
      <c r="BW604" s="442"/>
      <c r="BX604" s="442"/>
      <c r="BY604" s="442"/>
      <c r="BZ604" s="442"/>
      <c r="CA604" s="442"/>
      <c r="CB604" s="442"/>
      <c r="CC604" s="442"/>
      <c r="CD604" s="442"/>
      <c r="CE604" s="442"/>
      <c r="CF604" s="442"/>
      <c r="CG604" s="442"/>
      <c r="CH604" s="442"/>
      <c r="CI604" s="442"/>
    </row>
    <row r="605" spans="4:87" x14ac:dyDescent="0.2">
      <c r="D605" s="442"/>
      <c r="E605" s="442"/>
      <c r="F605" s="442"/>
      <c r="G605" s="442"/>
      <c r="H605" s="442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  <c r="AA605" s="442"/>
      <c r="AB605" s="442"/>
      <c r="AC605" s="442"/>
      <c r="AD605" s="442"/>
      <c r="AE605" s="442"/>
      <c r="AF605" s="442"/>
      <c r="AG605" s="442"/>
      <c r="AH605" s="442"/>
      <c r="AI605" s="442"/>
      <c r="AJ605" s="442"/>
      <c r="AK605" s="442"/>
      <c r="AL605" s="442"/>
      <c r="AM605" s="442"/>
      <c r="AN605" s="442"/>
      <c r="AO605" s="442"/>
      <c r="AP605" s="442"/>
      <c r="AQ605" s="442"/>
      <c r="AR605" s="442"/>
      <c r="AS605" s="442"/>
      <c r="AT605" s="442"/>
      <c r="AU605" s="442"/>
      <c r="AV605" s="442"/>
      <c r="AW605" s="442"/>
      <c r="AX605" s="442"/>
      <c r="AY605" s="442"/>
      <c r="AZ605" s="442"/>
      <c r="BA605" s="442"/>
      <c r="BB605" s="442"/>
      <c r="BC605" s="442"/>
      <c r="BD605" s="442"/>
      <c r="BE605" s="442"/>
      <c r="BF605" s="442"/>
      <c r="BG605" s="442"/>
      <c r="BH605" s="442"/>
      <c r="BI605" s="442"/>
      <c r="BJ605" s="442"/>
      <c r="BK605" s="442"/>
      <c r="BL605" s="442"/>
      <c r="BM605" s="442"/>
      <c r="BN605" s="442"/>
      <c r="BO605" s="442"/>
      <c r="BP605" s="442"/>
      <c r="BQ605" s="442"/>
      <c r="BR605" s="442"/>
      <c r="BS605" s="442"/>
      <c r="BT605" s="442"/>
      <c r="BU605" s="442"/>
      <c r="BV605" s="442"/>
      <c r="BW605" s="442"/>
      <c r="BX605" s="442"/>
      <c r="BY605" s="442"/>
      <c r="BZ605" s="442"/>
      <c r="CA605" s="442"/>
      <c r="CB605" s="442"/>
      <c r="CC605" s="442"/>
      <c r="CD605" s="442"/>
      <c r="CE605" s="442"/>
      <c r="CF605" s="442"/>
      <c r="CG605" s="442"/>
      <c r="CH605" s="442"/>
      <c r="CI605" s="442"/>
    </row>
    <row r="606" spans="4:87" x14ac:dyDescent="0.2">
      <c r="D606" s="442"/>
      <c r="E606" s="442"/>
      <c r="F606" s="442"/>
      <c r="G606" s="442"/>
      <c r="H606" s="442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  <c r="AA606" s="442"/>
      <c r="AB606" s="442"/>
      <c r="AC606" s="442"/>
      <c r="AD606" s="442"/>
      <c r="AE606" s="442"/>
      <c r="AF606" s="442"/>
      <c r="AG606" s="442"/>
      <c r="AH606" s="442"/>
      <c r="AI606" s="442"/>
      <c r="AJ606" s="442"/>
      <c r="AK606" s="442"/>
      <c r="AL606" s="442"/>
      <c r="AM606" s="442"/>
      <c r="AN606" s="442"/>
      <c r="AO606" s="442"/>
      <c r="AP606" s="442"/>
      <c r="AQ606" s="442"/>
      <c r="AR606" s="442"/>
      <c r="AS606" s="442"/>
      <c r="AT606" s="442"/>
      <c r="AU606" s="442"/>
      <c r="AV606" s="442"/>
      <c r="AW606" s="442"/>
      <c r="AX606" s="442"/>
      <c r="AY606" s="442"/>
      <c r="AZ606" s="442"/>
      <c r="BA606" s="442"/>
      <c r="BB606" s="442"/>
      <c r="BC606" s="442"/>
      <c r="BD606" s="442"/>
      <c r="BE606" s="442"/>
      <c r="BF606" s="442"/>
      <c r="BG606" s="442"/>
      <c r="BH606" s="442"/>
      <c r="BI606" s="442"/>
      <c r="BJ606" s="442"/>
      <c r="BK606" s="442"/>
      <c r="BL606" s="442"/>
      <c r="BM606" s="442"/>
      <c r="BN606" s="442"/>
      <c r="BO606" s="442"/>
      <c r="BP606" s="442"/>
      <c r="BQ606" s="442"/>
      <c r="BR606" s="442"/>
      <c r="BS606" s="442"/>
      <c r="BT606" s="442"/>
      <c r="BU606" s="442"/>
      <c r="BV606" s="442"/>
      <c r="BW606" s="442"/>
      <c r="BX606" s="442"/>
      <c r="BY606" s="442"/>
      <c r="BZ606" s="442"/>
      <c r="CA606" s="442"/>
      <c r="CB606" s="442"/>
      <c r="CC606" s="442"/>
      <c r="CD606" s="442"/>
      <c r="CE606" s="442"/>
      <c r="CF606" s="442"/>
      <c r="CG606" s="442"/>
      <c r="CH606" s="442"/>
      <c r="CI606" s="442"/>
    </row>
    <row r="607" spans="4:87" x14ac:dyDescent="0.2"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  <c r="AA607" s="442"/>
      <c r="AB607" s="442"/>
      <c r="AC607" s="442"/>
      <c r="AD607" s="442"/>
      <c r="AE607" s="442"/>
      <c r="AF607" s="442"/>
      <c r="AG607" s="442"/>
      <c r="AH607" s="442"/>
      <c r="AI607" s="442"/>
      <c r="AJ607" s="442"/>
      <c r="AK607" s="442"/>
      <c r="AL607" s="442"/>
      <c r="AM607" s="442"/>
      <c r="AN607" s="442"/>
      <c r="AO607" s="442"/>
      <c r="AP607" s="442"/>
      <c r="AQ607" s="442"/>
      <c r="AR607" s="442"/>
      <c r="AS607" s="442"/>
      <c r="AT607" s="442"/>
      <c r="AU607" s="442"/>
      <c r="AV607" s="442"/>
      <c r="AW607" s="442"/>
      <c r="AX607" s="442"/>
      <c r="AY607" s="442"/>
      <c r="AZ607" s="442"/>
      <c r="BA607" s="442"/>
      <c r="BB607" s="442"/>
      <c r="BC607" s="442"/>
      <c r="BD607" s="442"/>
      <c r="BE607" s="442"/>
      <c r="BF607" s="442"/>
      <c r="BG607" s="442"/>
      <c r="BH607" s="442"/>
      <c r="BI607" s="442"/>
      <c r="BJ607" s="442"/>
      <c r="BK607" s="442"/>
      <c r="BL607" s="442"/>
      <c r="BM607" s="442"/>
      <c r="BN607" s="442"/>
      <c r="BO607" s="442"/>
      <c r="BP607" s="442"/>
      <c r="BQ607" s="442"/>
      <c r="BR607" s="442"/>
      <c r="BS607" s="442"/>
      <c r="BT607" s="442"/>
      <c r="BU607" s="442"/>
      <c r="BV607" s="442"/>
      <c r="BW607" s="442"/>
      <c r="BX607" s="442"/>
      <c r="BY607" s="442"/>
      <c r="BZ607" s="442"/>
      <c r="CA607" s="442"/>
      <c r="CB607" s="442"/>
      <c r="CC607" s="442"/>
      <c r="CD607" s="442"/>
      <c r="CE607" s="442"/>
      <c r="CF607" s="442"/>
      <c r="CG607" s="442"/>
      <c r="CH607" s="442"/>
      <c r="CI607" s="442"/>
    </row>
    <row r="608" spans="4:87" x14ac:dyDescent="0.2"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  <c r="AA608" s="442"/>
      <c r="AB608" s="442"/>
      <c r="AC608" s="442"/>
      <c r="AD608" s="442"/>
      <c r="AE608" s="442"/>
      <c r="AF608" s="442"/>
      <c r="AG608" s="442"/>
      <c r="AH608" s="442"/>
      <c r="AI608" s="442"/>
      <c r="AJ608" s="442"/>
      <c r="AK608" s="442"/>
      <c r="AL608" s="442"/>
      <c r="AM608" s="442"/>
      <c r="AN608" s="442"/>
      <c r="AO608" s="442"/>
      <c r="AP608" s="442"/>
      <c r="AQ608" s="442"/>
      <c r="AR608" s="442"/>
      <c r="AS608" s="442"/>
      <c r="AT608" s="442"/>
      <c r="AU608" s="442"/>
      <c r="AV608" s="442"/>
      <c r="AW608" s="442"/>
      <c r="AX608" s="442"/>
      <c r="AY608" s="442"/>
      <c r="AZ608" s="442"/>
      <c r="BA608" s="442"/>
      <c r="BB608" s="442"/>
      <c r="BC608" s="442"/>
      <c r="BD608" s="442"/>
      <c r="BE608" s="442"/>
      <c r="BF608" s="442"/>
      <c r="BG608" s="442"/>
      <c r="BH608" s="442"/>
      <c r="BI608" s="442"/>
      <c r="BJ608" s="442"/>
      <c r="BK608" s="442"/>
      <c r="BL608" s="442"/>
      <c r="BM608" s="442"/>
      <c r="BN608" s="442"/>
      <c r="BO608" s="442"/>
      <c r="BP608" s="442"/>
      <c r="BQ608" s="442"/>
      <c r="BR608" s="442"/>
      <c r="BS608" s="442"/>
      <c r="BT608" s="442"/>
      <c r="BU608" s="442"/>
      <c r="BV608" s="442"/>
      <c r="BW608" s="442"/>
      <c r="BX608" s="442"/>
      <c r="BY608" s="442"/>
      <c r="BZ608" s="442"/>
      <c r="CA608" s="442"/>
      <c r="CB608" s="442"/>
      <c r="CC608" s="442"/>
      <c r="CD608" s="442"/>
      <c r="CE608" s="442"/>
      <c r="CF608" s="442"/>
      <c r="CG608" s="442"/>
      <c r="CH608" s="442"/>
      <c r="CI608" s="442"/>
    </row>
    <row r="609" spans="4:87" x14ac:dyDescent="0.2">
      <c r="D609" s="442"/>
      <c r="E609" s="442"/>
      <c r="F609" s="442"/>
      <c r="G609" s="442"/>
      <c r="H609" s="442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  <c r="AA609" s="442"/>
      <c r="AB609" s="442"/>
      <c r="AC609" s="442"/>
      <c r="AD609" s="442"/>
      <c r="AE609" s="442"/>
      <c r="AF609" s="442"/>
      <c r="AG609" s="442"/>
      <c r="AH609" s="442"/>
      <c r="AI609" s="442"/>
      <c r="AJ609" s="442"/>
      <c r="AK609" s="442"/>
      <c r="AL609" s="442"/>
      <c r="AM609" s="442"/>
      <c r="AN609" s="442"/>
      <c r="AO609" s="442"/>
      <c r="AP609" s="442"/>
      <c r="AQ609" s="442"/>
      <c r="AR609" s="442"/>
      <c r="AS609" s="442"/>
      <c r="AT609" s="442"/>
      <c r="AU609" s="442"/>
      <c r="AV609" s="442"/>
      <c r="AW609" s="442"/>
      <c r="AX609" s="442"/>
      <c r="AY609" s="442"/>
      <c r="AZ609" s="442"/>
      <c r="BA609" s="442"/>
      <c r="BB609" s="442"/>
      <c r="BC609" s="442"/>
      <c r="BD609" s="442"/>
      <c r="BE609" s="442"/>
      <c r="BF609" s="442"/>
      <c r="BG609" s="442"/>
      <c r="BH609" s="442"/>
      <c r="BI609" s="442"/>
      <c r="BJ609" s="442"/>
      <c r="BK609" s="442"/>
      <c r="BL609" s="442"/>
      <c r="BM609" s="442"/>
      <c r="BN609" s="442"/>
      <c r="BO609" s="442"/>
      <c r="BP609" s="442"/>
      <c r="BQ609" s="442"/>
      <c r="BR609" s="442"/>
      <c r="BS609" s="442"/>
      <c r="BT609" s="442"/>
      <c r="BU609" s="442"/>
      <c r="BV609" s="442"/>
      <c r="BW609" s="442"/>
      <c r="BX609" s="442"/>
      <c r="BY609" s="442"/>
      <c r="BZ609" s="442"/>
      <c r="CA609" s="442"/>
      <c r="CB609" s="442"/>
      <c r="CC609" s="442"/>
      <c r="CD609" s="442"/>
      <c r="CE609" s="442"/>
      <c r="CF609" s="442"/>
      <c r="CG609" s="442"/>
      <c r="CH609" s="442"/>
      <c r="CI609" s="442"/>
    </row>
    <row r="610" spans="4:87" x14ac:dyDescent="0.2">
      <c r="D610" s="442"/>
      <c r="E610" s="442"/>
      <c r="F610" s="442"/>
      <c r="G610" s="442"/>
      <c r="H610" s="442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  <c r="AA610" s="442"/>
      <c r="AB610" s="442"/>
      <c r="AC610" s="442"/>
      <c r="AD610" s="442"/>
      <c r="AE610" s="442"/>
      <c r="AF610" s="442"/>
      <c r="AG610" s="442"/>
      <c r="AH610" s="442"/>
      <c r="AI610" s="442"/>
      <c r="AJ610" s="442"/>
      <c r="AK610" s="442"/>
      <c r="AL610" s="442"/>
      <c r="AM610" s="442"/>
      <c r="AN610" s="442"/>
      <c r="AO610" s="442"/>
      <c r="AP610" s="442"/>
      <c r="AQ610" s="442"/>
      <c r="AR610" s="442"/>
      <c r="AS610" s="442"/>
      <c r="AT610" s="442"/>
      <c r="AU610" s="442"/>
      <c r="AV610" s="442"/>
      <c r="AW610" s="442"/>
      <c r="AX610" s="442"/>
      <c r="AY610" s="442"/>
      <c r="AZ610" s="442"/>
      <c r="BA610" s="442"/>
      <c r="BB610" s="442"/>
      <c r="BC610" s="442"/>
      <c r="BD610" s="442"/>
      <c r="BE610" s="442"/>
      <c r="BF610" s="442"/>
      <c r="BG610" s="442"/>
      <c r="BH610" s="442"/>
      <c r="BI610" s="442"/>
      <c r="BJ610" s="442"/>
      <c r="BK610" s="442"/>
      <c r="BL610" s="442"/>
      <c r="BM610" s="442"/>
      <c r="BN610" s="442"/>
      <c r="BO610" s="442"/>
      <c r="BP610" s="442"/>
      <c r="BQ610" s="442"/>
      <c r="BR610" s="442"/>
      <c r="BS610" s="442"/>
      <c r="BT610" s="442"/>
      <c r="BU610" s="442"/>
      <c r="BV610" s="442"/>
      <c r="BW610" s="442"/>
      <c r="BX610" s="442"/>
      <c r="BY610" s="442"/>
      <c r="BZ610" s="442"/>
      <c r="CA610" s="442"/>
      <c r="CB610" s="442"/>
      <c r="CC610" s="442"/>
      <c r="CD610" s="442"/>
      <c r="CE610" s="442"/>
      <c r="CF610" s="442"/>
      <c r="CG610" s="442"/>
      <c r="CH610" s="442"/>
      <c r="CI610" s="442"/>
    </row>
    <row r="611" spans="4:87" x14ac:dyDescent="0.2">
      <c r="D611" s="442"/>
      <c r="E611" s="442"/>
      <c r="F611" s="442"/>
      <c r="G611" s="442"/>
      <c r="H611" s="442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  <c r="AA611" s="442"/>
      <c r="AB611" s="442"/>
      <c r="AC611" s="442"/>
      <c r="AD611" s="442"/>
      <c r="AE611" s="442"/>
      <c r="AF611" s="442"/>
      <c r="AG611" s="442"/>
      <c r="AH611" s="442"/>
      <c r="AI611" s="442"/>
      <c r="AJ611" s="442"/>
      <c r="AK611" s="442"/>
      <c r="AL611" s="442"/>
      <c r="AM611" s="442"/>
      <c r="AN611" s="442"/>
      <c r="AO611" s="442"/>
      <c r="AP611" s="442"/>
      <c r="AQ611" s="442"/>
      <c r="AR611" s="442"/>
      <c r="AS611" s="442"/>
      <c r="AT611" s="442"/>
      <c r="AU611" s="442"/>
      <c r="AV611" s="442"/>
      <c r="AW611" s="442"/>
      <c r="AX611" s="442"/>
      <c r="AY611" s="442"/>
      <c r="AZ611" s="442"/>
      <c r="BA611" s="442"/>
      <c r="BB611" s="442"/>
      <c r="BC611" s="442"/>
      <c r="BD611" s="442"/>
      <c r="BE611" s="442"/>
      <c r="BF611" s="442"/>
      <c r="BG611" s="442"/>
      <c r="BH611" s="442"/>
      <c r="BI611" s="442"/>
      <c r="BJ611" s="442"/>
      <c r="BK611" s="442"/>
      <c r="BL611" s="442"/>
      <c r="BM611" s="442"/>
      <c r="BN611" s="442"/>
      <c r="BO611" s="442"/>
      <c r="BP611" s="442"/>
      <c r="BQ611" s="442"/>
      <c r="BR611" s="442"/>
      <c r="BS611" s="442"/>
      <c r="BT611" s="442"/>
      <c r="BU611" s="442"/>
      <c r="BV611" s="442"/>
      <c r="BW611" s="442"/>
      <c r="BX611" s="442"/>
      <c r="BY611" s="442"/>
      <c r="BZ611" s="442"/>
      <c r="CA611" s="442"/>
      <c r="CB611" s="442"/>
      <c r="CC611" s="442"/>
      <c r="CD611" s="442"/>
      <c r="CE611" s="442"/>
      <c r="CF611" s="442"/>
      <c r="CG611" s="442"/>
      <c r="CH611" s="442"/>
      <c r="CI611" s="442"/>
    </row>
    <row r="612" spans="4:87" x14ac:dyDescent="0.2">
      <c r="D612" s="442"/>
      <c r="E612" s="442"/>
      <c r="F612" s="442"/>
      <c r="G612" s="442"/>
      <c r="H612" s="442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  <c r="AA612" s="442"/>
      <c r="AB612" s="442"/>
      <c r="AC612" s="442"/>
      <c r="AD612" s="442"/>
      <c r="AE612" s="442"/>
      <c r="AF612" s="442"/>
      <c r="AG612" s="442"/>
      <c r="AH612" s="442"/>
      <c r="AI612" s="442"/>
      <c r="AJ612" s="442"/>
      <c r="AK612" s="442"/>
      <c r="AL612" s="442"/>
      <c r="AM612" s="442"/>
      <c r="AN612" s="442"/>
      <c r="AO612" s="442"/>
      <c r="AP612" s="442"/>
      <c r="AQ612" s="442"/>
      <c r="AR612" s="442"/>
      <c r="AS612" s="442"/>
      <c r="AT612" s="442"/>
      <c r="AU612" s="442"/>
      <c r="AV612" s="442"/>
      <c r="AW612" s="442"/>
      <c r="AX612" s="442"/>
      <c r="AY612" s="442"/>
      <c r="AZ612" s="442"/>
      <c r="BA612" s="442"/>
      <c r="BB612" s="442"/>
      <c r="BC612" s="442"/>
      <c r="BD612" s="442"/>
      <c r="BE612" s="442"/>
      <c r="BF612" s="442"/>
      <c r="BG612" s="442"/>
      <c r="BH612" s="442"/>
      <c r="BI612" s="442"/>
      <c r="BJ612" s="442"/>
      <c r="BK612" s="442"/>
      <c r="BL612" s="442"/>
      <c r="BM612" s="442"/>
      <c r="BN612" s="442"/>
      <c r="BO612" s="442"/>
      <c r="BP612" s="442"/>
      <c r="BQ612" s="442"/>
      <c r="BR612" s="442"/>
      <c r="BS612" s="442"/>
      <c r="BT612" s="442"/>
      <c r="BU612" s="442"/>
      <c r="BV612" s="442"/>
      <c r="BW612" s="442"/>
      <c r="BX612" s="442"/>
      <c r="BY612" s="442"/>
      <c r="BZ612" s="442"/>
      <c r="CA612" s="442"/>
      <c r="CB612" s="442"/>
      <c r="CC612" s="442"/>
      <c r="CD612" s="442"/>
      <c r="CE612" s="442"/>
      <c r="CF612" s="442"/>
      <c r="CG612" s="442"/>
      <c r="CH612" s="442"/>
      <c r="CI612" s="442"/>
    </row>
    <row r="613" spans="4:87" x14ac:dyDescent="0.2">
      <c r="D613" s="442"/>
      <c r="E613" s="442"/>
      <c r="F613" s="442"/>
      <c r="G613" s="442"/>
      <c r="H613" s="442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  <c r="AA613" s="442"/>
      <c r="AB613" s="442"/>
      <c r="AC613" s="442"/>
      <c r="AD613" s="442"/>
      <c r="AE613" s="442"/>
      <c r="AF613" s="442"/>
      <c r="AG613" s="442"/>
      <c r="AH613" s="442"/>
      <c r="AI613" s="442"/>
      <c r="AJ613" s="442"/>
      <c r="AK613" s="442"/>
      <c r="AL613" s="442"/>
      <c r="AM613" s="442"/>
      <c r="AN613" s="442"/>
      <c r="AO613" s="442"/>
      <c r="AP613" s="442"/>
      <c r="AQ613" s="442"/>
      <c r="AR613" s="442"/>
      <c r="AS613" s="442"/>
      <c r="AT613" s="442"/>
      <c r="AU613" s="442"/>
      <c r="AV613" s="442"/>
      <c r="AW613" s="442"/>
      <c r="AX613" s="442"/>
      <c r="AY613" s="442"/>
      <c r="AZ613" s="442"/>
      <c r="BA613" s="442"/>
      <c r="BB613" s="442"/>
      <c r="BC613" s="442"/>
      <c r="BD613" s="442"/>
      <c r="BE613" s="442"/>
      <c r="BF613" s="442"/>
      <c r="BG613" s="442"/>
      <c r="BH613" s="442"/>
      <c r="BI613" s="442"/>
      <c r="BJ613" s="442"/>
      <c r="BK613" s="442"/>
      <c r="BL613" s="442"/>
      <c r="BM613" s="442"/>
      <c r="BN613" s="442"/>
      <c r="BO613" s="442"/>
      <c r="BP613" s="442"/>
      <c r="BQ613" s="442"/>
      <c r="BR613" s="442"/>
      <c r="BS613" s="442"/>
      <c r="BT613" s="442"/>
      <c r="BU613" s="442"/>
      <c r="BV613" s="442"/>
      <c r="BW613" s="442"/>
      <c r="BX613" s="442"/>
      <c r="BY613" s="442"/>
      <c r="BZ613" s="442"/>
      <c r="CA613" s="442"/>
      <c r="CB613" s="442"/>
      <c r="CC613" s="442"/>
      <c r="CD613" s="442"/>
      <c r="CE613" s="442"/>
      <c r="CF613" s="442"/>
      <c r="CG613" s="442"/>
      <c r="CH613" s="442"/>
      <c r="CI613" s="442"/>
    </row>
    <row r="614" spans="4:87" x14ac:dyDescent="0.2">
      <c r="D614" s="442"/>
      <c r="E614" s="442"/>
      <c r="F614" s="442"/>
      <c r="G614" s="442"/>
      <c r="H614" s="442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  <c r="AA614" s="442"/>
      <c r="AB614" s="442"/>
      <c r="AC614" s="442"/>
      <c r="AD614" s="442"/>
      <c r="AE614" s="442"/>
      <c r="AF614" s="442"/>
      <c r="AG614" s="442"/>
      <c r="AH614" s="442"/>
      <c r="AI614" s="442"/>
      <c r="AJ614" s="442"/>
      <c r="AK614" s="442"/>
      <c r="AL614" s="442"/>
      <c r="AM614" s="442"/>
      <c r="AN614" s="442"/>
      <c r="AO614" s="442"/>
      <c r="AP614" s="442"/>
      <c r="AQ614" s="442"/>
      <c r="AR614" s="442"/>
      <c r="AS614" s="442"/>
      <c r="AT614" s="442"/>
      <c r="AU614" s="442"/>
      <c r="AV614" s="442"/>
      <c r="AW614" s="442"/>
      <c r="AX614" s="442"/>
      <c r="AY614" s="442"/>
      <c r="AZ614" s="442"/>
      <c r="BA614" s="442"/>
      <c r="BB614" s="442"/>
      <c r="BC614" s="442"/>
      <c r="BD614" s="442"/>
      <c r="BE614" s="442"/>
      <c r="BF614" s="442"/>
      <c r="BG614" s="442"/>
      <c r="BH614" s="442"/>
      <c r="BI614" s="442"/>
      <c r="BJ614" s="442"/>
      <c r="BK614" s="442"/>
      <c r="BL614" s="442"/>
      <c r="BM614" s="442"/>
      <c r="BN614" s="442"/>
      <c r="BO614" s="442"/>
      <c r="BP614" s="442"/>
      <c r="BQ614" s="442"/>
      <c r="BR614" s="442"/>
      <c r="BS614" s="442"/>
      <c r="BT614" s="442"/>
      <c r="BU614" s="442"/>
      <c r="BV614" s="442"/>
      <c r="BW614" s="442"/>
      <c r="BX614" s="442"/>
      <c r="BY614" s="442"/>
      <c r="BZ614" s="442"/>
      <c r="CA614" s="442"/>
      <c r="CB614" s="442"/>
      <c r="CC614" s="442"/>
      <c r="CD614" s="442"/>
      <c r="CE614" s="442"/>
      <c r="CF614" s="442"/>
      <c r="CG614" s="442"/>
      <c r="CH614" s="442"/>
      <c r="CI614" s="442"/>
    </row>
    <row r="615" spans="4:87" x14ac:dyDescent="0.2"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  <c r="AA615" s="442"/>
      <c r="AB615" s="442"/>
      <c r="AC615" s="442"/>
      <c r="AD615" s="442"/>
      <c r="AE615" s="442"/>
      <c r="AF615" s="442"/>
      <c r="AG615" s="442"/>
      <c r="AH615" s="442"/>
      <c r="AI615" s="442"/>
      <c r="AJ615" s="442"/>
      <c r="AK615" s="442"/>
      <c r="AL615" s="442"/>
      <c r="AM615" s="442"/>
      <c r="AN615" s="442"/>
      <c r="AO615" s="442"/>
      <c r="AP615" s="442"/>
      <c r="AQ615" s="442"/>
      <c r="AR615" s="442"/>
      <c r="AS615" s="442"/>
      <c r="AT615" s="442"/>
      <c r="AU615" s="442"/>
      <c r="AV615" s="442"/>
      <c r="AW615" s="442"/>
      <c r="AX615" s="442"/>
      <c r="AY615" s="442"/>
      <c r="AZ615" s="442"/>
      <c r="BA615" s="442"/>
      <c r="BB615" s="442"/>
      <c r="BC615" s="442"/>
      <c r="BD615" s="442"/>
      <c r="BE615" s="442"/>
      <c r="BF615" s="442"/>
      <c r="BG615" s="442"/>
      <c r="BH615" s="442"/>
      <c r="BI615" s="442"/>
      <c r="BJ615" s="442"/>
      <c r="BK615" s="442"/>
      <c r="BL615" s="442"/>
      <c r="BM615" s="442"/>
      <c r="BN615" s="442"/>
      <c r="BO615" s="442"/>
      <c r="BP615" s="442"/>
      <c r="BQ615" s="442"/>
      <c r="BR615" s="442"/>
      <c r="BS615" s="442"/>
      <c r="BT615" s="442"/>
      <c r="BU615" s="442"/>
      <c r="BV615" s="442"/>
      <c r="BW615" s="442"/>
      <c r="BX615" s="442"/>
      <c r="BY615" s="442"/>
      <c r="BZ615" s="442"/>
      <c r="CA615" s="442"/>
      <c r="CB615" s="442"/>
      <c r="CC615" s="442"/>
      <c r="CD615" s="442"/>
      <c r="CE615" s="442"/>
      <c r="CF615" s="442"/>
      <c r="CG615" s="442"/>
      <c r="CH615" s="442"/>
      <c r="CI615" s="442"/>
    </row>
    <row r="616" spans="4:87" x14ac:dyDescent="0.2">
      <c r="D616" s="442"/>
      <c r="E616" s="442"/>
      <c r="F616" s="442"/>
      <c r="G616" s="442"/>
      <c r="H616" s="442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  <c r="AA616" s="442"/>
      <c r="AB616" s="442"/>
      <c r="AC616" s="442"/>
      <c r="AD616" s="442"/>
      <c r="AE616" s="442"/>
      <c r="AF616" s="442"/>
      <c r="AG616" s="442"/>
      <c r="AH616" s="442"/>
      <c r="AI616" s="442"/>
      <c r="AJ616" s="442"/>
      <c r="AK616" s="442"/>
      <c r="AL616" s="442"/>
      <c r="AM616" s="442"/>
      <c r="AN616" s="442"/>
      <c r="AO616" s="442"/>
      <c r="AP616" s="442"/>
      <c r="AQ616" s="442"/>
      <c r="AR616" s="442"/>
      <c r="AS616" s="442"/>
      <c r="AT616" s="442"/>
      <c r="AU616" s="442"/>
      <c r="AV616" s="442"/>
      <c r="AW616" s="442"/>
      <c r="AX616" s="442"/>
      <c r="AY616" s="442"/>
      <c r="AZ616" s="442"/>
      <c r="BA616" s="442"/>
      <c r="BB616" s="442"/>
      <c r="BC616" s="442"/>
      <c r="BD616" s="442"/>
      <c r="BE616" s="442"/>
      <c r="BF616" s="442"/>
      <c r="BG616" s="442"/>
      <c r="BH616" s="442"/>
      <c r="BI616" s="442"/>
      <c r="BJ616" s="442"/>
      <c r="BK616" s="442"/>
      <c r="BL616" s="442"/>
      <c r="BM616" s="442"/>
      <c r="BN616" s="442"/>
      <c r="BO616" s="442"/>
      <c r="BP616" s="442"/>
      <c r="BQ616" s="442"/>
      <c r="BR616" s="442"/>
      <c r="BS616" s="442"/>
      <c r="BT616" s="442"/>
      <c r="BU616" s="442"/>
      <c r="BV616" s="442"/>
      <c r="BW616" s="442"/>
      <c r="BX616" s="442"/>
      <c r="BY616" s="442"/>
      <c r="BZ616" s="442"/>
      <c r="CA616" s="442"/>
      <c r="CB616" s="442"/>
      <c r="CC616" s="442"/>
      <c r="CD616" s="442"/>
      <c r="CE616" s="442"/>
      <c r="CF616" s="442"/>
      <c r="CG616" s="442"/>
      <c r="CH616" s="442"/>
      <c r="CI616" s="442"/>
    </row>
    <row r="617" spans="4:87" x14ac:dyDescent="0.2">
      <c r="D617" s="442"/>
      <c r="E617" s="442"/>
      <c r="F617" s="442"/>
      <c r="G617" s="442"/>
      <c r="H617" s="442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  <c r="AA617" s="442"/>
      <c r="AB617" s="442"/>
      <c r="AC617" s="442"/>
      <c r="AD617" s="442"/>
      <c r="AE617" s="442"/>
      <c r="AF617" s="442"/>
      <c r="AG617" s="442"/>
      <c r="AH617" s="442"/>
      <c r="AI617" s="442"/>
      <c r="AJ617" s="442"/>
      <c r="AK617" s="442"/>
      <c r="AL617" s="442"/>
      <c r="AM617" s="442"/>
      <c r="AN617" s="442"/>
      <c r="AO617" s="442"/>
      <c r="AP617" s="442"/>
      <c r="AQ617" s="442"/>
      <c r="AR617" s="442"/>
      <c r="AS617" s="442"/>
      <c r="AT617" s="442"/>
      <c r="AU617" s="442"/>
      <c r="AV617" s="442"/>
      <c r="AW617" s="442"/>
      <c r="AX617" s="442"/>
      <c r="AY617" s="442"/>
      <c r="AZ617" s="442"/>
      <c r="BA617" s="442"/>
      <c r="BB617" s="442"/>
      <c r="BC617" s="442"/>
      <c r="BD617" s="442"/>
      <c r="BE617" s="442"/>
      <c r="BF617" s="442"/>
      <c r="BG617" s="442"/>
      <c r="BH617" s="442"/>
      <c r="BI617" s="442"/>
      <c r="BJ617" s="442"/>
      <c r="BK617" s="442"/>
      <c r="BL617" s="442"/>
      <c r="BM617" s="442"/>
      <c r="BN617" s="442"/>
      <c r="BO617" s="442"/>
      <c r="BP617" s="442"/>
      <c r="BQ617" s="442"/>
      <c r="BR617" s="442"/>
      <c r="BS617" s="442"/>
      <c r="BT617" s="442"/>
      <c r="BU617" s="442"/>
      <c r="BV617" s="442"/>
      <c r="BW617" s="442"/>
      <c r="BX617" s="442"/>
      <c r="BY617" s="442"/>
      <c r="BZ617" s="442"/>
      <c r="CA617" s="442"/>
      <c r="CB617" s="442"/>
      <c r="CC617" s="442"/>
      <c r="CD617" s="442"/>
      <c r="CE617" s="442"/>
      <c r="CF617" s="442"/>
      <c r="CG617" s="442"/>
      <c r="CH617" s="442"/>
      <c r="CI617" s="442"/>
    </row>
    <row r="618" spans="4:87" x14ac:dyDescent="0.2"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  <c r="AA618" s="442"/>
      <c r="AB618" s="442"/>
      <c r="AC618" s="442"/>
      <c r="AD618" s="442"/>
      <c r="AE618" s="442"/>
      <c r="AF618" s="442"/>
      <c r="AG618" s="442"/>
      <c r="AH618" s="442"/>
      <c r="AI618" s="442"/>
      <c r="AJ618" s="442"/>
      <c r="AK618" s="442"/>
      <c r="AL618" s="442"/>
      <c r="AM618" s="442"/>
      <c r="AN618" s="442"/>
      <c r="AO618" s="442"/>
      <c r="AP618" s="442"/>
      <c r="AQ618" s="442"/>
      <c r="AR618" s="442"/>
      <c r="AS618" s="442"/>
      <c r="AT618" s="442"/>
      <c r="AU618" s="442"/>
      <c r="AV618" s="442"/>
      <c r="AW618" s="442"/>
      <c r="AX618" s="442"/>
      <c r="AY618" s="442"/>
      <c r="AZ618" s="442"/>
      <c r="BA618" s="442"/>
      <c r="BB618" s="442"/>
      <c r="BC618" s="442"/>
      <c r="BD618" s="442"/>
      <c r="BE618" s="442"/>
      <c r="BF618" s="442"/>
      <c r="BG618" s="442"/>
      <c r="BH618" s="442"/>
      <c r="BI618" s="442"/>
      <c r="BJ618" s="442"/>
      <c r="BK618" s="442"/>
      <c r="BL618" s="442"/>
      <c r="BM618" s="442"/>
      <c r="BN618" s="442"/>
      <c r="BO618" s="442"/>
      <c r="BP618" s="442"/>
      <c r="BQ618" s="442"/>
      <c r="BR618" s="442"/>
      <c r="BS618" s="442"/>
      <c r="BT618" s="442"/>
      <c r="BU618" s="442"/>
      <c r="BV618" s="442"/>
      <c r="BW618" s="442"/>
      <c r="BX618" s="442"/>
      <c r="BY618" s="442"/>
      <c r="BZ618" s="442"/>
      <c r="CA618" s="442"/>
      <c r="CB618" s="442"/>
      <c r="CC618" s="442"/>
      <c r="CD618" s="442"/>
      <c r="CE618" s="442"/>
      <c r="CF618" s="442"/>
      <c r="CG618" s="442"/>
      <c r="CH618" s="442"/>
      <c r="CI618" s="442"/>
    </row>
    <row r="619" spans="4:87" x14ac:dyDescent="0.2"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  <c r="AA619" s="442"/>
      <c r="AB619" s="442"/>
      <c r="AC619" s="442"/>
      <c r="AD619" s="442"/>
      <c r="AE619" s="442"/>
      <c r="AF619" s="442"/>
      <c r="AG619" s="442"/>
      <c r="AH619" s="442"/>
      <c r="AI619" s="442"/>
      <c r="AJ619" s="442"/>
      <c r="AK619" s="442"/>
      <c r="AL619" s="442"/>
      <c r="AM619" s="442"/>
      <c r="AN619" s="442"/>
      <c r="AO619" s="442"/>
      <c r="AP619" s="442"/>
      <c r="AQ619" s="442"/>
      <c r="AR619" s="442"/>
      <c r="AS619" s="442"/>
      <c r="AT619" s="442"/>
      <c r="AU619" s="442"/>
      <c r="AV619" s="442"/>
      <c r="AW619" s="442"/>
      <c r="AX619" s="442"/>
      <c r="AY619" s="442"/>
      <c r="AZ619" s="442"/>
      <c r="BA619" s="442"/>
      <c r="BB619" s="442"/>
      <c r="BC619" s="442"/>
      <c r="BD619" s="442"/>
      <c r="BE619" s="442"/>
      <c r="BF619" s="442"/>
      <c r="BG619" s="442"/>
      <c r="BH619" s="442"/>
      <c r="BI619" s="442"/>
      <c r="BJ619" s="442"/>
      <c r="BK619" s="442"/>
      <c r="BL619" s="442"/>
      <c r="BM619" s="442"/>
      <c r="BN619" s="442"/>
      <c r="BO619" s="442"/>
      <c r="BP619" s="442"/>
      <c r="BQ619" s="442"/>
      <c r="BR619" s="442"/>
      <c r="BS619" s="442"/>
      <c r="BT619" s="442"/>
      <c r="BU619" s="442"/>
      <c r="BV619" s="442"/>
      <c r="BW619" s="442"/>
      <c r="BX619" s="442"/>
      <c r="BY619" s="442"/>
      <c r="BZ619" s="442"/>
      <c r="CA619" s="442"/>
      <c r="CB619" s="442"/>
      <c r="CC619" s="442"/>
      <c r="CD619" s="442"/>
      <c r="CE619" s="442"/>
      <c r="CF619" s="442"/>
      <c r="CG619" s="442"/>
      <c r="CH619" s="442"/>
      <c r="CI619" s="442"/>
    </row>
    <row r="620" spans="4:87" x14ac:dyDescent="0.2">
      <c r="D620" s="442"/>
      <c r="E620" s="442"/>
      <c r="F620" s="442"/>
      <c r="G620" s="442"/>
      <c r="H620" s="442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  <c r="AA620" s="442"/>
      <c r="AB620" s="442"/>
      <c r="AC620" s="442"/>
      <c r="AD620" s="442"/>
      <c r="AE620" s="442"/>
      <c r="AF620" s="442"/>
      <c r="AG620" s="442"/>
      <c r="AH620" s="442"/>
      <c r="AI620" s="442"/>
      <c r="AJ620" s="442"/>
      <c r="AK620" s="442"/>
      <c r="AL620" s="442"/>
      <c r="AM620" s="442"/>
      <c r="AN620" s="442"/>
      <c r="AO620" s="442"/>
      <c r="AP620" s="442"/>
      <c r="AQ620" s="442"/>
      <c r="AR620" s="442"/>
      <c r="AS620" s="442"/>
      <c r="AT620" s="442"/>
      <c r="AU620" s="442"/>
      <c r="AV620" s="442"/>
      <c r="AW620" s="442"/>
      <c r="AX620" s="442"/>
      <c r="AY620" s="442"/>
      <c r="AZ620" s="442"/>
      <c r="BA620" s="442"/>
      <c r="BB620" s="442"/>
      <c r="BC620" s="442"/>
      <c r="BD620" s="442"/>
      <c r="BE620" s="442"/>
      <c r="BF620" s="442"/>
      <c r="BG620" s="442"/>
      <c r="BH620" s="442"/>
      <c r="BI620" s="442"/>
      <c r="BJ620" s="442"/>
      <c r="BK620" s="442"/>
      <c r="BL620" s="442"/>
      <c r="BM620" s="442"/>
      <c r="BN620" s="442"/>
      <c r="BO620" s="442"/>
      <c r="BP620" s="442"/>
      <c r="BQ620" s="442"/>
      <c r="BR620" s="442"/>
      <c r="BS620" s="442"/>
      <c r="BT620" s="442"/>
      <c r="BU620" s="442"/>
      <c r="BV620" s="442"/>
      <c r="BW620" s="442"/>
      <c r="BX620" s="442"/>
      <c r="BY620" s="442"/>
      <c r="BZ620" s="442"/>
      <c r="CA620" s="442"/>
      <c r="CB620" s="442"/>
      <c r="CC620" s="442"/>
      <c r="CD620" s="442"/>
      <c r="CE620" s="442"/>
      <c r="CF620" s="442"/>
      <c r="CG620" s="442"/>
      <c r="CH620" s="442"/>
      <c r="CI620" s="442"/>
    </row>
    <row r="621" spans="4:87" x14ac:dyDescent="0.2"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  <c r="AA621" s="442"/>
      <c r="AB621" s="442"/>
      <c r="AC621" s="442"/>
      <c r="AD621" s="442"/>
      <c r="AE621" s="442"/>
      <c r="AF621" s="442"/>
      <c r="AG621" s="442"/>
      <c r="AH621" s="442"/>
      <c r="AI621" s="442"/>
      <c r="AJ621" s="442"/>
      <c r="AK621" s="442"/>
      <c r="AL621" s="442"/>
      <c r="AM621" s="442"/>
      <c r="AN621" s="442"/>
      <c r="AO621" s="442"/>
      <c r="AP621" s="442"/>
      <c r="AQ621" s="442"/>
      <c r="AR621" s="442"/>
      <c r="AS621" s="442"/>
      <c r="AT621" s="442"/>
      <c r="AU621" s="442"/>
      <c r="AV621" s="442"/>
      <c r="AW621" s="442"/>
      <c r="AX621" s="442"/>
      <c r="AY621" s="442"/>
      <c r="AZ621" s="442"/>
      <c r="BA621" s="442"/>
      <c r="BB621" s="442"/>
      <c r="BC621" s="442"/>
      <c r="BD621" s="442"/>
      <c r="BE621" s="442"/>
      <c r="BF621" s="442"/>
      <c r="BG621" s="442"/>
      <c r="BH621" s="442"/>
      <c r="BI621" s="442"/>
      <c r="BJ621" s="442"/>
      <c r="BK621" s="442"/>
      <c r="BL621" s="442"/>
      <c r="BM621" s="442"/>
      <c r="BN621" s="442"/>
      <c r="BO621" s="442"/>
      <c r="BP621" s="442"/>
      <c r="BQ621" s="442"/>
      <c r="BR621" s="442"/>
      <c r="BS621" s="442"/>
      <c r="BT621" s="442"/>
      <c r="BU621" s="442"/>
      <c r="BV621" s="442"/>
      <c r="BW621" s="442"/>
      <c r="BX621" s="442"/>
      <c r="BY621" s="442"/>
      <c r="BZ621" s="442"/>
      <c r="CA621" s="442"/>
      <c r="CB621" s="442"/>
      <c r="CC621" s="442"/>
      <c r="CD621" s="442"/>
      <c r="CE621" s="442"/>
      <c r="CF621" s="442"/>
      <c r="CG621" s="442"/>
      <c r="CH621" s="442"/>
      <c r="CI621" s="442"/>
    </row>
    <row r="622" spans="4:87" x14ac:dyDescent="0.2">
      <c r="D622" s="442"/>
      <c r="E622" s="442"/>
      <c r="F622" s="442"/>
      <c r="G622" s="442"/>
      <c r="H622" s="442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  <c r="AA622" s="442"/>
      <c r="AB622" s="442"/>
      <c r="AC622" s="442"/>
      <c r="AD622" s="442"/>
      <c r="AE622" s="442"/>
      <c r="AF622" s="442"/>
      <c r="AG622" s="442"/>
      <c r="AH622" s="442"/>
      <c r="AI622" s="442"/>
      <c r="AJ622" s="442"/>
      <c r="AK622" s="442"/>
      <c r="AL622" s="442"/>
      <c r="AM622" s="442"/>
      <c r="AN622" s="442"/>
      <c r="AO622" s="442"/>
      <c r="AP622" s="442"/>
      <c r="AQ622" s="442"/>
      <c r="AR622" s="442"/>
      <c r="AS622" s="442"/>
      <c r="AT622" s="442"/>
      <c r="AU622" s="442"/>
      <c r="AV622" s="442"/>
      <c r="AW622" s="442"/>
      <c r="AX622" s="442"/>
      <c r="AY622" s="442"/>
      <c r="AZ622" s="442"/>
      <c r="BA622" s="442"/>
      <c r="BB622" s="442"/>
      <c r="BC622" s="442"/>
      <c r="BD622" s="442"/>
      <c r="BE622" s="442"/>
      <c r="BF622" s="442"/>
      <c r="BG622" s="442"/>
      <c r="BH622" s="442"/>
      <c r="BI622" s="442"/>
      <c r="BJ622" s="442"/>
      <c r="BK622" s="442"/>
      <c r="BL622" s="442"/>
      <c r="BM622" s="442"/>
      <c r="BN622" s="442"/>
      <c r="BO622" s="442"/>
      <c r="BP622" s="442"/>
      <c r="BQ622" s="442"/>
      <c r="BR622" s="442"/>
      <c r="BS622" s="442"/>
      <c r="BT622" s="442"/>
      <c r="BU622" s="442"/>
      <c r="BV622" s="442"/>
      <c r="BW622" s="442"/>
      <c r="BX622" s="442"/>
      <c r="BY622" s="442"/>
      <c r="BZ622" s="442"/>
      <c r="CA622" s="442"/>
      <c r="CB622" s="442"/>
      <c r="CC622" s="442"/>
      <c r="CD622" s="442"/>
      <c r="CE622" s="442"/>
      <c r="CF622" s="442"/>
      <c r="CG622" s="442"/>
      <c r="CH622" s="442"/>
      <c r="CI622" s="442"/>
    </row>
    <row r="623" spans="4:87" x14ac:dyDescent="0.2">
      <c r="D623" s="442"/>
      <c r="E623" s="442"/>
      <c r="F623" s="442"/>
      <c r="G623" s="442"/>
      <c r="H623" s="442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  <c r="AA623" s="442"/>
      <c r="AB623" s="442"/>
      <c r="AC623" s="442"/>
      <c r="AD623" s="442"/>
      <c r="AE623" s="442"/>
      <c r="AF623" s="442"/>
      <c r="AG623" s="442"/>
      <c r="AH623" s="442"/>
      <c r="AI623" s="442"/>
      <c r="AJ623" s="442"/>
      <c r="AK623" s="442"/>
      <c r="AL623" s="442"/>
      <c r="AM623" s="442"/>
      <c r="AN623" s="442"/>
      <c r="AO623" s="442"/>
      <c r="AP623" s="442"/>
      <c r="AQ623" s="442"/>
      <c r="AR623" s="442"/>
      <c r="AS623" s="442"/>
      <c r="AT623" s="442"/>
      <c r="AU623" s="442"/>
      <c r="AV623" s="442"/>
      <c r="AW623" s="442"/>
      <c r="AX623" s="442"/>
      <c r="AY623" s="442"/>
      <c r="AZ623" s="442"/>
      <c r="BA623" s="442"/>
      <c r="BB623" s="442"/>
      <c r="BC623" s="442"/>
      <c r="BD623" s="442"/>
      <c r="BE623" s="442"/>
      <c r="BF623" s="442"/>
      <c r="BG623" s="442"/>
      <c r="BH623" s="442"/>
      <c r="BI623" s="442"/>
      <c r="BJ623" s="442"/>
      <c r="BK623" s="442"/>
      <c r="BL623" s="442"/>
      <c r="BM623" s="442"/>
      <c r="BN623" s="442"/>
      <c r="BO623" s="442"/>
      <c r="BP623" s="442"/>
      <c r="BQ623" s="442"/>
      <c r="BR623" s="442"/>
      <c r="BS623" s="442"/>
      <c r="BT623" s="442"/>
      <c r="BU623" s="442"/>
      <c r="BV623" s="442"/>
      <c r="BW623" s="442"/>
      <c r="BX623" s="442"/>
      <c r="BY623" s="442"/>
      <c r="BZ623" s="442"/>
      <c r="CA623" s="442"/>
      <c r="CB623" s="442"/>
      <c r="CC623" s="442"/>
      <c r="CD623" s="442"/>
      <c r="CE623" s="442"/>
      <c r="CF623" s="442"/>
      <c r="CG623" s="442"/>
      <c r="CH623" s="442"/>
      <c r="CI623" s="442"/>
    </row>
    <row r="624" spans="4:87" x14ac:dyDescent="0.2"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  <c r="AA624" s="442"/>
      <c r="AB624" s="442"/>
      <c r="AC624" s="442"/>
      <c r="AD624" s="442"/>
      <c r="AE624" s="442"/>
      <c r="AF624" s="442"/>
      <c r="AG624" s="442"/>
      <c r="AH624" s="442"/>
      <c r="AI624" s="442"/>
      <c r="AJ624" s="442"/>
      <c r="AK624" s="442"/>
      <c r="AL624" s="442"/>
      <c r="AM624" s="442"/>
      <c r="AN624" s="442"/>
      <c r="AO624" s="442"/>
      <c r="AP624" s="442"/>
      <c r="AQ624" s="442"/>
      <c r="AR624" s="442"/>
      <c r="AS624" s="442"/>
      <c r="AT624" s="442"/>
      <c r="AU624" s="442"/>
      <c r="AV624" s="442"/>
      <c r="AW624" s="442"/>
      <c r="AX624" s="442"/>
      <c r="AY624" s="442"/>
      <c r="AZ624" s="442"/>
      <c r="BA624" s="442"/>
      <c r="BB624" s="442"/>
      <c r="BC624" s="442"/>
      <c r="BD624" s="442"/>
      <c r="BE624" s="442"/>
      <c r="BF624" s="442"/>
      <c r="BG624" s="442"/>
      <c r="BH624" s="442"/>
      <c r="BI624" s="442"/>
      <c r="BJ624" s="442"/>
      <c r="BK624" s="442"/>
      <c r="BL624" s="442"/>
      <c r="BM624" s="442"/>
      <c r="BN624" s="442"/>
      <c r="BO624" s="442"/>
      <c r="BP624" s="442"/>
      <c r="BQ624" s="442"/>
      <c r="BR624" s="442"/>
      <c r="BS624" s="442"/>
      <c r="BT624" s="442"/>
      <c r="BU624" s="442"/>
      <c r="BV624" s="442"/>
      <c r="BW624" s="442"/>
      <c r="BX624" s="442"/>
      <c r="BY624" s="442"/>
      <c r="BZ624" s="442"/>
      <c r="CA624" s="442"/>
      <c r="CB624" s="442"/>
      <c r="CC624" s="442"/>
      <c r="CD624" s="442"/>
      <c r="CE624" s="442"/>
      <c r="CF624" s="442"/>
      <c r="CG624" s="442"/>
      <c r="CH624" s="442"/>
      <c r="CI624" s="442"/>
    </row>
    <row r="625" spans="4:87" x14ac:dyDescent="0.2">
      <c r="D625" s="442"/>
      <c r="E625" s="442"/>
      <c r="F625" s="442"/>
      <c r="G625" s="442"/>
      <c r="H625" s="442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  <c r="AA625" s="442"/>
      <c r="AB625" s="442"/>
      <c r="AC625" s="442"/>
      <c r="AD625" s="442"/>
      <c r="AE625" s="442"/>
      <c r="AF625" s="442"/>
      <c r="AG625" s="442"/>
      <c r="AH625" s="442"/>
      <c r="AI625" s="442"/>
      <c r="AJ625" s="442"/>
      <c r="AK625" s="442"/>
      <c r="AL625" s="442"/>
      <c r="AM625" s="442"/>
      <c r="AN625" s="442"/>
      <c r="AO625" s="442"/>
      <c r="AP625" s="442"/>
      <c r="AQ625" s="442"/>
      <c r="AR625" s="442"/>
      <c r="AS625" s="442"/>
      <c r="AT625" s="442"/>
      <c r="AU625" s="442"/>
      <c r="AV625" s="442"/>
      <c r="AW625" s="442"/>
      <c r="AX625" s="442"/>
      <c r="AY625" s="442"/>
      <c r="AZ625" s="442"/>
      <c r="BA625" s="442"/>
      <c r="BB625" s="442"/>
      <c r="BC625" s="442"/>
      <c r="BD625" s="442"/>
      <c r="BE625" s="442"/>
      <c r="BF625" s="442"/>
      <c r="BG625" s="442"/>
      <c r="BH625" s="442"/>
      <c r="BI625" s="442"/>
      <c r="BJ625" s="442"/>
      <c r="BK625" s="442"/>
      <c r="BL625" s="442"/>
      <c r="BM625" s="442"/>
      <c r="BN625" s="442"/>
      <c r="BO625" s="442"/>
      <c r="BP625" s="442"/>
      <c r="BQ625" s="442"/>
      <c r="BR625" s="442"/>
      <c r="BS625" s="442"/>
      <c r="BT625" s="442"/>
      <c r="BU625" s="442"/>
      <c r="BV625" s="442"/>
      <c r="BW625" s="442"/>
      <c r="BX625" s="442"/>
      <c r="BY625" s="442"/>
      <c r="BZ625" s="442"/>
      <c r="CA625" s="442"/>
      <c r="CB625" s="442"/>
      <c r="CC625" s="442"/>
      <c r="CD625" s="442"/>
      <c r="CE625" s="442"/>
      <c r="CF625" s="442"/>
      <c r="CG625" s="442"/>
      <c r="CH625" s="442"/>
      <c r="CI625" s="442"/>
    </row>
    <row r="626" spans="4:87" x14ac:dyDescent="0.2">
      <c r="D626" s="442"/>
      <c r="E626" s="442"/>
      <c r="F626" s="442"/>
      <c r="G626" s="442"/>
      <c r="H626" s="442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  <c r="AA626" s="442"/>
      <c r="AB626" s="442"/>
      <c r="AC626" s="442"/>
      <c r="AD626" s="442"/>
      <c r="AE626" s="442"/>
      <c r="AF626" s="442"/>
      <c r="AG626" s="442"/>
      <c r="AH626" s="442"/>
      <c r="AI626" s="442"/>
      <c r="AJ626" s="442"/>
      <c r="AK626" s="442"/>
      <c r="AL626" s="442"/>
      <c r="AM626" s="442"/>
      <c r="AN626" s="442"/>
      <c r="AO626" s="442"/>
      <c r="AP626" s="442"/>
      <c r="AQ626" s="442"/>
      <c r="AR626" s="442"/>
      <c r="AS626" s="442"/>
      <c r="AT626" s="442"/>
      <c r="AU626" s="442"/>
      <c r="AV626" s="442"/>
      <c r="AW626" s="442"/>
      <c r="AX626" s="442"/>
      <c r="AY626" s="442"/>
      <c r="AZ626" s="442"/>
      <c r="BA626" s="442"/>
      <c r="BB626" s="442"/>
      <c r="BC626" s="442"/>
      <c r="BD626" s="442"/>
      <c r="BE626" s="442"/>
      <c r="BF626" s="442"/>
      <c r="BG626" s="442"/>
      <c r="BH626" s="442"/>
      <c r="BI626" s="442"/>
      <c r="BJ626" s="442"/>
      <c r="BK626" s="442"/>
      <c r="BL626" s="442"/>
      <c r="BM626" s="442"/>
      <c r="BN626" s="442"/>
      <c r="BO626" s="442"/>
      <c r="BP626" s="442"/>
      <c r="BQ626" s="442"/>
      <c r="BR626" s="442"/>
      <c r="BS626" s="442"/>
      <c r="BT626" s="442"/>
      <c r="BU626" s="442"/>
      <c r="BV626" s="442"/>
      <c r="BW626" s="442"/>
      <c r="BX626" s="442"/>
      <c r="BY626" s="442"/>
      <c r="BZ626" s="442"/>
      <c r="CA626" s="442"/>
      <c r="CB626" s="442"/>
      <c r="CC626" s="442"/>
      <c r="CD626" s="442"/>
      <c r="CE626" s="442"/>
      <c r="CF626" s="442"/>
      <c r="CG626" s="442"/>
      <c r="CH626" s="442"/>
      <c r="CI626" s="442"/>
    </row>
    <row r="627" spans="4:87" x14ac:dyDescent="0.2"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  <c r="AA627" s="442"/>
      <c r="AB627" s="442"/>
      <c r="AC627" s="442"/>
      <c r="AD627" s="442"/>
      <c r="AE627" s="442"/>
      <c r="AF627" s="442"/>
      <c r="AG627" s="442"/>
      <c r="AH627" s="442"/>
      <c r="AI627" s="442"/>
      <c r="AJ627" s="442"/>
      <c r="AK627" s="442"/>
      <c r="AL627" s="442"/>
      <c r="AM627" s="442"/>
      <c r="AN627" s="442"/>
      <c r="AO627" s="442"/>
      <c r="AP627" s="442"/>
      <c r="AQ627" s="442"/>
      <c r="AR627" s="442"/>
      <c r="AS627" s="442"/>
      <c r="AT627" s="442"/>
      <c r="AU627" s="442"/>
      <c r="AV627" s="442"/>
      <c r="AW627" s="442"/>
      <c r="AX627" s="442"/>
      <c r="AY627" s="442"/>
      <c r="AZ627" s="442"/>
      <c r="BA627" s="442"/>
      <c r="BB627" s="442"/>
      <c r="BC627" s="442"/>
      <c r="BD627" s="442"/>
      <c r="BE627" s="442"/>
      <c r="BF627" s="442"/>
      <c r="BG627" s="442"/>
      <c r="BH627" s="442"/>
      <c r="BI627" s="442"/>
      <c r="BJ627" s="442"/>
      <c r="BK627" s="442"/>
      <c r="BL627" s="442"/>
      <c r="BM627" s="442"/>
      <c r="BN627" s="442"/>
      <c r="BO627" s="442"/>
      <c r="BP627" s="442"/>
      <c r="BQ627" s="442"/>
      <c r="BR627" s="442"/>
      <c r="BS627" s="442"/>
      <c r="BT627" s="442"/>
      <c r="BU627" s="442"/>
      <c r="BV627" s="442"/>
      <c r="BW627" s="442"/>
      <c r="BX627" s="442"/>
      <c r="BY627" s="442"/>
      <c r="BZ627" s="442"/>
      <c r="CA627" s="442"/>
      <c r="CB627" s="442"/>
      <c r="CC627" s="442"/>
      <c r="CD627" s="442"/>
      <c r="CE627" s="442"/>
      <c r="CF627" s="442"/>
      <c r="CG627" s="442"/>
      <c r="CH627" s="442"/>
      <c r="CI627" s="442"/>
    </row>
    <row r="628" spans="4:87" x14ac:dyDescent="0.2">
      <c r="D628" s="442"/>
      <c r="E628" s="442"/>
      <c r="F628" s="442"/>
      <c r="G628" s="442"/>
      <c r="H628" s="442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  <c r="AA628" s="442"/>
      <c r="AB628" s="442"/>
      <c r="AC628" s="442"/>
      <c r="AD628" s="442"/>
      <c r="AE628" s="442"/>
      <c r="AF628" s="442"/>
      <c r="AG628" s="442"/>
      <c r="AH628" s="442"/>
      <c r="AI628" s="442"/>
      <c r="AJ628" s="442"/>
      <c r="AK628" s="442"/>
      <c r="AL628" s="442"/>
      <c r="AM628" s="442"/>
      <c r="AN628" s="442"/>
      <c r="AO628" s="442"/>
      <c r="AP628" s="442"/>
      <c r="AQ628" s="442"/>
      <c r="AR628" s="442"/>
      <c r="AS628" s="442"/>
      <c r="AT628" s="442"/>
      <c r="AU628" s="442"/>
      <c r="AV628" s="442"/>
      <c r="AW628" s="442"/>
      <c r="AX628" s="442"/>
      <c r="AY628" s="442"/>
      <c r="AZ628" s="442"/>
      <c r="BA628" s="442"/>
      <c r="BB628" s="442"/>
      <c r="BC628" s="442"/>
      <c r="BD628" s="442"/>
      <c r="BE628" s="442"/>
      <c r="BF628" s="442"/>
      <c r="BG628" s="442"/>
      <c r="BH628" s="442"/>
      <c r="BI628" s="442"/>
      <c r="BJ628" s="442"/>
      <c r="BK628" s="442"/>
      <c r="BL628" s="442"/>
      <c r="BM628" s="442"/>
      <c r="BN628" s="442"/>
      <c r="BO628" s="442"/>
      <c r="BP628" s="442"/>
      <c r="BQ628" s="442"/>
      <c r="BR628" s="442"/>
      <c r="BS628" s="442"/>
      <c r="BT628" s="442"/>
      <c r="BU628" s="442"/>
      <c r="BV628" s="442"/>
      <c r="BW628" s="442"/>
      <c r="BX628" s="442"/>
      <c r="BY628" s="442"/>
      <c r="BZ628" s="442"/>
      <c r="CA628" s="442"/>
      <c r="CB628" s="442"/>
      <c r="CC628" s="442"/>
      <c r="CD628" s="442"/>
      <c r="CE628" s="442"/>
      <c r="CF628" s="442"/>
      <c r="CG628" s="442"/>
      <c r="CH628" s="442"/>
      <c r="CI628" s="442"/>
    </row>
    <row r="629" spans="4:87" x14ac:dyDescent="0.2">
      <c r="D629" s="442"/>
      <c r="E629" s="442"/>
      <c r="F629" s="442"/>
      <c r="G629" s="442"/>
      <c r="H629" s="442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  <c r="AA629" s="442"/>
      <c r="AB629" s="442"/>
      <c r="AC629" s="442"/>
      <c r="AD629" s="442"/>
      <c r="AE629" s="442"/>
      <c r="AF629" s="442"/>
      <c r="AG629" s="442"/>
      <c r="AH629" s="442"/>
      <c r="AI629" s="442"/>
      <c r="AJ629" s="442"/>
      <c r="AK629" s="442"/>
      <c r="AL629" s="442"/>
      <c r="AM629" s="442"/>
      <c r="AN629" s="442"/>
      <c r="AO629" s="442"/>
      <c r="AP629" s="442"/>
      <c r="AQ629" s="442"/>
      <c r="AR629" s="442"/>
      <c r="AS629" s="442"/>
      <c r="AT629" s="442"/>
      <c r="AU629" s="442"/>
      <c r="AV629" s="442"/>
      <c r="AW629" s="442"/>
      <c r="AX629" s="442"/>
      <c r="AY629" s="442"/>
      <c r="AZ629" s="442"/>
      <c r="BA629" s="442"/>
      <c r="BB629" s="442"/>
      <c r="BC629" s="442"/>
      <c r="BD629" s="442"/>
      <c r="BE629" s="442"/>
      <c r="BF629" s="442"/>
      <c r="BG629" s="442"/>
      <c r="BH629" s="442"/>
      <c r="BI629" s="442"/>
      <c r="BJ629" s="442"/>
      <c r="BK629" s="442"/>
      <c r="BL629" s="442"/>
      <c r="BM629" s="442"/>
      <c r="BN629" s="442"/>
      <c r="BO629" s="442"/>
      <c r="BP629" s="442"/>
      <c r="BQ629" s="442"/>
      <c r="BR629" s="442"/>
      <c r="BS629" s="442"/>
      <c r="BT629" s="442"/>
      <c r="BU629" s="442"/>
      <c r="BV629" s="442"/>
      <c r="BW629" s="442"/>
      <c r="BX629" s="442"/>
      <c r="BY629" s="442"/>
      <c r="BZ629" s="442"/>
      <c r="CA629" s="442"/>
      <c r="CB629" s="442"/>
      <c r="CC629" s="442"/>
      <c r="CD629" s="442"/>
      <c r="CE629" s="442"/>
      <c r="CF629" s="442"/>
      <c r="CG629" s="442"/>
      <c r="CH629" s="442"/>
      <c r="CI629" s="442"/>
    </row>
    <row r="630" spans="4:87" x14ac:dyDescent="0.2">
      <c r="D630" s="442"/>
      <c r="E630" s="442"/>
      <c r="F630" s="442"/>
      <c r="G630" s="442"/>
      <c r="H630" s="442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  <c r="AA630" s="442"/>
      <c r="AB630" s="442"/>
      <c r="AC630" s="442"/>
      <c r="AD630" s="442"/>
      <c r="AE630" s="442"/>
      <c r="AF630" s="442"/>
      <c r="AG630" s="442"/>
      <c r="AH630" s="442"/>
      <c r="AI630" s="442"/>
      <c r="AJ630" s="442"/>
      <c r="AK630" s="442"/>
      <c r="AL630" s="442"/>
      <c r="AM630" s="442"/>
      <c r="AN630" s="442"/>
      <c r="AO630" s="442"/>
      <c r="AP630" s="442"/>
      <c r="AQ630" s="442"/>
      <c r="AR630" s="442"/>
      <c r="AS630" s="442"/>
      <c r="AT630" s="442"/>
      <c r="AU630" s="442"/>
      <c r="AV630" s="442"/>
      <c r="AW630" s="442"/>
      <c r="AX630" s="442"/>
      <c r="AY630" s="442"/>
      <c r="AZ630" s="442"/>
      <c r="BA630" s="442"/>
      <c r="BB630" s="442"/>
      <c r="BC630" s="442"/>
      <c r="BD630" s="442"/>
      <c r="BE630" s="442"/>
      <c r="BF630" s="442"/>
      <c r="BG630" s="442"/>
      <c r="BH630" s="442"/>
      <c r="BI630" s="442"/>
      <c r="BJ630" s="442"/>
      <c r="BK630" s="442"/>
      <c r="BL630" s="442"/>
      <c r="BM630" s="442"/>
      <c r="BN630" s="442"/>
      <c r="BO630" s="442"/>
      <c r="BP630" s="442"/>
      <c r="BQ630" s="442"/>
      <c r="BR630" s="442"/>
      <c r="BS630" s="442"/>
      <c r="BT630" s="442"/>
      <c r="BU630" s="442"/>
      <c r="BV630" s="442"/>
      <c r="BW630" s="442"/>
      <c r="BX630" s="442"/>
      <c r="BY630" s="442"/>
      <c r="BZ630" s="442"/>
      <c r="CA630" s="442"/>
      <c r="CB630" s="442"/>
      <c r="CC630" s="442"/>
      <c r="CD630" s="442"/>
      <c r="CE630" s="442"/>
      <c r="CF630" s="442"/>
      <c r="CG630" s="442"/>
      <c r="CH630" s="442"/>
      <c r="CI630" s="442"/>
    </row>
    <row r="631" spans="4:87" x14ac:dyDescent="0.2">
      <c r="D631" s="442"/>
      <c r="E631" s="442"/>
      <c r="F631" s="442"/>
      <c r="G631" s="442"/>
      <c r="H631" s="442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  <c r="AA631" s="442"/>
      <c r="AB631" s="442"/>
      <c r="AC631" s="442"/>
      <c r="AD631" s="442"/>
      <c r="AE631" s="442"/>
      <c r="AF631" s="442"/>
      <c r="AG631" s="442"/>
      <c r="AH631" s="442"/>
      <c r="AI631" s="442"/>
      <c r="AJ631" s="442"/>
      <c r="AK631" s="442"/>
      <c r="AL631" s="442"/>
      <c r="AM631" s="442"/>
      <c r="AN631" s="442"/>
      <c r="AO631" s="442"/>
      <c r="AP631" s="442"/>
      <c r="AQ631" s="442"/>
      <c r="AR631" s="442"/>
      <c r="AS631" s="442"/>
      <c r="AT631" s="442"/>
      <c r="AU631" s="442"/>
      <c r="AV631" s="442"/>
      <c r="AW631" s="442"/>
      <c r="AX631" s="442"/>
      <c r="AY631" s="442"/>
      <c r="AZ631" s="442"/>
      <c r="BA631" s="442"/>
      <c r="BB631" s="442"/>
      <c r="BC631" s="442"/>
      <c r="BD631" s="442"/>
      <c r="BE631" s="442"/>
      <c r="BF631" s="442"/>
      <c r="BG631" s="442"/>
      <c r="BH631" s="442"/>
      <c r="BI631" s="442"/>
      <c r="BJ631" s="442"/>
      <c r="BK631" s="442"/>
      <c r="BL631" s="442"/>
      <c r="BM631" s="442"/>
      <c r="BN631" s="442"/>
      <c r="BO631" s="442"/>
      <c r="BP631" s="442"/>
      <c r="BQ631" s="442"/>
      <c r="BR631" s="442"/>
      <c r="BS631" s="442"/>
      <c r="BT631" s="442"/>
      <c r="BU631" s="442"/>
      <c r="BV631" s="442"/>
      <c r="BW631" s="442"/>
      <c r="BX631" s="442"/>
      <c r="BY631" s="442"/>
      <c r="BZ631" s="442"/>
      <c r="CA631" s="442"/>
      <c r="CB631" s="442"/>
      <c r="CC631" s="442"/>
      <c r="CD631" s="442"/>
      <c r="CE631" s="442"/>
      <c r="CF631" s="442"/>
      <c r="CG631" s="442"/>
      <c r="CH631" s="442"/>
      <c r="CI631" s="442"/>
    </row>
    <row r="632" spans="4:87" x14ac:dyDescent="0.2">
      <c r="D632" s="442"/>
      <c r="E632" s="442"/>
      <c r="F632" s="442"/>
      <c r="G632" s="442"/>
      <c r="H632" s="442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  <c r="AA632" s="442"/>
      <c r="AB632" s="442"/>
      <c r="AC632" s="442"/>
      <c r="AD632" s="442"/>
      <c r="AE632" s="442"/>
      <c r="AF632" s="442"/>
      <c r="AG632" s="442"/>
      <c r="AH632" s="442"/>
      <c r="AI632" s="442"/>
      <c r="AJ632" s="442"/>
      <c r="AK632" s="442"/>
      <c r="AL632" s="442"/>
      <c r="AM632" s="442"/>
      <c r="AN632" s="442"/>
      <c r="AO632" s="442"/>
      <c r="AP632" s="442"/>
      <c r="AQ632" s="442"/>
      <c r="AR632" s="442"/>
      <c r="AS632" s="442"/>
      <c r="AT632" s="442"/>
      <c r="AU632" s="442"/>
      <c r="AV632" s="442"/>
      <c r="AW632" s="442"/>
      <c r="AX632" s="442"/>
      <c r="AY632" s="442"/>
      <c r="AZ632" s="442"/>
      <c r="BA632" s="442"/>
      <c r="BB632" s="442"/>
      <c r="BC632" s="442"/>
      <c r="BD632" s="442"/>
      <c r="BE632" s="442"/>
      <c r="BF632" s="442"/>
      <c r="BG632" s="442"/>
      <c r="BH632" s="442"/>
      <c r="BI632" s="442"/>
      <c r="BJ632" s="442"/>
      <c r="BK632" s="442"/>
      <c r="BL632" s="442"/>
      <c r="BM632" s="442"/>
      <c r="BN632" s="442"/>
      <c r="BO632" s="442"/>
      <c r="BP632" s="442"/>
      <c r="BQ632" s="442"/>
      <c r="BR632" s="442"/>
      <c r="BS632" s="442"/>
      <c r="BT632" s="442"/>
      <c r="BU632" s="442"/>
      <c r="BV632" s="442"/>
      <c r="BW632" s="442"/>
      <c r="BX632" s="442"/>
      <c r="BY632" s="442"/>
      <c r="BZ632" s="442"/>
      <c r="CA632" s="442"/>
      <c r="CB632" s="442"/>
      <c r="CC632" s="442"/>
      <c r="CD632" s="442"/>
      <c r="CE632" s="442"/>
      <c r="CF632" s="442"/>
      <c r="CG632" s="442"/>
      <c r="CH632" s="442"/>
      <c r="CI632" s="442"/>
    </row>
    <row r="633" spans="4:87" x14ac:dyDescent="0.2">
      <c r="D633" s="442"/>
      <c r="E633" s="442"/>
      <c r="F633" s="442"/>
      <c r="G633" s="442"/>
      <c r="H633" s="442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  <c r="AA633" s="442"/>
      <c r="AB633" s="442"/>
      <c r="AC633" s="442"/>
      <c r="AD633" s="442"/>
      <c r="AE633" s="442"/>
      <c r="AF633" s="442"/>
      <c r="AG633" s="442"/>
      <c r="AH633" s="442"/>
      <c r="AI633" s="442"/>
      <c r="AJ633" s="442"/>
      <c r="AK633" s="442"/>
      <c r="AL633" s="442"/>
      <c r="AM633" s="442"/>
      <c r="AN633" s="442"/>
      <c r="AO633" s="442"/>
      <c r="AP633" s="442"/>
      <c r="AQ633" s="442"/>
      <c r="AR633" s="442"/>
      <c r="AS633" s="442"/>
      <c r="AT633" s="442"/>
      <c r="AU633" s="442"/>
      <c r="AV633" s="442"/>
      <c r="AW633" s="442"/>
      <c r="AX633" s="442"/>
      <c r="AY633" s="442"/>
      <c r="AZ633" s="442"/>
      <c r="BA633" s="442"/>
      <c r="BB633" s="442"/>
      <c r="BC633" s="442"/>
      <c r="BD633" s="442"/>
      <c r="BE633" s="442"/>
      <c r="BF633" s="442"/>
      <c r="BG633" s="442"/>
      <c r="BH633" s="442"/>
      <c r="BI633" s="442"/>
      <c r="BJ633" s="442"/>
      <c r="BK633" s="442"/>
      <c r="BL633" s="442"/>
      <c r="BM633" s="442"/>
      <c r="BN633" s="442"/>
      <c r="BO633" s="442"/>
      <c r="BP633" s="442"/>
      <c r="BQ633" s="442"/>
      <c r="BR633" s="442"/>
      <c r="BS633" s="442"/>
      <c r="BT633" s="442"/>
      <c r="BU633" s="442"/>
      <c r="BV633" s="442"/>
      <c r="BW633" s="442"/>
      <c r="BX633" s="442"/>
      <c r="BY633" s="442"/>
      <c r="BZ633" s="442"/>
      <c r="CA633" s="442"/>
      <c r="CB633" s="442"/>
      <c r="CC633" s="442"/>
      <c r="CD633" s="442"/>
      <c r="CE633" s="442"/>
      <c r="CF633" s="442"/>
      <c r="CG633" s="442"/>
      <c r="CH633" s="442"/>
      <c r="CI633" s="442"/>
    </row>
    <row r="634" spans="4:87" x14ac:dyDescent="0.2">
      <c r="D634" s="442"/>
      <c r="E634" s="442"/>
      <c r="F634" s="442"/>
      <c r="G634" s="442"/>
      <c r="H634" s="442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  <c r="AA634" s="442"/>
      <c r="AB634" s="442"/>
      <c r="AC634" s="442"/>
      <c r="AD634" s="442"/>
      <c r="AE634" s="442"/>
      <c r="AF634" s="442"/>
      <c r="AG634" s="442"/>
      <c r="AH634" s="442"/>
      <c r="AI634" s="442"/>
      <c r="AJ634" s="442"/>
      <c r="AK634" s="442"/>
      <c r="AL634" s="442"/>
      <c r="AM634" s="442"/>
      <c r="AN634" s="442"/>
      <c r="AO634" s="442"/>
      <c r="AP634" s="442"/>
      <c r="AQ634" s="442"/>
      <c r="AR634" s="442"/>
      <c r="AS634" s="442"/>
      <c r="AT634" s="442"/>
      <c r="AU634" s="442"/>
      <c r="AV634" s="442"/>
      <c r="AW634" s="442"/>
      <c r="AX634" s="442"/>
      <c r="AY634" s="442"/>
      <c r="AZ634" s="442"/>
      <c r="BA634" s="442"/>
      <c r="BB634" s="442"/>
      <c r="BC634" s="442"/>
      <c r="BD634" s="442"/>
      <c r="BE634" s="442"/>
      <c r="BF634" s="442"/>
      <c r="BG634" s="442"/>
      <c r="BH634" s="442"/>
      <c r="BI634" s="442"/>
      <c r="BJ634" s="442"/>
      <c r="BK634" s="442"/>
      <c r="BL634" s="442"/>
      <c r="BM634" s="442"/>
      <c r="BN634" s="442"/>
      <c r="BO634" s="442"/>
      <c r="BP634" s="442"/>
      <c r="BQ634" s="442"/>
      <c r="BR634" s="442"/>
      <c r="BS634" s="442"/>
      <c r="BT634" s="442"/>
      <c r="BU634" s="442"/>
      <c r="BV634" s="442"/>
      <c r="BW634" s="442"/>
      <c r="BX634" s="442"/>
      <c r="BY634" s="442"/>
      <c r="BZ634" s="442"/>
      <c r="CA634" s="442"/>
      <c r="CB634" s="442"/>
      <c r="CC634" s="442"/>
      <c r="CD634" s="442"/>
      <c r="CE634" s="442"/>
      <c r="CF634" s="442"/>
      <c r="CG634" s="442"/>
      <c r="CH634" s="442"/>
      <c r="CI634" s="442"/>
    </row>
    <row r="635" spans="4:87" x14ac:dyDescent="0.2">
      <c r="D635" s="442"/>
      <c r="E635" s="442"/>
      <c r="F635" s="442"/>
      <c r="G635" s="442"/>
      <c r="H635" s="442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  <c r="AA635" s="442"/>
      <c r="AB635" s="442"/>
      <c r="AC635" s="442"/>
      <c r="AD635" s="442"/>
      <c r="AE635" s="442"/>
      <c r="AF635" s="442"/>
      <c r="AG635" s="442"/>
      <c r="AH635" s="442"/>
      <c r="AI635" s="442"/>
      <c r="AJ635" s="442"/>
      <c r="AK635" s="442"/>
      <c r="AL635" s="442"/>
      <c r="AM635" s="442"/>
      <c r="AN635" s="442"/>
      <c r="AO635" s="442"/>
      <c r="AP635" s="442"/>
      <c r="AQ635" s="442"/>
      <c r="AR635" s="442"/>
      <c r="AS635" s="442"/>
      <c r="AT635" s="442"/>
      <c r="AU635" s="442"/>
      <c r="AV635" s="442"/>
      <c r="AW635" s="442"/>
      <c r="AX635" s="442"/>
      <c r="AY635" s="442"/>
      <c r="AZ635" s="442"/>
      <c r="BA635" s="442"/>
      <c r="BB635" s="442"/>
      <c r="BC635" s="442"/>
      <c r="BD635" s="442"/>
      <c r="BE635" s="442"/>
      <c r="BF635" s="442"/>
      <c r="BG635" s="442"/>
      <c r="BH635" s="442"/>
      <c r="BI635" s="442"/>
      <c r="BJ635" s="442"/>
      <c r="BK635" s="442"/>
      <c r="BL635" s="442"/>
      <c r="BM635" s="442"/>
      <c r="BN635" s="442"/>
      <c r="BO635" s="442"/>
      <c r="BP635" s="442"/>
      <c r="BQ635" s="442"/>
      <c r="BR635" s="442"/>
      <c r="BS635" s="442"/>
      <c r="BT635" s="442"/>
      <c r="BU635" s="442"/>
      <c r="BV635" s="442"/>
      <c r="BW635" s="442"/>
      <c r="BX635" s="442"/>
      <c r="BY635" s="442"/>
      <c r="BZ635" s="442"/>
      <c r="CA635" s="442"/>
      <c r="CB635" s="442"/>
      <c r="CC635" s="442"/>
      <c r="CD635" s="442"/>
      <c r="CE635" s="442"/>
      <c r="CF635" s="442"/>
      <c r="CG635" s="442"/>
      <c r="CH635" s="442"/>
      <c r="CI635" s="442"/>
    </row>
    <row r="636" spans="4:87" x14ac:dyDescent="0.2">
      <c r="D636" s="442"/>
      <c r="E636" s="442"/>
      <c r="F636" s="442"/>
      <c r="G636" s="442"/>
      <c r="H636" s="442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  <c r="AA636" s="442"/>
      <c r="AB636" s="442"/>
      <c r="AC636" s="442"/>
      <c r="AD636" s="442"/>
      <c r="AE636" s="442"/>
      <c r="AF636" s="442"/>
      <c r="AG636" s="442"/>
      <c r="AH636" s="442"/>
      <c r="AI636" s="442"/>
      <c r="AJ636" s="442"/>
      <c r="AK636" s="442"/>
      <c r="AL636" s="442"/>
      <c r="AM636" s="442"/>
      <c r="AN636" s="442"/>
      <c r="AO636" s="442"/>
      <c r="AP636" s="442"/>
      <c r="AQ636" s="442"/>
      <c r="AR636" s="442"/>
      <c r="AS636" s="442"/>
      <c r="AT636" s="442"/>
      <c r="AU636" s="442"/>
      <c r="AV636" s="442"/>
      <c r="AW636" s="442"/>
      <c r="AX636" s="442"/>
      <c r="AY636" s="442"/>
      <c r="AZ636" s="442"/>
      <c r="BA636" s="442"/>
      <c r="BB636" s="442"/>
      <c r="BC636" s="442"/>
      <c r="BD636" s="442"/>
      <c r="BE636" s="442"/>
      <c r="BF636" s="442"/>
      <c r="BG636" s="442"/>
      <c r="BH636" s="442"/>
      <c r="BI636" s="442"/>
      <c r="BJ636" s="442"/>
      <c r="BK636" s="442"/>
      <c r="BL636" s="442"/>
      <c r="BM636" s="442"/>
      <c r="BN636" s="442"/>
      <c r="BO636" s="442"/>
      <c r="BP636" s="442"/>
      <c r="BQ636" s="442"/>
      <c r="BR636" s="442"/>
      <c r="BS636" s="442"/>
      <c r="BT636" s="442"/>
      <c r="BU636" s="442"/>
      <c r="BV636" s="442"/>
      <c r="BW636" s="442"/>
      <c r="BX636" s="442"/>
      <c r="BY636" s="442"/>
      <c r="BZ636" s="442"/>
      <c r="CA636" s="442"/>
      <c r="CB636" s="442"/>
      <c r="CC636" s="442"/>
      <c r="CD636" s="442"/>
      <c r="CE636" s="442"/>
      <c r="CF636" s="442"/>
      <c r="CG636" s="442"/>
      <c r="CH636" s="442"/>
      <c r="CI636" s="442"/>
    </row>
    <row r="637" spans="4:87" x14ac:dyDescent="0.2">
      <c r="D637" s="442"/>
      <c r="E637" s="442"/>
      <c r="F637" s="442"/>
      <c r="G637" s="442"/>
      <c r="H637" s="442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  <c r="AA637" s="442"/>
      <c r="AB637" s="442"/>
      <c r="AC637" s="442"/>
      <c r="AD637" s="442"/>
      <c r="AE637" s="442"/>
      <c r="AF637" s="442"/>
      <c r="AG637" s="442"/>
      <c r="AH637" s="442"/>
      <c r="AI637" s="442"/>
      <c r="AJ637" s="442"/>
      <c r="AK637" s="442"/>
      <c r="AL637" s="442"/>
      <c r="AM637" s="442"/>
      <c r="AN637" s="442"/>
      <c r="AO637" s="442"/>
      <c r="AP637" s="442"/>
      <c r="AQ637" s="442"/>
      <c r="AR637" s="442"/>
      <c r="AS637" s="442"/>
      <c r="AT637" s="442"/>
      <c r="AU637" s="442"/>
      <c r="AV637" s="442"/>
      <c r="AW637" s="442"/>
      <c r="AX637" s="442"/>
      <c r="AY637" s="442"/>
      <c r="AZ637" s="442"/>
      <c r="BA637" s="442"/>
      <c r="BB637" s="442"/>
      <c r="BC637" s="442"/>
      <c r="BD637" s="442"/>
      <c r="BE637" s="442"/>
      <c r="BF637" s="442"/>
      <c r="BG637" s="442"/>
      <c r="BH637" s="442"/>
      <c r="BI637" s="442"/>
      <c r="BJ637" s="442"/>
      <c r="BK637" s="442"/>
      <c r="BL637" s="442"/>
      <c r="BM637" s="442"/>
      <c r="BN637" s="442"/>
      <c r="BO637" s="442"/>
      <c r="BP637" s="442"/>
      <c r="BQ637" s="442"/>
      <c r="BR637" s="442"/>
      <c r="BS637" s="442"/>
      <c r="BT637" s="442"/>
      <c r="BU637" s="442"/>
      <c r="BV637" s="442"/>
      <c r="BW637" s="442"/>
      <c r="BX637" s="442"/>
      <c r="BY637" s="442"/>
      <c r="BZ637" s="442"/>
      <c r="CA637" s="442"/>
      <c r="CB637" s="442"/>
      <c r="CC637" s="442"/>
      <c r="CD637" s="442"/>
      <c r="CE637" s="442"/>
      <c r="CF637" s="442"/>
      <c r="CG637" s="442"/>
      <c r="CH637" s="442"/>
      <c r="CI637" s="442"/>
    </row>
    <row r="638" spans="4:87" x14ac:dyDescent="0.2">
      <c r="D638" s="442"/>
      <c r="E638" s="442"/>
      <c r="F638" s="442"/>
      <c r="G638" s="442"/>
      <c r="H638" s="442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  <c r="AA638" s="442"/>
      <c r="AB638" s="442"/>
      <c r="AC638" s="442"/>
      <c r="AD638" s="442"/>
      <c r="AE638" s="442"/>
      <c r="AF638" s="442"/>
      <c r="AG638" s="442"/>
      <c r="AH638" s="442"/>
      <c r="AI638" s="442"/>
      <c r="AJ638" s="442"/>
      <c r="AK638" s="442"/>
      <c r="AL638" s="442"/>
      <c r="AM638" s="442"/>
      <c r="AN638" s="442"/>
      <c r="AO638" s="442"/>
      <c r="AP638" s="442"/>
      <c r="AQ638" s="442"/>
      <c r="AR638" s="442"/>
      <c r="AS638" s="442"/>
      <c r="AT638" s="442"/>
      <c r="AU638" s="442"/>
      <c r="AV638" s="442"/>
      <c r="AW638" s="442"/>
      <c r="AX638" s="442"/>
      <c r="AY638" s="442"/>
      <c r="AZ638" s="442"/>
      <c r="BA638" s="442"/>
      <c r="BB638" s="442"/>
      <c r="BC638" s="442"/>
      <c r="BD638" s="442"/>
      <c r="BE638" s="442"/>
      <c r="BF638" s="442"/>
      <c r="BG638" s="442"/>
      <c r="BH638" s="442"/>
      <c r="BI638" s="442"/>
      <c r="BJ638" s="442"/>
      <c r="BK638" s="442"/>
      <c r="BL638" s="442"/>
      <c r="BM638" s="442"/>
      <c r="BN638" s="442"/>
      <c r="BO638" s="442"/>
      <c r="BP638" s="442"/>
      <c r="BQ638" s="442"/>
      <c r="BR638" s="442"/>
      <c r="BS638" s="442"/>
      <c r="BT638" s="442"/>
      <c r="BU638" s="442"/>
      <c r="BV638" s="442"/>
      <c r="BW638" s="442"/>
      <c r="BX638" s="442"/>
      <c r="BY638" s="442"/>
      <c r="BZ638" s="442"/>
      <c r="CA638" s="442"/>
      <c r="CB638" s="442"/>
      <c r="CC638" s="442"/>
      <c r="CD638" s="442"/>
      <c r="CE638" s="442"/>
      <c r="CF638" s="442"/>
      <c r="CG638" s="442"/>
      <c r="CH638" s="442"/>
      <c r="CI638" s="442"/>
    </row>
    <row r="639" spans="4:87" x14ac:dyDescent="0.2">
      <c r="D639" s="442"/>
      <c r="E639" s="442"/>
      <c r="F639" s="442"/>
      <c r="G639" s="442"/>
      <c r="H639" s="442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  <c r="AA639" s="442"/>
      <c r="AB639" s="442"/>
      <c r="AC639" s="442"/>
      <c r="AD639" s="442"/>
      <c r="AE639" s="442"/>
      <c r="AF639" s="442"/>
      <c r="AG639" s="442"/>
      <c r="AH639" s="442"/>
      <c r="AI639" s="442"/>
      <c r="AJ639" s="442"/>
      <c r="AK639" s="442"/>
      <c r="AL639" s="442"/>
      <c r="AM639" s="442"/>
      <c r="AN639" s="442"/>
      <c r="AO639" s="442"/>
      <c r="AP639" s="442"/>
      <c r="AQ639" s="442"/>
      <c r="AR639" s="442"/>
      <c r="AS639" s="442"/>
      <c r="AT639" s="442"/>
      <c r="AU639" s="442"/>
      <c r="AV639" s="442"/>
      <c r="AW639" s="442"/>
      <c r="AX639" s="442"/>
      <c r="AY639" s="442"/>
      <c r="AZ639" s="442"/>
      <c r="BA639" s="442"/>
      <c r="BB639" s="442"/>
      <c r="BC639" s="442"/>
      <c r="BD639" s="442"/>
      <c r="BE639" s="442"/>
      <c r="BF639" s="442"/>
      <c r="BG639" s="442"/>
      <c r="BH639" s="442"/>
      <c r="BI639" s="442"/>
      <c r="BJ639" s="442"/>
      <c r="BK639" s="442"/>
      <c r="BL639" s="442"/>
      <c r="BM639" s="442"/>
      <c r="BN639" s="442"/>
      <c r="BO639" s="442"/>
      <c r="BP639" s="442"/>
      <c r="BQ639" s="442"/>
      <c r="BR639" s="442"/>
      <c r="BS639" s="442"/>
      <c r="BT639" s="442"/>
      <c r="BU639" s="442"/>
      <c r="BV639" s="442"/>
      <c r="BW639" s="442"/>
      <c r="BX639" s="442"/>
      <c r="BY639" s="442"/>
      <c r="BZ639" s="442"/>
      <c r="CA639" s="442"/>
      <c r="CB639" s="442"/>
      <c r="CC639" s="442"/>
      <c r="CD639" s="442"/>
      <c r="CE639" s="442"/>
      <c r="CF639" s="442"/>
      <c r="CG639" s="442"/>
      <c r="CH639" s="442"/>
      <c r="CI639" s="442"/>
    </row>
    <row r="640" spans="4:87" x14ac:dyDescent="0.2"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  <c r="AA640" s="442"/>
      <c r="AB640" s="442"/>
      <c r="AC640" s="442"/>
      <c r="AD640" s="442"/>
      <c r="AE640" s="442"/>
      <c r="AF640" s="442"/>
      <c r="AG640" s="442"/>
      <c r="AH640" s="442"/>
      <c r="AI640" s="442"/>
      <c r="AJ640" s="442"/>
      <c r="AK640" s="442"/>
      <c r="AL640" s="442"/>
      <c r="AM640" s="442"/>
      <c r="AN640" s="442"/>
      <c r="AO640" s="442"/>
      <c r="AP640" s="442"/>
      <c r="AQ640" s="442"/>
      <c r="AR640" s="442"/>
      <c r="AS640" s="442"/>
      <c r="AT640" s="442"/>
      <c r="AU640" s="442"/>
      <c r="AV640" s="442"/>
      <c r="AW640" s="442"/>
      <c r="AX640" s="442"/>
      <c r="AY640" s="442"/>
      <c r="AZ640" s="442"/>
      <c r="BA640" s="442"/>
      <c r="BB640" s="442"/>
      <c r="BC640" s="442"/>
      <c r="BD640" s="442"/>
      <c r="BE640" s="442"/>
      <c r="BF640" s="442"/>
      <c r="BG640" s="442"/>
      <c r="BH640" s="442"/>
      <c r="BI640" s="442"/>
      <c r="BJ640" s="442"/>
      <c r="BK640" s="442"/>
      <c r="BL640" s="442"/>
      <c r="BM640" s="442"/>
      <c r="BN640" s="442"/>
      <c r="BO640" s="442"/>
      <c r="BP640" s="442"/>
      <c r="BQ640" s="442"/>
      <c r="BR640" s="442"/>
      <c r="BS640" s="442"/>
      <c r="BT640" s="442"/>
      <c r="BU640" s="442"/>
      <c r="BV640" s="442"/>
      <c r="BW640" s="442"/>
      <c r="BX640" s="442"/>
      <c r="BY640" s="442"/>
      <c r="BZ640" s="442"/>
      <c r="CA640" s="442"/>
      <c r="CB640" s="442"/>
      <c r="CC640" s="442"/>
      <c r="CD640" s="442"/>
      <c r="CE640" s="442"/>
      <c r="CF640" s="442"/>
      <c r="CG640" s="442"/>
      <c r="CH640" s="442"/>
      <c r="CI640" s="442"/>
    </row>
    <row r="641" spans="4:87" x14ac:dyDescent="0.2">
      <c r="D641" s="442"/>
      <c r="E641" s="442"/>
      <c r="F641" s="442"/>
      <c r="G641" s="442"/>
      <c r="H641" s="442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  <c r="AA641" s="442"/>
      <c r="AB641" s="442"/>
      <c r="AC641" s="442"/>
      <c r="AD641" s="442"/>
      <c r="AE641" s="442"/>
      <c r="AF641" s="442"/>
      <c r="AG641" s="442"/>
      <c r="AH641" s="442"/>
      <c r="AI641" s="442"/>
      <c r="AJ641" s="442"/>
      <c r="AK641" s="442"/>
      <c r="AL641" s="442"/>
      <c r="AM641" s="442"/>
      <c r="AN641" s="442"/>
      <c r="AO641" s="442"/>
      <c r="AP641" s="442"/>
      <c r="AQ641" s="442"/>
      <c r="AR641" s="442"/>
      <c r="AS641" s="442"/>
      <c r="AT641" s="442"/>
      <c r="AU641" s="442"/>
      <c r="AV641" s="442"/>
      <c r="AW641" s="442"/>
      <c r="AX641" s="442"/>
      <c r="AY641" s="442"/>
      <c r="AZ641" s="442"/>
      <c r="BA641" s="442"/>
      <c r="BB641" s="442"/>
      <c r="BC641" s="442"/>
      <c r="BD641" s="442"/>
      <c r="BE641" s="442"/>
      <c r="BF641" s="442"/>
      <c r="BG641" s="442"/>
      <c r="BH641" s="442"/>
      <c r="BI641" s="442"/>
      <c r="BJ641" s="442"/>
      <c r="BK641" s="442"/>
      <c r="BL641" s="442"/>
      <c r="BM641" s="442"/>
      <c r="BN641" s="442"/>
      <c r="BO641" s="442"/>
      <c r="BP641" s="442"/>
      <c r="BQ641" s="442"/>
      <c r="BR641" s="442"/>
      <c r="BS641" s="442"/>
      <c r="BT641" s="442"/>
      <c r="BU641" s="442"/>
      <c r="BV641" s="442"/>
      <c r="BW641" s="442"/>
      <c r="BX641" s="442"/>
      <c r="BY641" s="442"/>
      <c r="BZ641" s="442"/>
      <c r="CA641" s="442"/>
      <c r="CB641" s="442"/>
      <c r="CC641" s="442"/>
      <c r="CD641" s="442"/>
      <c r="CE641" s="442"/>
      <c r="CF641" s="442"/>
      <c r="CG641" s="442"/>
      <c r="CH641" s="442"/>
      <c r="CI641" s="442"/>
    </row>
    <row r="642" spans="4:87" x14ac:dyDescent="0.2"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  <c r="AA642" s="442"/>
      <c r="AB642" s="442"/>
      <c r="AC642" s="442"/>
      <c r="AD642" s="442"/>
      <c r="AE642" s="442"/>
      <c r="AF642" s="442"/>
      <c r="AG642" s="442"/>
      <c r="AH642" s="442"/>
      <c r="AI642" s="442"/>
      <c r="AJ642" s="442"/>
      <c r="AK642" s="442"/>
      <c r="AL642" s="442"/>
      <c r="AM642" s="442"/>
      <c r="AN642" s="442"/>
      <c r="AO642" s="442"/>
      <c r="AP642" s="442"/>
      <c r="AQ642" s="442"/>
      <c r="AR642" s="442"/>
      <c r="AS642" s="442"/>
      <c r="AT642" s="442"/>
      <c r="AU642" s="442"/>
      <c r="AV642" s="442"/>
      <c r="AW642" s="442"/>
      <c r="AX642" s="442"/>
      <c r="AY642" s="442"/>
      <c r="AZ642" s="442"/>
      <c r="BA642" s="442"/>
      <c r="BB642" s="442"/>
      <c r="BC642" s="442"/>
      <c r="BD642" s="442"/>
      <c r="BE642" s="442"/>
      <c r="BF642" s="442"/>
      <c r="BG642" s="442"/>
      <c r="BH642" s="442"/>
      <c r="BI642" s="442"/>
      <c r="BJ642" s="442"/>
      <c r="BK642" s="442"/>
      <c r="BL642" s="442"/>
      <c r="BM642" s="442"/>
      <c r="BN642" s="442"/>
      <c r="BO642" s="442"/>
      <c r="BP642" s="442"/>
      <c r="BQ642" s="442"/>
      <c r="BR642" s="442"/>
      <c r="BS642" s="442"/>
      <c r="BT642" s="442"/>
      <c r="BU642" s="442"/>
      <c r="BV642" s="442"/>
      <c r="BW642" s="442"/>
      <c r="BX642" s="442"/>
      <c r="BY642" s="442"/>
      <c r="BZ642" s="442"/>
      <c r="CA642" s="442"/>
      <c r="CB642" s="442"/>
      <c r="CC642" s="442"/>
      <c r="CD642" s="442"/>
      <c r="CE642" s="442"/>
      <c r="CF642" s="442"/>
      <c r="CG642" s="442"/>
      <c r="CH642" s="442"/>
      <c r="CI642" s="442"/>
    </row>
    <row r="643" spans="4:87" x14ac:dyDescent="0.2"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  <c r="AA643" s="442"/>
      <c r="AB643" s="442"/>
      <c r="AC643" s="442"/>
      <c r="AD643" s="442"/>
      <c r="AE643" s="442"/>
      <c r="AF643" s="442"/>
      <c r="AG643" s="442"/>
      <c r="AH643" s="442"/>
      <c r="AI643" s="442"/>
      <c r="AJ643" s="442"/>
      <c r="AK643" s="442"/>
      <c r="AL643" s="442"/>
      <c r="AM643" s="442"/>
      <c r="AN643" s="442"/>
      <c r="AO643" s="442"/>
      <c r="AP643" s="442"/>
      <c r="AQ643" s="442"/>
      <c r="AR643" s="442"/>
      <c r="AS643" s="442"/>
      <c r="AT643" s="442"/>
      <c r="AU643" s="442"/>
      <c r="AV643" s="442"/>
      <c r="AW643" s="442"/>
      <c r="AX643" s="442"/>
      <c r="AY643" s="442"/>
      <c r="AZ643" s="442"/>
      <c r="BA643" s="442"/>
      <c r="BB643" s="442"/>
      <c r="BC643" s="442"/>
      <c r="BD643" s="442"/>
      <c r="BE643" s="442"/>
      <c r="BF643" s="442"/>
      <c r="BG643" s="442"/>
      <c r="BH643" s="442"/>
      <c r="BI643" s="442"/>
      <c r="BJ643" s="442"/>
      <c r="BK643" s="442"/>
      <c r="BL643" s="442"/>
      <c r="BM643" s="442"/>
      <c r="BN643" s="442"/>
      <c r="BO643" s="442"/>
      <c r="BP643" s="442"/>
      <c r="BQ643" s="442"/>
      <c r="BR643" s="442"/>
      <c r="BS643" s="442"/>
      <c r="BT643" s="442"/>
      <c r="BU643" s="442"/>
      <c r="BV643" s="442"/>
      <c r="BW643" s="442"/>
      <c r="BX643" s="442"/>
      <c r="BY643" s="442"/>
      <c r="BZ643" s="442"/>
      <c r="CA643" s="442"/>
      <c r="CB643" s="442"/>
      <c r="CC643" s="442"/>
      <c r="CD643" s="442"/>
      <c r="CE643" s="442"/>
      <c r="CF643" s="442"/>
      <c r="CG643" s="442"/>
      <c r="CH643" s="442"/>
      <c r="CI643" s="442"/>
    </row>
    <row r="644" spans="4:87" x14ac:dyDescent="0.2">
      <c r="D644" s="442"/>
      <c r="E644" s="442"/>
      <c r="F644" s="442"/>
      <c r="G644" s="442"/>
      <c r="H644" s="442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  <c r="AA644" s="442"/>
      <c r="AB644" s="442"/>
      <c r="AC644" s="442"/>
      <c r="AD644" s="442"/>
      <c r="AE644" s="442"/>
      <c r="AF644" s="442"/>
      <c r="AG644" s="442"/>
      <c r="AH644" s="442"/>
      <c r="AI644" s="442"/>
      <c r="AJ644" s="442"/>
      <c r="AK644" s="442"/>
      <c r="AL644" s="442"/>
      <c r="AM644" s="442"/>
      <c r="AN644" s="442"/>
      <c r="AO644" s="442"/>
      <c r="AP644" s="442"/>
      <c r="AQ644" s="442"/>
      <c r="AR644" s="442"/>
      <c r="AS644" s="442"/>
      <c r="AT644" s="442"/>
      <c r="AU644" s="442"/>
      <c r="AV644" s="442"/>
      <c r="AW644" s="442"/>
      <c r="AX644" s="442"/>
      <c r="AY644" s="442"/>
      <c r="AZ644" s="442"/>
      <c r="BA644" s="442"/>
      <c r="BB644" s="442"/>
      <c r="BC644" s="442"/>
      <c r="BD644" s="442"/>
      <c r="BE644" s="442"/>
      <c r="BF644" s="442"/>
      <c r="BG644" s="442"/>
      <c r="BH644" s="442"/>
      <c r="BI644" s="442"/>
      <c r="BJ644" s="442"/>
      <c r="BK644" s="442"/>
      <c r="BL644" s="442"/>
      <c r="BM644" s="442"/>
      <c r="BN644" s="442"/>
      <c r="BO644" s="442"/>
      <c r="BP644" s="442"/>
      <c r="BQ644" s="442"/>
      <c r="BR644" s="442"/>
      <c r="BS644" s="442"/>
      <c r="BT644" s="442"/>
      <c r="BU644" s="442"/>
      <c r="BV644" s="442"/>
      <c r="BW644" s="442"/>
      <c r="BX644" s="442"/>
      <c r="BY644" s="442"/>
      <c r="BZ644" s="442"/>
      <c r="CA644" s="442"/>
      <c r="CB644" s="442"/>
      <c r="CC644" s="442"/>
      <c r="CD644" s="442"/>
      <c r="CE644" s="442"/>
      <c r="CF644" s="442"/>
      <c r="CG644" s="442"/>
      <c r="CH644" s="442"/>
      <c r="CI644" s="442"/>
    </row>
    <row r="645" spans="4:87" x14ac:dyDescent="0.2">
      <c r="D645" s="442"/>
      <c r="E645" s="442"/>
      <c r="F645" s="442"/>
      <c r="G645" s="442"/>
      <c r="H645" s="442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  <c r="AA645" s="442"/>
      <c r="AB645" s="442"/>
      <c r="AC645" s="442"/>
      <c r="AD645" s="442"/>
      <c r="AE645" s="442"/>
      <c r="AF645" s="442"/>
      <c r="AG645" s="442"/>
      <c r="AH645" s="442"/>
      <c r="AI645" s="442"/>
      <c r="AJ645" s="442"/>
      <c r="AK645" s="442"/>
      <c r="AL645" s="442"/>
      <c r="AM645" s="442"/>
      <c r="AN645" s="442"/>
      <c r="AO645" s="442"/>
      <c r="AP645" s="442"/>
      <c r="AQ645" s="442"/>
      <c r="AR645" s="442"/>
      <c r="AS645" s="442"/>
      <c r="AT645" s="442"/>
      <c r="AU645" s="442"/>
      <c r="AV645" s="442"/>
      <c r="AW645" s="442"/>
      <c r="AX645" s="442"/>
      <c r="AY645" s="442"/>
      <c r="AZ645" s="442"/>
      <c r="BA645" s="442"/>
      <c r="BB645" s="442"/>
      <c r="BC645" s="442"/>
      <c r="BD645" s="442"/>
      <c r="BE645" s="442"/>
      <c r="BF645" s="442"/>
      <c r="BG645" s="442"/>
      <c r="BH645" s="442"/>
      <c r="BI645" s="442"/>
      <c r="BJ645" s="442"/>
      <c r="BK645" s="442"/>
      <c r="BL645" s="442"/>
      <c r="BM645" s="442"/>
      <c r="BN645" s="442"/>
      <c r="BO645" s="442"/>
      <c r="BP645" s="442"/>
      <c r="BQ645" s="442"/>
      <c r="BR645" s="442"/>
      <c r="BS645" s="442"/>
      <c r="BT645" s="442"/>
      <c r="BU645" s="442"/>
      <c r="BV645" s="442"/>
      <c r="BW645" s="442"/>
      <c r="BX645" s="442"/>
      <c r="BY645" s="442"/>
      <c r="BZ645" s="442"/>
      <c r="CA645" s="442"/>
      <c r="CB645" s="442"/>
      <c r="CC645" s="442"/>
      <c r="CD645" s="442"/>
      <c r="CE645" s="442"/>
      <c r="CF645" s="442"/>
      <c r="CG645" s="442"/>
      <c r="CH645" s="442"/>
      <c r="CI645" s="442"/>
    </row>
    <row r="646" spans="4:87" x14ac:dyDescent="0.2">
      <c r="D646" s="442"/>
      <c r="E646" s="442"/>
      <c r="F646" s="442"/>
      <c r="G646" s="442"/>
      <c r="H646" s="442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  <c r="AA646" s="442"/>
      <c r="AB646" s="442"/>
      <c r="AC646" s="442"/>
      <c r="AD646" s="442"/>
      <c r="AE646" s="442"/>
      <c r="AF646" s="442"/>
      <c r="AG646" s="442"/>
      <c r="AH646" s="442"/>
      <c r="AI646" s="442"/>
      <c r="AJ646" s="442"/>
      <c r="AK646" s="442"/>
      <c r="AL646" s="442"/>
      <c r="AM646" s="442"/>
      <c r="AN646" s="442"/>
      <c r="AO646" s="442"/>
      <c r="AP646" s="442"/>
      <c r="AQ646" s="442"/>
      <c r="AR646" s="442"/>
      <c r="AS646" s="442"/>
      <c r="AT646" s="442"/>
      <c r="AU646" s="442"/>
      <c r="AV646" s="442"/>
      <c r="AW646" s="442"/>
      <c r="AX646" s="442"/>
      <c r="AY646" s="442"/>
      <c r="AZ646" s="442"/>
      <c r="BA646" s="442"/>
      <c r="BB646" s="442"/>
      <c r="BC646" s="442"/>
      <c r="BD646" s="442"/>
      <c r="BE646" s="442"/>
      <c r="BF646" s="442"/>
      <c r="BG646" s="442"/>
      <c r="BH646" s="442"/>
      <c r="BI646" s="442"/>
      <c r="BJ646" s="442"/>
      <c r="BK646" s="442"/>
      <c r="BL646" s="442"/>
      <c r="BM646" s="442"/>
      <c r="BN646" s="442"/>
      <c r="BO646" s="442"/>
      <c r="BP646" s="442"/>
      <c r="BQ646" s="442"/>
      <c r="BR646" s="442"/>
      <c r="BS646" s="442"/>
      <c r="BT646" s="442"/>
      <c r="BU646" s="442"/>
      <c r="BV646" s="442"/>
      <c r="BW646" s="442"/>
      <c r="BX646" s="442"/>
      <c r="BY646" s="442"/>
      <c r="BZ646" s="442"/>
      <c r="CA646" s="442"/>
      <c r="CB646" s="442"/>
      <c r="CC646" s="442"/>
      <c r="CD646" s="442"/>
      <c r="CE646" s="442"/>
      <c r="CF646" s="442"/>
      <c r="CG646" s="442"/>
      <c r="CH646" s="442"/>
      <c r="CI646" s="442"/>
    </row>
    <row r="647" spans="4:87" x14ac:dyDescent="0.2">
      <c r="D647" s="442"/>
      <c r="E647" s="442"/>
      <c r="F647" s="442"/>
      <c r="G647" s="442"/>
      <c r="H647" s="442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  <c r="AA647" s="442"/>
      <c r="AB647" s="442"/>
      <c r="AC647" s="442"/>
      <c r="AD647" s="442"/>
      <c r="AE647" s="442"/>
      <c r="AF647" s="442"/>
      <c r="AG647" s="442"/>
      <c r="AH647" s="442"/>
      <c r="AI647" s="442"/>
      <c r="AJ647" s="442"/>
      <c r="AK647" s="442"/>
      <c r="AL647" s="442"/>
      <c r="AM647" s="442"/>
      <c r="AN647" s="442"/>
      <c r="AO647" s="442"/>
      <c r="AP647" s="442"/>
      <c r="AQ647" s="442"/>
      <c r="AR647" s="442"/>
      <c r="AS647" s="442"/>
      <c r="AT647" s="442"/>
      <c r="AU647" s="442"/>
      <c r="AV647" s="442"/>
      <c r="AW647" s="442"/>
      <c r="AX647" s="442"/>
      <c r="AY647" s="442"/>
      <c r="AZ647" s="442"/>
      <c r="BA647" s="442"/>
      <c r="BB647" s="442"/>
      <c r="BC647" s="442"/>
      <c r="BD647" s="442"/>
      <c r="BE647" s="442"/>
      <c r="BF647" s="442"/>
      <c r="BG647" s="442"/>
      <c r="BH647" s="442"/>
      <c r="BI647" s="442"/>
      <c r="BJ647" s="442"/>
      <c r="BK647" s="442"/>
      <c r="BL647" s="442"/>
      <c r="BM647" s="442"/>
      <c r="BN647" s="442"/>
      <c r="BO647" s="442"/>
      <c r="BP647" s="442"/>
      <c r="BQ647" s="442"/>
      <c r="BR647" s="442"/>
      <c r="BS647" s="442"/>
      <c r="BT647" s="442"/>
      <c r="BU647" s="442"/>
      <c r="BV647" s="442"/>
      <c r="BW647" s="442"/>
      <c r="BX647" s="442"/>
      <c r="BY647" s="442"/>
      <c r="BZ647" s="442"/>
      <c r="CA647" s="442"/>
      <c r="CB647" s="442"/>
      <c r="CC647" s="442"/>
      <c r="CD647" s="442"/>
      <c r="CE647" s="442"/>
      <c r="CF647" s="442"/>
      <c r="CG647" s="442"/>
      <c r="CH647" s="442"/>
      <c r="CI647" s="442"/>
    </row>
    <row r="648" spans="4:87" x14ac:dyDescent="0.2">
      <c r="D648" s="442"/>
      <c r="E648" s="442"/>
      <c r="F648" s="442"/>
      <c r="G648" s="442"/>
      <c r="H648" s="442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  <c r="AA648" s="442"/>
      <c r="AB648" s="442"/>
      <c r="AC648" s="442"/>
      <c r="AD648" s="442"/>
      <c r="AE648" s="442"/>
      <c r="AF648" s="442"/>
      <c r="AG648" s="442"/>
      <c r="AH648" s="442"/>
      <c r="AI648" s="442"/>
      <c r="AJ648" s="442"/>
      <c r="AK648" s="442"/>
      <c r="AL648" s="442"/>
      <c r="AM648" s="442"/>
      <c r="AN648" s="442"/>
      <c r="AO648" s="442"/>
      <c r="AP648" s="442"/>
      <c r="AQ648" s="442"/>
      <c r="AR648" s="442"/>
      <c r="AS648" s="442"/>
      <c r="AT648" s="442"/>
      <c r="AU648" s="442"/>
      <c r="AV648" s="442"/>
      <c r="AW648" s="442"/>
      <c r="AX648" s="442"/>
      <c r="AY648" s="442"/>
      <c r="AZ648" s="442"/>
      <c r="BA648" s="442"/>
      <c r="BB648" s="442"/>
      <c r="BC648" s="442"/>
      <c r="BD648" s="442"/>
      <c r="BE648" s="442"/>
      <c r="BF648" s="442"/>
      <c r="BG648" s="442"/>
      <c r="BH648" s="442"/>
      <c r="BI648" s="442"/>
      <c r="BJ648" s="442"/>
      <c r="BK648" s="442"/>
      <c r="BL648" s="442"/>
      <c r="BM648" s="442"/>
      <c r="BN648" s="442"/>
      <c r="BO648" s="442"/>
      <c r="BP648" s="442"/>
      <c r="BQ648" s="442"/>
      <c r="BR648" s="442"/>
      <c r="BS648" s="442"/>
      <c r="BT648" s="442"/>
      <c r="BU648" s="442"/>
      <c r="BV648" s="442"/>
      <c r="BW648" s="442"/>
      <c r="BX648" s="442"/>
      <c r="BY648" s="442"/>
      <c r="BZ648" s="442"/>
      <c r="CA648" s="442"/>
      <c r="CB648" s="442"/>
      <c r="CC648" s="442"/>
      <c r="CD648" s="442"/>
      <c r="CE648" s="442"/>
      <c r="CF648" s="442"/>
      <c r="CG648" s="442"/>
      <c r="CH648" s="442"/>
      <c r="CI648" s="442"/>
    </row>
    <row r="649" spans="4:87" x14ac:dyDescent="0.2">
      <c r="D649" s="442"/>
      <c r="E649" s="442"/>
      <c r="F649" s="442"/>
      <c r="G649" s="442"/>
      <c r="H649" s="442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  <c r="AA649" s="442"/>
      <c r="AB649" s="442"/>
      <c r="AC649" s="442"/>
      <c r="AD649" s="442"/>
      <c r="AE649" s="442"/>
      <c r="AF649" s="442"/>
      <c r="AG649" s="442"/>
      <c r="AH649" s="442"/>
      <c r="AI649" s="442"/>
      <c r="AJ649" s="442"/>
      <c r="AK649" s="442"/>
      <c r="AL649" s="442"/>
      <c r="AM649" s="442"/>
      <c r="AN649" s="442"/>
      <c r="AO649" s="442"/>
      <c r="AP649" s="442"/>
      <c r="AQ649" s="442"/>
      <c r="AR649" s="442"/>
      <c r="AS649" s="442"/>
      <c r="AT649" s="442"/>
      <c r="AU649" s="442"/>
      <c r="AV649" s="442"/>
      <c r="AW649" s="442"/>
      <c r="AX649" s="442"/>
      <c r="AY649" s="442"/>
      <c r="AZ649" s="442"/>
      <c r="BA649" s="442"/>
      <c r="BB649" s="442"/>
      <c r="BC649" s="442"/>
      <c r="BD649" s="442"/>
      <c r="BE649" s="442"/>
      <c r="BF649" s="442"/>
      <c r="BG649" s="442"/>
      <c r="BH649" s="442"/>
      <c r="BI649" s="442"/>
      <c r="BJ649" s="442"/>
      <c r="BK649" s="442"/>
      <c r="BL649" s="442"/>
      <c r="BM649" s="442"/>
      <c r="BN649" s="442"/>
      <c r="BO649" s="442"/>
      <c r="BP649" s="442"/>
      <c r="BQ649" s="442"/>
      <c r="BR649" s="442"/>
      <c r="BS649" s="442"/>
      <c r="BT649" s="442"/>
      <c r="BU649" s="442"/>
      <c r="BV649" s="442"/>
      <c r="BW649" s="442"/>
      <c r="BX649" s="442"/>
      <c r="BY649" s="442"/>
      <c r="BZ649" s="442"/>
      <c r="CA649" s="442"/>
      <c r="CB649" s="442"/>
      <c r="CC649" s="442"/>
      <c r="CD649" s="442"/>
      <c r="CE649" s="442"/>
      <c r="CF649" s="442"/>
      <c r="CG649" s="442"/>
      <c r="CH649" s="442"/>
      <c r="CI649" s="442"/>
    </row>
    <row r="650" spans="4:87" x14ac:dyDescent="0.2">
      <c r="D650" s="442"/>
      <c r="E650" s="442"/>
      <c r="F650" s="442"/>
      <c r="G650" s="442"/>
      <c r="H650" s="442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  <c r="AA650" s="442"/>
      <c r="AB650" s="442"/>
      <c r="AC650" s="442"/>
      <c r="AD650" s="442"/>
      <c r="AE650" s="442"/>
      <c r="AF650" s="442"/>
      <c r="AG650" s="442"/>
      <c r="AH650" s="442"/>
      <c r="AI650" s="442"/>
      <c r="AJ650" s="442"/>
      <c r="AK650" s="442"/>
      <c r="AL650" s="442"/>
      <c r="AM650" s="442"/>
      <c r="AN650" s="442"/>
      <c r="AO650" s="442"/>
      <c r="AP650" s="442"/>
      <c r="AQ650" s="442"/>
      <c r="AR650" s="442"/>
      <c r="AS650" s="442"/>
      <c r="AT650" s="442"/>
      <c r="AU650" s="442"/>
      <c r="AV650" s="442"/>
      <c r="AW650" s="442"/>
      <c r="AX650" s="442"/>
      <c r="AY650" s="442"/>
      <c r="AZ650" s="442"/>
      <c r="BA650" s="442"/>
      <c r="BB650" s="442"/>
      <c r="BC650" s="442"/>
      <c r="BD650" s="442"/>
      <c r="BE650" s="442"/>
      <c r="BF650" s="442"/>
      <c r="BG650" s="442"/>
      <c r="BH650" s="442"/>
      <c r="BI650" s="442"/>
      <c r="BJ650" s="442"/>
      <c r="BK650" s="442"/>
      <c r="BL650" s="442"/>
      <c r="BM650" s="442"/>
      <c r="BN650" s="442"/>
      <c r="BO650" s="442"/>
      <c r="BP650" s="442"/>
      <c r="BQ650" s="442"/>
      <c r="BR650" s="442"/>
      <c r="BS650" s="442"/>
      <c r="BT650" s="442"/>
      <c r="BU650" s="442"/>
      <c r="BV650" s="442"/>
      <c r="BW650" s="442"/>
      <c r="BX650" s="442"/>
      <c r="BY650" s="442"/>
      <c r="BZ650" s="442"/>
      <c r="CA650" s="442"/>
      <c r="CB650" s="442"/>
      <c r="CC650" s="442"/>
      <c r="CD650" s="442"/>
      <c r="CE650" s="442"/>
      <c r="CF650" s="442"/>
      <c r="CG650" s="442"/>
      <c r="CH650" s="442"/>
      <c r="CI650" s="442"/>
    </row>
    <row r="651" spans="4:87" x14ac:dyDescent="0.2">
      <c r="D651" s="442"/>
      <c r="E651" s="442"/>
      <c r="F651" s="442"/>
      <c r="G651" s="442"/>
      <c r="H651" s="442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  <c r="AA651" s="442"/>
      <c r="AB651" s="442"/>
      <c r="AC651" s="442"/>
      <c r="AD651" s="442"/>
      <c r="AE651" s="442"/>
      <c r="AF651" s="442"/>
      <c r="AG651" s="442"/>
      <c r="AH651" s="442"/>
      <c r="AI651" s="442"/>
      <c r="AJ651" s="442"/>
      <c r="AK651" s="442"/>
      <c r="AL651" s="442"/>
      <c r="AM651" s="442"/>
      <c r="AN651" s="442"/>
      <c r="AO651" s="442"/>
      <c r="AP651" s="442"/>
      <c r="AQ651" s="442"/>
      <c r="AR651" s="442"/>
      <c r="AS651" s="442"/>
      <c r="AT651" s="442"/>
      <c r="AU651" s="442"/>
      <c r="AV651" s="442"/>
      <c r="AW651" s="442"/>
      <c r="AX651" s="442"/>
      <c r="AY651" s="442"/>
      <c r="AZ651" s="442"/>
      <c r="BA651" s="442"/>
      <c r="BB651" s="442"/>
      <c r="BC651" s="442"/>
      <c r="BD651" s="442"/>
      <c r="BE651" s="442"/>
      <c r="BF651" s="442"/>
      <c r="BG651" s="442"/>
      <c r="BH651" s="442"/>
      <c r="BI651" s="442"/>
      <c r="BJ651" s="442"/>
      <c r="BK651" s="442"/>
      <c r="BL651" s="442"/>
      <c r="BM651" s="442"/>
      <c r="BN651" s="442"/>
      <c r="BO651" s="442"/>
      <c r="BP651" s="442"/>
      <c r="BQ651" s="442"/>
      <c r="BR651" s="442"/>
      <c r="BS651" s="442"/>
      <c r="BT651" s="442"/>
      <c r="BU651" s="442"/>
      <c r="BV651" s="442"/>
      <c r="BW651" s="442"/>
      <c r="BX651" s="442"/>
      <c r="BY651" s="442"/>
      <c r="BZ651" s="442"/>
      <c r="CA651" s="442"/>
      <c r="CB651" s="442"/>
      <c r="CC651" s="442"/>
      <c r="CD651" s="442"/>
      <c r="CE651" s="442"/>
      <c r="CF651" s="442"/>
      <c r="CG651" s="442"/>
      <c r="CH651" s="442"/>
      <c r="CI651" s="442"/>
    </row>
    <row r="652" spans="4:87" x14ac:dyDescent="0.2">
      <c r="D652" s="442"/>
      <c r="E652" s="442"/>
      <c r="F652" s="442"/>
      <c r="G652" s="442"/>
      <c r="H652" s="442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  <c r="AA652" s="442"/>
      <c r="AB652" s="442"/>
      <c r="AC652" s="442"/>
      <c r="AD652" s="442"/>
      <c r="AE652" s="442"/>
      <c r="AF652" s="442"/>
      <c r="AG652" s="442"/>
      <c r="AH652" s="442"/>
      <c r="AI652" s="442"/>
      <c r="AJ652" s="442"/>
      <c r="AK652" s="442"/>
      <c r="AL652" s="442"/>
      <c r="AM652" s="442"/>
      <c r="AN652" s="442"/>
      <c r="AO652" s="442"/>
      <c r="AP652" s="442"/>
      <c r="AQ652" s="442"/>
      <c r="AR652" s="442"/>
      <c r="AS652" s="442"/>
      <c r="AT652" s="442"/>
      <c r="AU652" s="442"/>
      <c r="AV652" s="442"/>
      <c r="AW652" s="442"/>
      <c r="AX652" s="442"/>
      <c r="AY652" s="442"/>
      <c r="AZ652" s="442"/>
      <c r="BA652" s="442"/>
      <c r="BB652" s="442"/>
      <c r="BC652" s="442"/>
      <c r="BD652" s="442"/>
      <c r="BE652" s="442"/>
      <c r="BF652" s="442"/>
      <c r="BG652" s="442"/>
      <c r="BH652" s="442"/>
      <c r="BI652" s="442"/>
      <c r="BJ652" s="442"/>
      <c r="BK652" s="442"/>
      <c r="BL652" s="442"/>
      <c r="BM652" s="442"/>
      <c r="BN652" s="442"/>
      <c r="BO652" s="442"/>
      <c r="BP652" s="442"/>
      <c r="BQ652" s="442"/>
      <c r="BR652" s="442"/>
      <c r="BS652" s="442"/>
      <c r="BT652" s="442"/>
      <c r="BU652" s="442"/>
      <c r="BV652" s="442"/>
      <c r="BW652" s="442"/>
      <c r="BX652" s="442"/>
      <c r="BY652" s="442"/>
      <c r="BZ652" s="442"/>
      <c r="CA652" s="442"/>
      <c r="CB652" s="442"/>
      <c r="CC652" s="442"/>
      <c r="CD652" s="442"/>
      <c r="CE652" s="442"/>
      <c r="CF652" s="442"/>
      <c r="CG652" s="442"/>
      <c r="CH652" s="442"/>
      <c r="CI652" s="442"/>
    </row>
    <row r="653" spans="4:87" x14ac:dyDescent="0.2"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  <c r="AA653" s="442"/>
      <c r="AB653" s="442"/>
      <c r="AC653" s="442"/>
      <c r="AD653" s="442"/>
      <c r="AE653" s="442"/>
      <c r="AF653" s="442"/>
      <c r="AG653" s="442"/>
      <c r="AH653" s="442"/>
      <c r="AI653" s="442"/>
      <c r="AJ653" s="442"/>
      <c r="AK653" s="442"/>
      <c r="AL653" s="442"/>
      <c r="AM653" s="442"/>
      <c r="AN653" s="442"/>
      <c r="AO653" s="442"/>
      <c r="AP653" s="442"/>
      <c r="AQ653" s="442"/>
      <c r="AR653" s="442"/>
      <c r="AS653" s="442"/>
      <c r="AT653" s="442"/>
      <c r="AU653" s="442"/>
      <c r="AV653" s="442"/>
      <c r="AW653" s="442"/>
      <c r="AX653" s="442"/>
      <c r="AY653" s="442"/>
      <c r="AZ653" s="442"/>
      <c r="BA653" s="442"/>
      <c r="BB653" s="442"/>
      <c r="BC653" s="442"/>
      <c r="BD653" s="442"/>
      <c r="BE653" s="442"/>
      <c r="BF653" s="442"/>
      <c r="BG653" s="442"/>
      <c r="BH653" s="442"/>
      <c r="BI653" s="442"/>
      <c r="BJ653" s="442"/>
      <c r="BK653" s="442"/>
      <c r="BL653" s="442"/>
      <c r="BM653" s="442"/>
      <c r="BN653" s="442"/>
      <c r="BO653" s="442"/>
      <c r="BP653" s="442"/>
      <c r="BQ653" s="442"/>
      <c r="BR653" s="442"/>
      <c r="BS653" s="442"/>
      <c r="BT653" s="442"/>
      <c r="BU653" s="442"/>
      <c r="BV653" s="442"/>
      <c r="BW653" s="442"/>
      <c r="BX653" s="442"/>
      <c r="BY653" s="442"/>
      <c r="BZ653" s="442"/>
      <c r="CA653" s="442"/>
      <c r="CB653" s="442"/>
      <c r="CC653" s="442"/>
      <c r="CD653" s="442"/>
      <c r="CE653" s="442"/>
      <c r="CF653" s="442"/>
      <c r="CG653" s="442"/>
      <c r="CH653" s="442"/>
      <c r="CI653" s="442"/>
    </row>
    <row r="654" spans="4:87" x14ac:dyDescent="0.2"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  <c r="AA654" s="442"/>
      <c r="AB654" s="442"/>
      <c r="AC654" s="442"/>
      <c r="AD654" s="442"/>
      <c r="AE654" s="442"/>
      <c r="AF654" s="442"/>
      <c r="AG654" s="442"/>
      <c r="AH654" s="442"/>
      <c r="AI654" s="442"/>
      <c r="AJ654" s="442"/>
      <c r="AK654" s="442"/>
      <c r="AL654" s="442"/>
      <c r="AM654" s="442"/>
      <c r="AN654" s="442"/>
      <c r="AO654" s="442"/>
      <c r="AP654" s="442"/>
      <c r="AQ654" s="442"/>
      <c r="AR654" s="442"/>
      <c r="AS654" s="442"/>
      <c r="AT654" s="442"/>
      <c r="AU654" s="442"/>
      <c r="AV654" s="442"/>
      <c r="AW654" s="442"/>
      <c r="AX654" s="442"/>
      <c r="AY654" s="442"/>
      <c r="AZ654" s="442"/>
      <c r="BA654" s="442"/>
      <c r="BB654" s="442"/>
      <c r="BC654" s="442"/>
      <c r="BD654" s="442"/>
      <c r="BE654" s="442"/>
      <c r="BF654" s="442"/>
      <c r="BG654" s="442"/>
      <c r="BH654" s="442"/>
      <c r="BI654" s="442"/>
      <c r="BJ654" s="442"/>
      <c r="BK654" s="442"/>
      <c r="BL654" s="442"/>
      <c r="BM654" s="442"/>
      <c r="BN654" s="442"/>
      <c r="BO654" s="442"/>
      <c r="BP654" s="442"/>
      <c r="BQ654" s="442"/>
      <c r="BR654" s="442"/>
      <c r="BS654" s="442"/>
      <c r="BT654" s="442"/>
      <c r="BU654" s="442"/>
      <c r="BV654" s="442"/>
      <c r="BW654" s="442"/>
      <c r="BX654" s="442"/>
      <c r="BY654" s="442"/>
      <c r="BZ654" s="442"/>
      <c r="CA654" s="442"/>
      <c r="CB654" s="442"/>
      <c r="CC654" s="442"/>
      <c r="CD654" s="442"/>
      <c r="CE654" s="442"/>
      <c r="CF654" s="442"/>
      <c r="CG654" s="442"/>
      <c r="CH654" s="442"/>
      <c r="CI654" s="442"/>
    </row>
    <row r="655" spans="4:87" x14ac:dyDescent="0.2">
      <c r="D655" s="442"/>
      <c r="E655" s="442"/>
      <c r="F655" s="442"/>
      <c r="G655" s="442"/>
      <c r="H655" s="442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  <c r="AA655" s="442"/>
      <c r="AB655" s="442"/>
      <c r="AC655" s="442"/>
      <c r="AD655" s="442"/>
      <c r="AE655" s="442"/>
      <c r="AF655" s="442"/>
      <c r="AG655" s="442"/>
      <c r="AH655" s="442"/>
      <c r="AI655" s="442"/>
      <c r="AJ655" s="442"/>
      <c r="AK655" s="442"/>
      <c r="AL655" s="442"/>
      <c r="AM655" s="442"/>
      <c r="AN655" s="442"/>
      <c r="AO655" s="442"/>
      <c r="AP655" s="442"/>
      <c r="AQ655" s="442"/>
      <c r="AR655" s="442"/>
      <c r="AS655" s="442"/>
      <c r="AT655" s="442"/>
      <c r="AU655" s="442"/>
      <c r="AV655" s="442"/>
      <c r="AW655" s="442"/>
      <c r="AX655" s="442"/>
      <c r="AY655" s="442"/>
      <c r="AZ655" s="442"/>
      <c r="BA655" s="442"/>
      <c r="BB655" s="442"/>
      <c r="BC655" s="442"/>
      <c r="BD655" s="442"/>
      <c r="BE655" s="442"/>
      <c r="BF655" s="442"/>
      <c r="BG655" s="442"/>
      <c r="BH655" s="442"/>
      <c r="BI655" s="442"/>
      <c r="BJ655" s="442"/>
      <c r="BK655" s="442"/>
      <c r="BL655" s="442"/>
      <c r="BM655" s="442"/>
      <c r="BN655" s="442"/>
      <c r="BO655" s="442"/>
      <c r="BP655" s="442"/>
      <c r="BQ655" s="442"/>
      <c r="BR655" s="442"/>
      <c r="BS655" s="442"/>
      <c r="BT655" s="442"/>
      <c r="BU655" s="442"/>
      <c r="BV655" s="442"/>
      <c r="BW655" s="442"/>
      <c r="BX655" s="442"/>
      <c r="BY655" s="442"/>
      <c r="BZ655" s="442"/>
      <c r="CA655" s="442"/>
      <c r="CB655" s="442"/>
      <c r="CC655" s="442"/>
      <c r="CD655" s="442"/>
      <c r="CE655" s="442"/>
      <c r="CF655" s="442"/>
      <c r="CG655" s="442"/>
      <c r="CH655" s="442"/>
      <c r="CI655" s="442"/>
    </row>
    <row r="656" spans="4:87" x14ac:dyDescent="0.2">
      <c r="D656" s="442"/>
      <c r="E656" s="442"/>
      <c r="F656" s="442"/>
      <c r="G656" s="442"/>
      <c r="H656" s="442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  <c r="AA656" s="442"/>
      <c r="AB656" s="442"/>
      <c r="AC656" s="442"/>
      <c r="AD656" s="442"/>
      <c r="AE656" s="442"/>
      <c r="AF656" s="442"/>
      <c r="AG656" s="442"/>
      <c r="AH656" s="442"/>
      <c r="AI656" s="442"/>
      <c r="AJ656" s="442"/>
      <c r="AK656" s="442"/>
      <c r="AL656" s="442"/>
      <c r="AM656" s="442"/>
      <c r="AN656" s="442"/>
      <c r="AO656" s="442"/>
      <c r="AP656" s="442"/>
      <c r="AQ656" s="442"/>
      <c r="AR656" s="442"/>
      <c r="AS656" s="442"/>
      <c r="AT656" s="442"/>
      <c r="AU656" s="442"/>
      <c r="AV656" s="442"/>
      <c r="AW656" s="442"/>
      <c r="AX656" s="442"/>
      <c r="AY656" s="442"/>
      <c r="AZ656" s="442"/>
      <c r="BA656" s="442"/>
      <c r="BB656" s="442"/>
      <c r="BC656" s="442"/>
      <c r="BD656" s="442"/>
      <c r="BE656" s="442"/>
      <c r="BF656" s="442"/>
      <c r="BG656" s="442"/>
      <c r="BH656" s="442"/>
      <c r="BI656" s="442"/>
      <c r="BJ656" s="442"/>
      <c r="BK656" s="442"/>
      <c r="BL656" s="442"/>
      <c r="BM656" s="442"/>
      <c r="BN656" s="442"/>
      <c r="BO656" s="442"/>
      <c r="BP656" s="442"/>
      <c r="BQ656" s="442"/>
      <c r="BR656" s="442"/>
      <c r="BS656" s="442"/>
      <c r="BT656" s="442"/>
      <c r="BU656" s="442"/>
      <c r="BV656" s="442"/>
      <c r="BW656" s="442"/>
      <c r="BX656" s="442"/>
      <c r="BY656" s="442"/>
      <c r="BZ656" s="442"/>
      <c r="CA656" s="442"/>
      <c r="CB656" s="442"/>
      <c r="CC656" s="442"/>
      <c r="CD656" s="442"/>
      <c r="CE656" s="442"/>
      <c r="CF656" s="442"/>
      <c r="CG656" s="442"/>
      <c r="CH656" s="442"/>
      <c r="CI656" s="442"/>
    </row>
    <row r="657" spans="4:87" x14ac:dyDescent="0.2"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  <c r="AA657" s="442"/>
      <c r="AB657" s="442"/>
      <c r="AC657" s="442"/>
      <c r="AD657" s="442"/>
      <c r="AE657" s="442"/>
      <c r="AF657" s="442"/>
      <c r="AG657" s="442"/>
      <c r="AH657" s="442"/>
      <c r="AI657" s="442"/>
      <c r="AJ657" s="442"/>
      <c r="AK657" s="442"/>
      <c r="AL657" s="442"/>
      <c r="AM657" s="442"/>
      <c r="AN657" s="442"/>
      <c r="AO657" s="442"/>
      <c r="AP657" s="442"/>
      <c r="AQ657" s="442"/>
      <c r="AR657" s="442"/>
      <c r="AS657" s="442"/>
      <c r="AT657" s="442"/>
      <c r="AU657" s="442"/>
      <c r="AV657" s="442"/>
      <c r="AW657" s="442"/>
      <c r="AX657" s="442"/>
      <c r="AY657" s="442"/>
      <c r="AZ657" s="442"/>
      <c r="BA657" s="442"/>
      <c r="BB657" s="442"/>
      <c r="BC657" s="442"/>
      <c r="BD657" s="442"/>
      <c r="BE657" s="442"/>
      <c r="BF657" s="442"/>
      <c r="BG657" s="442"/>
      <c r="BH657" s="442"/>
      <c r="BI657" s="442"/>
      <c r="BJ657" s="442"/>
      <c r="BK657" s="442"/>
      <c r="BL657" s="442"/>
      <c r="BM657" s="442"/>
      <c r="BN657" s="442"/>
      <c r="BO657" s="442"/>
      <c r="BP657" s="442"/>
      <c r="BQ657" s="442"/>
      <c r="BR657" s="442"/>
      <c r="BS657" s="442"/>
      <c r="BT657" s="442"/>
      <c r="BU657" s="442"/>
      <c r="BV657" s="442"/>
      <c r="BW657" s="442"/>
      <c r="BX657" s="442"/>
      <c r="BY657" s="442"/>
      <c r="BZ657" s="442"/>
      <c r="CA657" s="442"/>
      <c r="CB657" s="442"/>
      <c r="CC657" s="442"/>
      <c r="CD657" s="442"/>
      <c r="CE657" s="442"/>
      <c r="CF657" s="442"/>
      <c r="CG657" s="442"/>
      <c r="CH657" s="442"/>
      <c r="CI657" s="442"/>
    </row>
    <row r="658" spans="4:87" x14ac:dyDescent="0.2">
      <c r="D658" s="442"/>
      <c r="E658" s="442"/>
      <c r="F658" s="442"/>
      <c r="G658" s="442"/>
      <c r="H658" s="442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  <c r="AA658" s="442"/>
      <c r="AB658" s="442"/>
      <c r="AC658" s="442"/>
      <c r="AD658" s="442"/>
      <c r="AE658" s="442"/>
      <c r="AF658" s="442"/>
      <c r="AG658" s="442"/>
      <c r="AH658" s="442"/>
      <c r="AI658" s="442"/>
      <c r="AJ658" s="442"/>
      <c r="AK658" s="442"/>
      <c r="AL658" s="442"/>
      <c r="AM658" s="442"/>
      <c r="AN658" s="442"/>
      <c r="AO658" s="442"/>
      <c r="AP658" s="442"/>
      <c r="AQ658" s="442"/>
      <c r="AR658" s="442"/>
      <c r="AS658" s="442"/>
      <c r="AT658" s="442"/>
      <c r="AU658" s="442"/>
      <c r="AV658" s="442"/>
      <c r="AW658" s="442"/>
      <c r="AX658" s="442"/>
      <c r="AY658" s="442"/>
      <c r="AZ658" s="442"/>
      <c r="BA658" s="442"/>
      <c r="BB658" s="442"/>
      <c r="BC658" s="442"/>
      <c r="BD658" s="442"/>
      <c r="BE658" s="442"/>
      <c r="BF658" s="442"/>
      <c r="BG658" s="442"/>
      <c r="BH658" s="442"/>
      <c r="BI658" s="442"/>
      <c r="BJ658" s="442"/>
      <c r="BK658" s="442"/>
      <c r="BL658" s="442"/>
      <c r="BM658" s="442"/>
      <c r="BN658" s="442"/>
      <c r="BO658" s="442"/>
      <c r="BP658" s="442"/>
      <c r="BQ658" s="442"/>
      <c r="BR658" s="442"/>
      <c r="BS658" s="442"/>
      <c r="BT658" s="442"/>
      <c r="BU658" s="442"/>
      <c r="BV658" s="442"/>
      <c r="BW658" s="442"/>
      <c r="BX658" s="442"/>
      <c r="BY658" s="442"/>
      <c r="BZ658" s="442"/>
      <c r="CA658" s="442"/>
      <c r="CB658" s="442"/>
      <c r="CC658" s="442"/>
      <c r="CD658" s="442"/>
      <c r="CE658" s="442"/>
      <c r="CF658" s="442"/>
      <c r="CG658" s="442"/>
      <c r="CH658" s="442"/>
      <c r="CI658" s="442"/>
    </row>
    <row r="659" spans="4:87" x14ac:dyDescent="0.2">
      <c r="D659" s="442"/>
      <c r="E659" s="442"/>
      <c r="F659" s="442"/>
      <c r="G659" s="442"/>
      <c r="H659" s="442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  <c r="AA659" s="442"/>
      <c r="AB659" s="442"/>
      <c r="AC659" s="442"/>
      <c r="AD659" s="442"/>
      <c r="AE659" s="442"/>
      <c r="AF659" s="442"/>
      <c r="AG659" s="442"/>
      <c r="AH659" s="442"/>
      <c r="AI659" s="442"/>
      <c r="AJ659" s="442"/>
      <c r="AK659" s="442"/>
      <c r="AL659" s="442"/>
      <c r="AM659" s="442"/>
      <c r="AN659" s="442"/>
      <c r="AO659" s="442"/>
      <c r="AP659" s="442"/>
      <c r="AQ659" s="442"/>
      <c r="AR659" s="442"/>
      <c r="AS659" s="442"/>
      <c r="AT659" s="442"/>
      <c r="AU659" s="442"/>
      <c r="AV659" s="442"/>
      <c r="AW659" s="442"/>
      <c r="AX659" s="442"/>
      <c r="AY659" s="442"/>
      <c r="AZ659" s="442"/>
      <c r="BA659" s="442"/>
      <c r="BB659" s="442"/>
      <c r="BC659" s="442"/>
      <c r="BD659" s="442"/>
      <c r="BE659" s="442"/>
      <c r="BF659" s="442"/>
      <c r="BG659" s="442"/>
      <c r="BH659" s="442"/>
      <c r="BI659" s="442"/>
      <c r="BJ659" s="442"/>
      <c r="BK659" s="442"/>
      <c r="BL659" s="442"/>
      <c r="BM659" s="442"/>
      <c r="BN659" s="442"/>
      <c r="BO659" s="442"/>
      <c r="BP659" s="442"/>
      <c r="BQ659" s="442"/>
      <c r="BR659" s="442"/>
      <c r="BS659" s="442"/>
      <c r="BT659" s="442"/>
      <c r="BU659" s="442"/>
      <c r="BV659" s="442"/>
      <c r="BW659" s="442"/>
      <c r="BX659" s="442"/>
      <c r="BY659" s="442"/>
      <c r="BZ659" s="442"/>
      <c r="CA659" s="442"/>
      <c r="CB659" s="442"/>
      <c r="CC659" s="442"/>
      <c r="CD659" s="442"/>
      <c r="CE659" s="442"/>
      <c r="CF659" s="442"/>
      <c r="CG659" s="442"/>
      <c r="CH659" s="442"/>
      <c r="CI659" s="442"/>
    </row>
    <row r="660" spans="4:87" x14ac:dyDescent="0.2"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  <c r="AA660" s="442"/>
      <c r="AB660" s="442"/>
      <c r="AC660" s="442"/>
      <c r="AD660" s="442"/>
      <c r="AE660" s="442"/>
      <c r="AF660" s="442"/>
      <c r="AG660" s="442"/>
      <c r="AH660" s="442"/>
      <c r="AI660" s="442"/>
      <c r="AJ660" s="442"/>
      <c r="AK660" s="442"/>
      <c r="AL660" s="442"/>
      <c r="AM660" s="442"/>
      <c r="AN660" s="442"/>
      <c r="AO660" s="442"/>
      <c r="AP660" s="442"/>
      <c r="AQ660" s="442"/>
      <c r="AR660" s="442"/>
      <c r="AS660" s="442"/>
      <c r="AT660" s="442"/>
      <c r="AU660" s="442"/>
      <c r="AV660" s="442"/>
      <c r="AW660" s="442"/>
      <c r="AX660" s="442"/>
      <c r="AY660" s="442"/>
      <c r="AZ660" s="442"/>
      <c r="BA660" s="442"/>
      <c r="BB660" s="442"/>
      <c r="BC660" s="442"/>
      <c r="BD660" s="442"/>
      <c r="BE660" s="442"/>
      <c r="BF660" s="442"/>
      <c r="BG660" s="442"/>
      <c r="BH660" s="442"/>
      <c r="BI660" s="442"/>
      <c r="BJ660" s="442"/>
      <c r="BK660" s="442"/>
      <c r="BL660" s="442"/>
      <c r="BM660" s="442"/>
      <c r="BN660" s="442"/>
      <c r="BO660" s="442"/>
      <c r="BP660" s="442"/>
      <c r="BQ660" s="442"/>
      <c r="BR660" s="442"/>
      <c r="BS660" s="442"/>
      <c r="BT660" s="442"/>
      <c r="BU660" s="442"/>
      <c r="BV660" s="442"/>
      <c r="BW660" s="442"/>
      <c r="BX660" s="442"/>
      <c r="BY660" s="442"/>
      <c r="BZ660" s="442"/>
      <c r="CA660" s="442"/>
      <c r="CB660" s="442"/>
      <c r="CC660" s="442"/>
      <c r="CD660" s="442"/>
      <c r="CE660" s="442"/>
      <c r="CF660" s="442"/>
      <c r="CG660" s="442"/>
      <c r="CH660" s="442"/>
      <c r="CI660" s="442"/>
    </row>
    <row r="661" spans="4:87" x14ac:dyDescent="0.2">
      <c r="D661" s="442"/>
      <c r="E661" s="442"/>
      <c r="F661" s="442"/>
      <c r="G661" s="442"/>
      <c r="H661" s="442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  <c r="AA661" s="442"/>
      <c r="AB661" s="442"/>
      <c r="AC661" s="442"/>
      <c r="AD661" s="442"/>
      <c r="AE661" s="442"/>
      <c r="AF661" s="442"/>
      <c r="AG661" s="442"/>
      <c r="AH661" s="442"/>
      <c r="AI661" s="442"/>
      <c r="AJ661" s="442"/>
      <c r="AK661" s="442"/>
      <c r="AL661" s="442"/>
      <c r="AM661" s="442"/>
      <c r="AN661" s="442"/>
      <c r="AO661" s="442"/>
      <c r="AP661" s="442"/>
      <c r="AQ661" s="442"/>
      <c r="AR661" s="442"/>
      <c r="AS661" s="442"/>
      <c r="AT661" s="442"/>
      <c r="AU661" s="442"/>
      <c r="AV661" s="442"/>
      <c r="AW661" s="442"/>
      <c r="AX661" s="442"/>
      <c r="AY661" s="442"/>
      <c r="AZ661" s="442"/>
      <c r="BA661" s="442"/>
      <c r="BB661" s="442"/>
      <c r="BC661" s="442"/>
      <c r="BD661" s="442"/>
      <c r="BE661" s="442"/>
      <c r="BF661" s="442"/>
      <c r="BG661" s="442"/>
      <c r="BH661" s="442"/>
      <c r="BI661" s="442"/>
      <c r="BJ661" s="442"/>
      <c r="BK661" s="442"/>
      <c r="BL661" s="442"/>
      <c r="BM661" s="442"/>
      <c r="BN661" s="442"/>
      <c r="BO661" s="442"/>
      <c r="BP661" s="442"/>
      <c r="BQ661" s="442"/>
      <c r="BR661" s="442"/>
      <c r="BS661" s="442"/>
      <c r="BT661" s="442"/>
      <c r="BU661" s="442"/>
      <c r="BV661" s="442"/>
      <c r="BW661" s="442"/>
      <c r="BX661" s="442"/>
      <c r="BY661" s="442"/>
      <c r="BZ661" s="442"/>
      <c r="CA661" s="442"/>
      <c r="CB661" s="442"/>
      <c r="CC661" s="442"/>
      <c r="CD661" s="442"/>
      <c r="CE661" s="442"/>
      <c r="CF661" s="442"/>
      <c r="CG661" s="442"/>
      <c r="CH661" s="442"/>
      <c r="CI661" s="442"/>
    </row>
    <row r="662" spans="4:87" x14ac:dyDescent="0.2">
      <c r="D662" s="442"/>
      <c r="E662" s="442"/>
      <c r="F662" s="442"/>
      <c r="G662" s="442"/>
      <c r="H662" s="442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  <c r="AA662" s="442"/>
      <c r="AB662" s="442"/>
      <c r="AC662" s="442"/>
      <c r="AD662" s="442"/>
      <c r="AE662" s="442"/>
      <c r="AF662" s="442"/>
      <c r="AG662" s="442"/>
      <c r="AH662" s="442"/>
      <c r="AI662" s="442"/>
      <c r="AJ662" s="442"/>
      <c r="AK662" s="442"/>
      <c r="AL662" s="442"/>
      <c r="AM662" s="442"/>
      <c r="AN662" s="442"/>
      <c r="AO662" s="442"/>
      <c r="AP662" s="442"/>
      <c r="AQ662" s="442"/>
      <c r="AR662" s="442"/>
      <c r="AS662" s="442"/>
      <c r="AT662" s="442"/>
      <c r="AU662" s="442"/>
      <c r="AV662" s="442"/>
      <c r="AW662" s="442"/>
      <c r="AX662" s="442"/>
      <c r="AY662" s="442"/>
      <c r="AZ662" s="442"/>
      <c r="BA662" s="442"/>
      <c r="BB662" s="442"/>
      <c r="BC662" s="442"/>
      <c r="BD662" s="442"/>
      <c r="BE662" s="442"/>
      <c r="BF662" s="442"/>
      <c r="BG662" s="442"/>
      <c r="BH662" s="442"/>
      <c r="BI662" s="442"/>
      <c r="BJ662" s="442"/>
      <c r="BK662" s="442"/>
      <c r="BL662" s="442"/>
      <c r="BM662" s="442"/>
      <c r="BN662" s="442"/>
      <c r="BO662" s="442"/>
      <c r="BP662" s="442"/>
      <c r="BQ662" s="442"/>
      <c r="BR662" s="442"/>
      <c r="BS662" s="442"/>
      <c r="BT662" s="442"/>
      <c r="BU662" s="442"/>
      <c r="BV662" s="442"/>
      <c r="BW662" s="442"/>
      <c r="BX662" s="442"/>
      <c r="BY662" s="442"/>
      <c r="BZ662" s="442"/>
      <c r="CA662" s="442"/>
      <c r="CB662" s="442"/>
      <c r="CC662" s="442"/>
      <c r="CD662" s="442"/>
      <c r="CE662" s="442"/>
      <c r="CF662" s="442"/>
      <c r="CG662" s="442"/>
      <c r="CH662" s="442"/>
      <c r="CI662" s="442"/>
    </row>
    <row r="663" spans="4:87" x14ac:dyDescent="0.2"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  <c r="AA663" s="442"/>
      <c r="AB663" s="442"/>
      <c r="AC663" s="442"/>
      <c r="AD663" s="442"/>
      <c r="AE663" s="442"/>
      <c r="AF663" s="442"/>
      <c r="AG663" s="442"/>
      <c r="AH663" s="442"/>
      <c r="AI663" s="442"/>
      <c r="AJ663" s="442"/>
      <c r="AK663" s="442"/>
      <c r="AL663" s="442"/>
      <c r="AM663" s="442"/>
      <c r="AN663" s="442"/>
      <c r="AO663" s="442"/>
      <c r="AP663" s="442"/>
      <c r="AQ663" s="442"/>
      <c r="AR663" s="442"/>
      <c r="AS663" s="442"/>
      <c r="AT663" s="442"/>
      <c r="AU663" s="442"/>
      <c r="AV663" s="442"/>
      <c r="AW663" s="442"/>
      <c r="AX663" s="442"/>
      <c r="AY663" s="442"/>
      <c r="AZ663" s="442"/>
      <c r="BA663" s="442"/>
      <c r="BB663" s="442"/>
      <c r="BC663" s="442"/>
      <c r="BD663" s="442"/>
      <c r="BE663" s="442"/>
      <c r="BF663" s="442"/>
      <c r="BG663" s="442"/>
      <c r="BH663" s="442"/>
      <c r="BI663" s="442"/>
      <c r="BJ663" s="442"/>
      <c r="BK663" s="442"/>
      <c r="BL663" s="442"/>
      <c r="BM663" s="442"/>
      <c r="BN663" s="442"/>
      <c r="BO663" s="442"/>
      <c r="BP663" s="442"/>
      <c r="BQ663" s="442"/>
      <c r="BR663" s="442"/>
      <c r="BS663" s="442"/>
      <c r="BT663" s="442"/>
      <c r="BU663" s="442"/>
      <c r="BV663" s="442"/>
      <c r="BW663" s="442"/>
      <c r="BX663" s="442"/>
      <c r="BY663" s="442"/>
      <c r="BZ663" s="442"/>
      <c r="CA663" s="442"/>
      <c r="CB663" s="442"/>
      <c r="CC663" s="442"/>
      <c r="CD663" s="442"/>
      <c r="CE663" s="442"/>
      <c r="CF663" s="442"/>
      <c r="CG663" s="442"/>
      <c r="CH663" s="442"/>
      <c r="CI663" s="442"/>
    </row>
    <row r="664" spans="4:87" x14ac:dyDescent="0.2">
      <c r="D664" s="442"/>
      <c r="E664" s="442"/>
      <c r="F664" s="442"/>
      <c r="G664" s="442"/>
      <c r="H664" s="442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  <c r="AA664" s="442"/>
      <c r="AB664" s="442"/>
      <c r="AC664" s="442"/>
      <c r="AD664" s="442"/>
      <c r="AE664" s="442"/>
      <c r="AF664" s="442"/>
      <c r="AG664" s="442"/>
      <c r="AH664" s="442"/>
      <c r="AI664" s="442"/>
      <c r="AJ664" s="442"/>
      <c r="AK664" s="442"/>
      <c r="AL664" s="442"/>
      <c r="AM664" s="442"/>
      <c r="AN664" s="442"/>
      <c r="AO664" s="442"/>
      <c r="AP664" s="442"/>
      <c r="AQ664" s="442"/>
      <c r="AR664" s="442"/>
      <c r="AS664" s="442"/>
      <c r="AT664" s="442"/>
      <c r="AU664" s="442"/>
      <c r="AV664" s="442"/>
      <c r="AW664" s="442"/>
      <c r="AX664" s="442"/>
      <c r="AY664" s="442"/>
      <c r="AZ664" s="442"/>
      <c r="BA664" s="442"/>
      <c r="BB664" s="442"/>
      <c r="BC664" s="442"/>
      <c r="BD664" s="442"/>
      <c r="BE664" s="442"/>
      <c r="BF664" s="442"/>
      <c r="BG664" s="442"/>
      <c r="BH664" s="442"/>
      <c r="BI664" s="442"/>
      <c r="BJ664" s="442"/>
      <c r="BK664" s="442"/>
      <c r="BL664" s="442"/>
      <c r="BM664" s="442"/>
      <c r="BN664" s="442"/>
      <c r="BO664" s="442"/>
      <c r="BP664" s="442"/>
      <c r="BQ664" s="442"/>
      <c r="BR664" s="442"/>
      <c r="BS664" s="442"/>
      <c r="BT664" s="442"/>
      <c r="BU664" s="442"/>
      <c r="BV664" s="442"/>
      <c r="BW664" s="442"/>
      <c r="BX664" s="442"/>
      <c r="BY664" s="442"/>
      <c r="BZ664" s="442"/>
      <c r="CA664" s="442"/>
      <c r="CB664" s="442"/>
      <c r="CC664" s="442"/>
      <c r="CD664" s="442"/>
      <c r="CE664" s="442"/>
      <c r="CF664" s="442"/>
      <c r="CG664" s="442"/>
      <c r="CH664" s="442"/>
      <c r="CI664" s="442"/>
    </row>
    <row r="665" spans="4:87" x14ac:dyDescent="0.2">
      <c r="D665" s="442"/>
      <c r="E665" s="442"/>
      <c r="F665" s="442"/>
      <c r="G665" s="442"/>
      <c r="H665" s="442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  <c r="AA665" s="442"/>
      <c r="AB665" s="442"/>
      <c r="AC665" s="442"/>
      <c r="AD665" s="442"/>
      <c r="AE665" s="442"/>
      <c r="AF665" s="442"/>
      <c r="AG665" s="442"/>
      <c r="AH665" s="442"/>
      <c r="AI665" s="442"/>
      <c r="AJ665" s="442"/>
      <c r="AK665" s="442"/>
      <c r="AL665" s="442"/>
      <c r="AM665" s="442"/>
      <c r="AN665" s="442"/>
      <c r="AO665" s="442"/>
      <c r="AP665" s="442"/>
      <c r="AQ665" s="442"/>
      <c r="AR665" s="442"/>
      <c r="AS665" s="442"/>
      <c r="AT665" s="442"/>
      <c r="AU665" s="442"/>
      <c r="AV665" s="442"/>
      <c r="AW665" s="442"/>
      <c r="AX665" s="442"/>
      <c r="AY665" s="442"/>
      <c r="AZ665" s="442"/>
      <c r="BA665" s="442"/>
      <c r="BB665" s="442"/>
      <c r="BC665" s="442"/>
      <c r="BD665" s="442"/>
      <c r="BE665" s="442"/>
      <c r="BF665" s="442"/>
      <c r="BG665" s="442"/>
      <c r="BH665" s="442"/>
      <c r="BI665" s="442"/>
      <c r="BJ665" s="442"/>
      <c r="BK665" s="442"/>
      <c r="BL665" s="442"/>
      <c r="BM665" s="442"/>
      <c r="BN665" s="442"/>
      <c r="BO665" s="442"/>
      <c r="BP665" s="442"/>
      <c r="BQ665" s="442"/>
      <c r="BR665" s="442"/>
      <c r="BS665" s="442"/>
      <c r="BT665" s="442"/>
      <c r="BU665" s="442"/>
      <c r="BV665" s="442"/>
      <c r="BW665" s="442"/>
      <c r="BX665" s="442"/>
      <c r="BY665" s="442"/>
      <c r="BZ665" s="442"/>
      <c r="CA665" s="442"/>
      <c r="CB665" s="442"/>
      <c r="CC665" s="442"/>
      <c r="CD665" s="442"/>
      <c r="CE665" s="442"/>
      <c r="CF665" s="442"/>
      <c r="CG665" s="442"/>
      <c r="CH665" s="442"/>
      <c r="CI665" s="442"/>
    </row>
    <row r="666" spans="4:87" x14ac:dyDescent="0.2">
      <c r="D666" s="442"/>
      <c r="E666" s="442"/>
      <c r="F666" s="442"/>
      <c r="G666" s="442"/>
      <c r="H666" s="442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  <c r="AA666" s="442"/>
      <c r="AB666" s="442"/>
      <c r="AC666" s="442"/>
      <c r="AD666" s="442"/>
      <c r="AE666" s="442"/>
      <c r="AF666" s="442"/>
      <c r="AG666" s="442"/>
      <c r="AH666" s="442"/>
      <c r="AI666" s="442"/>
      <c r="AJ666" s="442"/>
      <c r="AK666" s="442"/>
      <c r="AL666" s="442"/>
      <c r="AM666" s="442"/>
      <c r="AN666" s="442"/>
      <c r="AO666" s="442"/>
      <c r="AP666" s="442"/>
      <c r="AQ666" s="442"/>
      <c r="AR666" s="442"/>
      <c r="AS666" s="442"/>
      <c r="AT666" s="442"/>
      <c r="AU666" s="442"/>
      <c r="AV666" s="442"/>
      <c r="AW666" s="442"/>
      <c r="AX666" s="442"/>
      <c r="AY666" s="442"/>
      <c r="AZ666" s="442"/>
      <c r="BA666" s="442"/>
      <c r="BB666" s="442"/>
      <c r="BC666" s="442"/>
      <c r="BD666" s="442"/>
      <c r="BE666" s="442"/>
      <c r="BF666" s="442"/>
      <c r="BG666" s="442"/>
      <c r="BH666" s="442"/>
      <c r="BI666" s="442"/>
      <c r="BJ666" s="442"/>
      <c r="BK666" s="442"/>
      <c r="BL666" s="442"/>
      <c r="BM666" s="442"/>
      <c r="BN666" s="442"/>
      <c r="BO666" s="442"/>
      <c r="BP666" s="442"/>
      <c r="BQ666" s="442"/>
      <c r="BR666" s="442"/>
      <c r="BS666" s="442"/>
      <c r="BT666" s="442"/>
      <c r="BU666" s="442"/>
      <c r="BV666" s="442"/>
      <c r="BW666" s="442"/>
      <c r="BX666" s="442"/>
      <c r="BY666" s="442"/>
      <c r="BZ666" s="442"/>
      <c r="CA666" s="442"/>
      <c r="CB666" s="442"/>
      <c r="CC666" s="442"/>
      <c r="CD666" s="442"/>
      <c r="CE666" s="442"/>
      <c r="CF666" s="442"/>
      <c r="CG666" s="442"/>
      <c r="CH666" s="442"/>
      <c r="CI666" s="442"/>
    </row>
    <row r="667" spans="4:87" x14ac:dyDescent="0.2">
      <c r="D667" s="442"/>
      <c r="E667" s="442"/>
      <c r="F667" s="442"/>
      <c r="G667" s="442"/>
      <c r="H667" s="442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  <c r="AA667" s="442"/>
      <c r="AB667" s="442"/>
      <c r="AC667" s="442"/>
      <c r="AD667" s="442"/>
      <c r="AE667" s="442"/>
      <c r="AF667" s="442"/>
      <c r="AG667" s="442"/>
      <c r="AH667" s="442"/>
      <c r="AI667" s="442"/>
      <c r="AJ667" s="442"/>
      <c r="AK667" s="442"/>
      <c r="AL667" s="442"/>
      <c r="AM667" s="442"/>
      <c r="AN667" s="442"/>
      <c r="AO667" s="442"/>
      <c r="AP667" s="442"/>
      <c r="AQ667" s="442"/>
      <c r="AR667" s="442"/>
      <c r="AS667" s="442"/>
      <c r="AT667" s="442"/>
      <c r="AU667" s="442"/>
      <c r="AV667" s="442"/>
      <c r="AW667" s="442"/>
      <c r="AX667" s="442"/>
      <c r="AY667" s="442"/>
      <c r="AZ667" s="442"/>
      <c r="BA667" s="442"/>
      <c r="BB667" s="442"/>
      <c r="BC667" s="442"/>
      <c r="BD667" s="442"/>
      <c r="BE667" s="442"/>
      <c r="BF667" s="442"/>
      <c r="BG667" s="442"/>
      <c r="BH667" s="442"/>
      <c r="BI667" s="442"/>
      <c r="BJ667" s="442"/>
      <c r="BK667" s="442"/>
      <c r="BL667" s="442"/>
      <c r="BM667" s="442"/>
      <c r="BN667" s="442"/>
      <c r="BO667" s="442"/>
      <c r="BP667" s="442"/>
      <c r="BQ667" s="442"/>
      <c r="BR667" s="442"/>
      <c r="BS667" s="442"/>
      <c r="BT667" s="442"/>
      <c r="BU667" s="442"/>
      <c r="BV667" s="442"/>
      <c r="BW667" s="442"/>
      <c r="BX667" s="442"/>
      <c r="BY667" s="442"/>
      <c r="BZ667" s="442"/>
      <c r="CA667" s="442"/>
      <c r="CB667" s="442"/>
      <c r="CC667" s="442"/>
      <c r="CD667" s="442"/>
      <c r="CE667" s="442"/>
      <c r="CF667" s="442"/>
      <c r="CG667" s="442"/>
      <c r="CH667" s="442"/>
      <c r="CI667" s="442"/>
    </row>
    <row r="668" spans="4:87" x14ac:dyDescent="0.2">
      <c r="D668" s="442"/>
      <c r="E668" s="442"/>
      <c r="F668" s="442"/>
      <c r="G668" s="442"/>
      <c r="H668" s="442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  <c r="AA668" s="442"/>
      <c r="AB668" s="442"/>
      <c r="AC668" s="442"/>
      <c r="AD668" s="442"/>
      <c r="AE668" s="442"/>
      <c r="AF668" s="442"/>
      <c r="AG668" s="442"/>
      <c r="AH668" s="442"/>
      <c r="AI668" s="442"/>
      <c r="AJ668" s="442"/>
      <c r="AK668" s="442"/>
      <c r="AL668" s="442"/>
      <c r="AM668" s="442"/>
      <c r="AN668" s="442"/>
      <c r="AO668" s="442"/>
      <c r="AP668" s="442"/>
      <c r="AQ668" s="442"/>
      <c r="AR668" s="442"/>
      <c r="AS668" s="442"/>
      <c r="AT668" s="442"/>
      <c r="AU668" s="442"/>
      <c r="AV668" s="442"/>
      <c r="AW668" s="442"/>
      <c r="AX668" s="442"/>
      <c r="AY668" s="442"/>
      <c r="AZ668" s="442"/>
      <c r="BA668" s="442"/>
      <c r="BB668" s="442"/>
      <c r="BC668" s="442"/>
      <c r="BD668" s="442"/>
      <c r="BE668" s="442"/>
      <c r="BF668" s="442"/>
      <c r="BG668" s="442"/>
      <c r="BH668" s="442"/>
      <c r="BI668" s="442"/>
      <c r="BJ668" s="442"/>
      <c r="BK668" s="442"/>
      <c r="BL668" s="442"/>
      <c r="BM668" s="442"/>
      <c r="BN668" s="442"/>
      <c r="BO668" s="442"/>
      <c r="BP668" s="442"/>
      <c r="BQ668" s="442"/>
      <c r="BR668" s="442"/>
      <c r="BS668" s="442"/>
      <c r="BT668" s="442"/>
      <c r="BU668" s="442"/>
      <c r="BV668" s="442"/>
      <c r="BW668" s="442"/>
      <c r="BX668" s="442"/>
      <c r="BY668" s="442"/>
      <c r="BZ668" s="442"/>
      <c r="CA668" s="442"/>
      <c r="CB668" s="442"/>
      <c r="CC668" s="442"/>
      <c r="CD668" s="442"/>
      <c r="CE668" s="442"/>
      <c r="CF668" s="442"/>
      <c r="CG668" s="442"/>
      <c r="CH668" s="442"/>
      <c r="CI668" s="442"/>
    </row>
    <row r="669" spans="4:87" x14ac:dyDescent="0.2">
      <c r="D669" s="442"/>
      <c r="E669" s="442"/>
      <c r="F669" s="442"/>
      <c r="G669" s="442"/>
      <c r="H669" s="442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  <c r="AA669" s="442"/>
      <c r="AB669" s="442"/>
      <c r="AC669" s="442"/>
      <c r="AD669" s="442"/>
      <c r="AE669" s="442"/>
      <c r="AF669" s="442"/>
      <c r="AG669" s="442"/>
      <c r="AH669" s="442"/>
      <c r="AI669" s="442"/>
      <c r="AJ669" s="442"/>
      <c r="AK669" s="442"/>
      <c r="AL669" s="442"/>
      <c r="AM669" s="442"/>
      <c r="AN669" s="442"/>
      <c r="AO669" s="442"/>
      <c r="AP669" s="442"/>
      <c r="AQ669" s="442"/>
      <c r="AR669" s="442"/>
      <c r="AS669" s="442"/>
      <c r="AT669" s="442"/>
      <c r="AU669" s="442"/>
      <c r="AV669" s="442"/>
      <c r="AW669" s="442"/>
      <c r="AX669" s="442"/>
      <c r="AY669" s="442"/>
      <c r="AZ669" s="442"/>
      <c r="BA669" s="442"/>
      <c r="BB669" s="442"/>
      <c r="BC669" s="442"/>
      <c r="BD669" s="442"/>
      <c r="BE669" s="442"/>
      <c r="BF669" s="442"/>
      <c r="BG669" s="442"/>
      <c r="BH669" s="442"/>
      <c r="BI669" s="442"/>
      <c r="BJ669" s="442"/>
      <c r="BK669" s="442"/>
      <c r="BL669" s="442"/>
      <c r="BM669" s="442"/>
      <c r="BN669" s="442"/>
      <c r="BO669" s="442"/>
      <c r="BP669" s="442"/>
      <c r="BQ669" s="442"/>
      <c r="BR669" s="442"/>
      <c r="BS669" s="442"/>
      <c r="BT669" s="442"/>
      <c r="BU669" s="442"/>
      <c r="BV669" s="442"/>
      <c r="BW669" s="442"/>
      <c r="BX669" s="442"/>
      <c r="BY669" s="442"/>
      <c r="BZ669" s="442"/>
      <c r="CA669" s="442"/>
      <c r="CB669" s="442"/>
      <c r="CC669" s="442"/>
      <c r="CD669" s="442"/>
      <c r="CE669" s="442"/>
      <c r="CF669" s="442"/>
      <c r="CG669" s="442"/>
      <c r="CH669" s="442"/>
      <c r="CI669" s="442"/>
    </row>
    <row r="670" spans="4:87" x14ac:dyDescent="0.2">
      <c r="D670" s="442"/>
      <c r="E670" s="442"/>
      <c r="F670" s="442"/>
      <c r="G670" s="442"/>
      <c r="H670" s="442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  <c r="AA670" s="442"/>
      <c r="AB670" s="442"/>
      <c r="AC670" s="442"/>
      <c r="AD670" s="442"/>
      <c r="AE670" s="442"/>
      <c r="AF670" s="442"/>
      <c r="AG670" s="442"/>
      <c r="AH670" s="442"/>
      <c r="AI670" s="442"/>
      <c r="AJ670" s="442"/>
      <c r="AK670" s="442"/>
      <c r="AL670" s="442"/>
      <c r="AM670" s="442"/>
      <c r="AN670" s="442"/>
      <c r="AO670" s="442"/>
      <c r="AP670" s="442"/>
      <c r="AQ670" s="442"/>
      <c r="AR670" s="442"/>
      <c r="AS670" s="442"/>
      <c r="AT670" s="442"/>
      <c r="AU670" s="442"/>
      <c r="AV670" s="442"/>
      <c r="AW670" s="442"/>
      <c r="AX670" s="442"/>
      <c r="AY670" s="442"/>
      <c r="AZ670" s="442"/>
      <c r="BA670" s="442"/>
      <c r="BB670" s="442"/>
      <c r="BC670" s="442"/>
      <c r="BD670" s="442"/>
      <c r="BE670" s="442"/>
      <c r="BF670" s="442"/>
      <c r="BG670" s="442"/>
      <c r="BH670" s="442"/>
      <c r="BI670" s="442"/>
      <c r="BJ670" s="442"/>
      <c r="BK670" s="442"/>
      <c r="BL670" s="442"/>
      <c r="BM670" s="442"/>
      <c r="BN670" s="442"/>
      <c r="BO670" s="442"/>
      <c r="BP670" s="442"/>
      <c r="BQ670" s="442"/>
      <c r="BR670" s="442"/>
      <c r="BS670" s="442"/>
      <c r="BT670" s="442"/>
      <c r="BU670" s="442"/>
      <c r="BV670" s="442"/>
      <c r="BW670" s="442"/>
      <c r="BX670" s="442"/>
      <c r="BY670" s="442"/>
      <c r="BZ670" s="442"/>
      <c r="CA670" s="442"/>
      <c r="CB670" s="442"/>
      <c r="CC670" s="442"/>
      <c r="CD670" s="442"/>
      <c r="CE670" s="442"/>
      <c r="CF670" s="442"/>
      <c r="CG670" s="442"/>
      <c r="CH670" s="442"/>
      <c r="CI670" s="442"/>
    </row>
    <row r="671" spans="4:87" x14ac:dyDescent="0.2">
      <c r="D671" s="442"/>
      <c r="E671" s="442"/>
      <c r="F671" s="442"/>
      <c r="G671" s="442"/>
      <c r="H671" s="442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  <c r="AA671" s="442"/>
      <c r="AB671" s="442"/>
      <c r="AC671" s="442"/>
      <c r="AD671" s="442"/>
      <c r="AE671" s="442"/>
      <c r="AF671" s="442"/>
      <c r="AG671" s="442"/>
      <c r="AH671" s="442"/>
      <c r="AI671" s="442"/>
      <c r="AJ671" s="442"/>
      <c r="AK671" s="442"/>
      <c r="AL671" s="442"/>
      <c r="AM671" s="442"/>
      <c r="AN671" s="442"/>
      <c r="AO671" s="442"/>
      <c r="AP671" s="442"/>
      <c r="AQ671" s="442"/>
      <c r="AR671" s="442"/>
      <c r="AS671" s="442"/>
      <c r="AT671" s="442"/>
      <c r="AU671" s="442"/>
      <c r="AV671" s="442"/>
      <c r="AW671" s="442"/>
      <c r="AX671" s="442"/>
      <c r="AY671" s="442"/>
      <c r="AZ671" s="442"/>
      <c r="BA671" s="442"/>
      <c r="BB671" s="442"/>
      <c r="BC671" s="442"/>
      <c r="BD671" s="442"/>
      <c r="BE671" s="442"/>
      <c r="BF671" s="442"/>
      <c r="BG671" s="442"/>
      <c r="BH671" s="442"/>
      <c r="BI671" s="442"/>
      <c r="BJ671" s="442"/>
      <c r="BK671" s="442"/>
      <c r="BL671" s="442"/>
      <c r="BM671" s="442"/>
      <c r="BN671" s="442"/>
      <c r="BO671" s="442"/>
      <c r="BP671" s="442"/>
      <c r="BQ671" s="442"/>
      <c r="BR671" s="442"/>
      <c r="BS671" s="442"/>
      <c r="BT671" s="442"/>
      <c r="BU671" s="442"/>
      <c r="BV671" s="442"/>
      <c r="BW671" s="442"/>
      <c r="BX671" s="442"/>
      <c r="BY671" s="442"/>
      <c r="BZ671" s="442"/>
      <c r="CA671" s="442"/>
      <c r="CB671" s="442"/>
      <c r="CC671" s="442"/>
      <c r="CD671" s="442"/>
      <c r="CE671" s="442"/>
      <c r="CF671" s="442"/>
      <c r="CG671" s="442"/>
      <c r="CH671" s="442"/>
      <c r="CI671" s="442"/>
    </row>
    <row r="672" spans="4:87" x14ac:dyDescent="0.2">
      <c r="D672" s="442"/>
      <c r="E672" s="442"/>
      <c r="F672" s="442"/>
      <c r="G672" s="442"/>
      <c r="H672" s="442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  <c r="AA672" s="442"/>
      <c r="AB672" s="442"/>
      <c r="AC672" s="442"/>
      <c r="AD672" s="442"/>
      <c r="AE672" s="442"/>
      <c r="AF672" s="442"/>
      <c r="AG672" s="442"/>
      <c r="AH672" s="442"/>
      <c r="AI672" s="442"/>
      <c r="AJ672" s="442"/>
      <c r="AK672" s="442"/>
      <c r="AL672" s="442"/>
      <c r="AM672" s="442"/>
      <c r="AN672" s="442"/>
      <c r="AO672" s="442"/>
      <c r="AP672" s="442"/>
      <c r="AQ672" s="442"/>
      <c r="AR672" s="442"/>
      <c r="AS672" s="442"/>
      <c r="AT672" s="442"/>
      <c r="AU672" s="442"/>
      <c r="AV672" s="442"/>
      <c r="AW672" s="442"/>
      <c r="AX672" s="442"/>
      <c r="AY672" s="442"/>
      <c r="AZ672" s="442"/>
      <c r="BA672" s="442"/>
      <c r="BB672" s="442"/>
      <c r="BC672" s="442"/>
      <c r="BD672" s="442"/>
      <c r="BE672" s="442"/>
      <c r="BF672" s="442"/>
      <c r="BG672" s="442"/>
      <c r="BH672" s="442"/>
      <c r="BI672" s="442"/>
      <c r="BJ672" s="442"/>
      <c r="BK672" s="442"/>
      <c r="BL672" s="442"/>
      <c r="BM672" s="442"/>
      <c r="BN672" s="442"/>
      <c r="BO672" s="442"/>
      <c r="BP672" s="442"/>
      <c r="BQ672" s="442"/>
      <c r="BR672" s="442"/>
      <c r="BS672" s="442"/>
      <c r="BT672" s="442"/>
      <c r="BU672" s="442"/>
      <c r="BV672" s="442"/>
      <c r="BW672" s="442"/>
      <c r="BX672" s="442"/>
      <c r="BY672" s="442"/>
      <c r="BZ672" s="442"/>
      <c r="CA672" s="442"/>
      <c r="CB672" s="442"/>
      <c r="CC672" s="442"/>
      <c r="CD672" s="442"/>
      <c r="CE672" s="442"/>
      <c r="CF672" s="442"/>
      <c r="CG672" s="442"/>
      <c r="CH672" s="442"/>
      <c r="CI672" s="442"/>
    </row>
    <row r="673" spans="4:87" x14ac:dyDescent="0.2">
      <c r="D673" s="442"/>
      <c r="E673" s="442"/>
      <c r="F673" s="442"/>
      <c r="G673" s="442"/>
      <c r="H673" s="442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  <c r="AA673" s="442"/>
      <c r="AB673" s="442"/>
      <c r="AC673" s="442"/>
      <c r="AD673" s="442"/>
      <c r="AE673" s="442"/>
      <c r="AF673" s="442"/>
      <c r="AG673" s="442"/>
      <c r="AH673" s="442"/>
      <c r="AI673" s="442"/>
      <c r="AJ673" s="442"/>
      <c r="AK673" s="442"/>
      <c r="AL673" s="442"/>
      <c r="AM673" s="442"/>
      <c r="AN673" s="442"/>
      <c r="AO673" s="442"/>
      <c r="AP673" s="442"/>
      <c r="AQ673" s="442"/>
      <c r="AR673" s="442"/>
      <c r="AS673" s="442"/>
      <c r="AT673" s="442"/>
      <c r="AU673" s="442"/>
      <c r="AV673" s="442"/>
      <c r="AW673" s="442"/>
      <c r="AX673" s="442"/>
      <c r="AY673" s="442"/>
      <c r="AZ673" s="442"/>
      <c r="BA673" s="442"/>
      <c r="BB673" s="442"/>
      <c r="BC673" s="442"/>
      <c r="BD673" s="442"/>
      <c r="BE673" s="442"/>
      <c r="BF673" s="442"/>
      <c r="BG673" s="442"/>
      <c r="BH673" s="442"/>
      <c r="BI673" s="442"/>
      <c r="BJ673" s="442"/>
      <c r="BK673" s="442"/>
      <c r="BL673" s="442"/>
      <c r="BM673" s="442"/>
      <c r="BN673" s="442"/>
      <c r="BO673" s="442"/>
      <c r="BP673" s="442"/>
      <c r="BQ673" s="442"/>
      <c r="BR673" s="442"/>
      <c r="BS673" s="442"/>
      <c r="BT673" s="442"/>
      <c r="BU673" s="442"/>
      <c r="BV673" s="442"/>
      <c r="BW673" s="442"/>
      <c r="BX673" s="442"/>
      <c r="BY673" s="442"/>
      <c r="BZ673" s="442"/>
      <c r="CA673" s="442"/>
      <c r="CB673" s="442"/>
      <c r="CC673" s="442"/>
      <c r="CD673" s="442"/>
      <c r="CE673" s="442"/>
      <c r="CF673" s="442"/>
      <c r="CG673" s="442"/>
      <c r="CH673" s="442"/>
      <c r="CI673" s="442"/>
    </row>
    <row r="674" spans="4:87" x14ac:dyDescent="0.2">
      <c r="D674" s="442"/>
      <c r="E674" s="442"/>
      <c r="F674" s="442"/>
      <c r="G674" s="442"/>
      <c r="H674" s="442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  <c r="AA674" s="442"/>
      <c r="AB674" s="442"/>
      <c r="AC674" s="442"/>
      <c r="AD674" s="442"/>
      <c r="AE674" s="442"/>
      <c r="AF674" s="442"/>
      <c r="AG674" s="442"/>
      <c r="AH674" s="442"/>
      <c r="AI674" s="442"/>
      <c r="AJ674" s="442"/>
      <c r="AK674" s="442"/>
      <c r="AL674" s="442"/>
      <c r="AM674" s="442"/>
      <c r="AN674" s="442"/>
      <c r="AO674" s="442"/>
      <c r="AP674" s="442"/>
      <c r="AQ674" s="442"/>
      <c r="AR674" s="442"/>
      <c r="AS674" s="442"/>
      <c r="AT674" s="442"/>
      <c r="AU674" s="442"/>
      <c r="AV674" s="442"/>
      <c r="AW674" s="442"/>
      <c r="AX674" s="442"/>
      <c r="AY674" s="442"/>
      <c r="AZ674" s="442"/>
      <c r="BA674" s="442"/>
      <c r="BB674" s="442"/>
      <c r="BC674" s="442"/>
      <c r="BD674" s="442"/>
      <c r="BE674" s="442"/>
      <c r="BF674" s="442"/>
      <c r="BG674" s="442"/>
      <c r="BH674" s="442"/>
      <c r="BI674" s="442"/>
      <c r="BJ674" s="442"/>
      <c r="BK674" s="442"/>
      <c r="BL674" s="442"/>
      <c r="BM674" s="442"/>
      <c r="BN674" s="442"/>
      <c r="BO674" s="442"/>
      <c r="BP674" s="442"/>
      <c r="BQ674" s="442"/>
      <c r="BR674" s="442"/>
      <c r="BS674" s="442"/>
      <c r="BT674" s="442"/>
      <c r="BU674" s="442"/>
      <c r="BV674" s="442"/>
      <c r="BW674" s="442"/>
      <c r="BX674" s="442"/>
      <c r="BY674" s="442"/>
      <c r="BZ674" s="442"/>
      <c r="CA674" s="442"/>
      <c r="CB674" s="442"/>
      <c r="CC674" s="442"/>
      <c r="CD674" s="442"/>
      <c r="CE674" s="442"/>
      <c r="CF674" s="442"/>
      <c r="CG674" s="442"/>
      <c r="CH674" s="442"/>
      <c r="CI674" s="442"/>
    </row>
    <row r="675" spans="4:87" x14ac:dyDescent="0.2">
      <c r="D675" s="442"/>
      <c r="E675" s="442"/>
      <c r="F675" s="442"/>
      <c r="G675" s="442"/>
      <c r="H675" s="442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  <c r="AA675" s="442"/>
      <c r="AB675" s="442"/>
      <c r="AC675" s="442"/>
      <c r="AD675" s="442"/>
      <c r="AE675" s="442"/>
      <c r="AF675" s="442"/>
      <c r="AG675" s="442"/>
      <c r="AH675" s="442"/>
      <c r="AI675" s="442"/>
      <c r="AJ675" s="442"/>
      <c r="AK675" s="442"/>
      <c r="AL675" s="442"/>
      <c r="AM675" s="442"/>
      <c r="AN675" s="442"/>
      <c r="AO675" s="442"/>
      <c r="AP675" s="442"/>
      <c r="AQ675" s="442"/>
      <c r="AR675" s="442"/>
      <c r="AS675" s="442"/>
      <c r="AT675" s="442"/>
      <c r="AU675" s="442"/>
      <c r="AV675" s="442"/>
      <c r="AW675" s="442"/>
      <c r="AX675" s="442"/>
      <c r="AY675" s="442"/>
      <c r="AZ675" s="442"/>
      <c r="BA675" s="442"/>
      <c r="BB675" s="442"/>
      <c r="BC675" s="442"/>
      <c r="BD675" s="442"/>
      <c r="BE675" s="442"/>
      <c r="BF675" s="442"/>
      <c r="BG675" s="442"/>
      <c r="BH675" s="442"/>
      <c r="BI675" s="442"/>
      <c r="BJ675" s="442"/>
      <c r="BK675" s="442"/>
      <c r="BL675" s="442"/>
      <c r="BM675" s="442"/>
      <c r="BN675" s="442"/>
      <c r="BO675" s="442"/>
      <c r="BP675" s="442"/>
      <c r="BQ675" s="442"/>
      <c r="BR675" s="442"/>
      <c r="BS675" s="442"/>
      <c r="BT675" s="442"/>
      <c r="BU675" s="442"/>
      <c r="BV675" s="442"/>
      <c r="BW675" s="442"/>
      <c r="BX675" s="442"/>
      <c r="BY675" s="442"/>
      <c r="BZ675" s="442"/>
      <c r="CA675" s="442"/>
      <c r="CB675" s="442"/>
      <c r="CC675" s="442"/>
      <c r="CD675" s="442"/>
      <c r="CE675" s="442"/>
      <c r="CF675" s="442"/>
      <c r="CG675" s="442"/>
      <c r="CH675" s="442"/>
      <c r="CI675" s="442"/>
    </row>
    <row r="676" spans="4:87" x14ac:dyDescent="0.2"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  <c r="AA676" s="442"/>
      <c r="AB676" s="442"/>
      <c r="AC676" s="442"/>
      <c r="AD676" s="442"/>
      <c r="AE676" s="442"/>
      <c r="AF676" s="442"/>
      <c r="AG676" s="442"/>
      <c r="AH676" s="442"/>
      <c r="AI676" s="442"/>
      <c r="AJ676" s="442"/>
      <c r="AK676" s="442"/>
      <c r="AL676" s="442"/>
      <c r="AM676" s="442"/>
      <c r="AN676" s="442"/>
      <c r="AO676" s="442"/>
      <c r="AP676" s="442"/>
      <c r="AQ676" s="442"/>
      <c r="AR676" s="442"/>
      <c r="AS676" s="442"/>
      <c r="AT676" s="442"/>
      <c r="AU676" s="442"/>
      <c r="AV676" s="442"/>
      <c r="AW676" s="442"/>
      <c r="AX676" s="442"/>
      <c r="AY676" s="442"/>
      <c r="AZ676" s="442"/>
      <c r="BA676" s="442"/>
      <c r="BB676" s="442"/>
      <c r="BC676" s="442"/>
      <c r="BD676" s="442"/>
      <c r="BE676" s="442"/>
      <c r="BF676" s="442"/>
      <c r="BG676" s="442"/>
      <c r="BH676" s="442"/>
      <c r="BI676" s="442"/>
      <c r="BJ676" s="442"/>
      <c r="BK676" s="442"/>
      <c r="BL676" s="442"/>
      <c r="BM676" s="442"/>
      <c r="BN676" s="442"/>
      <c r="BO676" s="442"/>
      <c r="BP676" s="442"/>
      <c r="BQ676" s="442"/>
      <c r="BR676" s="442"/>
      <c r="BS676" s="442"/>
      <c r="BT676" s="442"/>
      <c r="BU676" s="442"/>
      <c r="BV676" s="442"/>
      <c r="BW676" s="442"/>
      <c r="BX676" s="442"/>
      <c r="BY676" s="442"/>
      <c r="BZ676" s="442"/>
      <c r="CA676" s="442"/>
      <c r="CB676" s="442"/>
      <c r="CC676" s="442"/>
      <c r="CD676" s="442"/>
      <c r="CE676" s="442"/>
      <c r="CF676" s="442"/>
      <c r="CG676" s="442"/>
      <c r="CH676" s="442"/>
      <c r="CI676" s="442"/>
    </row>
    <row r="677" spans="4:87" x14ac:dyDescent="0.2">
      <c r="D677" s="442"/>
      <c r="E677" s="442"/>
      <c r="F677" s="442"/>
      <c r="G677" s="442"/>
      <c r="H677" s="442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  <c r="AA677" s="442"/>
      <c r="AB677" s="442"/>
      <c r="AC677" s="442"/>
      <c r="AD677" s="442"/>
      <c r="AE677" s="442"/>
      <c r="AF677" s="442"/>
      <c r="AG677" s="442"/>
      <c r="AH677" s="442"/>
      <c r="AI677" s="442"/>
      <c r="AJ677" s="442"/>
      <c r="AK677" s="442"/>
      <c r="AL677" s="442"/>
      <c r="AM677" s="442"/>
      <c r="AN677" s="442"/>
      <c r="AO677" s="442"/>
      <c r="AP677" s="442"/>
      <c r="AQ677" s="442"/>
      <c r="AR677" s="442"/>
      <c r="AS677" s="442"/>
      <c r="AT677" s="442"/>
      <c r="AU677" s="442"/>
      <c r="AV677" s="442"/>
      <c r="AW677" s="442"/>
      <c r="AX677" s="442"/>
      <c r="AY677" s="442"/>
      <c r="AZ677" s="442"/>
      <c r="BA677" s="442"/>
      <c r="BB677" s="442"/>
      <c r="BC677" s="442"/>
      <c r="BD677" s="442"/>
      <c r="BE677" s="442"/>
      <c r="BF677" s="442"/>
      <c r="BG677" s="442"/>
      <c r="BH677" s="442"/>
      <c r="BI677" s="442"/>
      <c r="BJ677" s="442"/>
      <c r="BK677" s="442"/>
      <c r="BL677" s="442"/>
      <c r="BM677" s="442"/>
      <c r="BN677" s="442"/>
      <c r="BO677" s="442"/>
      <c r="BP677" s="442"/>
      <c r="BQ677" s="442"/>
      <c r="BR677" s="442"/>
      <c r="BS677" s="442"/>
      <c r="BT677" s="442"/>
      <c r="BU677" s="442"/>
      <c r="BV677" s="442"/>
      <c r="BW677" s="442"/>
      <c r="BX677" s="442"/>
      <c r="BY677" s="442"/>
      <c r="BZ677" s="442"/>
      <c r="CA677" s="442"/>
      <c r="CB677" s="442"/>
      <c r="CC677" s="442"/>
      <c r="CD677" s="442"/>
      <c r="CE677" s="442"/>
      <c r="CF677" s="442"/>
      <c r="CG677" s="442"/>
      <c r="CH677" s="442"/>
      <c r="CI677" s="442"/>
    </row>
    <row r="678" spans="4:87" x14ac:dyDescent="0.2">
      <c r="D678" s="442"/>
      <c r="E678" s="442"/>
      <c r="F678" s="442"/>
      <c r="G678" s="442"/>
      <c r="H678" s="442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  <c r="AA678" s="442"/>
      <c r="AB678" s="442"/>
      <c r="AC678" s="442"/>
      <c r="AD678" s="442"/>
      <c r="AE678" s="442"/>
      <c r="AF678" s="442"/>
      <c r="AG678" s="442"/>
      <c r="AH678" s="442"/>
      <c r="AI678" s="442"/>
      <c r="AJ678" s="442"/>
      <c r="AK678" s="442"/>
      <c r="AL678" s="442"/>
      <c r="AM678" s="442"/>
      <c r="AN678" s="442"/>
      <c r="AO678" s="442"/>
      <c r="AP678" s="442"/>
      <c r="AQ678" s="442"/>
      <c r="AR678" s="442"/>
      <c r="AS678" s="442"/>
      <c r="AT678" s="442"/>
      <c r="AU678" s="442"/>
      <c r="AV678" s="442"/>
      <c r="AW678" s="442"/>
      <c r="AX678" s="442"/>
      <c r="AY678" s="442"/>
      <c r="AZ678" s="442"/>
      <c r="BA678" s="442"/>
      <c r="BB678" s="442"/>
      <c r="BC678" s="442"/>
      <c r="BD678" s="442"/>
      <c r="BE678" s="442"/>
      <c r="BF678" s="442"/>
      <c r="BG678" s="442"/>
      <c r="BH678" s="442"/>
      <c r="BI678" s="442"/>
      <c r="BJ678" s="442"/>
      <c r="BK678" s="442"/>
      <c r="BL678" s="442"/>
      <c r="BM678" s="442"/>
      <c r="BN678" s="442"/>
      <c r="BO678" s="442"/>
      <c r="BP678" s="442"/>
      <c r="BQ678" s="442"/>
      <c r="BR678" s="442"/>
      <c r="BS678" s="442"/>
      <c r="BT678" s="442"/>
      <c r="BU678" s="442"/>
      <c r="BV678" s="442"/>
      <c r="BW678" s="442"/>
      <c r="BX678" s="442"/>
      <c r="BY678" s="442"/>
      <c r="BZ678" s="442"/>
      <c r="CA678" s="442"/>
      <c r="CB678" s="442"/>
      <c r="CC678" s="442"/>
      <c r="CD678" s="442"/>
      <c r="CE678" s="442"/>
      <c r="CF678" s="442"/>
      <c r="CG678" s="442"/>
      <c r="CH678" s="442"/>
      <c r="CI678" s="442"/>
    </row>
    <row r="679" spans="4:87" x14ac:dyDescent="0.2">
      <c r="D679" s="442"/>
      <c r="E679" s="442"/>
      <c r="F679" s="442"/>
      <c r="G679" s="442"/>
      <c r="H679" s="442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  <c r="AA679" s="442"/>
      <c r="AB679" s="442"/>
      <c r="AC679" s="442"/>
      <c r="AD679" s="442"/>
      <c r="AE679" s="442"/>
      <c r="AF679" s="442"/>
      <c r="AG679" s="442"/>
      <c r="AH679" s="442"/>
      <c r="AI679" s="442"/>
      <c r="AJ679" s="442"/>
      <c r="AK679" s="442"/>
      <c r="AL679" s="442"/>
      <c r="AM679" s="442"/>
      <c r="AN679" s="442"/>
      <c r="AO679" s="442"/>
      <c r="AP679" s="442"/>
      <c r="AQ679" s="442"/>
      <c r="AR679" s="442"/>
      <c r="AS679" s="442"/>
      <c r="AT679" s="442"/>
      <c r="AU679" s="442"/>
      <c r="AV679" s="442"/>
      <c r="AW679" s="442"/>
      <c r="AX679" s="442"/>
      <c r="AY679" s="442"/>
      <c r="AZ679" s="442"/>
      <c r="BA679" s="442"/>
      <c r="BB679" s="442"/>
      <c r="BC679" s="442"/>
      <c r="BD679" s="442"/>
      <c r="BE679" s="442"/>
      <c r="BF679" s="442"/>
      <c r="BG679" s="442"/>
      <c r="BH679" s="442"/>
      <c r="BI679" s="442"/>
      <c r="BJ679" s="442"/>
      <c r="BK679" s="442"/>
      <c r="BL679" s="442"/>
      <c r="BM679" s="442"/>
      <c r="BN679" s="442"/>
      <c r="BO679" s="442"/>
      <c r="BP679" s="442"/>
      <c r="BQ679" s="442"/>
      <c r="BR679" s="442"/>
      <c r="BS679" s="442"/>
      <c r="BT679" s="442"/>
      <c r="BU679" s="442"/>
      <c r="BV679" s="442"/>
      <c r="BW679" s="442"/>
      <c r="BX679" s="442"/>
      <c r="BY679" s="442"/>
      <c r="BZ679" s="442"/>
      <c r="CA679" s="442"/>
      <c r="CB679" s="442"/>
      <c r="CC679" s="442"/>
      <c r="CD679" s="442"/>
      <c r="CE679" s="442"/>
      <c r="CF679" s="442"/>
      <c r="CG679" s="442"/>
      <c r="CH679" s="442"/>
      <c r="CI679" s="442"/>
    </row>
    <row r="680" spans="4:87" x14ac:dyDescent="0.2">
      <c r="D680" s="442"/>
      <c r="E680" s="442"/>
      <c r="F680" s="442"/>
      <c r="G680" s="442"/>
      <c r="H680" s="442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  <c r="AA680" s="442"/>
      <c r="AB680" s="442"/>
      <c r="AC680" s="442"/>
      <c r="AD680" s="442"/>
      <c r="AE680" s="442"/>
      <c r="AF680" s="442"/>
      <c r="AG680" s="442"/>
      <c r="AH680" s="442"/>
      <c r="AI680" s="442"/>
      <c r="AJ680" s="442"/>
      <c r="AK680" s="442"/>
      <c r="AL680" s="442"/>
      <c r="AM680" s="442"/>
      <c r="AN680" s="442"/>
      <c r="AO680" s="442"/>
      <c r="AP680" s="442"/>
      <c r="AQ680" s="442"/>
      <c r="AR680" s="442"/>
      <c r="AS680" s="442"/>
      <c r="AT680" s="442"/>
      <c r="AU680" s="442"/>
      <c r="AV680" s="442"/>
      <c r="AW680" s="442"/>
      <c r="AX680" s="442"/>
      <c r="AY680" s="442"/>
      <c r="AZ680" s="442"/>
      <c r="BA680" s="442"/>
      <c r="BB680" s="442"/>
      <c r="BC680" s="442"/>
      <c r="BD680" s="442"/>
      <c r="BE680" s="442"/>
      <c r="BF680" s="442"/>
      <c r="BG680" s="442"/>
      <c r="BH680" s="442"/>
      <c r="BI680" s="442"/>
      <c r="BJ680" s="442"/>
      <c r="BK680" s="442"/>
      <c r="BL680" s="442"/>
      <c r="BM680" s="442"/>
      <c r="BN680" s="442"/>
      <c r="BO680" s="442"/>
      <c r="BP680" s="442"/>
      <c r="BQ680" s="442"/>
      <c r="BR680" s="442"/>
      <c r="BS680" s="442"/>
      <c r="BT680" s="442"/>
      <c r="BU680" s="442"/>
      <c r="BV680" s="442"/>
      <c r="BW680" s="442"/>
      <c r="BX680" s="442"/>
      <c r="BY680" s="442"/>
      <c r="BZ680" s="442"/>
      <c r="CA680" s="442"/>
      <c r="CB680" s="442"/>
      <c r="CC680" s="442"/>
      <c r="CD680" s="442"/>
      <c r="CE680" s="442"/>
      <c r="CF680" s="442"/>
      <c r="CG680" s="442"/>
      <c r="CH680" s="442"/>
      <c r="CI680" s="442"/>
    </row>
    <row r="681" spans="4:87" x14ac:dyDescent="0.2">
      <c r="D681" s="442"/>
      <c r="E681" s="442"/>
      <c r="F681" s="442"/>
      <c r="G681" s="442"/>
      <c r="H681" s="442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  <c r="AA681" s="442"/>
      <c r="AB681" s="442"/>
      <c r="AC681" s="442"/>
      <c r="AD681" s="442"/>
      <c r="AE681" s="442"/>
      <c r="AF681" s="442"/>
      <c r="AG681" s="442"/>
      <c r="AH681" s="442"/>
      <c r="AI681" s="442"/>
      <c r="AJ681" s="442"/>
      <c r="AK681" s="442"/>
      <c r="AL681" s="442"/>
      <c r="AM681" s="442"/>
      <c r="AN681" s="442"/>
      <c r="AO681" s="442"/>
      <c r="AP681" s="442"/>
      <c r="AQ681" s="442"/>
      <c r="AR681" s="442"/>
      <c r="AS681" s="442"/>
      <c r="AT681" s="442"/>
      <c r="AU681" s="442"/>
      <c r="AV681" s="442"/>
      <c r="AW681" s="442"/>
      <c r="AX681" s="442"/>
      <c r="AY681" s="442"/>
      <c r="AZ681" s="442"/>
      <c r="BA681" s="442"/>
      <c r="BB681" s="442"/>
      <c r="BC681" s="442"/>
      <c r="BD681" s="442"/>
      <c r="BE681" s="442"/>
      <c r="BF681" s="442"/>
      <c r="BG681" s="442"/>
      <c r="BH681" s="442"/>
      <c r="BI681" s="442"/>
      <c r="BJ681" s="442"/>
      <c r="BK681" s="442"/>
      <c r="BL681" s="442"/>
      <c r="BM681" s="442"/>
      <c r="BN681" s="442"/>
      <c r="BO681" s="442"/>
      <c r="BP681" s="442"/>
      <c r="BQ681" s="442"/>
      <c r="BR681" s="442"/>
      <c r="BS681" s="442"/>
      <c r="BT681" s="442"/>
      <c r="BU681" s="442"/>
      <c r="BV681" s="442"/>
      <c r="BW681" s="442"/>
      <c r="BX681" s="442"/>
      <c r="BY681" s="442"/>
      <c r="BZ681" s="442"/>
      <c r="CA681" s="442"/>
      <c r="CB681" s="442"/>
      <c r="CC681" s="442"/>
      <c r="CD681" s="442"/>
      <c r="CE681" s="442"/>
      <c r="CF681" s="442"/>
      <c r="CG681" s="442"/>
      <c r="CH681" s="442"/>
      <c r="CI681" s="442"/>
    </row>
    <row r="682" spans="4:87" x14ac:dyDescent="0.2">
      <c r="D682" s="442"/>
      <c r="E682" s="442"/>
      <c r="F682" s="442"/>
      <c r="G682" s="442"/>
      <c r="H682" s="442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  <c r="AA682" s="442"/>
      <c r="AB682" s="442"/>
      <c r="AC682" s="442"/>
      <c r="AD682" s="442"/>
      <c r="AE682" s="442"/>
      <c r="AF682" s="442"/>
      <c r="AG682" s="442"/>
      <c r="AH682" s="442"/>
      <c r="AI682" s="442"/>
      <c r="AJ682" s="442"/>
      <c r="AK682" s="442"/>
      <c r="AL682" s="442"/>
      <c r="AM682" s="442"/>
      <c r="AN682" s="442"/>
      <c r="AO682" s="442"/>
      <c r="AP682" s="442"/>
      <c r="AQ682" s="442"/>
      <c r="AR682" s="442"/>
      <c r="AS682" s="442"/>
      <c r="AT682" s="442"/>
      <c r="AU682" s="442"/>
      <c r="AV682" s="442"/>
      <c r="AW682" s="442"/>
      <c r="AX682" s="442"/>
      <c r="AY682" s="442"/>
      <c r="AZ682" s="442"/>
      <c r="BA682" s="442"/>
      <c r="BB682" s="442"/>
      <c r="BC682" s="442"/>
      <c r="BD682" s="442"/>
      <c r="BE682" s="442"/>
      <c r="BF682" s="442"/>
      <c r="BG682" s="442"/>
      <c r="BH682" s="442"/>
      <c r="BI682" s="442"/>
      <c r="BJ682" s="442"/>
      <c r="BK682" s="442"/>
      <c r="BL682" s="442"/>
      <c r="BM682" s="442"/>
      <c r="BN682" s="442"/>
      <c r="BO682" s="442"/>
      <c r="BP682" s="442"/>
      <c r="BQ682" s="442"/>
      <c r="BR682" s="442"/>
      <c r="BS682" s="442"/>
      <c r="BT682" s="442"/>
      <c r="BU682" s="442"/>
      <c r="BV682" s="442"/>
      <c r="BW682" s="442"/>
      <c r="BX682" s="442"/>
      <c r="BY682" s="442"/>
      <c r="BZ682" s="442"/>
      <c r="CA682" s="442"/>
      <c r="CB682" s="442"/>
      <c r="CC682" s="442"/>
      <c r="CD682" s="442"/>
      <c r="CE682" s="442"/>
      <c r="CF682" s="442"/>
      <c r="CG682" s="442"/>
      <c r="CH682" s="442"/>
      <c r="CI682" s="442"/>
    </row>
    <row r="683" spans="4:87" x14ac:dyDescent="0.2">
      <c r="D683" s="442"/>
      <c r="E683" s="442"/>
      <c r="F683" s="442"/>
      <c r="G683" s="442"/>
      <c r="H683" s="442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  <c r="AA683" s="442"/>
      <c r="AB683" s="442"/>
      <c r="AC683" s="442"/>
      <c r="AD683" s="442"/>
      <c r="AE683" s="442"/>
      <c r="AF683" s="442"/>
      <c r="AG683" s="442"/>
      <c r="AH683" s="442"/>
      <c r="AI683" s="442"/>
      <c r="AJ683" s="442"/>
      <c r="AK683" s="442"/>
      <c r="AL683" s="442"/>
      <c r="AM683" s="442"/>
      <c r="AN683" s="442"/>
      <c r="AO683" s="442"/>
      <c r="AP683" s="442"/>
      <c r="AQ683" s="442"/>
      <c r="AR683" s="442"/>
      <c r="AS683" s="442"/>
      <c r="AT683" s="442"/>
      <c r="AU683" s="442"/>
      <c r="AV683" s="442"/>
      <c r="AW683" s="442"/>
      <c r="AX683" s="442"/>
      <c r="AY683" s="442"/>
      <c r="AZ683" s="442"/>
      <c r="BA683" s="442"/>
      <c r="BB683" s="442"/>
      <c r="BC683" s="442"/>
      <c r="BD683" s="442"/>
      <c r="BE683" s="442"/>
      <c r="BF683" s="442"/>
      <c r="BG683" s="442"/>
      <c r="BH683" s="442"/>
      <c r="BI683" s="442"/>
      <c r="BJ683" s="442"/>
      <c r="BK683" s="442"/>
      <c r="BL683" s="442"/>
      <c r="BM683" s="442"/>
      <c r="BN683" s="442"/>
      <c r="BO683" s="442"/>
      <c r="BP683" s="442"/>
      <c r="BQ683" s="442"/>
      <c r="BR683" s="442"/>
      <c r="BS683" s="442"/>
      <c r="BT683" s="442"/>
      <c r="BU683" s="442"/>
      <c r="BV683" s="442"/>
      <c r="BW683" s="442"/>
      <c r="BX683" s="442"/>
      <c r="BY683" s="442"/>
      <c r="BZ683" s="442"/>
      <c r="CA683" s="442"/>
      <c r="CB683" s="442"/>
      <c r="CC683" s="442"/>
      <c r="CD683" s="442"/>
      <c r="CE683" s="442"/>
      <c r="CF683" s="442"/>
      <c r="CG683" s="442"/>
      <c r="CH683" s="442"/>
      <c r="CI683" s="442"/>
    </row>
    <row r="684" spans="4:87" x14ac:dyDescent="0.2"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  <c r="AA684" s="442"/>
      <c r="AB684" s="442"/>
      <c r="AC684" s="442"/>
      <c r="AD684" s="442"/>
      <c r="AE684" s="442"/>
      <c r="AF684" s="442"/>
      <c r="AG684" s="442"/>
      <c r="AH684" s="442"/>
      <c r="AI684" s="442"/>
      <c r="AJ684" s="442"/>
      <c r="AK684" s="442"/>
      <c r="AL684" s="442"/>
      <c r="AM684" s="442"/>
      <c r="AN684" s="442"/>
      <c r="AO684" s="442"/>
      <c r="AP684" s="442"/>
      <c r="AQ684" s="442"/>
      <c r="AR684" s="442"/>
      <c r="AS684" s="442"/>
      <c r="AT684" s="442"/>
      <c r="AU684" s="442"/>
      <c r="AV684" s="442"/>
      <c r="AW684" s="442"/>
      <c r="AX684" s="442"/>
      <c r="AY684" s="442"/>
      <c r="AZ684" s="442"/>
      <c r="BA684" s="442"/>
      <c r="BB684" s="442"/>
      <c r="BC684" s="442"/>
      <c r="BD684" s="442"/>
      <c r="BE684" s="442"/>
      <c r="BF684" s="442"/>
      <c r="BG684" s="442"/>
      <c r="BH684" s="442"/>
      <c r="BI684" s="442"/>
      <c r="BJ684" s="442"/>
      <c r="BK684" s="442"/>
      <c r="BL684" s="442"/>
      <c r="BM684" s="442"/>
      <c r="BN684" s="442"/>
      <c r="BO684" s="442"/>
      <c r="BP684" s="442"/>
      <c r="BQ684" s="442"/>
      <c r="BR684" s="442"/>
      <c r="BS684" s="442"/>
      <c r="BT684" s="442"/>
      <c r="BU684" s="442"/>
      <c r="BV684" s="442"/>
      <c r="BW684" s="442"/>
      <c r="BX684" s="442"/>
      <c r="BY684" s="442"/>
      <c r="BZ684" s="442"/>
      <c r="CA684" s="442"/>
      <c r="CB684" s="442"/>
      <c r="CC684" s="442"/>
      <c r="CD684" s="442"/>
      <c r="CE684" s="442"/>
      <c r="CF684" s="442"/>
      <c r="CG684" s="442"/>
      <c r="CH684" s="442"/>
      <c r="CI684" s="442"/>
    </row>
    <row r="685" spans="4:87" x14ac:dyDescent="0.2">
      <c r="D685" s="442"/>
      <c r="E685" s="442"/>
      <c r="F685" s="442"/>
      <c r="G685" s="442"/>
      <c r="H685" s="442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  <c r="AA685" s="442"/>
      <c r="AB685" s="442"/>
      <c r="AC685" s="442"/>
      <c r="AD685" s="442"/>
      <c r="AE685" s="442"/>
      <c r="AF685" s="442"/>
      <c r="AG685" s="442"/>
      <c r="AH685" s="442"/>
      <c r="AI685" s="442"/>
      <c r="AJ685" s="442"/>
      <c r="AK685" s="442"/>
      <c r="AL685" s="442"/>
      <c r="AM685" s="442"/>
      <c r="AN685" s="442"/>
      <c r="AO685" s="442"/>
      <c r="AP685" s="442"/>
      <c r="AQ685" s="442"/>
      <c r="AR685" s="442"/>
      <c r="AS685" s="442"/>
      <c r="AT685" s="442"/>
      <c r="AU685" s="442"/>
      <c r="AV685" s="442"/>
      <c r="AW685" s="442"/>
      <c r="AX685" s="442"/>
      <c r="AY685" s="442"/>
      <c r="AZ685" s="442"/>
      <c r="BA685" s="442"/>
      <c r="BB685" s="442"/>
      <c r="BC685" s="442"/>
      <c r="BD685" s="442"/>
      <c r="BE685" s="442"/>
      <c r="BF685" s="442"/>
      <c r="BG685" s="442"/>
      <c r="BH685" s="442"/>
      <c r="BI685" s="442"/>
      <c r="BJ685" s="442"/>
      <c r="BK685" s="442"/>
      <c r="BL685" s="442"/>
      <c r="BM685" s="442"/>
      <c r="BN685" s="442"/>
      <c r="BO685" s="442"/>
      <c r="BP685" s="442"/>
      <c r="BQ685" s="442"/>
      <c r="BR685" s="442"/>
      <c r="BS685" s="442"/>
      <c r="BT685" s="442"/>
      <c r="BU685" s="442"/>
      <c r="BV685" s="442"/>
      <c r="BW685" s="442"/>
      <c r="BX685" s="442"/>
      <c r="BY685" s="442"/>
      <c r="BZ685" s="442"/>
      <c r="CA685" s="442"/>
      <c r="CB685" s="442"/>
      <c r="CC685" s="442"/>
      <c r="CD685" s="442"/>
      <c r="CE685" s="442"/>
      <c r="CF685" s="442"/>
      <c r="CG685" s="442"/>
      <c r="CH685" s="442"/>
      <c r="CI685" s="442"/>
    </row>
    <row r="686" spans="4:87" x14ac:dyDescent="0.2">
      <c r="D686" s="442"/>
      <c r="E686" s="442"/>
      <c r="F686" s="442"/>
      <c r="G686" s="442"/>
      <c r="H686" s="442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  <c r="AA686" s="442"/>
      <c r="AB686" s="442"/>
      <c r="AC686" s="442"/>
      <c r="AD686" s="442"/>
      <c r="AE686" s="442"/>
      <c r="AF686" s="442"/>
      <c r="AG686" s="442"/>
      <c r="AH686" s="442"/>
      <c r="AI686" s="442"/>
      <c r="AJ686" s="442"/>
      <c r="AK686" s="442"/>
      <c r="AL686" s="442"/>
      <c r="AM686" s="442"/>
      <c r="AN686" s="442"/>
      <c r="AO686" s="442"/>
      <c r="AP686" s="442"/>
      <c r="AQ686" s="442"/>
      <c r="AR686" s="442"/>
      <c r="AS686" s="442"/>
      <c r="AT686" s="442"/>
      <c r="AU686" s="442"/>
      <c r="AV686" s="442"/>
      <c r="AW686" s="442"/>
      <c r="AX686" s="442"/>
      <c r="AY686" s="442"/>
      <c r="AZ686" s="442"/>
      <c r="BA686" s="442"/>
      <c r="BB686" s="442"/>
      <c r="BC686" s="442"/>
      <c r="BD686" s="442"/>
      <c r="BE686" s="442"/>
      <c r="BF686" s="442"/>
      <c r="BG686" s="442"/>
      <c r="BH686" s="442"/>
      <c r="BI686" s="442"/>
      <c r="BJ686" s="442"/>
      <c r="BK686" s="442"/>
      <c r="BL686" s="442"/>
      <c r="BM686" s="442"/>
      <c r="BN686" s="442"/>
      <c r="BO686" s="442"/>
      <c r="BP686" s="442"/>
      <c r="BQ686" s="442"/>
      <c r="BR686" s="442"/>
      <c r="BS686" s="442"/>
      <c r="BT686" s="442"/>
      <c r="BU686" s="442"/>
      <c r="BV686" s="442"/>
      <c r="BW686" s="442"/>
      <c r="BX686" s="442"/>
      <c r="BY686" s="442"/>
      <c r="BZ686" s="442"/>
      <c r="CA686" s="442"/>
      <c r="CB686" s="442"/>
      <c r="CC686" s="442"/>
      <c r="CD686" s="442"/>
      <c r="CE686" s="442"/>
      <c r="CF686" s="442"/>
      <c r="CG686" s="442"/>
      <c r="CH686" s="442"/>
      <c r="CI686" s="442"/>
    </row>
    <row r="687" spans="4:87" x14ac:dyDescent="0.2"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  <c r="AA687" s="442"/>
      <c r="AB687" s="442"/>
      <c r="AC687" s="442"/>
      <c r="AD687" s="442"/>
      <c r="AE687" s="442"/>
      <c r="AF687" s="442"/>
      <c r="AG687" s="442"/>
      <c r="AH687" s="442"/>
      <c r="AI687" s="442"/>
      <c r="AJ687" s="442"/>
      <c r="AK687" s="442"/>
      <c r="AL687" s="442"/>
      <c r="AM687" s="442"/>
      <c r="AN687" s="442"/>
      <c r="AO687" s="442"/>
      <c r="AP687" s="442"/>
      <c r="AQ687" s="442"/>
      <c r="AR687" s="442"/>
      <c r="AS687" s="442"/>
      <c r="AT687" s="442"/>
      <c r="AU687" s="442"/>
      <c r="AV687" s="442"/>
      <c r="AW687" s="442"/>
      <c r="AX687" s="442"/>
      <c r="AY687" s="442"/>
      <c r="AZ687" s="442"/>
      <c r="BA687" s="442"/>
      <c r="BB687" s="442"/>
      <c r="BC687" s="442"/>
      <c r="BD687" s="442"/>
      <c r="BE687" s="442"/>
      <c r="BF687" s="442"/>
      <c r="BG687" s="442"/>
      <c r="BH687" s="442"/>
      <c r="BI687" s="442"/>
      <c r="BJ687" s="442"/>
      <c r="BK687" s="442"/>
      <c r="BL687" s="442"/>
      <c r="BM687" s="442"/>
      <c r="BN687" s="442"/>
      <c r="BO687" s="442"/>
      <c r="BP687" s="442"/>
      <c r="BQ687" s="442"/>
      <c r="BR687" s="442"/>
      <c r="BS687" s="442"/>
      <c r="BT687" s="442"/>
      <c r="BU687" s="442"/>
      <c r="BV687" s="442"/>
      <c r="BW687" s="442"/>
      <c r="BX687" s="442"/>
      <c r="BY687" s="442"/>
      <c r="BZ687" s="442"/>
      <c r="CA687" s="442"/>
      <c r="CB687" s="442"/>
      <c r="CC687" s="442"/>
      <c r="CD687" s="442"/>
      <c r="CE687" s="442"/>
      <c r="CF687" s="442"/>
      <c r="CG687" s="442"/>
      <c r="CH687" s="442"/>
      <c r="CI687" s="442"/>
    </row>
    <row r="688" spans="4:87" x14ac:dyDescent="0.2">
      <c r="D688" s="442"/>
      <c r="E688" s="442"/>
      <c r="F688" s="442"/>
      <c r="G688" s="442"/>
      <c r="H688" s="442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  <c r="AA688" s="442"/>
      <c r="AB688" s="442"/>
      <c r="AC688" s="442"/>
      <c r="AD688" s="442"/>
      <c r="AE688" s="442"/>
      <c r="AF688" s="442"/>
      <c r="AG688" s="442"/>
      <c r="AH688" s="442"/>
      <c r="AI688" s="442"/>
      <c r="AJ688" s="442"/>
      <c r="AK688" s="442"/>
      <c r="AL688" s="442"/>
      <c r="AM688" s="442"/>
      <c r="AN688" s="442"/>
      <c r="AO688" s="442"/>
      <c r="AP688" s="442"/>
      <c r="AQ688" s="442"/>
      <c r="AR688" s="442"/>
      <c r="AS688" s="442"/>
      <c r="AT688" s="442"/>
      <c r="AU688" s="442"/>
      <c r="AV688" s="442"/>
      <c r="AW688" s="442"/>
      <c r="AX688" s="442"/>
      <c r="AY688" s="442"/>
      <c r="AZ688" s="442"/>
      <c r="BA688" s="442"/>
      <c r="BB688" s="442"/>
      <c r="BC688" s="442"/>
      <c r="BD688" s="442"/>
      <c r="BE688" s="442"/>
      <c r="BF688" s="442"/>
      <c r="BG688" s="442"/>
      <c r="BH688" s="442"/>
      <c r="BI688" s="442"/>
      <c r="BJ688" s="442"/>
      <c r="BK688" s="442"/>
      <c r="BL688" s="442"/>
      <c r="BM688" s="442"/>
      <c r="BN688" s="442"/>
      <c r="BO688" s="442"/>
      <c r="BP688" s="442"/>
      <c r="BQ688" s="442"/>
      <c r="BR688" s="442"/>
      <c r="BS688" s="442"/>
      <c r="BT688" s="442"/>
      <c r="BU688" s="442"/>
      <c r="BV688" s="442"/>
      <c r="BW688" s="442"/>
      <c r="BX688" s="442"/>
      <c r="BY688" s="442"/>
      <c r="BZ688" s="442"/>
      <c r="CA688" s="442"/>
      <c r="CB688" s="442"/>
      <c r="CC688" s="442"/>
      <c r="CD688" s="442"/>
      <c r="CE688" s="442"/>
      <c r="CF688" s="442"/>
      <c r="CG688" s="442"/>
      <c r="CH688" s="442"/>
      <c r="CI688" s="442"/>
    </row>
    <row r="689" spans="4:87" x14ac:dyDescent="0.2">
      <c r="D689" s="442"/>
      <c r="E689" s="442"/>
      <c r="F689" s="442"/>
      <c r="G689" s="442"/>
      <c r="H689" s="442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  <c r="AA689" s="442"/>
      <c r="AB689" s="442"/>
      <c r="AC689" s="442"/>
      <c r="AD689" s="442"/>
      <c r="AE689" s="442"/>
      <c r="AF689" s="442"/>
      <c r="AG689" s="442"/>
      <c r="AH689" s="442"/>
      <c r="AI689" s="442"/>
      <c r="AJ689" s="442"/>
      <c r="AK689" s="442"/>
      <c r="AL689" s="442"/>
      <c r="AM689" s="442"/>
      <c r="AN689" s="442"/>
      <c r="AO689" s="442"/>
      <c r="AP689" s="442"/>
      <c r="AQ689" s="442"/>
      <c r="AR689" s="442"/>
      <c r="AS689" s="442"/>
      <c r="AT689" s="442"/>
      <c r="AU689" s="442"/>
      <c r="AV689" s="442"/>
      <c r="AW689" s="442"/>
      <c r="AX689" s="442"/>
      <c r="AY689" s="442"/>
      <c r="AZ689" s="442"/>
      <c r="BA689" s="442"/>
      <c r="BB689" s="442"/>
      <c r="BC689" s="442"/>
      <c r="BD689" s="442"/>
      <c r="BE689" s="442"/>
      <c r="BF689" s="442"/>
      <c r="BG689" s="442"/>
      <c r="BH689" s="442"/>
      <c r="BI689" s="442"/>
      <c r="BJ689" s="442"/>
      <c r="BK689" s="442"/>
      <c r="BL689" s="442"/>
      <c r="BM689" s="442"/>
      <c r="BN689" s="442"/>
      <c r="BO689" s="442"/>
      <c r="BP689" s="442"/>
      <c r="BQ689" s="442"/>
      <c r="BR689" s="442"/>
      <c r="BS689" s="442"/>
      <c r="BT689" s="442"/>
      <c r="BU689" s="442"/>
      <c r="BV689" s="442"/>
      <c r="BW689" s="442"/>
      <c r="BX689" s="442"/>
      <c r="BY689" s="442"/>
      <c r="BZ689" s="442"/>
      <c r="CA689" s="442"/>
      <c r="CB689" s="442"/>
      <c r="CC689" s="442"/>
      <c r="CD689" s="442"/>
      <c r="CE689" s="442"/>
      <c r="CF689" s="442"/>
      <c r="CG689" s="442"/>
      <c r="CH689" s="442"/>
      <c r="CI689" s="442"/>
    </row>
    <row r="690" spans="4:87" x14ac:dyDescent="0.2"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  <c r="AA690" s="442"/>
      <c r="AB690" s="442"/>
      <c r="AC690" s="442"/>
      <c r="AD690" s="442"/>
      <c r="AE690" s="442"/>
      <c r="AF690" s="442"/>
      <c r="AG690" s="442"/>
      <c r="AH690" s="442"/>
      <c r="AI690" s="442"/>
      <c r="AJ690" s="442"/>
      <c r="AK690" s="442"/>
      <c r="AL690" s="442"/>
      <c r="AM690" s="442"/>
      <c r="AN690" s="442"/>
      <c r="AO690" s="442"/>
      <c r="AP690" s="442"/>
      <c r="AQ690" s="442"/>
      <c r="AR690" s="442"/>
      <c r="AS690" s="442"/>
      <c r="AT690" s="442"/>
      <c r="AU690" s="442"/>
      <c r="AV690" s="442"/>
      <c r="AW690" s="442"/>
      <c r="AX690" s="442"/>
      <c r="AY690" s="442"/>
      <c r="AZ690" s="442"/>
      <c r="BA690" s="442"/>
      <c r="BB690" s="442"/>
      <c r="BC690" s="442"/>
      <c r="BD690" s="442"/>
      <c r="BE690" s="442"/>
      <c r="BF690" s="442"/>
      <c r="BG690" s="442"/>
      <c r="BH690" s="442"/>
      <c r="BI690" s="442"/>
      <c r="BJ690" s="442"/>
      <c r="BK690" s="442"/>
      <c r="BL690" s="442"/>
      <c r="BM690" s="442"/>
      <c r="BN690" s="442"/>
      <c r="BO690" s="442"/>
      <c r="BP690" s="442"/>
      <c r="BQ690" s="442"/>
      <c r="BR690" s="442"/>
      <c r="BS690" s="442"/>
      <c r="BT690" s="442"/>
      <c r="BU690" s="442"/>
      <c r="BV690" s="442"/>
      <c r="BW690" s="442"/>
      <c r="BX690" s="442"/>
      <c r="BY690" s="442"/>
      <c r="BZ690" s="442"/>
      <c r="CA690" s="442"/>
      <c r="CB690" s="442"/>
      <c r="CC690" s="442"/>
      <c r="CD690" s="442"/>
      <c r="CE690" s="442"/>
      <c r="CF690" s="442"/>
      <c r="CG690" s="442"/>
      <c r="CH690" s="442"/>
      <c r="CI690" s="442"/>
    </row>
    <row r="691" spans="4:87" x14ac:dyDescent="0.2">
      <c r="D691" s="442"/>
      <c r="E691" s="442"/>
      <c r="F691" s="442"/>
      <c r="G691" s="442"/>
      <c r="H691" s="442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  <c r="AA691" s="442"/>
      <c r="AB691" s="442"/>
      <c r="AC691" s="442"/>
      <c r="AD691" s="442"/>
      <c r="AE691" s="442"/>
      <c r="AF691" s="442"/>
      <c r="AG691" s="442"/>
      <c r="AH691" s="442"/>
      <c r="AI691" s="442"/>
      <c r="AJ691" s="442"/>
      <c r="AK691" s="442"/>
      <c r="AL691" s="442"/>
      <c r="AM691" s="442"/>
      <c r="AN691" s="442"/>
      <c r="AO691" s="442"/>
      <c r="AP691" s="442"/>
      <c r="AQ691" s="442"/>
      <c r="AR691" s="442"/>
      <c r="AS691" s="442"/>
      <c r="AT691" s="442"/>
      <c r="AU691" s="442"/>
      <c r="AV691" s="442"/>
      <c r="AW691" s="442"/>
      <c r="AX691" s="442"/>
      <c r="AY691" s="442"/>
      <c r="AZ691" s="442"/>
      <c r="BA691" s="442"/>
      <c r="BB691" s="442"/>
      <c r="BC691" s="442"/>
      <c r="BD691" s="442"/>
      <c r="BE691" s="442"/>
      <c r="BF691" s="442"/>
      <c r="BG691" s="442"/>
      <c r="BH691" s="442"/>
      <c r="BI691" s="442"/>
      <c r="BJ691" s="442"/>
      <c r="BK691" s="442"/>
      <c r="BL691" s="442"/>
      <c r="BM691" s="442"/>
      <c r="BN691" s="442"/>
      <c r="BO691" s="442"/>
      <c r="BP691" s="442"/>
      <c r="BQ691" s="442"/>
      <c r="BR691" s="442"/>
      <c r="BS691" s="442"/>
      <c r="BT691" s="442"/>
      <c r="BU691" s="442"/>
      <c r="BV691" s="442"/>
      <c r="BW691" s="442"/>
      <c r="BX691" s="442"/>
      <c r="BY691" s="442"/>
      <c r="BZ691" s="442"/>
      <c r="CA691" s="442"/>
      <c r="CB691" s="442"/>
      <c r="CC691" s="442"/>
      <c r="CD691" s="442"/>
      <c r="CE691" s="442"/>
      <c r="CF691" s="442"/>
      <c r="CG691" s="442"/>
      <c r="CH691" s="442"/>
      <c r="CI691" s="442"/>
    </row>
    <row r="692" spans="4:87" x14ac:dyDescent="0.2">
      <c r="D692" s="442"/>
      <c r="E692" s="442"/>
      <c r="F692" s="442"/>
      <c r="G692" s="442"/>
      <c r="H692" s="442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  <c r="AA692" s="442"/>
      <c r="AB692" s="442"/>
      <c r="AC692" s="442"/>
      <c r="AD692" s="442"/>
      <c r="AE692" s="442"/>
      <c r="AF692" s="442"/>
      <c r="AG692" s="442"/>
      <c r="AH692" s="442"/>
      <c r="AI692" s="442"/>
      <c r="AJ692" s="442"/>
      <c r="AK692" s="442"/>
      <c r="AL692" s="442"/>
      <c r="AM692" s="442"/>
      <c r="AN692" s="442"/>
      <c r="AO692" s="442"/>
      <c r="AP692" s="442"/>
      <c r="AQ692" s="442"/>
      <c r="AR692" s="442"/>
      <c r="AS692" s="442"/>
      <c r="AT692" s="442"/>
      <c r="AU692" s="442"/>
      <c r="AV692" s="442"/>
      <c r="AW692" s="442"/>
      <c r="AX692" s="442"/>
      <c r="AY692" s="442"/>
      <c r="AZ692" s="442"/>
      <c r="BA692" s="442"/>
      <c r="BB692" s="442"/>
      <c r="BC692" s="442"/>
      <c r="BD692" s="442"/>
      <c r="BE692" s="442"/>
      <c r="BF692" s="442"/>
      <c r="BG692" s="442"/>
      <c r="BH692" s="442"/>
      <c r="BI692" s="442"/>
      <c r="BJ692" s="442"/>
      <c r="BK692" s="442"/>
      <c r="BL692" s="442"/>
      <c r="BM692" s="442"/>
      <c r="BN692" s="442"/>
      <c r="BO692" s="442"/>
      <c r="BP692" s="442"/>
      <c r="BQ692" s="442"/>
      <c r="BR692" s="442"/>
      <c r="BS692" s="442"/>
      <c r="BT692" s="442"/>
      <c r="BU692" s="442"/>
      <c r="BV692" s="442"/>
      <c r="BW692" s="442"/>
      <c r="BX692" s="442"/>
      <c r="BY692" s="442"/>
      <c r="BZ692" s="442"/>
      <c r="CA692" s="442"/>
      <c r="CB692" s="442"/>
      <c r="CC692" s="442"/>
      <c r="CD692" s="442"/>
      <c r="CE692" s="442"/>
      <c r="CF692" s="442"/>
      <c r="CG692" s="442"/>
      <c r="CH692" s="442"/>
      <c r="CI692" s="442"/>
    </row>
  </sheetData>
  <mergeCells count="4">
    <mergeCell ref="G8:BT8"/>
    <mergeCell ref="BY8:EL8"/>
    <mergeCell ref="G188:BT188"/>
    <mergeCell ref="BY188:EL188"/>
  </mergeCells>
  <pageMargins left="0.70866141732283472" right="0.70866141732283472" top="0.74803149606299213" bottom="0.74803149606299213" header="0.31496062992125984" footer="0.31496062992125984"/>
  <pageSetup scale="45" fitToWidth="2" fitToHeight="2" orientation="portrait" horizontalDpi="300" verticalDpi="300" r:id="rId1"/>
  <rowBreaks count="1" manualBreakCount="1">
    <brk id="183" max="14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66"/>
  <sheetViews>
    <sheetView view="pageBreakPreview" topLeftCell="A59" zoomScale="95" zoomScaleNormal="100" zoomScaleSheetLayoutView="95" workbookViewId="0">
      <selection activeCell="BT6" sqref="BT6"/>
    </sheetView>
  </sheetViews>
  <sheetFormatPr defaultColWidth="10" defaultRowHeight="12.75" x14ac:dyDescent="0.2"/>
  <cols>
    <col min="1" max="1" width="1.85546875" style="53" customWidth="1"/>
    <col min="2" max="3" width="1" style="53" customWidth="1"/>
    <col min="4" max="4" width="34" style="53" customWidth="1"/>
    <col min="5" max="6" width="1" style="53" customWidth="1"/>
    <col min="7" max="7" width="17.85546875" style="53" customWidth="1"/>
    <col min="8" max="9" width="1" style="53" customWidth="1"/>
    <col min="10" max="11" width="1" style="53" hidden="1" customWidth="1"/>
    <col min="12" max="12" width="17.85546875" style="53" hidden="1" customWidth="1"/>
    <col min="13" max="14" width="1" style="53" hidden="1" customWidth="1"/>
    <col min="15" max="16" width="1" style="53" customWidth="1"/>
    <col min="17" max="17" width="17.85546875" style="53" customWidth="1"/>
    <col min="18" max="19" width="1" style="53" customWidth="1"/>
    <col min="20" max="21" width="1" style="53" hidden="1" customWidth="1"/>
    <col min="22" max="22" width="17.85546875" style="53" hidden="1" customWidth="1"/>
    <col min="23" max="26" width="1" style="53" hidden="1" customWidth="1"/>
    <col min="27" max="27" width="17.85546875" style="53" hidden="1" customWidth="1"/>
    <col min="28" max="31" width="1" style="53" hidden="1" customWidth="1"/>
    <col min="32" max="32" width="17.85546875" style="53" hidden="1" customWidth="1"/>
    <col min="33" max="36" width="1" style="53" hidden="1" customWidth="1"/>
    <col min="37" max="37" width="17.85546875" style="53" hidden="1" customWidth="1"/>
    <col min="38" max="41" width="1" style="53" hidden="1" customWidth="1"/>
    <col min="42" max="42" width="17.85546875" style="53" hidden="1" customWidth="1"/>
    <col min="43" max="46" width="1" style="53" hidden="1" customWidth="1"/>
    <col min="47" max="47" width="17.85546875" style="53" hidden="1" customWidth="1"/>
    <col min="48" max="51" width="1" style="53" hidden="1" customWidth="1"/>
    <col min="52" max="52" width="17.85546875" style="53" hidden="1" customWidth="1"/>
    <col min="53" max="56" width="1" style="53" hidden="1" customWidth="1"/>
    <col min="57" max="57" width="17.85546875" style="53" hidden="1" customWidth="1"/>
    <col min="58" max="61" width="1" style="53" hidden="1" customWidth="1"/>
    <col min="62" max="62" width="17.85546875" style="53" hidden="1" customWidth="1"/>
    <col min="63" max="66" width="1" style="53" hidden="1" customWidth="1"/>
    <col min="67" max="67" width="17.85546875" style="53" hidden="1" customWidth="1"/>
    <col min="68" max="69" width="1" style="53" hidden="1" customWidth="1"/>
    <col min="70" max="71" width="1" style="53" customWidth="1"/>
    <col min="72" max="72" width="17.85546875" style="53" customWidth="1"/>
    <col min="73" max="76" width="1" style="53" customWidth="1"/>
    <col min="77" max="77" width="17.85546875" style="53" customWidth="1"/>
    <col min="78" max="79" width="1" style="53" customWidth="1"/>
    <col min="80" max="81" width="1" style="53" hidden="1" customWidth="1"/>
    <col min="82" max="82" width="17.85546875" style="53" hidden="1" customWidth="1"/>
    <col min="83" max="84" width="1" style="53" hidden="1" customWidth="1"/>
    <col min="85" max="86" width="1" style="53" customWidth="1"/>
    <col min="87" max="87" width="17.85546875" style="53" customWidth="1"/>
    <col min="88" max="89" width="1" style="53" customWidth="1"/>
    <col min="90" max="91" width="1" style="53" hidden="1" customWidth="1"/>
    <col min="92" max="92" width="17.85546875" style="53" hidden="1" customWidth="1"/>
    <col min="93" max="96" width="1" style="53" hidden="1" customWidth="1"/>
    <col min="97" max="97" width="17.85546875" style="53" hidden="1" customWidth="1"/>
    <col min="98" max="101" width="1" style="53" hidden="1" customWidth="1"/>
    <col min="102" max="102" width="17.85546875" style="53" hidden="1" customWidth="1"/>
    <col min="103" max="106" width="1" style="53" hidden="1" customWidth="1"/>
    <col min="107" max="107" width="17.85546875" style="53" hidden="1" customWidth="1"/>
    <col min="108" max="111" width="1" style="53" hidden="1" customWidth="1"/>
    <col min="112" max="112" width="17.85546875" style="53" hidden="1" customWidth="1"/>
    <col min="113" max="116" width="1" style="53" hidden="1" customWidth="1"/>
    <col min="117" max="117" width="17.85546875" style="53" hidden="1" customWidth="1"/>
    <col min="118" max="121" width="1" style="53" hidden="1" customWidth="1"/>
    <col min="122" max="122" width="17.85546875" style="53" hidden="1" customWidth="1"/>
    <col min="123" max="126" width="1" style="53" hidden="1" customWidth="1"/>
    <col min="127" max="127" width="17.85546875" style="53" hidden="1" customWidth="1"/>
    <col min="128" max="131" width="1" style="53" hidden="1" customWidth="1"/>
    <col min="132" max="132" width="17.85546875" style="53" hidden="1" customWidth="1"/>
    <col min="133" max="136" width="1" style="53" hidden="1" customWidth="1"/>
    <col min="137" max="137" width="17.85546875" style="53" hidden="1" customWidth="1"/>
    <col min="138" max="139" width="1" style="53" hidden="1" customWidth="1"/>
    <col min="140" max="141" width="1" style="53" customWidth="1"/>
    <col min="142" max="142" width="17.85546875" style="53" customWidth="1"/>
    <col min="143" max="143" width="1" style="53" customWidth="1"/>
    <col min="144" max="144" width="2" style="53" customWidth="1"/>
    <col min="145" max="145" width="6.42578125" style="53" customWidth="1"/>
    <col min="146" max="146" width="17.42578125" style="53" customWidth="1"/>
    <col min="147" max="147" width="12.28515625" style="53" customWidth="1"/>
    <col min="148" max="256" width="10" style="53"/>
    <col min="257" max="257" width="1.85546875" style="53" customWidth="1"/>
    <col min="258" max="259" width="1" style="53" customWidth="1"/>
    <col min="260" max="260" width="34" style="53" customWidth="1"/>
    <col min="261" max="262" width="1" style="53" customWidth="1"/>
    <col min="263" max="263" width="17.85546875" style="53" customWidth="1"/>
    <col min="264" max="265" width="1" style="53" customWidth="1"/>
    <col min="266" max="270" width="0" style="53" hidden="1" customWidth="1"/>
    <col min="271" max="272" width="1" style="53" customWidth="1"/>
    <col min="273" max="273" width="17.85546875" style="53" customWidth="1"/>
    <col min="274" max="275" width="1" style="53" customWidth="1"/>
    <col min="276" max="325" width="0" style="53" hidden="1" customWidth="1"/>
    <col min="326" max="327" width="1" style="53" customWidth="1"/>
    <col min="328" max="328" width="17.85546875" style="53" customWidth="1"/>
    <col min="329" max="332" width="1" style="53" customWidth="1"/>
    <col min="333" max="333" width="17.85546875" style="53" customWidth="1"/>
    <col min="334" max="335" width="1" style="53" customWidth="1"/>
    <col min="336" max="340" width="0" style="53" hidden="1" customWidth="1"/>
    <col min="341" max="342" width="1" style="53" customWidth="1"/>
    <col min="343" max="343" width="17.85546875" style="53" customWidth="1"/>
    <col min="344" max="345" width="1" style="53" customWidth="1"/>
    <col min="346" max="395" width="0" style="53" hidden="1" customWidth="1"/>
    <col min="396" max="397" width="1" style="53" customWidth="1"/>
    <col min="398" max="398" width="17.85546875" style="53" customWidth="1"/>
    <col min="399" max="399" width="1" style="53" customWidth="1"/>
    <col min="400" max="400" width="2" style="53" customWidth="1"/>
    <col min="401" max="401" width="6.42578125" style="53" customWidth="1"/>
    <col min="402" max="402" width="17.42578125" style="53" customWidth="1"/>
    <col min="403" max="403" width="12.28515625" style="53" customWidth="1"/>
    <col min="404" max="512" width="10" style="53"/>
    <col min="513" max="513" width="1.85546875" style="53" customWidth="1"/>
    <col min="514" max="515" width="1" style="53" customWidth="1"/>
    <col min="516" max="516" width="34" style="53" customWidth="1"/>
    <col min="517" max="518" width="1" style="53" customWidth="1"/>
    <col min="519" max="519" width="17.85546875" style="53" customWidth="1"/>
    <col min="520" max="521" width="1" style="53" customWidth="1"/>
    <col min="522" max="526" width="0" style="53" hidden="1" customWidth="1"/>
    <col min="527" max="528" width="1" style="53" customWidth="1"/>
    <col min="529" max="529" width="17.85546875" style="53" customWidth="1"/>
    <col min="530" max="531" width="1" style="53" customWidth="1"/>
    <col min="532" max="581" width="0" style="53" hidden="1" customWidth="1"/>
    <col min="582" max="583" width="1" style="53" customWidth="1"/>
    <col min="584" max="584" width="17.85546875" style="53" customWidth="1"/>
    <col min="585" max="588" width="1" style="53" customWidth="1"/>
    <col min="589" max="589" width="17.85546875" style="53" customWidth="1"/>
    <col min="590" max="591" width="1" style="53" customWidth="1"/>
    <col min="592" max="596" width="0" style="53" hidden="1" customWidth="1"/>
    <col min="597" max="598" width="1" style="53" customWidth="1"/>
    <col min="599" max="599" width="17.85546875" style="53" customWidth="1"/>
    <col min="600" max="601" width="1" style="53" customWidth="1"/>
    <col min="602" max="651" width="0" style="53" hidden="1" customWidth="1"/>
    <col min="652" max="653" width="1" style="53" customWidth="1"/>
    <col min="654" max="654" width="17.85546875" style="53" customWidth="1"/>
    <col min="655" max="655" width="1" style="53" customWidth="1"/>
    <col min="656" max="656" width="2" style="53" customWidth="1"/>
    <col min="657" max="657" width="6.42578125" style="53" customWidth="1"/>
    <col min="658" max="658" width="17.42578125" style="53" customWidth="1"/>
    <col min="659" max="659" width="12.28515625" style="53" customWidth="1"/>
    <col min="660" max="768" width="10" style="53"/>
    <col min="769" max="769" width="1.85546875" style="53" customWidth="1"/>
    <col min="770" max="771" width="1" style="53" customWidth="1"/>
    <col min="772" max="772" width="34" style="53" customWidth="1"/>
    <col min="773" max="774" width="1" style="53" customWidth="1"/>
    <col min="775" max="775" width="17.85546875" style="53" customWidth="1"/>
    <col min="776" max="777" width="1" style="53" customWidth="1"/>
    <col min="778" max="782" width="0" style="53" hidden="1" customWidth="1"/>
    <col min="783" max="784" width="1" style="53" customWidth="1"/>
    <col min="785" max="785" width="17.85546875" style="53" customWidth="1"/>
    <col min="786" max="787" width="1" style="53" customWidth="1"/>
    <col min="788" max="837" width="0" style="53" hidden="1" customWidth="1"/>
    <col min="838" max="839" width="1" style="53" customWidth="1"/>
    <col min="840" max="840" width="17.85546875" style="53" customWidth="1"/>
    <col min="841" max="844" width="1" style="53" customWidth="1"/>
    <col min="845" max="845" width="17.85546875" style="53" customWidth="1"/>
    <col min="846" max="847" width="1" style="53" customWidth="1"/>
    <col min="848" max="852" width="0" style="53" hidden="1" customWidth="1"/>
    <col min="853" max="854" width="1" style="53" customWidth="1"/>
    <col min="855" max="855" width="17.85546875" style="53" customWidth="1"/>
    <col min="856" max="857" width="1" style="53" customWidth="1"/>
    <col min="858" max="907" width="0" style="53" hidden="1" customWidth="1"/>
    <col min="908" max="909" width="1" style="53" customWidth="1"/>
    <col min="910" max="910" width="17.85546875" style="53" customWidth="1"/>
    <col min="911" max="911" width="1" style="53" customWidth="1"/>
    <col min="912" max="912" width="2" style="53" customWidth="1"/>
    <col min="913" max="913" width="6.42578125" style="53" customWidth="1"/>
    <col min="914" max="914" width="17.42578125" style="53" customWidth="1"/>
    <col min="915" max="915" width="12.28515625" style="53" customWidth="1"/>
    <col min="916" max="1024" width="10" style="53"/>
    <col min="1025" max="1025" width="1.85546875" style="53" customWidth="1"/>
    <col min="1026" max="1027" width="1" style="53" customWidth="1"/>
    <col min="1028" max="1028" width="34" style="53" customWidth="1"/>
    <col min="1029" max="1030" width="1" style="53" customWidth="1"/>
    <col min="1031" max="1031" width="17.85546875" style="53" customWidth="1"/>
    <col min="1032" max="1033" width="1" style="53" customWidth="1"/>
    <col min="1034" max="1038" width="0" style="53" hidden="1" customWidth="1"/>
    <col min="1039" max="1040" width="1" style="53" customWidth="1"/>
    <col min="1041" max="1041" width="17.85546875" style="53" customWidth="1"/>
    <col min="1042" max="1043" width="1" style="53" customWidth="1"/>
    <col min="1044" max="1093" width="0" style="53" hidden="1" customWidth="1"/>
    <col min="1094" max="1095" width="1" style="53" customWidth="1"/>
    <col min="1096" max="1096" width="17.85546875" style="53" customWidth="1"/>
    <col min="1097" max="1100" width="1" style="53" customWidth="1"/>
    <col min="1101" max="1101" width="17.85546875" style="53" customWidth="1"/>
    <col min="1102" max="1103" width="1" style="53" customWidth="1"/>
    <col min="1104" max="1108" width="0" style="53" hidden="1" customWidth="1"/>
    <col min="1109" max="1110" width="1" style="53" customWidth="1"/>
    <col min="1111" max="1111" width="17.85546875" style="53" customWidth="1"/>
    <col min="1112" max="1113" width="1" style="53" customWidth="1"/>
    <col min="1114" max="1163" width="0" style="53" hidden="1" customWidth="1"/>
    <col min="1164" max="1165" width="1" style="53" customWidth="1"/>
    <col min="1166" max="1166" width="17.85546875" style="53" customWidth="1"/>
    <col min="1167" max="1167" width="1" style="53" customWidth="1"/>
    <col min="1168" max="1168" width="2" style="53" customWidth="1"/>
    <col min="1169" max="1169" width="6.42578125" style="53" customWidth="1"/>
    <col min="1170" max="1170" width="17.42578125" style="53" customWidth="1"/>
    <col min="1171" max="1171" width="12.28515625" style="53" customWidth="1"/>
    <col min="1172" max="1280" width="10" style="53"/>
    <col min="1281" max="1281" width="1.85546875" style="53" customWidth="1"/>
    <col min="1282" max="1283" width="1" style="53" customWidth="1"/>
    <col min="1284" max="1284" width="34" style="53" customWidth="1"/>
    <col min="1285" max="1286" width="1" style="53" customWidth="1"/>
    <col min="1287" max="1287" width="17.85546875" style="53" customWidth="1"/>
    <col min="1288" max="1289" width="1" style="53" customWidth="1"/>
    <col min="1290" max="1294" width="0" style="53" hidden="1" customWidth="1"/>
    <col min="1295" max="1296" width="1" style="53" customWidth="1"/>
    <col min="1297" max="1297" width="17.85546875" style="53" customWidth="1"/>
    <col min="1298" max="1299" width="1" style="53" customWidth="1"/>
    <col min="1300" max="1349" width="0" style="53" hidden="1" customWidth="1"/>
    <col min="1350" max="1351" width="1" style="53" customWidth="1"/>
    <col min="1352" max="1352" width="17.85546875" style="53" customWidth="1"/>
    <col min="1353" max="1356" width="1" style="53" customWidth="1"/>
    <col min="1357" max="1357" width="17.85546875" style="53" customWidth="1"/>
    <col min="1358" max="1359" width="1" style="53" customWidth="1"/>
    <col min="1360" max="1364" width="0" style="53" hidden="1" customWidth="1"/>
    <col min="1365" max="1366" width="1" style="53" customWidth="1"/>
    <col min="1367" max="1367" width="17.85546875" style="53" customWidth="1"/>
    <col min="1368" max="1369" width="1" style="53" customWidth="1"/>
    <col min="1370" max="1419" width="0" style="53" hidden="1" customWidth="1"/>
    <col min="1420" max="1421" width="1" style="53" customWidth="1"/>
    <col min="1422" max="1422" width="17.85546875" style="53" customWidth="1"/>
    <col min="1423" max="1423" width="1" style="53" customWidth="1"/>
    <col min="1424" max="1424" width="2" style="53" customWidth="1"/>
    <col min="1425" max="1425" width="6.42578125" style="53" customWidth="1"/>
    <col min="1426" max="1426" width="17.42578125" style="53" customWidth="1"/>
    <col min="1427" max="1427" width="12.28515625" style="53" customWidth="1"/>
    <col min="1428" max="1536" width="10" style="53"/>
    <col min="1537" max="1537" width="1.85546875" style="53" customWidth="1"/>
    <col min="1538" max="1539" width="1" style="53" customWidth="1"/>
    <col min="1540" max="1540" width="34" style="53" customWidth="1"/>
    <col min="1541" max="1542" width="1" style="53" customWidth="1"/>
    <col min="1543" max="1543" width="17.85546875" style="53" customWidth="1"/>
    <col min="1544" max="1545" width="1" style="53" customWidth="1"/>
    <col min="1546" max="1550" width="0" style="53" hidden="1" customWidth="1"/>
    <col min="1551" max="1552" width="1" style="53" customWidth="1"/>
    <col min="1553" max="1553" width="17.85546875" style="53" customWidth="1"/>
    <col min="1554" max="1555" width="1" style="53" customWidth="1"/>
    <col min="1556" max="1605" width="0" style="53" hidden="1" customWidth="1"/>
    <col min="1606" max="1607" width="1" style="53" customWidth="1"/>
    <col min="1608" max="1608" width="17.85546875" style="53" customWidth="1"/>
    <col min="1609" max="1612" width="1" style="53" customWidth="1"/>
    <col min="1613" max="1613" width="17.85546875" style="53" customWidth="1"/>
    <col min="1614" max="1615" width="1" style="53" customWidth="1"/>
    <col min="1616" max="1620" width="0" style="53" hidden="1" customWidth="1"/>
    <col min="1621" max="1622" width="1" style="53" customWidth="1"/>
    <col min="1623" max="1623" width="17.85546875" style="53" customWidth="1"/>
    <col min="1624" max="1625" width="1" style="53" customWidth="1"/>
    <col min="1626" max="1675" width="0" style="53" hidden="1" customWidth="1"/>
    <col min="1676" max="1677" width="1" style="53" customWidth="1"/>
    <col min="1678" max="1678" width="17.85546875" style="53" customWidth="1"/>
    <col min="1679" max="1679" width="1" style="53" customWidth="1"/>
    <col min="1680" max="1680" width="2" style="53" customWidth="1"/>
    <col min="1681" max="1681" width="6.42578125" style="53" customWidth="1"/>
    <col min="1682" max="1682" width="17.42578125" style="53" customWidth="1"/>
    <col min="1683" max="1683" width="12.28515625" style="53" customWidth="1"/>
    <col min="1684" max="1792" width="10" style="53"/>
    <col min="1793" max="1793" width="1.85546875" style="53" customWidth="1"/>
    <col min="1794" max="1795" width="1" style="53" customWidth="1"/>
    <col min="1796" max="1796" width="34" style="53" customWidth="1"/>
    <col min="1797" max="1798" width="1" style="53" customWidth="1"/>
    <col min="1799" max="1799" width="17.85546875" style="53" customWidth="1"/>
    <col min="1800" max="1801" width="1" style="53" customWidth="1"/>
    <col min="1802" max="1806" width="0" style="53" hidden="1" customWidth="1"/>
    <col min="1807" max="1808" width="1" style="53" customWidth="1"/>
    <col min="1809" max="1809" width="17.85546875" style="53" customWidth="1"/>
    <col min="1810" max="1811" width="1" style="53" customWidth="1"/>
    <col min="1812" max="1861" width="0" style="53" hidden="1" customWidth="1"/>
    <col min="1862" max="1863" width="1" style="53" customWidth="1"/>
    <col min="1864" max="1864" width="17.85546875" style="53" customWidth="1"/>
    <col min="1865" max="1868" width="1" style="53" customWidth="1"/>
    <col min="1869" max="1869" width="17.85546875" style="53" customWidth="1"/>
    <col min="1870" max="1871" width="1" style="53" customWidth="1"/>
    <col min="1872" max="1876" width="0" style="53" hidden="1" customWidth="1"/>
    <col min="1877" max="1878" width="1" style="53" customWidth="1"/>
    <col min="1879" max="1879" width="17.85546875" style="53" customWidth="1"/>
    <col min="1880" max="1881" width="1" style="53" customWidth="1"/>
    <col min="1882" max="1931" width="0" style="53" hidden="1" customWidth="1"/>
    <col min="1932" max="1933" width="1" style="53" customWidth="1"/>
    <col min="1934" max="1934" width="17.85546875" style="53" customWidth="1"/>
    <col min="1935" max="1935" width="1" style="53" customWidth="1"/>
    <col min="1936" max="1936" width="2" style="53" customWidth="1"/>
    <col min="1937" max="1937" width="6.42578125" style="53" customWidth="1"/>
    <col min="1938" max="1938" width="17.42578125" style="53" customWidth="1"/>
    <col min="1939" max="1939" width="12.28515625" style="53" customWidth="1"/>
    <col min="1940" max="2048" width="10" style="53"/>
    <col min="2049" max="2049" width="1.85546875" style="53" customWidth="1"/>
    <col min="2050" max="2051" width="1" style="53" customWidth="1"/>
    <col min="2052" max="2052" width="34" style="53" customWidth="1"/>
    <col min="2053" max="2054" width="1" style="53" customWidth="1"/>
    <col min="2055" max="2055" width="17.85546875" style="53" customWidth="1"/>
    <col min="2056" max="2057" width="1" style="53" customWidth="1"/>
    <col min="2058" max="2062" width="0" style="53" hidden="1" customWidth="1"/>
    <col min="2063" max="2064" width="1" style="53" customWidth="1"/>
    <col min="2065" max="2065" width="17.85546875" style="53" customWidth="1"/>
    <col min="2066" max="2067" width="1" style="53" customWidth="1"/>
    <col min="2068" max="2117" width="0" style="53" hidden="1" customWidth="1"/>
    <col min="2118" max="2119" width="1" style="53" customWidth="1"/>
    <col min="2120" max="2120" width="17.85546875" style="53" customWidth="1"/>
    <col min="2121" max="2124" width="1" style="53" customWidth="1"/>
    <col min="2125" max="2125" width="17.85546875" style="53" customWidth="1"/>
    <col min="2126" max="2127" width="1" style="53" customWidth="1"/>
    <col min="2128" max="2132" width="0" style="53" hidden="1" customWidth="1"/>
    <col min="2133" max="2134" width="1" style="53" customWidth="1"/>
    <col min="2135" max="2135" width="17.85546875" style="53" customWidth="1"/>
    <col min="2136" max="2137" width="1" style="53" customWidth="1"/>
    <col min="2138" max="2187" width="0" style="53" hidden="1" customWidth="1"/>
    <col min="2188" max="2189" width="1" style="53" customWidth="1"/>
    <col min="2190" max="2190" width="17.85546875" style="53" customWidth="1"/>
    <col min="2191" max="2191" width="1" style="53" customWidth="1"/>
    <col min="2192" max="2192" width="2" style="53" customWidth="1"/>
    <col min="2193" max="2193" width="6.42578125" style="53" customWidth="1"/>
    <col min="2194" max="2194" width="17.42578125" style="53" customWidth="1"/>
    <col min="2195" max="2195" width="12.28515625" style="53" customWidth="1"/>
    <col min="2196" max="2304" width="10" style="53"/>
    <col min="2305" max="2305" width="1.85546875" style="53" customWidth="1"/>
    <col min="2306" max="2307" width="1" style="53" customWidth="1"/>
    <col min="2308" max="2308" width="34" style="53" customWidth="1"/>
    <col min="2309" max="2310" width="1" style="53" customWidth="1"/>
    <col min="2311" max="2311" width="17.85546875" style="53" customWidth="1"/>
    <col min="2312" max="2313" width="1" style="53" customWidth="1"/>
    <col min="2314" max="2318" width="0" style="53" hidden="1" customWidth="1"/>
    <col min="2319" max="2320" width="1" style="53" customWidth="1"/>
    <col min="2321" max="2321" width="17.85546875" style="53" customWidth="1"/>
    <col min="2322" max="2323" width="1" style="53" customWidth="1"/>
    <col min="2324" max="2373" width="0" style="53" hidden="1" customWidth="1"/>
    <col min="2374" max="2375" width="1" style="53" customWidth="1"/>
    <col min="2376" max="2376" width="17.85546875" style="53" customWidth="1"/>
    <col min="2377" max="2380" width="1" style="53" customWidth="1"/>
    <col min="2381" max="2381" width="17.85546875" style="53" customWidth="1"/>
    <col min="2382" max="2383" width="1" style="53" customWidth="1"/>
    <col min="2384" max="2388" width="0" style="53" hidden="1" customWidth="1"/>
    <col min="2389" max="2390" width="1" style="53" customWidth="1"/>
    <col min="2391" max="2391" width="17.85546875" style="53" customWidth="1"/>
    <col min="2392" max="2393" width="1" style="53" customWidth="1"/>
    <col min="2394" max="2443" width="0" style="53" hidden="1" customWidth="1"/>
    <col min="2444" max="2445" width="1" style="53" customWidth="1"/>
    <col min="2446" max="2446" width="17.85546875" style="53" customWidth="1"/>
    <col min="2447" max="2447" width="1" style="53" customWidth="1"/>
    <col min="2448" max="2448" width="2" style="53" customWidth="1"/>
    <col min="2449" max="2449" width="6.42578125" style="53" customWidth="1"/>
    <col min="2450" max="2450" width="17.42578125" style="53" customWidth="1"/>
    <col min="2451" max="2451" width="12.28515625" style="53" customWidth="1"/>
    <col min="2452" max="2560" width="10" style="53"/>
    <col min="2561" max="2561" width="1.85546875" style="53" customWidth="1"/>
    <col min="2562" max="2563" width="1" style="53" customWidth="1"/>
    <col min="2564" max="2564" width="34" style="53" customWidth="1"/>
    <col min="2565" max="2566" width="1" style="53" customWidth="1"/>
    <col min="2567" max="2567" width="17.85546875" style="53" customWidth="1"/>
    <col min="2568" max="2569" width="1" style="53" customWidth="1"/>
    <col min="2570" max="2574" width="0" style="53" hidden="1" customWidth="1"/>
    <col min="2575" max="2576" width="1" style="53" customWidth="1"/>
    <col min="2577" max="2577" width="17.85546875" style="53" customWidth="1"/>
    <col min="2578" max="2579" width="1" style="53" customWidth="1"/>
    <col min="2580" max="2629" width="0" style="53" hidden="1" customWidth="1"/>
    <col min="2630" max="2631" width="1" style="53" customWidth="1"/>
    <col min="2632" max="2632" width="17.85546875" style="53" customWidth="1"/>
    <col min="2633" max="2636" width="1" style="53" customWidth="1"/>
    <col min="2637" max="2637" width="17.85546875" style="53" customWidth="1"/>
    <col min="2638" max="2639" width="1" style="53" customWidth="1"/>
    <col min="2640" max="2644" width="0" style="53" hidden="1" customWidth="1"/>
    <col min="2645" max="2646" width="1" style="53" customWidth="1"/>
    <col min="2647" max="2647" width="17.85546875" style="53" customWidth="1"/>
    <col min="2648" max="2649" width="1" style="53" customWidth="1"/>
    <col min="2650" max="2699" width="0" style="53" hidden="1" customWidth="1"/>
    <col min="2700" max="2701" width="1" style="53" customWidth="1"/>
    <col min="2702" max="2702" width="17.85546875" style="53" customWidth="1"/>
    <col min="2703" max="2703" width="1" style="53" customWidth="1"/>
    <col min="2704" max="2704" width="2" style="53" customWidth="1"/>
    <col min="2705" max="2705" width="6.42578125" style="53" customWidth="1"/>
    <col min="2706" max="2706" width="17.42578125" style="53" customWidth="1"/>
    <col min="2707" max="2707" width="12.28515625" style="53" customWidth="1"/>
    <col min="2708" max="2816" width="10" style="53"/>
    <col min="2817" max="2817" width="1.85546875" style="53" customWidth="1"/>
    <col min="2818" max="2819" width="1" style="53" customWidth="1"/>
    <col min="2820" max="2820" width="34" style="53" customWidth="1"/>
    <col min="2821" max="2822" width="1" style="53" customWidth="1"/>
    <col min="2823" max="2823" width="17.85546875" style="53" customWidth="1"/>
    <col min="2824" max="2825" width="1" style="53" customWidth="1"/>
    <col min="2826" max="2830" width="0" style="53" hidden="1" customWidth="1"/>
    <col min="2831" max="2832" width="1" style="53" customWidth="1"/>
    <col min="2833" max="2833" width="17.85546875" style="53" customWidth="1"/>
    <col min="2834" max="2835" width="1" style="53" customWidth="1"/>
    <col min="2836" max="2885" width="0" style="53" hidden="1" customWidth="1"/>
    <col min="2886" max="2887" width="1" style="53" customWidth="1"/>
    <col min="2888" max="2888" width="17.85546875" style="53" customWidth="1"/>
    <col min="2889" max="2892" width="1" style="53" customWidth="1"/>
    <col min="2893" max="2893" width="17.85546875" style="53" customWidth="1"/>
    <col min="2894" max="2895" width="1" style="53" customWidth="1"/>
    <col min="2896" max="2900" width="0" style="53" hidden="1" customWidth="1"/>
    <col min="2901" max="2902" width="1" style="53" customWidth="1"/>
    <col min="2903" max="2903" width="17.85546875" style="53" customWidth="1"/>
    <col min="2904" max="2905" width="1" style="53" customWidth="1"/>
    <col min="2906" max="2955" width="0" style="53" hidden="1" customWidth="1"/>
    <col min="2956" max="2957" width="1" style="53" customWidth="1"/>
    <col min="2958" max="2958" width="17.85546875" style="53" customWidth="1"/>
    <col min="2959" max="2959" width="1" style="53" customWidth="1"/>
    <col min="2960" max="2960" width="2" style="53" customWidth="1"/>
    <col min="2961" max="2961" width="6.42578125" style="53" customWidth="1"/>
    <col min="2962" max="2962" width="17.42578125" style="53" customWidth="1"/>
    <col min="2963" max="2963" width="12.28515625" style="53" customWidth="1"/>
    <col min="2964" max="3072" width="10" style="53"/>
    <col min="3073" max="3073" width="1.85546875" style="53" customWidth="1"/>
    <col min="3074" max="3075" width="1" style="53" customWidth="1"/>
    <col min="3076" max="3076" width="34" style="53" customWidth="1"/>
    <col min="3077" max="3078" width="1" style="53" customWidth="1"/>
    <col min="3079" max="3079" width="17.85546875" style="53" customWidth="1"/>
    <col min="3080" max="3081" width="1" style="53" customWidth="1"/>
    <col min="3082" max="3086" width="0" style="53" hidden="1" customWidth="1"/>
    <col min="3087" max="3088" width="1" style="53" customWidth="1"/>
    <col min="3089" max="3089" width="17.85546875" style="53" customWidth="1"/>
    <col min="3090" max="3091" width="1" style="53" customWidth="1"/>
    <col min="3092" max="3141" width="0" style="53" hidden="1" customWidth="1"/>
    <col min="3142" max="3143" width="1" style="53" customWidth="1"/>
    <col min="3144" max="3144" width="17.85546875" style="53" customWidth="1"/>
    <col min="3145" max="3148" width="1" style="53" customWidth="1"/>
    <col min="3149" max="3149" width="17.85546875" style="53" customWidth="1"/>
    <col min="3150" max="3151" width="1" style="53" customWidth="1"/>
    <col min="3152" max="3156" width="0" style="53" hidden="1" customWidth="1"/>
    <col min="3157" max="3158" width="1" style="53" customWidth="1"/>
    <col min="3159" max="3159" width="17.85546875" style="53" customWidth="1"/>
    <col min="3160" max="3161" width="1" style="53" customWidth="1"/>
    <col min="3162" max="3211" width="0" style="53" hidden="1" customWidth="1"/>
    <col min="3212" max="3213" width="1" style="53" customWidth="1"/>
    <col min="3214" max="3214" width="17.85546875" style="53" customWidth="1"/>
    <col min="3215" max="3215" width="1" style="53" customWidth="1"/>
    <col min="3216" max="3216" width="2" style="53" customWidth="1"/>
    <col min="3217" max="3217" width="6.42578125" style="53" customWidth="1"/>
    <col min="3218" max="3218" width="17.42578125" style="53" customWidth="1"/>
    <col min="3219" max="3219" width="12.28515625" style="53" customWidth="1"/>
    <col min="3220" max="3328" width="10" style="53"/>
    <col min="3329" max="3329" width="1.85546875" style="53" customWidth="1"/>
    <col min="3330" max="3331" width="1" style="53" customWidth="1"/>
    <col min="3332" max="3332" width="34" style="53" customWidth="1"/>
    <col min="3333" max="3334" width="1" style="53" customWidth="1"/>
    <col min="3335" max="3335" width="17.85546875" style="53" customWidth="1"/>
    <col min="3336" max="3337" width="1" style="53" customWidth="1"/>
    <col min="3338" max="3342" width="0" style="53" hidden="1" customWidth="1"/>
    <col min="3343" max="3344" width="1" style="53" customWidth="1"/>
    <col min="3345" max="3345" width="17.85546875" style="53" customWidth="1"/>
    <col min="3346" max="3347" width="1" style="53" customWidth="1"/>
    <col min="3348" max="3397" width="0" style="53" hidden="1" customWidth="1"/>
    <col min="3398" max="3399" width="1" style="53" customWidth="1"/>
    <col min="3400" max="3400" width="17.85546875" style="53" customWidth="1"/>
    <col min="3401" max="3404" width="1" style="53" customWidth="1"/>
    <col min="3405" max="3405" width="17.85546875" style="53" customWidth="1"/>
    <col min="3406" max="3407" width="1" style="53" customWidth="1"/>
    <col min="3408" max="3412" width="0" style="53" hidden="1" customWidth="1"/>
    <col min="3413" max="3414" width="1" style="53" customWidth="1"/>
    <col min="3415" max="3415" width="17.85546875" style="53" customWidth="1"/>
    <col min="3416" max="3417" width="1" style="53" customWidth="1"/>
    <col min="3418" max="3467" width="0" style="53" hidden="1" customWidth="1"/>
    <col min="3468" max="3469" width="1" style="53" customWidth="1"/>
    <col min="3470" max="3470" width="17.85546875" style="53" customWidth="1"/>
    <col min="3471" max="3471" width="1" style="53" customWidth="1"/>
    <col min="3472" max="3472" width="2" style="53" customWidth="1"/>
    <col min="3473" max="3473" width="6.42578125" style="53" customWidth="1"/>
    <col min="3474" max="3474" width="17.42578125" style="53" customWidth="1"/>
    <col min="3475" max="3475" width="12.28515625" style="53" customWidth="1"/>
    <col min="3476" max="3584" width="10" style="53"/>
    <col min="3585" max="3585" width="1.85546875" style="53" customWidth="1"/>
    <col min="3586" max="3587" width="1" style="53" customWidth="1"/>
    <col min="3588" max="3588" width="34" style="53" customWidth="1"/>
    <col min="3589" max="3590" width="1" style="53" customWidth="1"/>
    <col min="3591" max="3591" width="17.85546875" style="53" customWidth="1"/>
    <col min="3592" max="3593" width="1" style="53" customWidth="1"/>
    <col min="3594" max="3598" width="0" style="53" hidden="1" customWidth="1"/>
    <col min="3599" max="3600" width="1" style="53" customWidth="1"/>
    <col min="3601" max="3601" width="17.85546875" style="53" customWidth="1"/>
    <col min="3602" max="3603" width="1" style="53" customWidth="1"/>
    <col min="3604" max="3653" width="0" style="53" hidden="1" customWidth="1"/>
    <col min="3654" max="3655" width="1" style="53" customWidth="1"/>
    <col min="3656" max="3656" width="17.85546875" style="53" customWidth="1"/>
    <col min="3657" max="3660" width="1" style="53" customWidth="1"/>
    <col min="3661" max="3661" width="17.85546875" style="53" customWidth="1"/>
    <col min="3662" max="3663" width="1" style="53" customWidth="1"/>
    <col min="3664" max="3668" width="0" style="53" hidden="1" customWidth="1"/>
    <col min="3669" max="3670" width="1" style="53" customWidth="1"/>
    <col min="3671" max="3671" width="17.85546875" style="53" customWidth="1"/>
    <col min="3672" max="3673" width="1" style="53" customWidth="1"/>
    <col min="3674" max="3723" width="0" style="53" hidden="1" customWidth="1"/>
    <col min="3724" max="3725" width="1" style="53" customWidth="1"/>
    <col min="3726" max="3726" width="17.85546875" style="53" customWidth="1"/>
    <col min="3727" max="3727" width="1" style="53" customWidth="1"/>
    <col min="3728" max="3728" width="2" style="53" customWidth="1"/>
    <col min="3729" max="3729" width="6.42578125" style="53" customWidth="1"/>
    <col min="3730" max="3730" width="17.42578125" style="53" customWidth="1"/>
    <col min="3731" max="3731" width="12.28515625" style="53" customWidth="1"/>
    <col min="3732" max="3840" width="10" style="53"/>
    <col min="3841" max="3841" width="1.85546875" style="53" customWidth="1"/>
    <col min="3842" max="3843" width="1" style="53" customWidth="1"/>
    <col min="3844" max="3844" width="34" style="53" customWidth="1"/>
    <col min="3845" max="3846" width="1" style="53" customWidth="1"/>
    <col min="3847" max="3847" width="17.85546875" style="53" customWidth="1"/>
    <col min="3848" max="3849" width="1" style="53" customWidth="1"/>
    <col min="3850" max="3854" width="0" style="53" hidden="1" customWidth="1"/>
    <col min="3855" max="3856" width="1" style="53" customWidth="1"/>
    <col min="3857" max="3857" width="17.85546875" style="53" customWidth="1"/>
    <col min="3858" max="3859" width="1" style="53" customWidth="1"/>
    <col min="3860" max="3909" width="0" style="53" hidden="1" customWidth="1"/>
    <col min="3910" max="3911" width="1" style="53" customWidth="1"/>
    <col min="3912" max="3912" width="17.85546875" style="53" customWidth="1"/>
    <col min="3913" max="3916" width="1" style="53" customWidth="1"/>
    <col min="3917" max="3917" width="17.85546875" style="53" customWidth="1"/>
    <col min="3918" max="3919" width="1" style="53" customWidth="1"/>
    <col min="3920" max="3924" width="0" style="53" hidden="1" customWidth="1"/>
    <col min="3925" max="3926" width="1" style="53" customWidth="1"/>
    <col min="3927" max="3927" width="17.85546875" style="53" customWidth="1"/>
    <col min="3928" max="3929" width="1" style="53" customWidth="1"/>
    <col min="3930" max="3979" width="0" style="53" hidden="1" customWidth="1"/>
    <col min="3980" max="3981" width="1" style="53" customWidth="1"/>
    <col min="3982" max="3982" width="17.85546875" style="53" customWidth="1"/>
    <col min="3983" max="3983" width="1" style="53" customWidth="1"/>
    <col min="3984" max="3984" width="2" style="53" customWidth="1"/>
    <col min="3985" max="3985" width="6.42578125" style="53" customWidth="1"/>
    <col min="3986" max="3986" width="17.42578125" style="53" customWidth="1"/>
    <col min="3987" max="3987" width="12.28515625" style="53" customWidth="1"/>
    <col min="3988" max="4096" width="10" style="53"/>
    <col min="4097" max="4097" width="1.85546875" style="53" customWidth="1"/>
    <col min="4098" max="4099" width="1" style="53" customWidth="1"/>
    <col min="4100" max="4100" width="34" style="53" customWidth="1"/>
    <col min="4101" max="4102" width="1" style="53" customWidth="1"/>
    <col min="4103" max="4103" width="17.85546875" style="53" customWidth="1"/>
    <col min="4104" max="4105" width="1" style="53" customWidth="1"/>
    <col min="4106" max="4110" width="0" style="53" hidden="1" customWidth="1"/>
    <col min="4111" max="4112" width="1" style="53" customWidth="1"/>
    <col min="4113" max="4113" width="17.85546875" style="53" customWidth="1"/>
    <col min="4114" max="4115" width="1" style="53" customWidth="1"/>
    <col min="4116" max="4165" width="0" style="53" hidden="1" customWidth="1"/>
    <col min="4166" max="4167" width="1" style="53" customWidth="1"/>
    <col min="4168" max="4168" width="17.85546875" style="53" customWidth="1"/>
    <col min="4169" max="4172" width="1" style="53" customWidth="1"/>
    <col min="4173" max="4173" width="17.85546875" style="53" customWidth="1"/>
    <col min="4174" max="4175" width="1" style="53" customWidth="1"/>
    <col min="4176" max="4180" width="0" style="53" hidden="1" customWidth="1"/>
    <col min="4181" max="4182" width="1" style="53" customWidth="1"/>
    <col min="4183" max="4183" width="17.85546875" style="53" customWidth="1"/>
    <col min="4184" max="4185" width="1" style="53" customWidth="1"/>
    <col min="4186" max="4235" width="0" style="53" hidden="1" customWidth="1"/>
    <col min="4236" max="4237" width="1" style="53" customWidth="1"/>
    <col min="4238" max="4238" width="17.85546875" style="53" customWidth="1"/>
    <col min="4239" max="4239" width="1" style="53" customWidth="1"/>
    <col min="4240" max="4240" width="2" style="53" customWidth="1"/>
    <col min="4241" max="4241" width="6.42578125" style="53" customWidth="1"/>
    <col min="4242" max="4242" width="17.42578125" style="53" customWidth="1"/>
    <col min="4243" max="4243" width="12.28515625" style="53" customWidth="1"/>
    <col min="4244" max="4352" width="10" style="53"/>
    <col min="4353" max="4353" width="1.85546875" style="53" customWidth="1"/>
    <col min="4354" max="4355" width="1" style="53" customWidth="1"/>
    <col min="4356" max="4356" width="34" style="53" customWidth="1"/>
    <col min="4357" max="4358" width="1" style="53" customWidth="1"/>
    <col min="4359" max="4359" width="17.85546875" style="53" customWidth="1"/>
    <col min="4360" max="4361" width="1" style="53" customWidth="1"/>
    <col min="4362" max="4366" width="0" style="53" hidden="1" customWidth="1"/>
    <col min="4367" max="4368" width="1" style="53" customWidth="1"/>
    <col min="4369" max="4369" width="17.85546875" style="53" customWidth="1"/>
    <col min="4370" max="4371" width="1" style="53" customWidth="1"/>
    <col min="4372" max="4421" width="0" style="53" hidden="1" customWidth="1"/>
    <col min="4422" max="4423" width="1" style="53" customWidth="1"/>
    <col min="4424" max="4424" width="17.85546875" style="53" customWidth="1"/>
    <col min="4425" max="4428" width="1" style="53" customWidth="1"/>
    <col min="4429" max="4429" width="17.85546875" style="53" customWidth="1"/>
    <col min="4430" max="4431" width="1" style="53" customWidth="1"/>
    <col min="4432" max="4436" width="0" style="53" hidden="1" customWidth="1"/>
    <col min="4437" max="4438" width="1" style="53" customWidth="1"/>
    <col min="4439" max="4439" width="17.85546875" style="53" customWidth="1"/>
    <col min="4440" max="4441" width="1" style="53" customWidth="1"/>
    <col min="4442" max="4491" width="0" style="53" hidden="1" customWidth="1"/>
    <col min="4492" max="4493" width="1" style="53" customWidth="1"/>
    <col min="4494" max="4494" width="17.85546875" style="53" customWidth="1"/>
    <col min="4495" max="4495" width="1" style="53" customWidth="1"/>
    <col min="4496" max="4496" width="2" style="53" customWidth="1"/>
    <col min="4497" max="4497" width="6.42578125" style="53" customWidth="1"/>
    <col min="4498" max="4498" width="17.42578125" style="53" customWidth="1"/>
    <col min="4499" max="4499" width="12.28515625" style="53" customWidth="1"/>
    <col min="4500" max="4608" width="10" style="53"/>
    <col min="4609" max="4609" width="1.85546875" style="53" customWidth="1"/>
    <col min="4610" max="4611" width="1" style="53" customWidth="1"/>
    <col min="4612" max="4612" width="34" style="53" customWidth="1"/>
    <col min="4613" max="4614" width="1" style="53" customWidth="1"/>
    <col min="4615" max="4615" width="17.85546875" style="53" customWidth="1"/>
    <col min="4616" max="4617" width="1" style="53" customWidth="1"/>
    <col min="4618" max="4622" width="0" style="53" hidden="1" customWidth="1"/>
    <col min="4623" max="4624" width="1" style="53" customWidth="1"/>
    <col min="4625" max="4625" width="17.85546875" style="53" customWidth="1"/>
    <col min="4626" max="4627" width="1" style="53" customWidth="1"/>
    <col min="4628" max="4677" width="0" style="53" hidden="1" customWidth="1"/>
    <col min="4678" max="4679" width="1" style="53" customWidth="1"/>
    <col min="4680" max="4680" width="17.85546875" style="53" customWidth="1"/>
    <col min="4681" max="4684" width="1" style="53" customWidth="1"/>
    <col min="4685" max="4685" width="17.85546875" style="53" customWidth="1"/>
    <col min="4686" max="4687" width="1" style="53" customWidth="1"/>
    <col min="4688" max="4692" width="0" style="53" hidden="1" customWidth="1"/>
    <col min="4693" max="4694" width="1" style="53" customWidth="1"/>
    <col min="4695" max="4695" width="17.85546875" style="53" customWidth="1"/>
    <col min="4696" max="4697" width="1" style="53" customWidth="1"/>
    <col min="4698" max="4747" width="0" style="53" hidden="1" customWidth="1"/>
    <col min="4748" max="4749" width="1" style="53" customWidth="1"/>
    <col min="4750" max="4750" width="17.85546875" style="53" customWidth="1"/>
    <col min="4751" max="4751" width="1" style="53" customWidth="1"/>
    <col min="4752" max="4752" width="2" style="53" customWidth="1"/>
    <col min="4753" max="4753" width="6.42578125" style="53" customWidth="1"/>
    <col min="4754" max="4754" width="17.42578125" style="53" customWidth="1"/>
    <col min="4755" max="4755" width="12.28515625" style="53" customWidth="1"/>
    <col min="4756" max="4864" width="10" style="53"/>
    <col min="4865" max="4865" width="1.85546875" style="53" customWidth="1"/>
    <col min="4866" max="4867" width="1" style="53" customWidth="1"/>
    <col min="4868" max="4868" width="34" style="53" customWidth="1"/>
    <col min="4869" max="4870" width="1" style="53" customWidth="1"/>
    <col min="4871" max="4871" width="17.85546875" style="53" customWidth="1"/>
    <col min="4872" max="4873" width="1" style="53" customWidth="1"/>
    <col min="4874" max="4878" width="0" style="53" hidden="1" customWidth="1"/>
    <col min="4879" max="4880" width="1" style="53" customWidth="1"/>
    <col min="4881" max="4881" width="17.85546875" style="53" customWidth="1"/>
    <col min="4882" max="4883" width="1" style="53" customWidth="1"/>
    <col min="4884" max="4933" width="0" style="53" hidden="1" customWidth="1"/>
    <col min="4934" max="4935" width="1" style="53" customWidth="1"/>
    <col min="4936" max="4936" width="17.85546875" style="53" customWidth="1"/>
    <col min="4937" max="4940" width="1" style="53" customWidth="1"/>
    <col min="4941" max="4941" width="17.85546875" style="53" customWidth="1"/>
    <col min="4942" max="4943" width="1" style="53" customWidth="1"/>
    <col min="4944" max="4948" width="0" style="53" hidden="1" customWidth="1"/>
    <col min="4949" max="4950" width="1" style="53" customWidth="1"/>
    <col min="4951" max="4951" width="17.85546875" style="53" customWidth="1"/>
    <col min="4952" max="4953" width="1" style="53" customWidth="1"/>
    <col min="4954" max="5003" width="0" style="53" hidden="1" customWidth="1"/>
    <col min="5004" max="5005" width="1" style="53" customWidth="1"/>
    <col min="5006" max="5006" width="17.85546875" style="53" customWidth="1"/>
    <col min="5007" max="5007" width="1" style="53" customWidth="1"/>
    <col min="5008" max="5008" width="2" style="53" customWidth="1"/>
    <col min="5009" max="5009" width="6.42578125" style="53" customWidth="1"/>
    <col min="5010" max="5010" width="17.42578125" style="53" customWidth="1"/>
    <col min="5011" max="5011" width="12.28515625" style="53" customWidth="1"/>
    <col min="5012" max="5120" width="10" style="53"/>
    <col min="5121" max="5121" width="1.85546875" style="53" customWidth="1"/>
    <col min="5122" max="5123" width="1" style="53" customWidth="1"/>
    <col min="5124" max="5124" width="34" style="53" customWidth="1"/>
    <col min="5125" max="5126" width="1" style="53" customWidth="1"/>
    <col min="5127" max="5127" width="17.85546875" style="53" customWidth="1"/>
    <col min="5128" max="5129" width="1" style="53" customWidth="1"/>
    <col min="5130" max="5134" width="0" style="53" hidden="1" customWidth="1"/>
    <col min="5135" max="5136" width="1" style="53" customWidth="1"/>
    <col min="5137" max="5137" width="17.85546875" style="53" customWidth="1"/>
    <col min="5138" max="5139" width="1" style="53" customWidth="1"/>
    <col min="5140" max="5189" width="0" style="53" hidden="1" customWidth="1"/>
    <col min="5190" max="5191" width="1" style="53" customWidth="1"/>
    <col min="5192" max="5192" width="17.85546875" style="53" customWidth="1"/>
    <col min="5193" max="5196" width="1" style="53" customWidth="1"/>
    <col min="5197" max="5197" width="17.85546875" style="53" customWidth="1"/>
    <col min="5198" max="5199" width="1" style="53" customWidth="1"/>
    <col min="5200" max="5204" width="0" style="53" hidden="1" customWidth="1"/>
    <col min="5205" max="5206" width="1" style="53" customWidth="1"/>
    <col min="5207" max="5207" width="17.85546875" style="53" customWidth="1"/>
    <col min="5208" max="5209" width="1" style="53" customWidth="1"/>
    <col min="5210" max="5259" width="0" style="53" hidden="1" customWidth="1"/>
    <col min="5260" max="5261" width="1" style="53" customWidth="1"/>
    <col min="5262" max="5262" width="17.85546875" style="53" customWidth="1"/>
    <col min="5263" max="5263" width="1" style="53" customWidth="1"/>
    <col min="5264" max="5264" width="2" style="53" customWidth="1"/>
    <col min="5265" max="5265" width="6.42578125" style="53" customWidth="1"/>
    <col min="5266" max="5266" width="17.42578125" style="53" customWidth="1"/>
    <col min="5267" max="5267" width="12.28515625" style="53" customWidth="1"/>
    <col min="5268" max="5376" width="10" style="53"/>
    <col min="5377" max="5377" width="1.85546875" style="53" customWidth="1"/>
    <col min="5378" max="5379" width="1" style="53" customWidth="1"/>
    <col min="5380" max="5380" width="34" style="53" customWidth="1"/>
    <col min="5381" max="5382" width="1" style="53" customWidth="1"/>
    <col min="5383" max="5383" width="17.85546875" style="53" customWidth="1"/>
    <col min="5384" max="5385" width="1" style="53" customWidth="1"/>
    <col min="5386" max="5390" width="0" style="53" hidden="1" customWidth="1"/>
    <col min="5391" max="5392" width="1" style="53" customWidth="1"/>
    <col min="5393" max="5393" width="17.85546875" style="53" customWidth="1"/>
    <col min="5394" max="5395" width="1" style="53" customWidth="1"/>
    <col min="5396" max="5445" width="0" style="53" hidden="1" customWidth="1"/>
    <col min="5446" max="5447" width="1" style="53" customWidth="1"/>
    <col min="5448" max="5448" width="17.85546875" style="53" customWidth="1"/>
    <col min="5449" max="5452" width="1" style="53" customWidth="1"/>
    <col min="5453" max="5453" width="17.85546875" style="53" customWidth="1"/>
    <col min="5454" max="5455" width="1" style="53" customWidth="1"/>
    <col min="5456" max="5460" width="0" style="53" hidden="1" customWidth="1"/>
    <col min="5461" max="5462" width="1" style="53" customWidth="1"/>
    <col min="5463" max="5463" width="17.85546875" style="53" customWidth="1"/>
    <col min="5464" max="5465" width="1" style="53" customWidth="1"/>
    <col min="5466" max="5515" width="0" style="53" hidden="1" customWidth="1"/>
    <col min="5516" max="5517" width="1" style="53" customWidth="1"/>
    <col min="5518" max="5518" width="17.85546875" style="53" customWidth="1"/>
    <col min="5519" max="5519" width="1" style="53" customWidth="1"/>
    <col min="5520" max="5520" width="2" style="53" customWidth="1"/>
    <col min="5521" max="5521" width="6.42578125" style="53" customWidth="1"/>
    <col min="5522" max="5522" width="17.42578125" style="53" customWidth="1"/>
    <col min="5523" max="5523" width="12.28515625" style="53" customWidth="1"/>
    <col min="5524" max="5632" width="10" style="53"/>
    <col min="5633" max="5633" width="1.85546875" style="53" customWidth="1"/>
    <col min="5634" max="5635" width="1" style="53" customWidth="1"/>
    <col min="5636" max="5636" width="34" style="53" customWidth="1"/>
    <col min="5637" max="5638" width="1" style="53" customWidth="1"/>
    <col min="5639" max="5639" width="17.85546875" style="53" customWidth="1"/>
    <col min="5640" max="5641" width="1" style="53" customWidth="1"/>
    <col min="5642" max="5646" width="0" style="53" hidden="1" customWidth="1"/>
    <col min="5647" max="5648" width="1" style="53" customWidth="1"/>
    <col min="5649" max="5649" width="17.85546875" style="53" customWidth="1"/>
    <col min="5650" max="5651" width="1" style="53" customWidth="1"/>
    <col min="5652" max="5701" width="0" style="53" hidden="1" customWidth="1"/>
    <col min="5702" max="5703" width="1" style="53" customWidth="1"/>
    <col min="5704" max="5704" width="17.85546875" style="53" customWidth="1"/>
    <col min="5705" max="5708" width="1" style="53" customWidth="1"/>
    <col min="5709" max="5709" width="17.85546875" style="53" customWidth="1"/>
    <col min="5710" max="5711" width="1" style="53" customWidth="1"/>
    <col min="5712" max="5716" width="0" style="53" hidden="1" customWidth="1"/>
    <col min="5717" max="5718" width="1" style="53" customWidth="1"/>
    <col min="5719" max="5719" width="17.85546875" style="53" customWidth="1"/>
    <col min="5720" max="5721" width="1" style="53" customWidth="1"/>
    <col min="5722" max="5771" width="0" style="53" hidden="1" customWidth="1"/>
    <col min="5772" max="5773" width="1" style="53" customWidth="1"/>
    <col min="5774" max="5774" width="17.85546875" style="53" customWidth="1"/>
    <col min="5775" max="5775" width="1" style="53" customWidth="1"/>
    <col min="5776" max="5776" width="2" style="53" customWidth="1"/>
    <col min="5777" max="5777" width="6.42578125" style="53" customWidth="1"/>
    <col min="5778" max="5778" width="17.42578125" style="53" customWidth="1"/>
    <col min="5779" max="5779" width="12.28515625" style="53" customWidth="1"/>
    <col min="5780" max="5888" width="10" style="53"/>
    <col min="5889" max="5889" width="1.85546875" style="53" customWidth="1"/>
    <col min="5890" max="5891" width="1" style="53" customWidth="1"/>
    <col min="5892" max="5892" width="34" style="53" customWidth="1"/>
    <col min="5893" max="5894" width="1" style="53" customWidth="1"/>
    <col min="5895" max="5895" width="17.85546875" style="53" customWidth="1"/>
    <col min="5896" max="5897" width="1" style="53" customWidth="1"/>
    <col min="5898" max="5902" width="0" style="53" hidden="1" customWidth="1"/>
    <col min="5903" max="5904" width="1" style="53" customWidth="1"/>
    <col min="5905" max="5905" width="17.85546875" style="53" customWidth="1"/>
    <col min="5906" max="5907" width="1" style="53" customWidth="1"/>
    <col min="5908" max="5957" width="0" style="53" hidden="1" customWidth="1"/>
    <col min="5958" max="5959" width="1" style="53" customWidth="1"/>
    <col min="5960" max="5960" width="17.85546875" style="53" customWidth="1"/>
    <col min="5961" max="5964" width="1" style="53" customWidth="1"/>
    <col min="5965" max="5965" width="17.85546875" style="53" customWidth="1"/>
    <col min="5966" max="5967" width="1" style="53" customWidth="1"/>
    <col min="5968" max="5972" width="0" style="53" hidden="1" customWidth="1"/>
    <col min="5973" max="5974" width="1" style="53" customWidth="1"/>
    <col min="5975" max="5975" width="17.85546875" style="53" customWidth="1"/>
    <col min="5976" max="5977" width="1" style="53" customWidth="1"/>
    <col min="5978" max="6027" width="0" style="53" hidden="1" customWidth="1"/>
    <col min="6028" max="6029" width="1" style="53" customWidth="1"/>
    <col min="6030" max="6030" width="17.85546875" style="53" customWidth="1"/>
    <col min="6031" max="6031" width="1" style="53" customWidth="1"/>
    <col min="6032" max="6032" width="2" style="53" customWidth="1"/>
    <col min="6033" max="6033" width="6.42578125" style="53" customWidth="1"/>
    <col min="6034" max="6034" width="17.42578125" style="53" customWidth="1"/>
    <col min="6035" max="6035" width="12.28515625" style="53" customWidth="1"/>
    <col min="6036" max="6144" width="10" style="53"/>
    <col min="6145" max="6145" width="1.85546875" style="53" customWidth="1"/>
    <col min="6146" max="6147" width="1" style="53" customWidth="1"/>
    <col min="6148" max="6148" width="34" style="53" customWidth="1"/>
    <col min="6149" max="6150" width="1" style="53" customWidth="1"/>
    <col min="6151" max="6151" width="17.85546875" style="53" customWidth="1"/>
    <col min="6152" max="6153" width="1" style="53" customWidth="1"/>
    <col min="6154" max="6158" width="0" style="53" hidden="1" customWidth="1"/>
    <col min="6159" max="6160" width="1" style="53" customWidth="1"/>
    <col min="6161" max="6161" width="17.85546875" style="53" customWidth="1"/>
    <col min="6162" max="6163" width="1" style="53" customWidth="1"/>
    <col min="6164" max="6213" width="0" style="53" hidden="1" customWidth="1"/>
    <col min="6214" max="6215" width="1" style="53" customWidth="1"/>
    <col min="6216" max="6216" width="17.85546875" style="53" customWidth="1"/>
    <col min="6217" max="6220" width="1" style="53" customWidth="1"/>
    <col min="6221" max="6221" width="17.85546875" style="53" customWidth="1"/>
    <col min="6222" max="6223" width="1" style="53" customWidth="1"/>
    <col min="6224" max="6228" width="0" style="53" hidden="1" customWidth="1"/>
    <col min="6229" max="6230" width="1" style="53" customWidth="1"/>
    <col min="6231" max="6231" width="17.85546875" style="53" customWidth="1"/>
    <col min="6232" max="6233" width="1" style="53" customWidth="1"/>
    <col min="6234" max="6283" width="0" style="53" hidden="1" customWidth="1"/>
    <col min="6284" max="6285" width="1" style="53" customWidth="1"/>
    <col min="6286" max="6286" width="17.85546875" style="53" customWidth="1"/>
    <col min="6287" max="6287" width="1" style="53" customWidth="1"/>
    <col min="6288" max="6288" width="2" style="53" customWidth="1"/>
    <col min="6289" max="6289" width="6.42578125" style="53" customWidth="1"/>
    <col min="6290" max="6290" width="17.42578125" style="53" customWidth="1"/>
    <col min="6291" max="6291" width="12.28515625" style="53" customWidth="1"/>
    <col min="6292" max="6400" width="10" style="53"/>
    <col min="6401" max="6401" width="1.85546875" style="53" customWidth="1"/>
    <col min="6402" max="6403" width="1" style="53" customWidth="1"/>
    <col min="6404" max="6404" width="34" style="53" customWidth="1"/>
    <col min="6405" max="6406" width="1" style="53" customWidth="1"/>
    <col min="6407" max="6407" width="17.85546875" style="53" customWidth="1"/>
    <col min="6408" max="6409" width="1" style="53" customWidth="1"/>
    <col min="6410" max="6414" width="0" style="53" hidden="1" customWidth="1"/>
    <col min="6415" max="6416" width="1" style="53" customWidth="1"/>
    <col min="6417" max="6417" width="17.85546875" style="53" customWidth="1"/>
    <col min="6418" max="6419" width="1" style="53" customWidth="1"/>
    <col min="6420" max="6469" width="0" style="53" hidden="1" customWidth="1"/>
    <col min="6470" max="6471" width="1" style="53" customWidth="1"/>
    <col min="6472" max="6472" width="17.85546875" style="53" customWidth="1"/>
    <col min="6473" max="6476" width="1" style="53" customWidth="1"/>
    <col min="6477" max="6477" width="17.85546875" style="53" customWidth="1"/>
    <col min="6478" max="6479" width="1" style="53" customWidth="1"/>
    <col min="6480" max="6484" width="0" style="53" hidden="1" customWidth="1"/>
    <col min="6485" max="6486" width="1" style="53" customWidth="1"/>
    <col min="6487" max="6487" width="17.85546875" style="53" customWidth="1"/>
    <col min="6488" max="6489" width="1" style="53" customWidth="1"/>
    <col min="6490" max="6539" width="0" style="53" hidden="1" customWidth="1"/>
    <col min="6540" max="6541" width="1" style="53" customWidth="1"/>
    <col min="6542" max="6542" width="17.85546875" style="53" customWidth="1"/>
    <col min="6543" max="6543" width="1" style="53" customWidth="1"/>
    <col min="6544" max="6544" width="2" style="53" customWidth="1"/>
    <col min="6545" max="6545" width="6.42578125" style="53" customWidth="1"/>
    <col min="6546" max="6546" width="17.42578125" style="53" customWidth="1"/>
    <col min="6547" max="6547" width="12.28515625" style="53" customWidth="1"/>
    <col min="6548" max="6656" width="10" style="53"/>
    <col min="6657" max="6657" width="1.85546875" style="53" customWidth="1"/>
    <col min="6658" max="6659" width="1" style="53" customWidth="1"/>
    <col min="6660" max="6660" width="34" style="53" customWidth="1"/>
    <col min="6661" max="6662" width="1" style="53" customWidth="1"/>
    <col min="6663" max="6663" width="17.85546875" style="53" customWidth="1"/>
    <col min="6664" max="6665" width="1" style="53" customWidth="1"/>
    <col min="6666" max="6670" width="0" style="53" hidden="1" customWidth="1"/>
    <col min="6671" max="6672" width="1" style="53" customWidth="1"/>
    <col min="6673" max="6673" width="17.85546875" style="53" customWidth="1"/>
    <col min="6674" max="6675" width="1" style="53" customWidth="1"/>
    <col min="6676" max="6725" width="0" style="53" hidden="1" customWidth="1"/>
    <col min="6726" max="6727" width="1" style="53" customWidth="1"/>
    <col min="6728" max="6728" width="17.85546875" style="53" customWidth="1"/>
    <col min="6729" max="6732" width="1" style="53" customWidth="1"/>
    <col min="6733" max="6733" width="17.85546875" style="53" customWidth="1"/>
    <col min="6734" max="6735" width="1" style="53" customWidth="1"/>
    <col min="6736" max="6740" width="0" style="53" hidden="1" customWidth="1"/>
    <col min="6741" max="6742" width="1" style="53" customWidth="1"/>
    <col min="6743" max="6743" width="17.85546875" style="53" customWidth="1"/>
    <col min="6744" max="6745" width="1" style="53" customWidth="1"/>
    <col min="6746" max="6795" width="0" style="53" hidden="1" customWidth="1"/>
    <col min="6796" max="6797" width="1" style="53" customWidth="1"/>
    <col min="6798" max="6798" width="17.85546875" style="53" customWidth="1"/>
    <col min="6799" max="6799" width="1" style="53" customWidth="1"/>
    <col min="6800" max="6800" width="2" style="53" customWidth="1"/>
    <col min="6801" max="6801" width="6.42578125" style="53" customWidth="1"/>
    <col min="6802" max="6802" width="17.42578125" style="53" customWidth="1"/>
    <col min="6803" max="6803" width="12.28515625" style="53" customWidth="1"/>
    <col min="6804" max="6912" width="10" style="53"/>
    <col min="6913" max="6913" width="1.85546875" style="53" customWidth="1"/>
    <col min="6914" max="6915" width="1" style="53" customWidth="1"/>
    <col min="6916" max="6916" width="34" style="53" customWidth="1"/>
    <col min="6917" max="6918" width="1" style="53" customWidth="1"/>
    <col min="6919" max="6919" width="17.85546875" style="53" customWidth="1"/>
    <col min="6920" max="6921" width="1" style="53" customWidth="1"/>
    <col min="6922" max="6926" width="0" style="53" hidden="1" customWidth="1"/>
    <col min="6927" max="6928" width="1" style="53" customWidth="1"/>
    <col min="6929" max="6929" width="17.85546875" style="53" customWidth="1"/>
    <col min="6930" max="6931" width="1" style="53" customWidth="1"/>
    <col min="6932" max="6981" width="0" style="53" hidden="1" customWidth="1"/>
    <col min="6982" max="6983" width="1" style="53" customWidth="1"/>
    <col min="6984" max="6984" width="17.85546875" style="53" customWidth="1"/>
    <col min="6985" max="6988" width="1" style="53" customWidth="1"/>
    <col min="6989" max="6989" width="17.85546875" style="53" customWidth="1"/>
    <col min="6990" max="6991" width="1" style="53" customWidth="1"/>
    <col min="6992" max="6996" width="0" style="53" hidden="1" customWidth="1"/>
    <col min="6997" max="6998" width="1" style="53" customWidth="1"/>
    <col min="6999" max="6999" width="17.85546875" style="53" customWidth="1"/>
    <col min="7000" max="7001" width="1" style="53" customWidth="1"/>
    <col min="7002" max="7051" width="0" style="53" hidden="1" customWidth="1"/>
    <col min="7052" max="7053" width="1" style="53" customWidth="1"/>
    <col min="7054" max="7054" width="17.85546875" style="53" customWidth="1"/>
    <col min="7055" max="7055" width="1" style="53" customWidth="1"/>
    <col min="7056" max="7056" width="2" style="53" customWidth="1"/>
    <col min="7057" max="7057" width="6.42578125" style="53" customWidth="1"/>
    <col min="7058" max="7058" width="17.42578125" style="53" customWidth="1"/>
    <col min="7059" max="7059" width="12.28515625" style="53" customWidth="1"/>
    <col min="7060" max="7168" width="10" style="53"/>
    <col min="7169" max="7169" width="1.85546875" style="53" customWidth="1"/>
    <col min="7170" max="7171" width="1" style="53" customWidth="1"/>
    <col min="7172" max="7172" width="34" style="53" customWidth="1"/>
    <col min="7173" max="7174" width="1" style="53" customWidth="1"/>
    <col min="7175" max="7175" width="17.85546875" style="53" customWidth="1"/>
    <col min="7176" max="7177" width="1" style="53" customWidth="1"/>
    <col min="7178" max="7182" width="0" style="53" hidden="1" customWidth="1"/>
    <col min="7183" max="7184" width="1" style="53" customWidth="1"/>
    <col min="7185" max="7185" width="17.85546875" style="53" customWidth="1"/>
    <col min="7186" max="7187" width="1" style="53" customWidth="1"/>
    <col min="7188" max="7237" width="0" style="53" hidden="1" customWidth="1"/>
    <col min="7238" max="7239" width="1" style="53" customWidth="1"/>
    <col min="7240" max="7240" width="17.85546875" style="53" customWidth="1"/>
    <col min="7241" max="7244" width="1" style="53" customWidth="1"/>
    <col min="7245" max="7245" width="17.85546875" style="53" customWidth="1"/>
    <col min="7246" max="7247" width="1" style="53" customWidth="1"/>
    <col min="7248" max="7252" width="0" style="53" hidden="1" customWidth="1"/>
    <col min="7253" max="7254" width="1" style="53" customWidth="1"/>
    <col min="7255" max="7255" width="17.85546875" style="53" customWidth="1"/>
    <col min="7256" max="7257" width="1" style="53" customWidth="1"/>
    <col min="7258" max="7307" width="0" style="53" hidden="1" customWidth="1"/>
    <col min="7308" max="7309" width="1" style="53" customWidth="1"/>
    <col min="7310" max="7310" width="17.85546875" style="53" customWidth="1"/>
    <col min="7311" max="7311" width="1" style="53" customWidth="1"/>
    <col min="7312" max="7312" width="2" style="53" customWidth="1"/>
    <col min="7313" max="7313" width="6.42578125" style="53" customWidth="1"/>
    <col min="7314" max="7314" width="17.42578125" style="53" customWidth="1"/>
    <col min="7315" max="7315" width="12.28515625" style="53" customWidth="1"/>
    <col min="7316" max="7424" width="10" style="53"/>
    <col min="7425" max="7425" width="1.85546875" style="53" customWidth="1"/>
    <col min="7426" max="7427" width="1" style="53" customWidth="1"/>
    <col min="7428" max="7428" width="34" style="53" customWidth="1"/>
    <col min="7429" max="7430" width="1" style="53" customWidth="1"/>
    <col min="7431" max="7431" width="17.85546875" style="53" customWidth="1"/>
    <col min="7432" max="7433" width="1" style="53" customWidth="1"/>
    <col min="7434" max="7438" width="0" style="53" hidden="1" customWidth="1"/>
    <col min="7439" max="7440" width="1" style="53" customWidth="1"/>
    <col min="7441" max="7441" width="17.85546875" style="53" customWidth="1"/>
    <col min="7442" max="7443" width="1" style="53" customWidth="1"/>
    <col min="7444" max="7493" width="0" style="53" hidden="1" customWidth="1"/>
    <col min="7494" max="7495" width="1" style="53" customWidth="1"/>
    <col min="7496" max="7496" width="17.85546875" style="53" customWidth="1"/>
    <col min="7497" max="7500" width="1" style="53" customWidth="1"/>
    <col min="7501" max="7501" width="17.85546875" style="53" customWidth="1"/>
    <col min="7502" max="7503" width="1" style="53" customWidth="1"/>
    <col min="7504" max="7508" width="0" style="53" hidden="1" customWidth="1"/>
    <col min="7509" max="7510" width="1" style="53" customWidth="1"/>
    <col min="7511" max="7511" width="17.85546875" style="53" customWidth="1"/>
    <col min="7512" max="7513" width="1" style="53" customWidth="1"/>
    <col min="7514" max="7563" width="0" style="53" hidden="1" customWidth="1"/>
    <col min="7564" max="7565" width="1" style="53" customWidth="1"/>
    <col min="7566" max="7566" width="17.85546875" style="53" customWidth="1"/>
    <col min="7567" max="7567" width="1" style="53" customWidth="1"/>
    <col min="7568" max="7568" width="2" style="53" customWidth="1"/>
    <col min="7569" max="7569" width="6.42578125" style="53" customWidth="1"/>
    <col min="7570" max="7570" width="17.42578125" style="53" customWidth="1"/>
    <col min="7571" max="7571" width="12.28515625" style="53" customWidth="1"/>
    <col min="7572" max="7680" width="10" style="53"/>
    <col min="7681" max="7681" width="1.85546875" style="53" customWidth="1"/>
    <col min="7682" max="7683" width="1" style="53" customWidth="1"/>
    <col min="7684" max="7684" width="34" style="53" customWidth="1"/>
    <col min="7685" max="7686" width="1" style="53" customWidth="1"/>
    <col min="7687" max="7687" width="17.85546875" style="53" customWidth="1"/>
    <col min="7688" max="7689" width="1" style="53" customWidth="1"/>
    <col min="7690" max="7694" width="0" style="53" hidden="1" customWidth="1"/>
    <col min="7695" max="7696" width="1" style="53" customWidth="1"/>
    <col min="7697" max="7697" width="17.85546875" style="53" customWidth="1"/>
    <col min="7698" max="7699" width="1" style="53" customWidth="1"/>
    <col min="7700" max="7749" width="0" style="53" hidden="1" customWidth="1"/>
    <col min="7750" max="7751" width="1" style="53" customWidth="1"/>
    <col min="7752" max="7752" width="17.85546875" style="53" customWidth="1"/>
    <col min="7753" max="7756" width="1" style="53" customWidth="1"/>
    <col min="7757" max="7757" width="17.85546875" style="53" customWidth="1"/>
    <col min="7758" max="7759" width="1" style="53" customWidth="1"/>
    <col min="7760" max="7764" width="0" style="53" hidden="1" customWidth="1"/>
    <col min="7765" max="7766" width="1" style="53" customWidth="1"/>
    <col min="7767" max="7767" width="17.85546875" style="53" customWidth="1"/>
    <col min="7768" max="7769" width="1" style="53" customWidth="1"/>
    <col min="7770" max="7819" width="0" style="53" hidden="1" customWidth="1"/>
    <col min="7820" max="7821" width="1" style="53" customWidth="1"/>
    <col min="7822" max="7822" width="17.85546875" style="53" customWidth="1"/>
    <col min="7823" max="7823" width="1" style="53" customWidth="1"/>
    <col min="7824" max="7824" width="2" style="53" customWidth="1"/>
    <col min="7825" max="7825" width="6.42578125" style="53" customWidth="1"/>
    <col min="7826" max="7826" width="17.42578125" style="53" customWidth="1"/>
    <col min="7827" max="7827" width="12.28515625" style="53" customWidth="1"/>
    <col min="7828" max="7936" width="10" style="53"/>
    <col min="7937" max="7937" width="1.85546875" style="53" customWidth="1"/>
    <col min="7938" max="7939" width="1" style="53" customWidth="1"/>
    <col min="7940" max="7940" width="34" style="53" customWidth="1"/>
    <col min="7941" max="7942" width="1" style="53" customWidth="1"/>
    <col min="7943" max="7943" width="17.85546875" style="53" customWidth="1"/>
    <col min="7944" max="7945" width="1" style="53" customWidth="1"/>
    <col min="7946" max="7950" width="0" style="53" hidden="1" customWidth="1"/>
    <col min="7951" max="7952" width="1" style="53" customWidth="1"/>
    <col min="7953" max="7953" width="17.85546875" style="53" customWidth="1"/>
    <col min="7954" max="7955" width="1" style="53" customWidth="1"/>
    <col min="7956" max="8005" width="0" style="53" hidden="1" customWidth="1"/>
    <col min="8006" max="8007" width="1" style="53" customWidth="1"/>
    <col min="8008" max="8008" width="17.85546875" style="53" customWidth="1"/>
    <col min="8009" max="8012" width="1" style="53" customWidth="1"/>
    <col min="8013" max="8013" width="17.85546875" style="53" customWidth="1"/>
    <col min="8014" max="8015" width="1" style="53" customWidth="1"/>
    <col min="8016" max="8020" width="0" style="53" hidden="1" customWidth="1"/>
    <col min="8021" max="8022" width="1" style="53" customWidth="1"/>
    <col min="8023" max="8023" width="17.85546875" style="53" customWidth="1"/>
    <col min="8024" max="8025" width="1" style="53" customWidth="1"/>
    <col min="8026" max="8075" width="0" style="53" hidden="1" customWidth="1"/>
    <col min="8076" max="8077" width="1" style="53" customWidth="1"/>
    <col min="8078" max="8078" width="17.85546875" style="53" customWidth="1"/>
    <col min="8079" max="8079" width="1" style="53" customWidth="1"/>
    <col min="8080" max="8080" width="2" style="53" customWidth="1"/>
    <col min="8081" max="8081" width="6.42578125" style="53" customWidth="1"/>
    <col min="8082" max="8082" width="17.42578125" style="53" customWidth="1"/>
    <col min="8083" max="8083" width="12.28515625" style="53" customWidth="1"/>
    <col min="8084" max="8192" width="10" style="53"/>
    <col min="8193" max="8193" width="1.85546875" style="53" customWidth="1"/>
    <col min="8194" max="8195" width="1" style="53" customWidth="1"/>
    <col min="8196" max="8196" width="34" style="53" customWidth="1"/>
    <col min="8197" max="8198" width="1" style="53" customWidth="1"/>
    <col min="8199" max="8199" width="17.85546875" style="53" customWidth="1"/>
    <col min="8200" max="8201" width="1" style="53" customWidth="1"/>
    <col min="8202" max="8206" width="0" style="53" hidden="1" customWidth="1"/>
    <col min="8207" max="8208" width="1" style="53" customWidth="1"/>
    <col min="8209" max="8209" width="17.85546875" style="53" customWidth="1"/>
    <col min="8210" max="8211" width="1" style="53" customWidth="1"/>
    <col min="8212" max="8261" width="0" style="53" hidden="1" customWidth="1"/>
    <col min="8262" max="8263" width="1" style="53" customWidth="1"/>
    <col min="8264" max="8264" width="17.85546875" style="53" customWidth="1"/>
    <col min="8265" max="8268" width="1" style="53" customWidth="1"/>
    <col min="8269" max="8269" width="17.85546875" style="53" customWidth="1"/>
    <col min="8270" max="8271" width="1" style="53" customWidth="1"/>
    <col min="8272" max="8276" width="0" style="53" hidden="1" customWidth="1"/>
    <col min="8277" max="8278" width="1" style="53" customWidth="1"/>
    <col min="8279" max="8279" width="17.85546875" style="53" customWidth="1"/>
    <col min="8280" max="8281" width="1" style="53" customWidth="1"/>
    <col min="8282" max="8331" width="0" style="53" hidden="1" customWidth="1"/>
    <col min="8332" max="8333" width="1" style="53" customWidth="1"/>
    <col min="8334" max="8334" width="17.85546875" style="53" customWidth="1"/>
    <col min="8335" max="8335" width="1" style="53" customWidth="1"/>
    <col min="8336" max="8336" width="2" style="53" customWidth="1"/>
    <col min="8337" max="8337" width="6.42578125" style="53" customWidth="1"/>
    <col min="8338" max="8338" width="17.42578125" style="53" customWidth="1"/>
    <col min="8339" max="8339" width="12.28515625" style="53" customWidth="1"/>
    <col min="8340" max="8448" width="10" style="53"/>
    <col min="8449" max="8449" width="1.85546875" style="53" customWidth="1"/>
    <col min="8450" max="8451" width="1" style="53" customWidth="1"/>
    <col min="8452" max="8452" width="34" style="53" customWidth="1"/>
    <col min="8453" max="8454" width="1" style="53" customWidth="1"/>
    <col min="8455" max="8455" width="17.85546875" style="53" customWidth="1"/>
    <col min="8456" max="8457" width="1" style="53" customWidth="1"/>
    <col min="8458" max="8462" width="0" style="53" hidden="1" customWidth="1"/>
    <col min="8463" max="8464" width="1" style="53" customWidth="1"/>
    <col min="8465" max="8465" width="17.85546875" style="53" customWidth="1"/>
    <col min="8466" max="8467" width="1" style="53" customWidth="1"/>
    <col min="8468" max="8517" width="0" style="53" hidden="1" customWidth="1"/>
    <col min="8518" max="8519" width="1" style="53" customWidth="1"/>
    <col min="8520" max="8520" width="17.85546875" style="53" customWidth="1"/>
    <col min="8521" max="8524" width="1" style="53" customWidth="1"/>
    <col min="8525" max="8525" width="17.85546875" style="53" customWidth="1"/>
    <col min="8526" max="8527" width="1" style="53" customWidth="1"/>
    <col min="8528" max="8532" width="0" style="53" hidden="1" customWidth="1"/>
    <col min="8533" max="8534" width="1" style="53" customWidth="1"/>
    <col min="8535" max="8535" width="17.85546875" style="53" customWidth="1"/>
    <col min="8536" max="8537" width="1" style="53" customWidth="1"/>
    <col min="8538" max="8587" width="0" style="53" hidden="1" customWidth="1"/>
    <col min="8588" max="8589" width="1" style="53" customWidth="1"/>
    <col min="8590" max="8590" width="17.85546875" style="53" customWidth="1"/>
    <col min="8591" max="8591" width="1" style="53" customWidth="1"/>
    <col min="8592" max="8592" width="2" style="53" customWidth="1"/>
    <col min="8593" max="8593" width="6.42578125" style="53" customWidth="1"/>
    <col min="8594" max="8594" width="17.42578125" style="53" customWidth="1"/>
    <col min="8595" max="8595" width="12.28515625" style="53" customWidth="1"/>
    <col min="8596" max="8704" width="10" style="53"/>
    <col min="8705" max="8705" width="1.85546875" style="53" customWidth="1"/>
    <col min="8706" max="8707" width="1" style="53" customWidth="1"/>
    <col min="8708" max="8708" width="34" style="53" customWidth="1"/>
    <col min="8709" max="8710" width="1" style="53" customWidth="1"/>
    <col min="8711" max="8711" width="17.85546875" style="53" customWidth="1"/>
    <col min="8712" max="8713" width="1" style="53" customWidth="1"/>
    <col min="8714" max="8718" width="0" style="53" hidden="1" customWidth="1"/>
    <col min="8719" max="8720" width="1" style="53" customWidth="1"/>
    <col min="8721" max="8721" width="17.85546875" style="53" customWidth="1"/>
    <col min="8722" max="8723" width="1" style="53" customWidth="1"/>
    <col min="8724" max="8773" width="0" style="53" hidden="1" customWidth="1"/>
    <col min="8774" max="8775" width="1" style="53" customWidth="1"/>
    <col min="8776" max="8776" width="17.85546875" style="53" customWidth="1"/>
    <col min="8777" max="8780" width="1" style="53" customWidth="1"/>
    <col min="8781" max="8781" width="17.85546875" style="53" customWidth="1"/>
    <col min="8782" max="8783" width="1" style="53" customWidth="1"/>
    <col min="8784" max="8788" width="0" style="53" hidden="1" customWidth="1"/>
    <col min="8789" max="8790" width="1" style="53" customWidth="1"/>
    <col min="8791" max="8791" width="17.85546875" style="53" customWidth="1"/>
    <col min="8792" max="8793" width="1" style="53" customWidth="1"/>
    <col min="8794" max="8843" width="0" style="53" hidden="1" customWidth="1"/>
    <col min="8844" max="8845" width="1" style="53" customWidth="1"/>
    <col min="8846" max="8846" width="17.85546875" style="53" customWidth="1"/>
    <col min="8847" max="8847" width="1" style="53" customWidth="1"/>
    <col min="8848" max="8848" width="2" style="53" customWidth="1"/>
    <col min="8849" max="8849" width="6.42578125" style="53" customWidth="1"/>
    <col min="8850" max="8850" width="17.42578125" style="53" customWidth="1"/>
    <col min="8851" max="8851" width="12.28515625" style="53" customWidth="1"/>
    <col min="8852" max="8960" width="10" style="53"/>
    <col min="8961" max="8961" width="1.85546875" style="53" customWidth="1"/>
    <col min="8962" max="8963" width="1" style="53" customWidth="1"/>
    <col min="8964" max="8964" width="34" style="53" customWidth="1"/>
    <col min="8965" max="8966" width="1" style="53" customWidth="1"/>
    <col min="8967" max="8967" width="17.85546875" style="53" customWidth="1"/>
    <col min="8968" max="8969" width="1" style="53" customWidth="1"/>
    <col min="8970" max="8974" width="0" style="53" hidden="1" customWidth="1"/>
    <col min="8975" max="8976" width="1" style="53" customWidth="1"/>
    <col min="8977" max="8977" width="17.85546875" style="53" customWidth="1"/>
    <col min="8978" max="8979" width="1" style="53" customWidth="1"/>
    <col min="8980" max="9029" width="0" style="53" hidden="1" customWidth="1"/>
    <col min="9030" max="9031" width="1" style="53" customWidth="1"/>
    <col min="9032" max="9032" width="17.85546875" style="53" customWidth="1"/>
    <col min="9033" max="9036" width="1" style="53" customWidth="1"/>
    <col min="9037" max="9037" width="17.85546875" style="53" customWidth="1"/>
    <col min="9038" max="9039" width="1" style="53" customWidth="1"/>
    <col min="9040" max="9044" width="0" style="53" hidden="1" customWidth="1"/>
    <col min="9045" max="9046" width="1" style="53" customWidth="1"/>
    <col min="9047" max="9047" width="17.85546875" style="53" customWidth="1"/>
    <col min="9048" max="9049" width="1" style="53" customWidth="1"/>
    <col min="9050" max="9099" width="0" style="53" hidden="1" customWidth="1"/>
    <col min="9100" max="9101" width="1" style="53" customWidth="1"/>
    <col min="9102" max="9102" width="17.85546875" style="53" customWidth="1"/>
    <col min="9103" max="9103" width="1" style="53" customWidth="1"/>
    <col min="9104" max="9104" width="2" style="53" customWidth="1"/>
    <col min="9105" max="9105" width="6.42578125" style="53" customWidth="1"/>
    <col min="9106" max="9106" width="17.42578125" style="53" customWidth="1"/>
    <col min="9107" max="9107" width="12.28515625" style="53" customWidth="1"/>
    <col min="9108" max="9216" width="10" style="53"/>
    <col min="9217" max="9217" width="1.85546875" style="53" customWidth="1"/>
    <col min="9218" max="9219" width="1" style="53" customWidth="1"/>
    <col min="9220" max="9220" width="34" style="53" customWidth="1"/>
    <col min="9221" max="9222" width="1" style="53" customWidth="1"/>
    <col min="9223" max="9223" width="17.85546875" style="53" customWidth="1"/>
    <col min="9224" max="9225" width="1" style="53" customWidth="1"/>
    <col min="9226" max="9230" width="0" style="53" hidden="1" customWidth="1"/>
    <col min="9231" max="9232" width="1" style="53" customWidth="1"/>
    <col min="9233" max="9233" width="17.85546875" style="53" customWidth="1"/>
    <col min="9234" max="9235" width="1" style="53" customWidth="1"/>
    <col min="9236" max="9285" width="0" style="53" hidden="1" customWidth="1"/>
    <col min="9286" max="9287" width="1" style="53" customWidth="1"/>
    <col min="9288" max="9288" width="17.85546875" style="53" customWidth="1"/>
    <col min="9289" max="9292" width="1" style="53" customWidth="1"/>
    <col min="9293" max="9293" width="17.85546875" style="53" customWidth="1"/>
    <col min="9294" max="9295" width="1" style="53" customWidth="1"/>
    <col min="9296" max="9300" width="0" style="53" hidden="1" customWidth="1"/>
    <col min="9301" max="9302" width="1" style="53" customWidth="1"/>
    <col min="9303" max="9303" width="17.85546875" style="53" customWidth="1"/>
    <col min="9304" max="9305" width="1" style="53" customWidth="1"/>
    <col min="9306" max="9355" width="0" style="53" hidden="1" customWidth="1"/>
    <col min="9356" max="9357" width="1" style="53" customWidth="1"/>
    <col min="9358" max="9358" width="17.85546875" style="53" customWidth="1"/>
    <col min="9359" max="9359" width="1" style="53" customWidth="1"/>
    <col min="9360" max="9360" width="2" style="53" customWidth="1"/>
    <col min="9361" max="9361" width="6.42578125" style="53" customWidth="1"/>
    <col min="9362" max="9362" width="17.42578125" style="53" customWidth="1"/>
    <col min="9363" max="9363" width="12.28515625" style="53" customWidth="1"/>
    <col min="9364" max="9472" width="10" style="53"/>
    <col min="9473" max="9473" width="1.85546875" style="53" customWidth="1"/>
    <col min="9474" max="9475" width="1" style="53" customWidth="1"/>
    <col min="9476" max="9476" width="34" style="53" customWidth="1"/>
    <col min="9477" max="9478" width="1" style="53" customWidth="1"/>
    <col min="9479" max="9479" width="17.85546875" style="53" customWidth="1"/>
    <col min="9480" max="9481" width="1" style="53" customWidth="1"/>
    <col min="9482" max="9486" width="0" style="53" hidden="1" customWidth="1"/>
    <col min="9487" max="9488" width="1" style="53" customWidth="1"/>
    <col min="9489" max="9489" width="17.85546875" style="53" customWidth="1"/>
    <col min="9490" max="9491" width="1" style="53" customWidth="1"/>
    <col min="9492" max="9541" width="0" style="53" hidden="1" customWidth="1"/>
    <col min="9542" max="9543" width="1" style="53" customWidth="1"/>
    <col min="9544" max="9544" width="17.85546875" style="53" customWidth="1"/>
    <col min="9545" max="9548" width="1" style="53" customWidth="1"/>
    <col min="9549" max="9549" width="17.85546875" style="53" customWidth="1"/>
    <col min="9550" max="9551" width="1" style="53" customWidth="1"/>
    <col min="9552" max="9556" width="0" style="53" hidden="1" customWidth="1"/>
    <col min="9557" max="9558" width="1" style="53" customWidth="1"/>
    <col min="9559" max="9559" width="17.85546875" style="53" customWidth="1"/>
    <col min="9560" max="9561" width="1" style="53" customWidth="1"/>
    <col min="9562" max="9611" width="0" style="53" hidden="1" customWidth="1"/>
    <col min="9612" max="9613" width="1" style="53" customWidth="1"/>
    <col min="9614" max="9614" width="17.85546875" style="53" customWidth="1"/>
    <col min="9615" max="9615" width="1" style="53" customWidth="1"/>
    <col min="9616" max="9616" width="2" style="53" customWidth="1"/>
    <col min="9617" max="9617" width="6.42578125" style="53" customWidth="1"/>
    <col min="9618" max="9618" width="17.42578125" style="53" customWidth="1"/>
    <col min="9619" max="9619" width="12.28515625" style="53" customWidth="1"/>
    <col min="9620" max="9728" width="10" style="53"/>
    <col min="9729" max="9729" width="1.85546875" style="53" customWidth="1"/>
    <col min="9730" max="9731" width="1" style="53" customWidth="1"/>
    <col min="9732" max="9732" width="34" style="53" customWidth="1"/>
    <col min="9733" max="9734" width="1" style="53" customWidth="1"/>
    <col min="9735" max="9735" width="17.85546875" style="53" customWidth="1"/>
    <col min="9736" max="9737" width="1" style="53" customWidth="1"/>
    <col min="9738" max="9742" width="0" style="53" hidden="1" customWidth="1"/>
    <col min="9743" max="9744" width="1" style="53" customWidth="1"/>
    <col min="9745" max="9745" width="17.85546875" style="53" customWidth="1"/>
    <col min="9746" max="9747" width="1" style="53" customWidth="1"/>
    <col min="9748" max="9797" width="0" style="53" hidden="1" customWidth="1"/>
    <col min="9798" max="9799" width="1" style="53" customWidth="1"/>
    <col min="9800" max="9800" width="17.85546875" style="53" customWidth="1"/>
    <col min="9801" max="9804" width="1" style="53" customWidth="1"/>
    <col min="9805" max="9805" width="17.85546875" style="53" customWidth="1"/>
    <col min="9806" max="9807" width="1" style="53" customWidth="1"/>
    <col min="9808" max="9812" width="0" style="53" hidden="1" customWidth="1"/>
    <col min="9813" max="9814" width="1" style="53" customWidth="1"/>
    <col min="9815" max="9815" width="17.85546875" style="53" customWidth="1"/>
    <col min="9816" max="9817" width="1" style="53" customWidth="1"/>
    <col min="9818" max="9867" width="0" style="53" hidden="1" customWidth="1"/>
    <col min="9868" max="9869" width="1" style="53" customWidth="1"/>
    <col min="9870" max="9870" width="17.85546875" style="53" customWidth="1"/>
    <col min="9871" max="9871" width="1" style="53" customWidth="1"/>
    <col min="9872" max="9872" width="2" style="53" customWidth="1"/>
    <col min="9873" max="9873" width="6.42578125" style="53" customWidth="1"/>
    <col min="9874" max="9874" width="17.42578125" style="53" customWidth="1"/>
    <col min="9875" max="9875" width="12.28515625" style="53" customWidth="1"/>
    <col min="9876" max="9984" width="10" style="53"/>
    <col min="9985" max="9985" width="1.85546875" style="53" customWidth="1"/>
    <col min="9986" max="9987" width="1" style="53" customWidth="1"/>
    <col min="9988" max="9988" width="34" style="53" customWidth="1"/>
    <col min="9989" max="9990" width="1" style="53" customWidth="1"/>
    <col min="9991" max="9991" width="17.85546875" style="53" customWidth="1"/>
    <col min="9992" max="9993" width="1" style="53" customWidth="1"/>
    <col min="9994" max="9998" width="0" style="53" hidden="1" customWidth="1"/>
    <col min="9999" max="10000" width="1" style="53" customWidth="1"/>
    <col min="10001" max="10001" width="17.85546875" style="53" customWidth="1"/>
    <col min="10002" max="10003" width="1" style="53" customWidth="1"/>
    <col min="10004" max="10053" width="0" style="53" hidden="1" customWidth="1"/>
    <col min="10054" max="10055" width="1" style="53" customWidth="1"/>
    <col min="10056" max="10056" width="17.85546875" style="53" customWidth="1"/>
    <col min="10057" max="10060" width="1" style="53" customWidth="1"/>
    <col min="10061" max="10061" width="17.85546875" style="53" customWidth="1"/>
    <col min="10062" max="10063" width="1" style="53" customWidth="1"/>
    <col min="10064" max="10068" width="0" style="53" hidden="1" customWidth="1"/>
    <col min="10069" max="10070" width="1" style="53" customWidth="1"/>
    <col min="10071" max="10071" width="17.85546875" style="53" customWidth="1"/>
    <col min="10072" max="10073" width="1" style="53" customWidth="1"/>
    <col min="10074" max="10123" width="0" style="53" hidden="1" customWidth="1"/>
    <col min="10124" max="10125" width="1" style="53" customWidth="1"/>
    <col min="10126" max="10126" width="17.85546875" style="53" customWidth="1"/>
    <col min="10127" max="10127" width="1" style="53" customWidth="1"/>
    <col min="10128" max="10128" width="2" style="53" customWidth="1"/>
    <col min="10129" max="10129" width="6.42578125" style="53" customWidth="1"/>
    <col min="10130" max="10130" width="17.42578125" style="53" customWidth="1"/>
    <col min="10131" max="10131" width="12.28515625" style="53" customWidth="1"/>
    <col min="10132" max="10240" width="10" style="53"/>
    <col min="10241" max="10241" width="1.85546875" style="53" customWidth="1"/>
    <col min="10242" max="10243" width="1" style="53" customWidth="1"/>
    <col min="10244" max="10244" width="34" style="53" customWidth="1"/>
    <col min="10245" max="10246" width="1" style="53" customWidth="1"/>
    <col min="10247" max="10247" width="17.85546875" style="53" customWidth="1"/>
    <col min="10248" max="10249" width="1" style="53" customWidth="1"/>
    <col min="10250" max="10254" width="0" style="53" hidden="1" customWidth="1"/>
    <col min="10255" max="10256" width="1" style="53" customWidth="1"/>
    <col min="10257" max="10257" width="17.85546875" style="53" customWidth="1"/>
    <col min="10258" max="10259" width="1" style="53" customWidth="1"/>
    <col min="10260" max="10309" width="0" style="53" hidden="1" customWidth="1"/>
    <col min="10310" max="10311" width="1" style="53" customWidth="1"/>
    <col min="10312" max="10312" width="17.85546875" style="53" customWidth="1"/>
    <col min="10313" max="10316" width="1" style="53" customWidth="1"/>
    <col min="10317" max="10317" width="17.85546875" style="53" customWidth="1"/>
    <col min="10318" max="10319" width="1" style="53" customWidth="1"/>
    <col min="10320" max="10324" width="0" style="53" hidden="1" customWidth="1"/>
    <col min="10325" max="10326" width="1" style="53" customWidth="1"/>
    <col min="10327" max="10327" width="17.85546875" style="53" customWidth="1"/>
    <col min="10328" max="10329" width="1" style="53" customWidth="1"/>
    <col min="10330" max="10379" width="0" style="53" hidden="1" customWidth="1"/>
    <col min="10380" max="10381" width="1" style="53" customWidth="1"/>
    <col min="10382" max="10382" width="17.85546875" style="53" customWidth="1"/>
    <col min="10383" max="10383" width="1" style="53" customWidth="1"/>
    <col min="10384" max="10384" width="2" style="53" customWidth="1"/>
    <col min="10385" max="10385" width="6.42578125" style="53" customWidth="1"/>
    <col min="10386" max="10386" width="17.42578125" style="53" customWidth="1"/>
    <col min="10387" max="10387" width="12.28515625" style="53" customWidth="1"/>
    <col min="10388" max="10496" width="10" style="53"/>
    <col min="10497" max="10497" width="1.85546875" style="53" customWidth="1"/>
    <col min="10498" max="10499" width="1" style="53" customWidth="1"/>
    <col min="10500" max="10500" width="34" style="53" customWidth="1"/>
    <col min="10501" max="10502" width="1" style="53" customWidth="1"/>
    <col min="10503" max="10503" width="17.85546875" style="53" customWidth="1"/>
    <col min="10504" max="10505" width="1" style="53" customWidth="1"/>
    <col min="10506" max="10510" width="0" style="53" hidden="1" customWidth="1"/>
    <col min="10511" max="10512" width="1" style="53" customWidth="1"/>
    <col min="10513" max="10513" width="17.85546875" style="53" customWidth="1"/>
    <col min="10514" max="10515" width="1" style="53" customWidth="1"/>
    <col min="10516" max="10565" width="0" style="53" hidden="1" customWidth="1"/>
    <col min="10566" max="10567" width="1" style="53" customWidth="1"/>
    <col min="10568" max="10568" width="17.85546875" style="53" customWidth="1"/>
    <col min="10569" max="10572" width="1" style="53" customWidth="1"/>
    <col min="10573" max="10573" width="17.85546875" style="53" customWidth="1"/>
    <col min="10574" max="10575" width="1" style="53" customWidth="1"/>
    <col min="10576" max="10580" width="0" style="53" hidden="1" customWidth="1"/>
    <col min="10581" max="10582" width="1" style="53" customWidth="1"/>
    <col min="10583" max="10583" width="17.85546875" style="53" customWidth="1"/>
    <col min="10584" max="10585" width="1" style="53" customWidth="1"/>
    <col min="10586" max="10635" width="0" style="53" hidden="1" customWidth="1"/>
    <col min="10636" max="10637" width="1" style="53" customWidth="1"/>
    <col min="10638" max="10638" width="17.85546875" style="53" customWidth="1"/>
    <col min="10639" max="10639" width="1" style="53" customWidth="1"/>
    <col min="10640" max="10640" width="2" style="53" customWidth="1"/>
    <col min="10641" max="10641" width="6.42578125" style="53" customWidth="1"/>
    <col min="10642" max="10642" width="17.42578125" style="53" customWidth="1"/>
    <col min="10643" max="10643" width="12.28515625" style="53" customWidth="1"/>
    <col min="10644" max="10752" width="10" style="53"/>
    <col min="10753" max="10753" width="1.85546875" style="53" customWidth="1"/>
    <col min="10754" max="10755" width="1" style="53" customWidth="1"/>
    <col min="10756" max="10756" width="34" style="53" customWidth="1"/>
    <col min="10757" max="10758" width="1" style="53" customWidth="1"/>
    <col min="10759" max="10759" width="17.85546875" style="53" customWidth="1"/>
    <col min="10760" max="10761" width="1" style="53" customWidth="1"/>
    <col min="10762" max="10766" width="0" style="53" hidden="1" customWidth="1"/>
    <col min="10767" max="10768" width="1" style="53" customWidth="1"/>
    <col min="10769" max="10769" width="17.85546875" style="53" customWidth="1"/>
    <col min="10770" max="10771" width="1" style="53" customWidth="1"/>
    <col min="10772" max="10821" width="0" style="53" hidden="1" customWidth="1"/>
    <col min="10822" max="10823" width="1" style="53" customWidth="1"/>
    <col min="10824" max="10824" width="17.85546875" style="53" customWidth="1"/>
    <col min="10825" max="10828" width="1" style="53" customWidth="1"/>
    <col min="10829" max="10829" width="17.85546875" style="53" customWidth="1"/>
    <col min="10830" max="10831" width="1" style="53" customWidth="1"/>
    <col min="10832" max="10836" width="0" style="53" hidden="1" customWidth="1"/>
    <col min="10837" max="10838" width="1" style="53" customWidth="1"/>
    <col min="10839" max="10839" width="17.85546875" style="53" customWidth="1"/>
    <col min="10840" max="10841" width="1" style="53" customWidth="1"/>
    <col min="10842" max="10891" width="0" style="53" hidden="1" customWidth="1"/>
    <col min="10892" max="10893" width="1" style="53" customWidth="1"/>
    <col min="10894" max="10894" width="17.85546875" style="53" customWidth="1"/>
    <col min="10895" max="10895" width="1" style="53" customWidth="1"/>
    <col min="10896" max="10896" width="2" style="53" customWidth="1"/>
    <col min="10897" max="10897" width="6.42578125" style="53" customWidth="1"/>
    <col min="10898" max="10898" width="17.42578125" style="53" customWidth="1"/>
    <col min="10899" max="10899" width="12.28515625" style="53" customWidth="1"/>
    <col min="10900" max="11008" width="10" style="53"/>
    <col min="11009" max="11009" width="1.85546875" style="53" customWidth="1"/>
    <col min="11010" max="11011" width="1" style="53" customWidth="1"/>
    <col min="11012" max="11012" width="34" style="53" customWidth="1"/>
    <col min="11013" max="11014" width="1" style="53" customWidth="1"/>
    <col min="11015" max="11015" width="17.85546875" style="53" customWidth="1"/>
    <col min="11016" max="11017" width="1" style="53" customWidth="1"/>
    <col min="11018" max="11022" width="0" style="53" hidden="1" customWidth="1"/>
    <col min="11023" max="11024" width="1" style="53" customWidth="1"/>
    <col min="11025" max="11025" width="17.85546875" style="53" customWidth="1"/>
    <col min="11026" max="11027" width="1" style="53" customWidth="1"/>
    <col min="11028" max="11077" width="0" style="53" hidden="1" customWidth="1"/>
    <col min="11078" max="11079" width="1" style="53" customWidth="1"/>
    <col min="11080" max="11080" width="17.85546875" style="53" customWidth="1"/>
    <col min="11081" max="11084" width="1" style="53" customWidth="1"/>
    <col min="11085" max="11085" width="17.85546875" style="53" customWidth="1"/>
    <col min="11086" max="11087" width="1" style="53" customWidth="1"/>
    <col min="11088" max="11092" width="0" style="53" hidden="1" customWidth="1"/>
    <col min="11093" max="11094" width="1" style="53" customWidth="1"/>
    <col min="11095" max="11095" width="17.85546875" style="53" customWidth="1"/>
    <col min="11096" max="11097" width="1" style="53" customWidth="1"/>
    <col min="11098" max="11147" width="0" style="53" hidden="1" customWidth="1"/>
    <col min="11148" max="11149" width="1" style="53" customWidth="1"/>
    <col min="11150" max="11150" width="17.85546875" style="53" customWidth="1"/>
    <col min="11151" max="11151" width="1" style="53" customWidth="1"/>
    <col min="11152" max="11152" width="2" style="53" customWidth="1"/>
    <col min="11153" max="11153" width="6.42578125" style="53" customWidth="1"/>
    <col min="11154" max="11154" width="17.42578125" style="53" customWidth="1"/>
    <col min="11155" max="11155" width="12.28515625" style="53" customWidth="1"/>
    <col min="11156" max="11264" width="10" style="53"/>
    <col min="11265" max="11265" width="1.85546875" style="53" customWidth="1"/>
    <col min="11266" max="11267" width="1" style="53" customWidth="1"/>
    <col min="11268" max="11268" width="34" style="53" customWidth="1"/>
    <col min="11269" max="11270" width="1" style="53" customWidth="1"/>
    <col min="11271" max="11271" width="17.85546875" style="53" customWidth="1"/>
    <col min="11272" max="11273" width="1" style="53" customWidth="1"/>
    <col min="11274" max="11278" width="0" style="53" hidden="1" customWidth="1"/>
    <col min="11279" max="11280" width="1" style="53" customWidth="1"/>
    <col min="11281" max="11281" width="17.85546875" style="53" customWidth="1"/>
    <col min="11282" max="11283" width="1" style="53" customWidth="1"/>
    <col min="11284" max="11333" width="0" style="53" hidden="1" customWidth="1"/>
    <col min="11334" max="11335" width="1" style="53" customWidth="1"/>
    <col min="11336" max="11336" width="17.85546875" style="53" customWidth="1"/>
    <col min="11337" max="11340" width="1" style="53" customWidth="1"/>
    <col min="11341" max="11341" width="17.85546875" style="53" customWidth="1"/>
    <col min="11342" max="11343" width="1" style="53" customWidth="1"/>
    <col min="11344" max="11348" width="0" style="53" hidden="1" customWidth="1"/>
    <col min="11349" max="11350" width="1" style="53" customWidth="1"/>
    <col min="11351" max="11351" width="17.85546875" style="53" customWidth="1"/>
    <col min="11352" max="11353" width="1" style="53" customWidth="1"/>
    <col min="11354" max="11403" width="0" style="53" hidden="1" customWidth="1"/>
    <col min="11404" max="11405" width="1" style="53" customWidth="1"/>
    <col min="11406" max="11406" width="17.85546875" style="53" customWidth="1"/>
    <col min="11407" max="11407" width="1" style="53" customWidth="1"/>
    <col min="11408" max="11408" width="2" style="53" customWidth="1"/>
    <col min="11409" max="11409" width="6.42578125" style="53" customWidth="1"/>
    <col min="11410" max="11410" width="17.42578125" style="53" customWidth="1"/>
    <col min="11411" max="11411" width="12.28515625" style="53" customWidth="1"/>
    <col min="11412" max="11520" width="10" style="53"/>
    <col min="11521" max="11521" width="1.85546875" style="53" customWidth="1"/>
    <col min="11522" max="11523" width="1" style="53" customWidth="1"/>
    <col min="11524" max="11524" width="34" style="53" customWidth="1"/>
    <col min="11525" max="11526" width="1" style="53" customWidth="1"/>
    <col min="11527" max="11527" width="17.85546875" style="53" customWidth="1"/>
    <col min="11528" max="11529" width="1" style="53" customWidth="1"/>
    <col min="11530" max="11534" width="0" style="53" hidden="1" customWidth="1"/>
    <col min="11535" max="11536" width="1" style="53" customWidth="1"/>
    <col min="11537" max="11537" width="17.85546875" style="53" customWidth="1"/>
    <col min="11538" max="11539" width="1" style="53" customWidth="1"/>
    <col min="11540" max="11589" width="0" style="53" hidden="1" customWidth="1"/>
    <col min="11590" max="11591" width="1" style="53" customWidth="1"/>
    <col min="11592" max="11592" width="17.85546875" style="53" customWidth="1"/>
    <col min="11593" max="11596" width="1" style="53" customWidth="1"/>
    <col min="11597" max="11597" width="17.85546875" style="53" customWidth="1"/>
    <col min="11598" max="11599" width="1" style="53" customWidth="1"/>
    <col min="11600" max="11604" width="0" style="53" hidden="1" customWidth="1"/>
    <col min="11605" max="11606" width="1" style="53" customWidth="1"/>
    <col min="11607" max="11607" width="17.85546875" style="53" customWidth="1"/>
    <col min="11608" max="11609" width="1" style="53" customWidth="1"/>
    <col min="11610" max="11659" width="0" style="53" hidden="1" customWidth="1"/>
    <col min="11660" max="11661" width="1" style="53" customWidth="1"/>
    <col min="11662" max="11662" width="17.85546875" style="53" customWidth="1"/>
    <col min="11663" max="11663" width="1" style="53" customWidth="1"/>
    <col min="11664" max="11664" width="2" style="53" customWidth="1"/>
    <col min="11665" max="11665" width="6.42578125" style="53" customWidth="1"/>
    <col min="11666" max="11666" width="17.42578125" style="53" customWidth="1"/>
    <col min="11667" max="11667" width="12.28515625" style="53" customWidth="1"/>
    <col min="11668" max="11776" width="10" style="53"/>
    <col min="11777" max="11777" width="1.85546875" style="53" customWidth="1"/>
    <col min="11778" max="11779" width="1" style="53" customWidth="1"/>
    <col min="11780" max="11780" width="34" style="53" customWidth="1"/>
    <col min="11781" max="11782" width="1" style="53" customWidth="1"/>
    <col min="11783" max="11783" width="17.85546875" style="53" customWidth="1"/>
    <col min="11784" max="11785" width="1" style="53" customWidth="1"/>
    <col min="11786" max="11790" width="0" style="53" hidden="1" customWidth="1"/>
    <col min="11791" max="11792" width="1" style="53" customWidth="1"/>
    <col min="11793" max="11793" width="17.85546875" style="53" customWidth="1"/>
    <col min="11794" max="11795" width="1" style="53" customWidth="1"/>
    <col min="11796" max="11845" width="0" style="53" hidden="1" customWidth="1"/>
    <col min="11846" max="11847" width="1" style="53" customWidth="1"/>
    <col min="11848" max="11848" width="17.85546875" style="53" customWidth="1"/>
    <col min="11849" max="11852" width="1" style="53" customWidth="1"/>
    <col min="11853" max="11853" width="17.85546875" style="53" customWidth="1"/>
    <col min="11854" max="11855" width="1" style="53" customWidth="1"/>
    <col min="11856" max="11860" width="0" style="53" hidden="1" customWidth="1"/>
    <col min="11861" max="11862" width="1" style="53" customWidth="1"/>
    <col min="11863" max="11863" width="17.85546875" style="53" customWidth="1"/>
    <col min="11864" max="11865" width="1" style="53" customWidth="1"/>
    <col min="11866" max="11915" width="0" style="53" hidden="1" customWidth="1"/>
    <col min="11916" max="11917" width="1" style="53" customWidth="1"/>
    <col min="11918" max="11918" width="17.85546875" style="53" customWidth="1"/>
    <col min="11919" max="11919" width="1" style="53" customWidth="1"/>
    <col min="11920" max="11920" width="2" style="53" customWidth="1"/>
    <col min="11921" max="11921" width="6.42578125" style="53" customWidth="1"/>
    <col min="11922" max="11922" width="17.42578125" style="53" customWidth="1"/>
    <col min="11923" max="11923" width="12.28515625" style="53" customWidth="1"/>
    <col min="11924" max="12032" width="10" style="53"/>
    <col min="12033" max="12033" width="1.85546875" style="53" customWidth="1"/>
    <col min="12034" max="12035" width="1" style="53" customWidth="1"/>
    <col min="12036" max="12036" width="34" style="53" customWidth="1"/>
    <col min="12037" max="12038" width="1" style="53" customWidth="1"/>
    <col min="12039" max="12039" width="17.85546875" style="53" customWidth="1"/>
    <col min="12040" max="12041" width="1" style="53" customWidth="1"/>
    <col min="12042" max="12046" width="0" style="53" hidden="1" customWidth="1"/>
    <col min="12047" max="12048" width="1" style="53" customWidth="1"/>
    <col min="12049" max="12049" width="17.85546875" style="53" customWidth="1"/>
    <col min="12050" max="12051" width="1" style="53" customWidth="1"/>
    <col min="12052" max="12101" width="0" style="53" hidden="1" customWidth="1"/>
    <col min="12102" max="12103" width="1" style="53" customWidth="1"/>
    <col min="12104" max="12104" width="17.85546875" style="53" customWidth="1"/>
    <col min="12105" max="12108" width="1" style="53" customWidth="1"/>
    <col min="12109" max="12109" width="17.85546875" style="53" customWidth="1"/>
    <col min="12110" max="12111" width="1" style="53" customWidth="1"/>
    <col min="12112" max="12116" width="0" style="53" hidden="1" customWidth="1"/>
    <col min="12117" max="12118" width="1" style="53" customWidth="1"/>
    <col min="12119" max="12119" width="17.85546875" style="53" customWidth="1"/>
    <col min="12120" max="12121" width="1" style="53" customWidth="1"/>
    <col min="12122" max="12171" width="0" style="53" hidden="1" customWidth="1"/>
    <col min="12172" max="12173" width="1" style="53" customWidth="1"/>
    <col min="12174" max="12174" width="17.85546875" style="53" customWidth="1"/>
    <col min="12175" max="12175" width="1" style="53" customWidth="1"/>
    <col min="12176" max="12176" width="2" style="53" customWidth="1"/>
    <col min="12177" max="12177" width="6.42578125" style="53" customWidth="1"/>
    <col min="12178" max="12178" width="17.42578125" style="53" customWidth="1"/>
    <col min="12179" max="12179" width="12.28515625" style="53" customWidth="1"/>
    <col min="12180" max="12288" width="10" style="53"/>
    <col min="12289" max="12289" width="1.85546875" style="53" customWidth="1"/>
    <col min="12290" max="12291" width="1" style="53" customWidth="1"/>
    <col min="12292" max="12292" width="34" style="53" customWidth="1"/>
    <col min="12293" max="12294" width="1" style="53" customWidth="1"/>
    <col min="12295" max="12295" width="17.85546875" style="53" customWidth="1"/>
    <col min="12296" max="12297" width="1" style="53" customWidth="1"/>
    <col min="12298" max="12302" width="0" style="53" hidden="1" customWidth="1"/>
    <col min="12303" max="12304" width="1" style="53" customWidth="1"/>
    <col min="12305" max="12305" width="17.85546875" style="53" customWidth="1"/>
    <col min="12306" max="12307" width="1" style="53" customWidth="1"/>
    <col min="12308" max="12357" width="0" style="53" hidden="1" customWidth="1"/>
    <col min="12358" max="12359" width="1" style="53" customWidth="1"/>
    <col min="12360" max="12360" width="17.85546875" style="53" customWidth="1"/>
    <col min="12361" max="12364" width="1" style="53" customWidth="1"/>
    <col min="12365" max="12365" width="17.85546875" style="53" customWidth="1"/>
    <col min="12366" max="12367" width="1" style="53" customWidth="1"/>
    <col min="12368" max="12372" width="0" style="53" hidden="1" customWidth="1"/>
    <col min="12373" max="12374" width="1" style="53" customWidth="1"/>
    <col min="12375" max="12375" width="17.85546875" style="53" customWidth="1"/>
    <col min="12376" max="12377" width="1" style="53" customWidth="1"/>
    <col min="12378" max="12427" width="0" style="53" hidden="1" customWidth="1"/>
    <col min="12428" max="12429" width="1" style="53" customWidth="1"/>
    <col min="12430" max="12430" width="17.85546875" style="53" customWidth="1"/>
    <col min="12431" max="12431" width="1" style="53" customWidth="1"/>
    <col min="12432" max="12432" width="2" style="53" customWidth="1"/>
    <col min="12433" max="12433" width="6.42578125" style="53" customWidth="1"/>
    <col min="12434" max="12434" width="17.42578125" style="53" customWidth="1"/>
    <col min="12435" max="12435" width="12.28515625" style="53" customWidth="1"/>
    <col min="12436" max="12544" width="10" style="53"/>
    <col min="12545" max="12545" width="1.85546875" style="53" customWidth="1"/>
    <col min="12546" max="12547" width="1" style="53" customWidth="1"/>
    <col min="12548" max="12548" width="34" style="53" customWidth="1"/>
    <col min="12549" max="12550" width="1" style="53" customWidth="1"/>
    <col min="12551" max="12551" width="17.85546875" style="53" customWidth="1"/>
    <col min="12552" max="12553" width="1" style="53" customWidth="1"/>
    <col min="12554" max="12558" width="0" style="53" hidden="1" customWidth="1"/>
    <col min="12559" max="12560" width="1" style="53" customWidth="1"/>
    <col min="12561" max="12561" width="17.85546875" style="53" customWidth="1"/>
    <col min="12562" max="12563" width="1" style="53" customWidth="1"/>
    <col min="12564" max="12613" width="0" style="53" hidden="1" customWidth="1"/>
    <col min="12614" max="12615" width="1" style="53" customWidth="1"/>
    <col min="12616" max="12616" width="17.85546875" style="53" customWidth="1"/>
    <col min="12617" max="12620" width="1" style="53" customWidth="1"/>
    <col min="12621" max="12621" width="17.85546875" style="53" customWidth="1"/>
    <col min="12622" max="12623" width="1" style="53" customWidth="1"/>
    <col min="12624" max="12628" width="0" style="53" hidden="1" customWidth="1"/>
    <col min="12629" max="12630" width="1" style="53" customWidth="1"/>
    <col min="12631" max="12631" width="17.85546875" style="53" customWidth="1"/>
    <col min="12632" max="12633" width="1" style="53" customWidth="1"/>
    <col min="12634" max="12683" width="0" style="53" hidden="1" customWidth="1"/>
    <col min="12684" max="12685" width="1" style="53" customWidth="1"/>
    <col min="12686" max="12686" width="17.85546875" style="53" customWidth="1"/>
    <col min="12687" max="12687" width="1" style="53" customWidth="1"/>
    <col min="12688" max="12688" width="2" style="53" customWidth="1"/>
    <col min="12689" max="12689" width="6.42578125" style="53" customWidth="1"/>
    <col min="12690" max="12690" width="17.42578125" style="53" customWidth="1"/>
    <col min="12691" max="12691" width="12.28515625" style="53" customWidth="1"/>
    <col min="12692" max="12800" width="10" style="53"/>
    <col min="12801" max="12801" width="1.85546875" style="53" customWidth="1"/>
    <col min="12802" max="12803" width="1" style="53" customWidth="1"/>
    <col min="12804" max="12804" width="34" style="53" customWidth="1"/>
    <col min="12805" max="12806" width="1" style="53" customWidth="1"/>
    <col min="12807" max="12807" width="17.85546875" style="53" customWidth="1"/>
    <col min="12808" max="12809" width="1" style="53" customWidth="1"/>
    <col min="12810" max="12814" width="0" style="53" hidden="1" customWidth="1"/>
    <col min="12815" max="12816" width="1" style="53" customWidth="1"/>
    <col min="12817" max="12817" width="17.85546875" style="53" customWidth="1"/>
    <col min="12818" max="12819" width="1" style="53" customWidth="1"/>
    <col min="12820" max="12869" width="0" style="53" hidden="1" customWidth="1"/>
    <col min="12870" max="12871" width="1" style="53" customWidth="1"/>
    <col min="12872" max="12872" width="17.85546875" style="53" customWidth="1"/>
    <col min="12873" max="12876" width="1" style="53" customWidth="1"/>
    <col min="12877" max="12877" width="17.85546875" style="53" customWidth="1"/>
    <col min="12878" max="12879" width="1" style="53" customWidth="1"/>
    <col min="12880" max="12884" width="0" style="53" hidden="1" customWidth="1"/>
    <col min="12885" max="12886" width="1" style="53" customWidth="1"/>
    <col min="12887" max="12887" width="17.85546875" style="53" customWidth="1"/>
    <col min="12888" max="12889" width="1" style="53" customWidth="1"/>
    <col min="12890" max="12939" width="0" style="53" hidden="1" customWidth="1"/>
    <col min="12940" max="12941" width="1" style="53" customWidth="1"/>
    <col min="12942" max="12942" width="17.85546875" style="53" customWidth="1"/>
    <col min="12943" max="12943" width="1" style="53" customWidth="1"/>
    <col min="12944" max="12944" width="2" style="53" customWidth="1"/>
    <col min="12945" max="12945" width="6.42578125" style="53" customWidth="1"/>
    <col min="12946" max="12946" width="17.42578125" style="53" customWidth="1"/>
    <col min="12947" max="12947" width="12.28515625" style="53" customWidth="1"/>
    <col min="12948" max="13056" width="10" style="53"/>
    <col min="13057" max="13057" width="1.85546875" style="53" customWidth="1"/>
    <col min="13058" max="13059" width="1" style="53" customWidth="1"/>
    <col min="13060" max="13060" width="34" style="53" customWidth="1"/>
    <col min="13061" max="13062" width="1" style="53" customWidth="1"/>
    <col min="13063" max="13063" width="17.85546875" style="53" customWidth="1"/>
    <col min="13064" max="13065" width="1" style="53" customWidth="1"/>
    <col min="13066" max="13070" width="0" style="53" hidden="1" customWidth="1"/>
    <col min="13071" max="13072" width="1" style="53" customWidth="1"/>
    <col min="13073" max="13073" width="17.85546875" style="53" customWidth="1"/>
    <col min="13074" max="13075" width="1" style="53" customWidth="1"/>
    <col min="13076" max="13125" width="0" style="53" hidden="1" customWidth="1"/>
    <col min="13126" max="13127" width="1" style="53" customWidth="1"/>
    <col min="13128" max="13128" width="17.85546875" style="53" customWidth="1"/>
    <col min="13129" max="13132" width="1" style="53" customWidth="1"/>
    <col min="13133" max="13133" width="17.85546875" style="53" customWidth="1"/>
    <col min="13134" max="13135" width="1" style="53" customWidth="1"/>
    <col min="13136" max="13140" width="0" style="53" hidden="1" customWidth="1"/>
    <col min="13141" max="13142" width="1" style="53" customWidth="1"/>
    <col min="13143" max="13143" width="17.85546875" style="53" customWidth="1"/>
    <col min="13144" max="13145" width="1" style="53" customWidth="1"/>
    <col min="13146" max="13195" width="0" style="53" hidden="1" customWidth="1"/>
    <col min="13196" max="13197" width="1" style="53" customWidth="1"/>
    <col min="13198" max="13198" width="17.85546875" style="53" customWidth="1"/>
    <col min="13199" max="13199" width="1" style="53" customWidth="1"/>
    <col min="13200" max="13200" width="2" style="53" customWidth="1"/>
    <col min="13201" max="13201" width="6.42578125" style="53" customWidth="1"/>
    <col min="13202" max="13202" width="17.42578125" style="53" customWidth="1"/>
    <col min="13203" max="13203" width="12.28515625" style="53" customWidth="1"/>
    <col min="13204" max="13312" width="10" style="53"/>
    <col min="13313" max="13313" width="1.85546875" style="53" customWidth="1"/>
    <col min="13314" max="13315" width="1" style="53" customWidth="1"/>
    <col min="13316" max="13316" width="34" style="53" customWidth="1"/>
    <col min="13317" max="13318" width="1" style="53" customWidth="1"/>
    <col min="13319" max="13319" width="17.85546875" style="53" customWidth="1"/>
    <col min="13320" max="13321" width="1" style="53" customWidth="1"/>
    <col min="13322" max="13326" width="0" style="53" hidden="1" customWidth="1"/>
    <col min="13327" max="13328" width="1" style="53" customWidth="1"/>
    <col min="13329" max="13329" width="17.85546875" style="53" customWidth="1"/>
    <col min="13330" max="13331" width="1" style="53" customWidth="1"/>
    <col min="13332" max="13381" width="0" style="53" hidden="1" customWidth="1"/>
    <col min="13382" max="13383" width="1" style="53" customWidth="1"/>
    <col min="13384" max="13384" width="17.85546875" style="53" customWidth="1"/>
    <col min="13385" max="13388" width="1" style="53" customWidth="1"/>
    <col min="13389" max="13389" width="17.85546875" style="53" customWidth="1"/>
    <col min="13390" max="13391" width="1" style="53" customWidth="1"/>
    <col min="13392" max="13396" width="0" style="53" hidden="1" customWidth="1"/>
    <col min="13397" max="13398" width="1" style="53" customWidth="1"/>
    <col min="13399" max="13399" width="17.85546875" style="53" customWidth="1"/>
    <col min="13400" max="13401" width="1" style="53" customWidth="1"/>
    <col min="13402" max="13451" width="0" style="53" hidden="1" customWidth="1"/>
    <col min="13452" max="13453" width="1" style="53" customWidth="1"/>
    <col min="13454" max="13454" width="17.85546875" style="53" customWidth="1"/>
    <col min="13455" max="13455" width="1" style="53" customWidth="1"/>
    <col min="13456" max="13456" width="2" style="53" customWidth="1"/>
    <col min="13457" max="13457" width="6.42578125" style="53" customWidth="1"/>
    <col min="13458" max="13458" width="17.42578125" style="53" customWidth="1"/>
    <col min="13459" max="13459" width="12.28515625" style="53" customWidth="1"/>
    <col min="13460" max="13568" width="10" style="53"/>
    <col min="13569" max="13569" width="1.85546875" style="53" customWidth="1"/>
    <col min="13570" max="13571" width="1" style="53" customWidth="1"/>
    <col min="13572" max="13572" width="34" style="53" customWidth="1"/>
    <col min="13573" max="13574" width="1" style="53" customWidth="1"/>
    <col min="13575" max="13575" width="17.85546875" style="53" customWidth="1"/>
    <col min="13576" max="13577" width="1" style="53" customWidth="1"/>
    <col min="13578" max="13582" width="0" style="53" hidden="1" customWidth="1"/>
    <col min="13583" max="13584" width="1" style="53" customWidth="1"/>
    <col min="13585" max="13585" width="17.85546875" style="53" customWidth="1"/>
    <col min="13586" max="13587" width="1" style="53" customWidth="1"/>
    <col min="13588" max="13637" width="0" style="53" hidden="1" customWidth="1"/>
    <col min="13638" max="13639" width="1" style="53" customWidth="1"/>
    <col min="13640" max="13640" width="17.85546875" style="53" customWidth="1"/>
    <col min="13641" max="13644" width="1" style="53" customWidth="1"/>
    <col min="13645" max="13645" width="17.85546875" style="53" customWidth="1"/>
    <col min="13646" max="13647" width="1" style="53" customWidth="1"/>
    <col min="13648" max="13652" width="0" style="53" hidden="1" customWidth="1"/>
    <col min="13653" max="13654" width="1" style="53" customWidth="1"/>
    <col min="13655" max="13655" width="17.85546875" style="53" customWidth="1"/>
    <col min="13656" max="13657" width="1" style="53" customWidth="1"/>
    <col min="13658" max="13707" width="0" style="53" hidden="1" customWidth="1"/>
    <col min="13708" max="13709" width="1" style="53" customWidth="1"/>
    <col min="13710" max="13710" width="17.85546875" style="53" customWidth="1"/>
    <col min="13711" max="13711" width="1" style="53" customWidth="1"/>
    <col min="13712" max="13712" width="2" style="53" customWidth="1"/>
    <col min="13713" max="13713" width="6.42578125" style="53" customWidth="1"/>
    <col min="13714" max="13714" width="17.42578125" style="53" customWidth="1"/>
    <col min="13715" max="13715" width="12.28515625" style="53" customWidth="1"/>
    <col min="13716" max="13824" width="10" style="53"/>
    <col min="13825" max="13825" width="1.85546875" style="53" customWidth="1"/>
    <col min="13826" max="13827" width="1" style="53" customWidth="1"/>
    <col min="13828" max="13828" width="34" style="53" customWidth="1"/>
    <col min="13829" max="13830" width="1" style="53" customWidth="1"/>
    <col min="13831" max="13831" width="17.85546875" style="53" customWidth="1"/>
    <col min="13832" max="13833" width="1" style="53" customWidth="1"/>
    <col min="13834" max="13838" width="0" style="53" hidden="1" customWidth="1"/>
    <col min="13839" max="13840" width="1" style="53" customWidth="1"/>
    <col min="13841" max="13841" width="17.85546875" style="53" customWidth="1"/>
    <col min="13842" max="13843" width="1" style="53" customWidth="1"/>
    <col min="13844" max="13893" width="0" style="53" hidden="1" customWidth="1"/>
    <col min="13894" max="13895" width="1" style="53" customWidth="1"/>
    <col min="13896" max="13896" width="17.85546875" style="53" customWidth="1"/>
    <col min="13897" max="13900" width="1" style="53" customWidth="1"/>
    <col min="13901" max="13901" width="17.85546875" style="53" customWidth="1"/>
    <col min="13902" max="13903" width="1" style="53" customWidth="1"/>
    <col min="13904" max="13908" width="0" style="53" hidden="1" customWidth="1"/>
    <col min="13909" max="13910" width="1" style="53" customWidth="1"/>
    <col min="13911" max="13911" width="17.85546875" style="53" customWidth="1"/>
    <col min="13912" max="13913" width="1" style="53" customWidth="1"/>
    <col min="13914" max="13963" width="0" style="53" hidden="1" customWidth="1"/>
    <col min="13964" max="13965" width="1" style="53" customWidth="1"/>
    <col min="13966" max="13966" width="17.85546875" style="53" customWidth="1"/>
    <col min="13967" max="13967" width="1" style="53" customWidth="1"/>
    <col min="13968" max="13968" width="2" style="53" customWidth="1"/>
    <col min="13969" max="13969" width="6.42578125" style="53" customWidth="1"/>
    <col min="13970" max="13970" width="17.42578125" style="53" customWidth="1"/>
    <col min="13971" max="13971" width="12.28515625" style="53" customWidth="1"/>
    <col min="13972" max="14080" width="10" style="53"/>
    <col min="14081" max="14081" width="1.85546875" style="53" customWidth="1"/>
    <col min="14082" max="14083" width="1" style="53" customWidth="1"/>
    <col min="14084" max="14084" width="34" style="53" customWidth="1"/>
    <col min="14085" max="14086" width="1" style="53" customWidth="1"/>
    <col min="14087" max="14087" width="17.85546875" style="53" customWidth="1"/>
    <col min="14088" max="14089" width="1" style="53" customWidth="1"/>
    <col min="14090" max="14094" width="0" style="53" hidden="1" customWidth="1"/>
    <col min="14095" max="14096" width="1" style="53" customWidth="1"/>
    <col min="14097" max="14097" width="17.85546875" style="53" customWidth="1"/>
    <col min="14098" max="14099" width="1" style="53" customWidth="1"/>
    <col min="14100" max="14149" width="0" style="53" hidden="1" customWidth="1"/>
    <col min="14150" max="14151" width="1" style="53" customWidth="1"/>
    <col min="14152" max="14152" width="17.85546875" style="53" customWidth="1"/>
    <col min="14153" max="14156" width="1" style="53" customWidth="1"/>
    <col min="14157" max="14157" width="17.85546875" style="53" customWidth="1"/>
    <col min="14158" max="14159" width="1" style="53" customWidth="1"/>
    <col min="14160" max="14164" width="0" style="53" hidden="1" customWidth="1"/>
    <col min="14165" max="14166" width="1" style="53" customWidth="1"/>
    <col min="14167" max="14167" width="17.85546875" style="53" customWidth="1"/>
    <col min="14168" max="14169" width="1" style="53" customWidth="1"/>
    <col min="14170" max="14219" width="0" style="53" hidden="1" customWidth="1"/>
    <col min="14220" max="14221" width="1" style="53" customWidth="1"/>
    <col min="14222" max="14222" width="17.85546875" style="53" customWidth="1"/>
    <col min="14223" max="14223" width="1" style="53" customWidth="1"/>
    <col min="14224" max="14224" width="2" style="53" customWidth="1"/>
    <col min="14225" max="14225" width="6.42578125" style="53" customWidth="1"/>
    <col min="14226" max="14226" width="17.42578125" style="53" customWidth="1"/>
    <col min="14227" max="14227" width="12.28515625" style="53" customWidth="1"/>
    <col min="14228" max="14336" width="10" style="53"/>
    <col min="14337" max="14337" width="1.85546875" style="53" customWidth="1"/>
    <col min="14338" max="14339" width="1" style="53" customWidth="1"/>
    <col min="14340" max="14340" width="34" style="53" customWidth="1"/>
    <col min="14341" max="14342" width="1" style="53" customWidth="1"/>
    <col min="14343" max="14343" width="17.85546875" style="53" customWidth="1"/>
    <col min="14344" max="14345" width="1" style="53" customWidth="1"/>
    <col min="14346" max="14350" width="0" style="53" hidden="1" customWidth="1"/>
    <col min="14351" max="14352" width="1" style="53" customWidth="1"/>
    <col min="14353" max="14353" width="17.85546875" style="53" customWidth="1"/>
    <col min="14354" max="14355" width="1" style="53" customWidth="1"/>
    <col min="14356" max="14405" width="0" style="53" hidden="1" customWidth="1"/>
    <col min="14406" max="14407" width="1" style="53" customWidth="1"/>
    <col min="14408" max="14408" width="17.85546875" style="53" customWidth="1"/>
    <col min="14409" max="14412" width="1" style="53" customWidth="1"/>
    <col min="14413" max="14413" width="17.85546875" style="53" customWidth="1"/>
    <col min="14414" max="14415" width="1" style="53" customWidth="1"/>
    <col min="14416" max="14420" width="0" style="53" hidden="1" customWidth="1"/>
    <col min="14421" max="14422" width="1" style="53" customWidth="1"/>
    <col min="14423" max="14423" width="17.85546875" style="53" customWidth="1"/>
    <col min="14424" max="14425" width="1" style="53" customWidth="1"/>
    <col min="14426" max="14475" width="0" style="53" hidden="1" customWidth="1"/>
    <col min="14476" max="14477" width="1" style="53" customWidth="1"/>
    <col min="14478" max="14478" width="17.85546875" style="53" customWidth="1"/>
    <col min="14479" max="14479" width="1" style="53" customWidth="1"/>
    <col min="14480" max="14480" width="2" style="53" customWidth="1"/>
    <col min="14481" max="14481" width="6.42578125" style="53" customWidth="1"/>
    <col min="14482" max="14482" width="17.42578125" style="53" customWidth="1"/>
    <col min="14483" max="14483" width="12.28515625" style="53" customWidth="1"/>
    <col min="14484" max="14592" width="10" style="53"/>
    <col min="14593" max="14593" width="1.85546875" style="53" customWidth="1"/>
    <col min="14594" max="14595" width="1" style="53" customWidth="1"/>
    <col min="14596" max="14596" width="34" style="53" customWidth="1"/>
    <col min="14597" max="14598" width="1" style="53" customWidth="1"/>
    <col min="14599" max="14599" width="17.85546875" style="53" customWidth="1"/>
    <col min="14600" max="14601" width="1" style="53" customWidth="1"/>
    <col min="14602" max="14606" width="0" style="53" hidden="1" customWidth="1"/>
    <col min="14607" max="14608" width="1" style="53" customWidth="1"/>
    <col min="14609" max="14609" width="17.85546875" style="53" customWidth="1"/>
    <col min="14610" max="14611" width="1" style="53" customWidth="1"/>
    <col min="14612" max="14661" width="0" style="53" hidden="1" customWidth="1"/>
    <col min="14662" max="14663" width="1" style="53" customWidth="1"/>
    <col min="14664" max="14664" width="17.85546875" style="53" customWidth="1"/>
    <col min="14665" max="14668" width="1" style="53" customWidth="1"/>
    <col min="14669" max="14669" width="17.85546875" style="53" customWidth="1"/>
    <col min="14670" max="14671" width="1" style="53" customWidth="1"/>
    <col min="14672" max="14676" width="0" style="53" hidden="1" customWidth="1"/>
    <col min="14677" max="14678" width="1" style="53" customWidth="1"/>
    <col min="14679" max="14679" width="17.85546875" style="53" customWidth="1"/>
    <col min="14680" max="14681" width="1" style="53" customWidth="1"/>
    <col min="14682" max="14731" width="0" style="53" hidden="1" customWidth="1"/>
    <col min="14732" max="14733" width="1" style="53" customWidth="1"/>
    <col min="14734" max="14734" width="17.85546875" style="53" customWidth="1"/>
    <col min="14735" max="14735" width="1" style="53" customWidth="1"/>
    <col min="14736" max="14736" width="2" style="53" customWidth="1"/>
    <col min="14737" max="14737" width="6.42578125" style="53" customWidth="1"/>
    <col min="14738" max="14738" width="17.42578125" style="53" customWidth="1"/>
    <col min="14739" max="14739" width="12.28515625" style="53" customWidth="1"/>
    <col min="14740" max="14848" width="10" style="53"/>
    <col min="14849" max="14849" width="1.85546875" style="53" customWidth="1"/>
    <col min="14850" max="14851" width="1" style="53" customWidth="1"/>
    <col min="14852" max="14852" width="34" style="53" customWidth="1"/>
    <col min="14853" max="14854" width="1" style="53" customWidth="1"/>
    <col min="14855" max="14855" width="17.85546875" style="53" customWidth="1"/>
    <col min="14856" max="14857" width="1" style="53" customWidth="1"/>
    <col min="14858" max="14862" width="0" style="53" hidden="1" customWidth="1"/>
    <col min="14863" max="14864" width="1" style="53" customWidth="1"/>
    <col min="14865" max="14865" width="17.85546875" style="53" customWidth="1"/>
    <col min="14866" max="14867" width="1" style="53" customWidth="1"/>
    <col min="14868" max="14917" width="0" style="53" hidden="1" customWidth="1"/>
    <col min="14918" max="14919" width="1" style="53" customWidth="1"/>
    <col min="14920" max="14920" width="17.85546875" style="53" customWidth="1"/>
    <col min="14921" max="14924" width="1" style="53" customWidth="1"/>
    <col min="14925" max="14925" width="17.85546875" style="53" customWidth="1"/>
    <col min="14926" max="14927" width="1" style="53" customWidth="1"/>
    <col min="14928" max="14932" width="0" style="53" hidden="1" customWidth="1"/>
    <col min="14933" max="14934" width="1" style="53" customWidth="1"/>
    <col min="14935" max="14935" width="17.85546875" style="53" customWidth="1"/>
    <col min="14936" max="14937" width="1" style="53" customWidth="1"/>
    <col min="14938" max="14987" width="0" style="53" hidden="1" customWidth="1"/>
    <col min="14988" max="14989" width="1" style="53" customWidth="1"/>
    <col min="14990" max="14990" width="17.85546875" style="53" customWidth="1"/>
    <col min="14991" max="14991" width="1" style="53" customWidth="1"/>
    <col min="14992" max="14992" width="2" style="53" customWidth="1"/>
    <col min="14993" max="14993" width="6.42578125" style="53" customWidth="1"/>
    <col min="14994" max="14994" width="17.42578125" style="53" customWidth="1"/>
    <col min="14995" max="14995" width="12.28515625" style="53" customWidth="1"/>
    <col min="14996" max="15104" width="10" style="53"/>
    <col min="15105" max="15105" width="1.85546875" style="53" customWidth="1"/>
    <col min="15106" max="15107" width="1" style="53" customWidth="1"/>
    <col min="15108" max="15108" width="34" style="53" customWidth="1"/>
    <col min="15109" max="15110" width="1" style="53" customWidth="1"/>
    <col min="15111" max="15111" width="17.85546875" style="53" customWidth="1"/>
    <col min="15112" max="15113" width="1" style="53" customWidth="1"/>
    <col min="15114" max="15118" width="0" style="53" hidden="1" customWidth="1"/>
    <col min="15119" max="15120" width="1" style="53" customWidth="1"/>
    <col min="15121" max="15121" width="17.85546875" style="53" customWidth="1"/>
    <col min="15122" max="15123" width="1" style="53" customWidth="1"/>
    <col min="15124" max="15173" width="0" style="53" hidden="1" customWidth="1"/>
    <col min="15174" max="15175" width="1" style="53" customWidth="1"/>
    <col min="15176" max="15176" width="17.85546875" style="53" customWidth="1"/>
    <col min="15177" max="15180" width="1" style="53" customWidth="1"/>
    <col min="15181" max="15181" width="17.85546875" style="53" customWidth="1"/>
    <col min="15182" max="15183" width="1" style="53" customWidth="1"/>
    <col min="15184" max="15188" width="0" style="53" hidden="1" customWidth="1"/>
    <col min="15189" max="15190" width="1" style="53" customWidth="1"/>
    <col min="15191" max="15191" width="17.85546875" style="53" customWidth="1"/>
    <col min="15192" max="15193" width="1" style="53" customWidth="1"/>
    <col min="15194" max="15243" width="0" style="53" hidden="1" customWidth="1"/>
    <col min="15244" max="15245" width="1" style="53" customWidth="1"/>
    <col min="15246" max="15246" width="17.85546875" style="53" customWidth="1"/>
    <col min="15247" max="15247" width="1" style="53" customWidth="1"/>
    <col min="15248" max="15248" width="2" style="53" customWidth="1"/>
    <col min="15249" max="15249" width="6.42578125" style="53" customWidth="1"/>
    <col min="15250" max="15250" width="17.42578125" style="53" customWidth="1"/>
    <col min="15251" max="15251" width="12.28515625" style="53" customWidth="1"/>
    <col min="15252" max="15360" width="10" style="53"/>
    <col min="15361" max="15361" width="1.85546875" style="53" customWidth="1"/>
    <col min="15362" max="15363" width="1" style="53" customWidth="1"/>
    <col min="15364" max="15364" width="34" style="53" customWidth="1"/>
    <col min="15365" max="15366" width="1" style="53" customWidth="1"/>
    <col min="15367" max="15367" width="17.85546875" style="53" customWidth="1"/>
    <col min="15368" max="15369" width="1" style="53" customWidth="1"/>
    <col min="15370" max="15374" width="0" style="53" hidden="1" customWidth="1"/>
    <col min="15375" max="15376" width="1" style="53" customWidth="1"/>
    <col min="15377" max="15377" width="17.85546875" style="53" customWidth="1"/>
    <col min="15378" max="15379" width="1" style="53" customWidth="1"/>
    <col min="15380" max="15429" width="0" style="53" hidden="1" customWidth="1"/>
    <col min="15430" max="15431" width="1" style="53" customWidth="1"/>
    <col min="15432" max="15432" width="17.85546875" style="53" customWidth="1"/>
    <col min="15433" max="15436" width="1" style="53" customWidth="1"/>
    <col min="15437" max="15437" width="17.85546875" style="53" customWidth="1"/>
    <col min="15438" max="15439" width="1" style="53" customWidth="1"/>
    <col min="15440" max="15444" width="0" style="53" hidden="1" customWidth="1"/>
    <col min="15445" max="15446" width="1" style="53" customWidth="1"/>
    <col min="15447" max="15447" width="17.85546875" style="53" customWidth="1"/>
    <col min="15448" max="15449" width="1" style="53" customWidth="1"/>
    <col min="15450" max="15499" width="0" style="53" hidden="1" customWidth="1"/>
    <col min="15500" max="15501" width="1" style="53" customWidth="1"/>
    <col min="15502" max="15502" width="17.85546875" style="53" customWidth="1"/>
    <col min="15503" max="15503" width="1" style="53" customWidth="1"/>
    <col min="15504" max="15504" width="2" style="53" customWidth="1"/>
    <col min="15505" max="15505" width="6.42578125" style="53" customWidth="1"/>
    <col min="15506" max="15506" width="17.42578125" style="53" customWidth="1"/>
    <col min="15507" max="15507" width="12.28515625" style="53" customWidth="1"/>
    <col min="15508" max="15616" width="10" style="53"/>
    <col min="15617" max="15617" width="1.85546875" style="53" customWidth="1"/>
    <col min="15618" max="15619" width="1" style="53" customWidth="1"/>
    <col min="15620" max="15620" width="34" style="53" customWidth="1"/>
    <col min="15621" max="15622" width="1" style="53" customWidth="1"/>
    <col min="15623" max="15623" width="17.85546875" style="53" customWidth="1"/>
    <col min="15624" max="15625" width="1" style="53" customWidth="1"/>
    <col min="15626" max="15630" width="0" style="53" hidden="1" customWidth="1"/>
    <col min="15631" max="15632" width="1" style="53" customWidth="1"/>
    <col min="15633" max="15633" width="17.85546875" style="53" customWidth="1"/>
    <col min="15634" max="15635" width="1" style="53" customWidth="1"/>
    <col min="15636" max="15685" width="0" style="53" hidden="1" customWidth="1"/>
    <col min="15686" max="15687" width="1" style="53" customWidth="1"/>
    <col min="15688" max="15688" width="17.85546875" style="53" customWidth="1"/>
    <col min="15689" max="15692" width="1" style="53" customWidth="1"/>
    <col min="15693" max="15693" width="17.85546875" style="53" customWidth="1"/>
    <col min="15694" max="15695" width="1" style="53" customWidth="1"/>
    <col min="15696" max="15700" width="0" style="53" hidden="1" customWidth="1"/>
    <col min="15701" max="15702" width="1" style="53" customWidth="1"/>
    <col min="15703" max="15703" width="17.85546875" style="53" customWidth="1"/>
    <col min="15704" max="15705" width="1" style="53" customWidth="1"/>
    <col min="15706" max="15755" width="0" style="53" hidden="1" customWidth="1"/>
    <col min="15756" max="15757" width="1" style="53" customWidth="1"/>
    <col min="15758" max="15758" width="17.85546875" style="53" customWidth="1"/>
    <col min="15759" max="15759" width="1" style="53" customWidth="1"/>
    <col min="15760" max="15760" width="2" style="53" customWidth="1"/>
    <col min="15761" max="15761" width="6.42578125" style="53" customWidth="1"/>
    <col min="15762" max="15762" width="17.42578125" style="53" customWidth="1"/>
    <col min="15763" max="15763" width="12.28515625" style="53" customWidth="1"/>
    <col min="15764" max="15872" width="10" style="53"/>
    <col min="15873" max="15873" width="1.85546875" style="53" customWidth="1"/>
    <col min="15874" max="15875" width="1" style="53" customWidth="1"/>
    <col min="15876" max="15876" width="34" style="53" customWidth="1"/>
    <col min="15877" max="15878" width="1" style="53" customWidth="1"/>
    <col min="15879" max="15879" width="17.85546875" style="53" customWidth="1"/>
    <col min="15880" max="15881" width="1" style="53" customWidth="1"/>
    <col min="15882" max="15886" width="0" style="53" hidden="1" customWidth="1"/>
    <col min="15887" max="15888" width="1" style="53" customWidth="1"/>
    <col min="15889" max="15889" width="17.85546875" style="53" customWidth="1"/>
    <col min="15890" max="15891" width="1" style="53" customWidth="1"/>
    <col min="15892" max="15941" width="0" style="53" hidden="1" customWidth="1"/>
    <col min="15942" max="15943" width="1" style="53" customWidth="1"/>
    <col min="15944" max="15944" width="17.85546875" style="53" customWidth="1"/>
    <col min="15945" max="15948" width="1" style="53" customWidth="1"/>
    <col min="15949" max="15949" width="17.85546875" style="53" customWidth="1"/>
    <col min="15950" max="15951" width="1" style="53" customWidth="1"/>
    <col min="15952" max="15956" width="0" style="53" hidden="1" customWidth="1"/>
    <col min="15957" max="15958" width="1" style="53" customWidth="1"/>
    <col min="15959" max="15959" width="17.85546875" style="53" customWidth="1"/>
    <col min="15960" max="15961" width="1" style="53" customWidth="1"/>
    <col min="15962" max="16011" width="0" style="53" hidden="1" customWidth="1"/>
    <col min="16012" max="16013" width="1" style="53" customWidth="1"/>
    <col min="16014" max="16014" width="17.85546875" style="53" customWidth="1"/>
    <col min="16015" max="16015" width="1" style="53" customWidth="1"/>
    <col min="16016" max="16016" width="2" style="53" customWidth="1"/>
    <col min="16017" max="16017" width="6.42578125" style="53" customWidth="1"/>
    <col min="16018" max="16018" width="17.42578125" style="53" customWidth="1"/>
    <col min="16019" max="16019" width="12.28515625" style="53" customWidth="1"/>
    <col min="16020" max="16128" width="10" style="53"/>
    <col min="16129" max="16129" width="1.85546875" style="53" customWidth="1"/>
    <col min="16130" max="16131" width="1" style="53" customWidth="1"/>
    <col min="16132" max="16132" width="34" style="53" customWidth="1"/>
    <col min="16133" max="16134" width="1" style="53" customWidth="1"/>
    <col min="16135" max="16135" width="17.85546875" style="53" customWidth="1"/>
    <col min="16136" max="16137" width="1" style="53" customWidth="1"/>
    <col min="16138" max="16142" width="0" style="53" hidden="1" customWidth="1"/>
    <col min="16143" max="16144" width="1" style="53" customWidth="1"/>
    <col min="16145" max="16145" width="17.85546875" style="53" customWidth="1"/>
    <col min="16146" max="16147" width="1" style="53" customWidth="1"/>
    <col min="16148" max="16197" width="0" style="53" hidden="1" customWidth="1"/>
    <col min="16198" max="16199" width="1" style="53" customWidth="1"/>
    <col min="16200" max="16200" width="17.85546875" style="53" customWidth="1"/>
    <col min="16201" max="16204" width="1" style="53" customWidth="1"/>
    <col min="16205" max="16205" width="17.85546875" style="53" customWidth="1"/>
    <col min="16206" max="16207" width="1" style="53" customWidth="1"/>
    <col min="16208" max="16212" width="0" style="53" hidden="1" customWidth="1"/>
    <col min="16213" max="16214" width="1" style="53" customWidth="1"/>
    <col min="16215" max="16215" width="17.85546875" style="53" customWidth="1"/>
    <col min="16216" max="16217" width="1" style="53" customWidth="1"/>
    <col min="16218" max="16267" width="0" style="53" hidden="1" customWidth="1"/>
    <col min="16268" max="16269" width="1" style="53" customWidth="1"/>
    <col min="16270" max="16270" width="17.85546875" style="53" customWidth="1"/>
    <col min="16271" max="16271" width="1" style="53" customWidth="1"/>
    <col min="16272" max="16272" width="2" style="53" customWidth="1"/>
    <col min="16273" max="16273" width="6.42578125" style="53" customWidth="1"/>
    <col min="16274" max="16274" width="17.42578125" style="53" customWidth="1"/>
    <col min="16275" max="16275" width="12.28515625" style="53" customWidth="1"/>
    <col min="16276" max="16384" width="10" style="53"/>
  </cols>
  <sheetData>
    <row r="1" spans="1:147" x14ac:dyDescent="0.2"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>
        <f>1770000000+11234076861+1105000000</f>
        <v>14109076861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</row>
    <row r="2" spans="1:147" ht="5.25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</row>
    <row r="3" spans="1:147" x14ac:dyDescent="0.2">
      <c r="A3" s="442"/>
      <c r="B3" s="442"/>
      <c r="D3" s="442"/>
      <c r="EM3" s="442"/>
      <c r="EN3" s="442"/>
    </row>
    <row r="4" spans="1:147" x14ac:dyDescent="0.2">
      <c r="A4" s="442"/>
      <c r="B4" s="442"/>
      <c r="D4" s="472"/>
      <c r="E4" s="472"/>
      <c r="F4" s="472"/>
      <c r="EM4" s="442"/>
      <c r="EN4" s="442"/>
    </row>
    <row r="5" spans="1:147" x14ac:dyDescent="0.2">
      <c r="A5" s="442"/>
      <c r="B5" s="442"/>
      <c r="EM5" s="442"/>
      <c r="EN5" s="442"/>
    </row>
    <row r="6" spans="1:147" x14ac:dyDescent="0.2">
      <c r="A6" s="442"/>
      <c r="B6" s="442"/>
      <c r="EM6" s="442"/>
      <c r="EN6" s="442"/>
    </row>
    <row r="7" spans="1:147" ht="15.75" x14ac:dyDescent="0.25">
      <c r="A7" s="442"/>
      <c r="B7" s="442"/>
      <c r="D7" s="592" t="s">
        <v>409</v>
      </c>
      <c r="E7" s="532"/>
      <c r="F7" s="532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/>
      <c r="DL7" s="445"/>
      <c r="DM7" s="445"/>
      <c r="DN7" s="445"/>
      <c r="DO7" s="445"/>
      <c r="DP7" s="445"/>
      <c r="DQ7" s="445"/>
      <c r="DR7" s="445"/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/>
      <c r="EF7" s="445"/>
      <c r="EG7" s="445"/>
      <c r="EH7" s="445"/>
      <c r="EI7" s="445"/>
      <c r="EJ7" s="445"/>
      <c r="EK7" s="445"/>
      <c r="EL7" s="445"/>
      <c r="EM7" s="445"/>
      <c r="EN7" s="445"/>
      <c r="EO7" s="442"/>
    </row>
    <row r="8" spans="1:147" ht="15" customHeight="1" x14ac:dyDescent="0.2">
      <c r="A8" s="442"/>
      <c r="B8" s="442"/>
      <c r="D8" s="446"/>
      <c r="E8" s="488"/>
      <c r="F8" s="491"/>
      <c r="G8" s="593" t="str">
        <f>[12]summary!H8</f>
        <v>2020/21</v>
      </c>
      <c r="H8" s="593"/>
      <c r="I8" s="593"/>
      <c r="J8" s="593"/>
      <c r="K8" s="593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594"/>
      <c r="AF8" s="594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594"/>
      <c r="AS8" s="594"/>
      <c r="AT8" s="594"/>
      <c r="AU8" s="594"/>
      <c r="AV8" s="594"/>
      <c r="AW8" s="594"/>
      <c r="AX8" s="594"/>
      <c r="AY8" s="594"/>
      <c r="AZ8" s="594"/>
      <c r="BA8" s="594"/>
      <c r="BB8" s="594"/>
      <c r="BC8" s="594"/>
      <c r="BD8" s="594"/>
      <c r="BE8" s="594"/>
      <c r="BF8" s="594"/>
      <c r="BG8" s="594"/>
      <c r="BH8" s="594"/>
      <c r="BI8" s="594"/>
      <c r="BJ8" s="594"/>
      <c r="BK8" s="594"/>
      <c r="BL8" s="594"/>
      <c r="BM8" s="594"/>
      <c r="BN8" s="594"/>
      <c r="BO8" s="594"/>
      <c r="BP8" s="594"/>
      <c r="BQ8" s="594"/>
      <c r="BR8" s="594"/>
      <c r="BS8" s="594"/>
      <c r="BT8" s="594"/>
      <c r="BU8" s="580"/>
      <c r="BV8" s="580"/>
      <c r="BW8" s="38"/>
      <c r="BX8" s="580"/>
      <c r="BY8" s="593" t="str">
        <f>[12]summary!BZ8</f>
        <v>2019/20</v>
      </c>
      <c r="BZ8" s="593"/>
      <c r="CA8" s="593"/>
      <c r="CB8" s="593"/>
      <c r="CC8" s="593"/>
      <c r="CD8" s="594"/>
      <c r="CE8" s="594"/>
      <c r="CF8" s="594"/>
      <c r="CG8" s="594"/>
      <c r="CH8" s="594"/>
      <c r="CI8" s="594"/>
      <c r="CJ8" s="594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594"/>
      <c r="CV8" s="594"/>
      <c r="CW8" s="594"/>
      <c r="CX8" s="594"/>
      <c r="CY8" s="594"/>
      <c r="CZ8" s="594"/>
      <c r="DA8" s="594"/>
      <c r="DB8" s="594"/>
      <c r="DC8" s="594"/>
      <c r="DD8" s="594"/>
      <c r="DE8" s="594"/>
      <c r="DF8" s="594"/>
      <c r="DG8" s="594"/>
      <c r="DH8" s="594"/>
      <c r="DI8" s="594"/>
      <c r="DJ8" s="594"/>
      <c r="DK8" s="594"/>
      <c r="DL8" s="594"/>
      <c r="DM8" s="594"/>
      <c r="DN8" s="594"/>
      <c r="DO8" s="594"/>
      <c r="DP8" s="594"/>
      <c r="DQ8" s="594"/>
      <c r="DR8" s="594"/>
      <c r="DS8" s="594"/>
      <c r="DT8" s="594"/>
      <c r="DU8" s="594"/>
      <c r="DV8" s="594"/>
      <c r="DW8" s="594"/>
      <c r="DX8" s="594"/>
      <c r="DY8" s="594"/>
      <c r="DZ8" s="594"/>
      <c r="EA8" s="594"/>
      <c r="EB8" s="594"/>
      <c r="EC8" s="594"/>
      <c r="ED8" s="594"/>
      <c r="EE8" s="594"/>
      <c r="EF8" s="594"/>
      <c r="EG8" s="594"/>
      <c r="EH8" s="594"/>
      <c r="EI8" s="594"/>
      <c r="EJ8" s="594"/>
      <c r="EK8" s="594"/>
      <c r="EL8" s="594"/>
      <c r="EM8" s="491"/>
      <c r="EN8" s="491"/>
      <c r="EO8" s="455"/>
    </row>
    <row r="9" spans="1:147" ht="18" customHeight="1" x14ac:dyDescent="0.2">
      <c r="A9" s="442"/>
      <c r="B9" s="442"/>
      <c r="D9" s="455"/>
      <c r="E9" s="465"/>
      <c r="F9" s="442"/>
      <c r="G9" s="158" t="str">
        <f>[12]domlongtermissues!G9</f>
        <v>Budget</v>
      </c>
      <c r="H9" s="158"/>
      <c r="I9" s="158"/>
      <c r="J9" s="177"/>
      <c r="K9" s="158"/>
      <c r="L9" s="158" t="s">
        <v>6</v>
      </c>
      <c r="M9" s="158"/>
      <c r="N9" s="158"/>
      <c r="O9" s="177"/>
      <c r="P9" s="158"/>
      <c r="Q9" s="158" t="s">
        <v>7</v>
      </c>
      <c r="R9" s="158"/>
      <c r="S9" s="158"/>
      <c r="T9" s="177"/>
      <c r="U9" s="158"/>
      <c r="V9" s="158" t="s">
        <v>8</v>
      </c>
      <c r="W9" s="158"/>
      <c r="X9" s="158"/>
      <c r="Y9" s="177"/>
      <c r="Z9" s="158"/>
      <c r="AA9" s="158" t="s">
        <v>9</v>
      </c>
      <c r="AB9" s="158"/>
      <c r="AC9" s="158"/>
      <c r="AD9" s="177"/>
      <c r="AE9" s="158"/>
      <c r="AF9" s="158" t="s">
        <v>10</v>
      </c>
      <c r="AG9" s="158"/>
      <c r="AH9" s="158"/>
      <c r="AI9" s="177"/>
      <c r="AJ9" s="158"/>
      <c r="AK9" s="158" t="s">
        <v>11</v>
      </c>
      <c r="AL9" s="158"/>
      <c r="AM9" s="158"/>
      <c r="AN9" s="177"/>
      <c r="AO9" s="158"/>
      <c r="AP9" s="158" t="s">
        <v>12</v>
      </c>
      <c r="AQ9" s="158"/>
      <c r="AR9" s="158"/>
      <c r="AS9" s="177"/>
      <c r="AT9" s="158"/>
      <c r="AU9" s="158" t="s">
        <v>13</v>
      </c>
      <c r="AV9" s="158"/>
      <c r="AW9" s="158"/>
      <c r="AX9" s="177"/>
      <c r="AY9" s="158"/>
      <c r="AZ9" s="158" t="s">
        <v>14</v>
      </c>
      <c r="BA9" s="158"/>
      <c r="BB9" s="158"/>
      <c r="BC9" s="177"/>
      <c r="BD9" s="158"/>
      <c r="BE9" s="158" t="s">
        <v>15</v>
      </c>
      <c r="BF9" s="158"/>
      <c r="BG9" s="158"/>
      <c r="BH9" s="177"/>
      <c r="BI9" s="158"/>
      <c r="BJ9" s="158" t="s">
        <v>16</v>
      </c>
      <c r="BK9" s="158"/>
      <c r="BL9" s="158"/>
      <c r="BM9" s="177"/>
      <c r="BN9" s="158"/>
      <c r="BO9" s="158" t="s">
        <v>17</v>
      </c>
      <c r="BP9" s="158"/>
      <c r="BQ9" s="158"/>
      <c r="BR9" s="177"/>
      <c r="BS9" s="158"/>
      <c r="BT9" s="158" t="s">
        <v>18</v>
      </c>
      <c r="BU9" s="158"/>
      <c r="BV9" s="158"/>
      <c r="BW9" s="201"/>
      <c r="BX9" s="158"/>
      <c r="BY9" s="176" t="str">
        <f>[12]domlongtermissues!BY9</f>
        <v>Preliminary</v>
      </c>
      <c r="BZ9" s="158"/>
      <c r="CA9" s="158"/>
      <c r="CB9" s="177"/>
      <c r="CC9" s="158"/>
      <c r="CD9" s="158" t="s">
        <v>6</v>
      </c>
      <c r="CE9" s="158"/>
      <c r="CF9" s="158"/>
      <c r="CG9" s="177"/>
      <c r="CH9" s="158"/>
      <c r="CI9" s="158" t="s">
        <v>7</v>
      </c>
      <c r="CJ9" s="158"/>
      <c r="CK9" s="158"/>
      <c r="CL9" s="177"/>
      <c r="CM9" s="158"/>
      <c r="CN9" s="158" t="s">
        <v>8</v>
      </c>
      <c r="CO9" s="158"/>
      <c r="CP9" s="158"/>
      <c r="CQ9" s="177"/>
      <c r="CR9" s="158"/>
      <c r="CS9" s="158" t="s">
        <v>9</v>
      </c>
      <c r="CT9" s="158"/>
      <c r="CU9" s="158"/>
      <c r="CV9" s="177"/>
      <c r="CW9" s="158"/>
      <c r="CX9" s="158" t="s">
        <v>10</v>
      </c>
      <c r="CY9" s="158"/>
      <c r="CZ9" s="158"/>
      <c r="DA9" s="177"/>
      <c r="DB9" s="158"/>
      <c r="DC9" s="158" t="s">
        <v>11</v>
      </c>
      <c r="DD9" s="158"/>
      <c r="DE9" s="158"/>
      <c r="DF9" s="177"/>
      <c r="DG9" s="158"/>
      <c r="DH9" s="158" t="s">
        <v>12</v>
      </c>
      <c r="DI9" s="158"/>
      <c r="DJ9" s="158"/>
      <c r="DK9" s="177"/>
      <c r="DL9" s="158"/>
      <c r="DM9" s="158" t="s">
        <v>13</v>
      </c>
      <c r="DN9" s="158"/>
      <c r="DO9" s="158"/>
      <c r="DP9" s="177"/>
      <c r="DQ9" s="158"/>
      <c r="DR9" s="158" t="s">
        <v>14</v>
      </c>
      <c r="DS9" s="158"/>
      <c r="DT9" s="158"/>
      <c r="DU9" s="177"/>
      <c r="DV9" s="158"/>
      <c r="DW9" s="158" t="s">
        <v>15</v>
      </c>
      <c r="DX9" s="158"/>
      <c r="DY9" s="158"/>
      <c r="DZ9" s="177"/>
      <c r="EA9" s="158"/>
      <c r="EB9" s="158" t="s">
        <v>16</v>
      </c>
      <c r="EC9" s="158"/>
      <c r="ED9" s="158"/>
      <c r="EE9" s="177"/>
      <c r="EF9" s="158"/>
      <c r="EG9" s="158" t="s">
        <v>17</v>
      </c>
      <c r="EH9" s="158"/>
      <c r="EI9" s="158"/>
      <c r="EJ9" s="177"/>
      <c r="EK9" s="158"/>
      <c r="EL9" s="158" t="s">
        <v>18</v>
      </c>
      <c r="EM9" s="442"/>
      <c r="EN9" s="442"/>
      <c r="EO9" s="455"/>
    </row>
    <row r="10" spans="1:147" x14ac:dyDescent="0.2">
      <c r="A10" s="442"/>
      <c r="B10" s="442"/>
      <c r="D10" s="458" t="s">
        <v>20</v>
      </c>
      <c r="E10" s="540"/>
      <c r="F10" s="541"/>
      <c r="G10" s="242" t="s">
        <v>22</v>
      </c>
      <c r="H10" s="242"/>
      <c r="I10" s="242"/>
      <c r="J10" s="460"/>
      <c r="K10" s="242"/>
      <c r="L10" s="242"/>
      <c r="M10" s="242"/>
      <c r="N10" s="242"/>
      <c r="O10" s="460"/>
      <c r="P10" s="242"/>
      <c r="Q10" s="242"/>
      <c r="R10" s="242"/>
      <c r="S10" s="242"/>
      <c r="T10" s="460"/>
      <c r="U10" s="242"/>
      <c r="V10" s="242"/>
      <c r="W10" s="242"/>
      <c r="X10" s="242"/>
      <c r="Y10" s="460"/>
      <c r="Z10" s="242"/>
      <c r="AA10" s="242"/>
      <c r="AB10" s="242"/>
      <c r="AC10" s="242"/>
      <c r="AD10" s="460"/>
      <c r="AE10" s="242"/>
      <c r="AF10" s="242"/>
      <c r="AG10" s="242"/>
      <c r="AH10" s="242"/>
      <c r="AI10" s="460"/>
      <c r="AJ10" s="242"/>
      <c r="AK10" s="242"/>
      <c r="AL10" s="242"/>
      <c r="AM10" s="242"/>
      <c r="AN10" s="460"/>
      <c r="AO10" s="242"/>
      <c r="AP10" s="242"/>
      <c r="AQ10" s="242"/>
      <c r="AR10" s="242"/>
      <c r="AS10" s="460"/>
      <c r="AT10" s="242"/>
      <c r="AU10" s="242"/>
      <c r="AV10" s="242"/>
      <c r="AW10" s="242"/>
      <c r="AX10" s="460"/>
      <c r="AY10" s="242"/>
      <c r="AZ10" s="242"/>
      <c r="BA10" s="242"/>
      <c r="BB10" s="242"/>
      <c r="BC10" s="460"/>
      <c r="BD10" s="242"/>
      <c r="BE10" s="242"/>
      <c r="BF10" s="242"/>
      <c r="BG10" s="242"/>
      <c r="BH10" s="460"/>
      <c r="BI10" s="242"/>
      <c r="BJ10" s="242"/>
      <c r="BK10" s="242"/>
      <c r="BL10" s="242"/>
      <c r="BM10" s="460"/>
      <c r="BN10" s="242"/>
      <c r="BO10" s="242"/>
      <c r="BP10" s="242"/>
      <c r="BQ10" s="242"/>
      <c r="BR10" s="460"/>
      <c r="BS10" s="242"/>
      <c r="BT10" s="242"/>
      <c r="BU10" s="242"/>
      <c r="BV10" s="242"/>
      <c r="BW10" s="460"/>
      <c r="BX10" s="242"/>
      <c r="BY10" s="242" t="s">
        <v>23</v>
      </c>
      <c r="BZ10" s="242"/>
      <c r="CA10" s="242"/>
      <c r="CB10" s="460"/>
      <c r="CC10" s="242"/>
      <c r="CD10" s="242"/>
      <c r="CE10" s="242"/>
      <c r="CF10" s="242"/>
      <c r="CG10" s="460"/>
      <c r="CH10" s="242"/>
      <c r="CI10" s="242"/>
      <c r="CJ10" s="242"/>
      <c r="CK10" s="242"/>
      <c r="CL10" s="460"/>
      <c r="CM10" s="242"/>
      <c r="CN10" s="242"/>
      <c r="CO10" s="242"/>
      <c r="CP10" s="242"/>
      <c r="CQ10" s="460"/>
      <c r="CR10" s="242"/>
      <c r="CS10" s="242"/>
      <c r="CT10" s="242"/>
      <c r="CU10" s="242"/>
      <c r="CV10" s="460"/>
      <c r="CW10" s="242"/>
      <c r="CX10" s="242"/>
      <c r="CY10" s="242"/>
      <c r="CZ10" s="242"/>
      <c r="DA10" s="460"/>
      <c r="DB10" s="242"/>
      <c r="DC10" s="242"/>
      <c r="DD10" s="242"/>
      <c r="DE10" s="242"/>
      <c r="DF10" s="460"/>
      <c r="DG10" s="242"/>
      <c r="DH10" s="242"/>
      <c r="DI10" s="242"/>
      <c r="DJ10" s="242"/>
      <c r="DK10" s="460"/>
      <c r="DL10" s="242"/>
      <c r="DM10" s="242"/>
      <c r="DN10" s="242"/>
      <c r="DO10" s="242"/>
      <c r="DP10" s="460"/>
      <c r="DQ10" s="242"/>
      <c r="DR10" s="242"/>
      <c r="DS10" s="242"/>
      <c r="DT10" s="242"/>
      <c r="DU10" s="460"/>
      <c r="DV10" s="242"/>
      <c r="DW10" s="242"/>
      <c r="DX10" s="242"/>
      <c r="DY10" s="242"/>
      <c r="DZ10" s="460"/>
      <c r="EA10" s="242"/>
      <c r="EB10" s="242"/>
      <c r="EC10" s="242"/>
      <c r="ED10" s="242"/>
      <c r="EE10" s="460"/>
      <c r="EF10" s="242"/>
      <c r="EG10" s="242"/>
      <c r="EH10" s="242"/>
      <c r="EI10" s="242"/>
      <c r="EJ10" s="460"/>
      <c r="EK10" s="242"/>
      <c r="EL10" s="242"/>
      <c r="EM10" s="491"/>
      <c r="EN10" s="491"/>
      <c r="EO10" s="455"/>
    </row>
    <row r="11" spans="1:147" x14ac:dyDescent="0.2">
      <c r="A11" s="442"/>
      <c r="B11" s="442"/>
      <c r="D11" s="543"/>
      <c r="E11" s="492"/>
      <c r="F11" s="493"/>
      <c r="G11" s="493"/>
      <c r="H11" s="493"/>
      <c r="I11" s="493"/>
      <c r="J11" s="492"/>
      <c r="K11" s="493"/>
      <c r="L11" s="493"/>
      <c r="M11" s="493"/>
      <c r="N11" s="493"/>
      <c r="O11" s="492"/>
      <c r="P11" s="493"/>
      <c r="Q11" s="493"/>
      <c r="R11" s="493"/>
      <c r="S11" s="493"/>
      <c r="T11" s="492"/>
      <c r="U11" s="493"/>
      <c r="V11" s="493"/>
      <c r="W11" s="493"/>
      <c r="X11" s="493"/>
      <c r="Y11" s="492"/>
      <c r="Z11" s="493"/>
      <c r="AA11" s="493"/>
      <c r="AB11" s="493"/>
      <c r="AC11" s="493"/>
      <c r="AD11" s="492"/>
      <c r="AE11" s="493"/>
      <c r="AF11" s="493"/>
      <c r="AG11" s="493"/>
      <c r="AH11" s="493"/>
      <c r="AI11" s="492"/>
      <c r="AJ11" s="493"/>
      <c r="AK11" s="493"/>
      <c r="AL11" s="493"/>
      <c r="AM11" s="493"/>
      <c r="AN11" s="492"/>
      <c r="AO11" s="493"/>
      <c r="AP11" s="493"/>
      <c r="AQ11" s="493"/>
      <c r="AR11" s="493"/>
      <c r="AS11" s="492"/>
      <c r="AT11" s="493"/>
      <c r="AU11" s="493"/>
      <c r="AV11" s="493"/>
      <c r="AW11" s="493"/>
      <c r="AX11" s="492"/>
      <c r="AY11" s="493"/>
      <c r="AZ11" s="493"/>
      <c r="BA11" s="493"/>
      <c r="BB11" s="493"/>
      <c r="BC11" s="492"/>
      <c r="BD11" s="493"/>
      <c r="BE11" s="493"/>
      <c r="BF11" s="493"/>
      <c r="BG11" s="493"/>
      <c r="BH11" s="492"/>
      <c r="BI11" s="493"/>
      <c r="BJ11" s="493"/>
      <c r="BK11" s="493"/>
      <c r="BL11" s="493"/>
      <c r="BM11" s="492"/>
      <c r="BN11" s="493"/>
      <c r="BO11" s="493"/>
      <c r="BP11" s="493"/>
      <c r="BQ11" s="493"/>
      <c r="BR11" s="492"/>
      <c r="BS11" s="493"/>
      <c r="BT11" s="442"/>
      <c r="BU11" s="442"/>
      <c r="BV11" s="442"/>
      <c r="BW11" s="465"/>
      <c r="BX11" s="442"/>
      <c r="BY11" s="493"/>
      <c r="BZ11" s="493"/>
      <c r="CA11" s="493"/>
      <c r="CB11" s="492"/>
      <c r="CC11" s="493"/>
      <c r="CD11" s="493"/>
      <c r="CE11" s="493"/>
      <c r="CF11" s="493"/>
      <c r="CG11" s="492"/>
      <c r="CH11" s="493"/>
      <c r="CI11" s="493"/>
      <c r="CJ11" s="493"/>
      <c r="CK11" s="493"/>
      <c r="CL11" s="492"/>
      <c r="CM11" s="493"/>
      <c r="CN11" s="493"/>
      <c r="CO11" s="493"/>
      <c r="CP11" s="493"/>
      <c r="CQ11" s="492"/>
      <c r="CR11" s="493"/>
      <c r="CS11" s="493"/>
      <c r="CT11" s="493"/>
      <c r="CU11" s="493"/>
      <c r="CV11" s="492"/>
      <c r="CW11" s="493"/>
      <c r="CX11" s="493"/>
      <c r="CY11" s="493"/>
      <c r="CZ11" s="493"/>
      <c r="DA11" s="492"/>
      <c r="DB11" s="493"/>
      <c r="DC11" s="493"/>
      <c r="DD11" s="493"/>
      <c r="DE11" s="493"/>
      <c r="DF11" s="492"/>
      <c r="DG11" s="493"/>
      <c r="DH11" s="493"/>
      <c r="DI11" s="493"/>
      <c r="DJ11" s="493"/>
      <c r="DK11" s="492"/>
      <c r="DL11" s="493"/>
      <c r="DM11" s="493"/>
      <c r="DN11" s="493"/>
      <c r="DO11" s="493"/>
      <c r="DP11" s="492"/>
      <c r="DQ11" s="493"/>
      <c r="DR11" s="493"/>
      <c r="DS11" s="493"/>
      <c r="DT11" s="493"/>
      <c r="DU11" s="492"/>
      <c r="DV11" s="493"/>
      <c r="DW11" s="493"/>
      <c r="DX11" s="493"/>
      <c r="DY11" s="493"/>
      <c r="DZ11" s="492"/>
      <c r="EA11" s="493"/>
      <c r="EB11" s="493"/>
      <c r="EC11" s="493"/>
      <c r="ED11" s="493"/>
      <c r="EE11" s="492"/>
      <c r="EF11" s="493"/>
      <c r="EG11" s="493"/>
      <c r="EH11" s="493"/>
      <c r="EI11" s="493"/>
      <c r="EJ11" s="492"/>
      <c r="EK11" s="493"/>
      <c r="EL11" s="442"/>
      <c r="EM11" s="442"/>
      <c r="EN11" s="442"/>
      <c r="EO11" s="455"/>
    </row>
    <row r="12" spans="1:147" s="472" customFormat="1" x14ac:dyDescent="0.2">
      <c r="A12" s="443"/>
      <c r="B12" s="443"/>
      <c r="D12" s="466" t="s">
        <v>410</v>
      </c>
      <c r="E12" s="468"/>
      <c r="F12" s="443"/>
      <c r="G12" s="74">
        <f>SUM(G13:G16)</f>
        <v>52465000</v>
      </c>
      <c r="H12" s="74"/>
      <c r="I12" s="74"/>
      <c r="J12" s="409"/>
      <c r="K12" s="74"/>
      <c r="L12" s="495">
        <f>SUM(L13:L16)</f>
        <v>1687473</v>
      </c>
      <c r="M12" s="495"/>
      <c r="N12" s="495"/>
      <c r="O12" s="494"/>
      <c r="P12" s="495"/>
      <c r="Q12" s="495">
        <f>SUM(Q13:Q16)</f>
        <v>364729</v>
      </c>
      <c r="R12" s="495"/>
      <c r="S12" s="495"/>
      <c r="T12" s="494"/>
      <c r="U12" s="495"/>
      <c r="V12" s="495">
        <f>SUM(V13:V16)</f>
        <v>0</v>
      </c>
      <c r="W12" s="495"/>
      <c r="X12" s="495"/>
      <c r="Y12" s="494"/>
      <c r="Z12" s="495"/>
      <c r="AA12" s="495">
        <f>SUM(AA13:AA16)</f>
        <v>0</v>
      </c>
      <c r="AB12" s="495"/>
      <c r="AC12" s="495"/>
      <c r="AD12" s="494"/>
      <c r="AE12" s="495"/>
      <c r="AF12" s="495">
        <f>SUM(AF13:AF16)</f>
        <v>0</v>
      </c>
      <c r="AG12" s="495"/>
      <c r="AH12" s="495"/>
      <c r="AI12" s="494"/>
      <c r="AJ12" s="495"/>
      <c r="AK12" s="495">
        <f>SUM(AK13:AK16)</f>
        <v>0</v>
      </c>
      <c r="AL12" s="495"/>
      <c r="AM12" s="495"/>
      <c r="AN12" s="494"/>
      <c r="AO12" s="495"/>
      <c r="AP12" s="495">
        <f>SUM(AP13:AP16)</f>
        <v>0</v>
      </c>
      <c r="AQ12" s="495"/>
      <c r="AR12" s="495"/>
      <c r="AS12" s="494"/>
      <c r="AT12" s="495"/>
      <c r="AU12" s="495">
        <f>SUM(AU13:AU16)</f>
        <v>0</v>
      </c>
      <c r="AV12" s="495"/>
      <c r="AW12" s="495"/>
      <c r="AX12" s="494"/>
      <c r="AY12" s="495"/>
      <c r="AZ12" s="495">
        <f>SUM(AZ13:AZ16)</f>
        <v>0</v>
      </c>
      <c r="BA12" s="495"/>
      <c r="BB12" s="495"/>
      <c r="BC12" s="494"/>
      <c r="BD12" s="495"/>
      <c r="BE12" s="495">
        <f>SUM(BE13:BE16)</f>
        <v>0</v>
      </c>
      <c r="BF12" s="495"/>
      <c r="BG12" s="495"/>
      <c r="BH12" s="494"/>
      <c r="BI12" s="495"/>
      <c r="BJ12" s="495">
        <f>SUM(BJ13:BJ16)</f>
        <v>0</v>
      </c>
      <c r="BK12" s="495"/>
      <c r="BL12" s="495"/>
      <c r="BM12" s="494"/>
      <c r="BN12" s="495"/>
      <c r="BO12" s="495">
        <f>SUM(BO13:BO16)</f>
        <v>0</v>
      </c>
      <c r="BP12" s="495"/>
      <c r="BQ12" s="495"/>
      <c r="BR12" s="494"/>
      <c r="BS12" s="495"/>
      <c r="BT12" s="495">
        <f>SUM(BT13:BT16)</f>
        <v>2052202</v>
      </c>
      <c r="BU12" s="495"/>
      <c r="BV12" s="495"/>
      <c r="BW12" s="494"/>
      <c r="BX12" s="495"/>
      <c r="BY12" s="495">
        <f>SUM(BY13:BY16)</f>
        <v>36583937</v>
      </c>
      <c r="BZ12" s="74"/>
      <c r="CA12" s="74"/>
      <c r="CB12" s="409"/>
      <c r="CC12" s="74"/>
      <c r="CD12" s="495">
        <f>SUM(CD13:CD16)</f>
        <v>3444201</v>
      </c>
      <c r="CE12" s="495"/>
      <c r="CF12" s="495"/>
      <c r="CG12" s="494"/>
      <c r="CH12" s="495"/>
      <c r="CI12" s="495">
        <f>SUM(CI13:CI16)</f>
        <v>13049394</v>
      </c>
      <c r="CJ12" s="495"/>
      <c r="CK12" s="495"/>
      <c r="CL12" s="494"/>
      <c r="CM12" s="495"/>
      <c r="CN12" s="495">
        <f>SUM(CN13:CN16)</f>
        <v>251090</v>
      </c>
      <c r="CO12" s="495"/>
      <c r="CP12" s="495"/>
      <c r="CQ12" s="494"/>
      <c r="CR12" s="495"/>
      <c r="CS12" s="495">
        <f>SUM(CS13:CS16)</f>
        <v>239599</v>
      </c>
      <c r="CT12" s="495"/>
      <c r="CU12" s="495"/>
      <c r="CV12" s="494"/>
      <c r="CW12" s="495"/>
      <c r="CX12" s="495">
        <f>SUM(CX13:CX16)</f>
        <v>606220</v>
      </c>
      <c r="CY12" s="495"/>
      <c r="CZ12" s="495"/>
      <c r="DA12" s="494"/>
      <c r="DB12" s="495"/>
      <c r="DC12" s="495">
        <f>SUM(DC13:DC16)</f>
        <v>699411</v>
      </c>
      <c r="DD12" s="495"/>
      <c r="DE12" s="495"/>
      <c r="DF12" s="494"/>
      <c r="DG12" s="495"/>
      <c r="DH12" s="495">
        <f>SUM(DH13:DH16)</f>
        <v>190972</v>
      </c>
      <c r="DI12" s="495"/>
      <c r="DJ12" s="495"/>
      <c r="DK12" s="494"/>
      <c r="DL12" s="495"/>
      <c r="DM12" s="495">
        <f>SUM(DM13:DM16)</f>
        <v>436828</v>
      </c>
      <c r="DN12" s="495"/>
      <c r="DO12" s="495"/>
      <c r="DP12" s="494"/>
      <c r="DQ12" s="495"/>
      <c r="DR12" s="495">
        <f>SUM(DR13:DR16)</f>
        <v>335951</v>
      </c>
      <c r="DS12" s="495"/>
      <c r="DT12" s="495"/>
      <c r="DU12" s="494"/>
      <c r="DV12" s="495"/>
      <c r="DW12" s="495">
        <f>SUM(DW13:DW16)</f>
        <v>16129719</v>
      </c>
      <c r="DX12" s="495"/>
      <c r="DY12" s="495"/>
      <c r="DZ12" s="494"/>
      <c r="EA12" s="495"/>
      <c r="EB12" s="495">
        <f>SUM(EB13:EB16)</f>
        <v>239823</v>
      </c>
      <c r="EC12" s="495"/>
      <c r="ED12" s="495"/>
      <c r="EE12" s="494"/>
      <c r="EF12" s="495"/>
      <c r="EG12" s="495">
        <f>SUM(EG13:EG16)</f>
        <v>960729</v>
      </c>
      <c r="EH12" s="495"/>
      <c r="EI12" s="495"/>
      <c r="EJ12" s="494"/>
      <c r="EK12" s="495"/>
      <c r="EL12" s="495">
        <f>SUM(EL13:EL16)</f>
        <v>16493595</v>
      </c>
      <c r="EM12" s="443"/>
      <c r="EN12" s="443"/>
      <c r="EO12" s="466"/>
    </row>
    <row r="13" spans="1:147" x14ac:dyDescent="0.2">
      <c r="A13" s="442"/>
      <c r="B13" s="442"/>
      <c r="D13" s="455" t="s">
        <v>411</v>
      </c>
      <c r="E13" s="465"/>
      <c r="F13" s="496"/>
      <c r="G13" s="544">
        <f>G18</f>
        <v>52465000</v>
      </c>
      <c r="H13" s="548"/>
      <c r="I13" s="88"/>
      <c r="J13" s="391"/>
      <c r="K13" s="496"/>
      <c r="L13" s="544">
        <f>L18</f>
        <v>1200137</v>
      </c>
      <c r="M13" s="548"/>
      <c r="N13" s="493"/>
      <c r="O13" s="492"/>
      <c r="P13" s="496"/>
      <c r="Q13" s="544">
        <f>Q18</f>
        <v>335047</v>
      </c>
      <c r="R13" s="548"/>
      <c r="S13" s="493"/>
      <c r="T13" s="492"/>
      <c r="U13" s="496"/>
      <c r="V13" s="544">
        <f>V18</f>
        <v>0</v>
      </c>
      <c r="W13" s="548"/>
      <c r="X13" s="493"/>
      <c r="Y13" s="492"/>
      <c r="Z13" s="496"/>
      <c r="AA13" s="544">
        <f>AA18</f>
        <v>0</v>
      </c>
      <c r="AB13" s="548"/>
      <c r="AC13" s="493"/>
      <c r="AD13" s="492"/>
      <c r="AE13" s="496"/>
      <c r="AF13" s="544">
        <f>AF18</f>
        <v>0</v>
      </c>
      <c r="AG13" s="548"/>
      <c r="AH13" s="493"/>
      <c r="AI13" s="492"/>
      <c r="AJ13" s="496"/>
      <c r="AK13" s="544">
        <f>AK18</f>
        <v>0</v>
      </c>
      <c r="AL13" s="548"/>
      <c r="AM13" s="493"/>
      <c r="AN13" s="492"/>
      <c r="AO13" s="496"/>
      <c r="AP13" s="544">
        <f>AP18</f>
        <v>0</v>
      </c>
      <c r="AQ13" s="548"/>
      <c r="AR13" s="493"/>
      <c r="AS13" s="492"/>
      <c r="AT13" s="496"/>
      <c r="AU13" s="544">
        <f>AU18</f>
        <v>0</v>
      </c>
      <c r="AV13" s="548"/>
      <c r="AW13" s="493"/>
      <c r="AX13" s="492"/>
      <c r="AY13" s="496"/>
      <c r="AZ13" s="544">
        <f>AZ18</f>
        <v>0</v>
      </c>
      <c r="BA13" s="548"/>
      <c r="BB13" s="493"/>
      <c r="BC13" s="492"/>
      <c r="BD13" s="496"/>
      <c r="BE13" s="544">
        <f>BE18</f>
        <v>0</v>
      </c>
      <c r="BF13" s="548"/>
      <c r="BG13" s="493"/>
      <c r="BH13" s="492"/>
      <c r="BI13" s="496"/>
      <c r="BJ13" s="544">
        <f>BJ18</f>
        <v>0</v>
      </c>
      <c r="BK13" s="548"/>
      <c r="BL13" s="493"/>
      <c r="BM13" s="492"/>
      <c r="BN13" s="496"/>
      <c r="BO13" s="544">
        <f>BO18</f>
        <v>0</v>
      </c>
      <c r="BP13" s="548"/>
      <c r="BQ13" s="492"/>
      <c r="BR13" s="492"/>
      <c r="BS13" s="496"/>
      <c r="BT13" s="544">
        <f>BT18</f>
        <v>1535184</v>
      </c>
      <c r="BU13" s="548"/>
      <c r="BV13" s="493"/>
      <c r="BW13" s="492"/>
      <c r="BX13" s="496"/>
      <c r="BY13" s="544">
        <f>BY18</f>
        <v>19427655</v>
      </c>
      <c r="BZ13" s="548"/>
      <c r="CA13" s="88"/>
      <c r="CB13" s="391"/>
      <c r="CC13" s="496"/>
      <c r="CD13" s="544">
        <f>CD18</f>
        <v>334512</v>
      </c>
      <c r="CE13" s="548"/>
      <c r="CF13" s="493"/>
      <c r="CG13" s="492"/>
      <c r="CH13" s="496"/>
      <c r="CI13" s="544">
        <f>CI18</f>
        <v>254394</v>
      </c>
      <c r="CJ13" s="548"/>
      <c r="CK13" s="493"/>
      <c r="CL13" s="492"/>
      <c r="CM13" s="496"/>
      <c r="CN13" s="544">
        <f>CN18</f>
        <v>251090</v>
      </c>
      <c r="CO13" s="548"/>
      <c r="CP13" s="493"/>
      <c r="CQ13" s="492"/>
      <c r="CR13" s="496"/>
      <c r="CS13" s="544">
        <f>CS18</f>
        <v>239599</v>
      </c>
      <c r="CT13" s="548"/>
      <c r="CU13" s="493"/>
      <c r="CV13" s="492"/>
      <c r="CW13" s="496"/>
      <c r="CX13" s="544">
        <f>CX18</f>
        <v>317003</v>
      </c>
      <c r="CY13" s="548"/>
      <c r="CZ13" s="493"/>
      <c r="DA13" s="492"/>
      <c r="DB13" s="496"/>
      <c r="DC13" s="544">
        <f>DC18</f>
        <v>464401</v>
      </c>
      <c r="DD13" s="548"/>
      <c r="DE13" s="493"/>
      <c r="DF13" s="492"/>
      <c r="DG13" s="496"/>
      <c r="DH13" s="544">
        <f>DH18</f>
        <v>190972</v>
      </c>
      <c r="DI13" s="548"/>
      <c r="DJ13" s="493"/>
      <c r="DK13" s="492"/>
      <c r="DL13" s="496"/>
      <c r="DM13" s="544">
        <f>DM18</f>
        <v>372701</v>
      </c>
      <c r="DN13" s="548"/>
      <c r="DO13" s="493"/>
      <c r="DP13" s="492"/>
      <c r="DQ13" s="496"/>
      <c r="DR13" s="544">
        <f>DR18</f>
        <v>335951</v>
      </c>
      <c r="DS13" s="548"/>
      <c r="DT13" s="493"/>
      <c r="DU13" s="492"/>
      <c r="DV13" s="496"/>
      <c r="DW13" s="544">
        <f>DW18</f>
        <v>16129719</v>
      </c>
      <c r="DX13" s="548"/>
      <c r="DY13" s="493"/>
      <c r="DZ13" s="492"/>
      <c r="EA13" s="496"/>
      <c r="EB13" s="544">
        <f>EB18</f>
        <v>239823</v>
      </c>
      <c r="EC13" s="548"/>
      <c r="ED13" s="493"/>
      <c r="EE13" s="492"/>
      <c r="EF13" s="496"/>
      <c r="EG13" s="544">
        <f>EG18</f>
        <v>297490</v>
      </c>
      <c r="EH13" s="548"/>
      <c r="EI13" s="493"/>
      <c r="EJ13" s="492"/>
      <c r="EK13" s="496"/>
      <c r="EL13" s="544">
        <f>EL18</f>
        <v>588906</v>
      </c>
      <c r="EM13" s="548"/>
      <c r="EN13" s="442"/>
      <c r="EO13" s="455"/>
      <c r="EP13" s="472"/>
      <c r="EQ13" s="472"/>
    </row>
    <row r="14" spans="1:147" x14ac:dyDescent="0.2">
      <c r="A14" s="442"/>
      <c r="B14" s="442"/>
      <c r="D14" s="455" t="s">
        <v>412</v>
      </c>
      <c r="E14" s="465"/>
      <c r="F14" s="492"/>
      <c r="G14" s="493">
        <f>G30</f>
        <v>0</v>
      </c>
      <c r="H14" s="550"/>
      <c r="I14" s="493"/>
      <c r="J14" s="492"/>
      <c r="K14" s="492"/>
      <c r="L14" s="493">
        <f>L30</f>
        <v>0</v>
      </c>
      <c r="M14" s="550"/>
      <c r="N14" s="493"/>
      <c r="O14" s="492"/>
      <c r="P14" s="492"/>
      <c r="Q14" s="493">
        <f>Q30</f>
        <v>0</v>
      </c>
      <c r="R14" s="550"/>
      <c r="S14" s="493"/>
      <c r="T14" s="492"/>
      <c r="U14" s="492"/>
      <c r="V14" s="493">
        <f>V30</f>
        <v>0</v>
      </c>
      <c r="W14" s="550"/>
      <c r="X14" s="493"/>
      <c r="Y14" s="492"/>
      <c r="Z14" s="492"/>
      <c r="AA14" s="493">
        <f>AA30</f>
        <v>0</v>
      </c>
      <c r="AB14" s="550"/>
      <c r="AC14" s="493"/>
      <c r="AD14" s="492"/>
      <c r="AE14" s="492"/>
      <c r="AF14" s="493">
        <f>AF30</f>
        <v>0</v>
      </c>
      <c r="AG14" s="550"/>
      <c r="AH14" s="493"/>
      <c r="AI14" s="492"/>
      <c r="AJ14" s="492"/>
      <c r="AK14" s="493">
        <f>AK30</f>
        <v>0</v>
      </c>
      <c r="AL14" s="550"/>
      <c r="AM14" s="493"/>
      <c r="AN14" s="492"/>
      <c r="AO14" s="492"/>
      <c r="AP14" s="493">
        <f>AP30</f>
        <v>0</v>
      </c>
      <c r="AQ14" s="550"/>
      <c r="AR14" s="493"/>
      <c r="AS14" s="492"/>
      <c r="AT14" s="492"/>
      <c r="AU14" s="493">
        <f>AU30</f>
        <v>0</v>
      </c>
      <c r="AV14" s="550"/>
      <c r="AW14" s="493"/>
      <c r="AX14" s="492"/>
      <c r="AY14" s="492"/>
      <c r="AZ14" s="493">
        <f>AZ30</f>
        <v>0</v>
      </c>
      <c r="BA14" s="550"/>
      <c r="BB14" s="493"/>
      <c r="BC14" s="492"/>
      <c r="BD14" s="492"/>
      <c r="BE14" s="493">
        <f>BE30</f>
        <v>0</v>
      </c>
      <c r="BF14" s="550"/>
      <c r="BG14" s="493"/>
      <c r="BH14" s="492"/>
      <c r="BI14" s="492"/>
      <c r="BJ14" s="493">
        <f>BJ30</f>
        <v>0</v>
      </c>
      <c r="BK14" s="550"/>
      <c r="BL14" s="493"/>
      <c r="BM14" s="492"/>
      <c r="BN14" s="492"/>
      <c r="BO14" s="493">
        <f>BO30</f>
        <v>0</v>
      </c>
      <c r="BP14" s="550"/>
      <c r="BQ14" s="492"/>
      <c r="BR14" s="492"/>
      <c r="BS14" s="492"/>
      <c r="BT14" s="493">
        <f>BT30</f>
        <v>0</v>
      </c>
      <c r="BU14" s="550"/>
      <c r="BV14" s="493"/>
      <c r="BW14" s="492"/>
      <c r="BX14" s="492"/>
      <c r="BY14" s="493">
        <f>BY30</f>
        <v>12795000</v>
      </c>
      <c r="BZ14" s="550"/>
      <c r="CA14" s="493"/>
      <c r="CB14" s="492"/>
      <c r="CC14" s="492"/>
      <c r="CD14" s="493">
        <f>CD30</f>
        <v>0</v>
      </c>
      <c r="CE14" s="550"/>
      <c r="CF14" s="493"/>
      <c r="CG14" s="492"/>
      <c r="CH14" s="492"/>
      <c r="CI14" s="493">
        <f>CI30</f>
        <v>12795000</v>
      </c>
      <c r="CJ14" s="550"/>
      <c r="CK14" s="493"/>
      <c r="CL14" s="492"/>
      <c r="CM14" s="492"/>
      <c r="CN14" s="493">
        <f>CN30</f>
        <v>0</v>
      </c>
      <c r="CO14" s="550"/>
      <c r="CP14" s="493"/>
      <c r="CQ14" s="492"/>
      <c r="CR14" s="492"/>
      <c r="CS14" s="493">
        <f>CS30</f>
        <v>0</v>
      </c>
      <c r="CT14" s="550"/>
      <c r="CU14" s="493"/>
      <c r="CV14" s="492"/>
      <c r="CW14" s="492"/>
      <c r="CX14" s="493">
        <f>CX30</f>
        <v>0</v>
      </c>
      <c r="CY14" s="550"/>
      <c r="CZ14" s="493"/>
      <c r="DA14" s="492"/>
      <c r="DB14" s="492"/>
      <c r="DC14" s="493">
        <f>DC30</f>
        <v>0</v>
      </c>
      <c r="DD14" s="550"/>
      <c r="DE14" s="493"/>
      <c r="DF14" s="492"/>
      <c r="DG14" s="492"/>
      <c r="DH14" s="493">
        <f>DH30</f>
        <v>0</v>
      </c>
      <c r="DI14" s="550"/>
      <c r="DJ14" s="493"/>
      <c r="DK14" s="492"/>
      <c r="DL14" s="492"/>
      <c r="DM14" s="493">
        <f>DM30</f>
        <v>0</v>
      </c>
      <c r="DN14" s="550"/>
      <c r="DO14" s="493"/>
      <c r="DP14" s="492"/>
      <c r="DQ14" s="492"/>
      <c r="DR14" s="493">
        <f>DR30</f>
        <v>0</v>
      </c>
      <c r="DS14" s="550"/>
      <c r="DT14" s="493"/>
      <c r="DU14" s="492"/>
      <c r="DV14" s="492"/>
      <c r="DW14" s="493">
        <f>DW30</f>
        <v>0</v>
      </c>
      <c r="DX14" s="550"/>
      <c r="DY14" s="493"/>
      <c r="DZ14" s="492"/>
      <c r="EA14" s="492"/>
      <c r="EB14" s="493">
        <f>EB30</f>
        <v>0</v>
      </c>
      <c r="EC14" s="550"/>
      <c r="ED14" s="493"/>
      <c r="EE14" s="492"/>
      <c r="EF14" s="492"/>
      <c r="EG14" s="493">
        <f>EG30</f>
        <v>0</v>
      </c>
      <c r="EH14" s="550"/>
      <c r="EI14" s="493"/>
      <c r="EJ14" s="492"/>
      <c r="EK14" s="492"/>
      <c r="EL14" s="493">
        <f>EL30</f>
        <v>12795000</v>
      </c>
      <c r="EM14" s="550"/>
      <c r="EN14" s="442"/>
      <c r="EO14" s="455"/>
      <c r="EP14" s="472"/>
      <c r="EQ14" s="472"/>
    </row>
    <row r="15" spans="1:147" x14ac:dyDescent="0.2">
      <c r="A15" s="442"/>
      <c r="B15" s="442"/>
      <c r="D15" s="455" t="s">
        <v>413</v>
      </c>
      <c r="E15" s="465"/>
      <c r="F15" s="492"/>
      <c r="G15" s="493">
        <f>G65</f>
        <v>0</v>
      </c>
      <c r="H15" s="550"/>
      <c r="I15" s="88"/>
      <c r="J15" s="391"/>
      <c r="K15" s="492"/>
      <c r="L15" s="493">
        <f>L65</f>
        <v>487336</v>
      </c>
      <c r="M15" s="550"/>
      <c r="N15" s="88"/>
      <c r="O15" s="391"/>
      <c r="P15" s="492"/>
      <c r="Q15" s="493">
        <f>Q65</f>
        <v>29682</v>
      </c>
      <c r="R15" s="550"/>
      <c r="S15" s="493"/>
      <c r="T15" s="492"/>
      <c r="U15" s="492"/>
      <c r="V15" s="493">
        <f>V65</f>
        <v>0</v>
      </c>
      <c r="W15" s="550"/>
      <c r="X15" s="493"/>
      <c r="Y15" s="492"/>
      <c r="Z15" s="492"/>
      <c r="AA15" s="493">
        <f>AA65</f>
        <v>0</v>
      </c>
      <c r="AB15" s="550"/>
      <c r="AC15" s="493"/>
      <c r="AD15" s="492"/>
      <c r="AE15" s="492"/>
      <c r="AF15" s="493">
        <f>AF65</f>
        <v>0</v>
      </c>
      <c r="AG15" s="550"/>
      <c r="AH15" s="493"/>
      <c r="AI15" s="492"/>
      <c r="AJ15" s="492"/>
      <c r="AK15" s="493">
        <f>AK65</f>
        <v>0</v>
      </c>
      <c r="AL15" s="550"/>
      <c r="AM15" s="493"/>
      <c r="AN15" s="492"/>
      <c r="AO15" s="492"/>
      <c r="AP15" s="493">
        <f>AP65</f>
        <v>0</v>
      </c>
      <c r="AQ15" s="550"/>
      <c r="AR15" s="493"/>
      <c r="AS15" s="492"/>
      <c r="AT15" s="492"/>
      <c r="AU15" s="493">
        <f>AU65</f>
        <v>0</v>
      </c>
      <c r="AV15" s="550"/>
      <c r="AW15" s="493"/>
      <c r="AX15" s="492"/>
      <c r="AY15" s="492"/>
      <c r="AZ15" s="493">
        <f>AZ65</f>
        <v>0</v>
      </c>
      <c r="BA15" s="550"/>
      <c r="BB15" s="493"/>
      <c r="BC15" s="492"/>
      <c r="BD15" s="492"/>
      <c r="BE15" s="493">
        <f>BE65</f>
        <v>0</v>
      </c>
      <c r="BF15" s="550"/>
      <c r="BG15" s="493"/>
      <c r="BH15" s="492"/>
      <c r="BI15" s="492"/>
      <c r="BJ15" s="493">
        <f>BJ65</f>
        <v>0</v>
      </c>
      <c r="BK15" s="550"/>
      <c r="BL15" s="493"/>
      <c r="BM15" s="492"/>
      <c r="BN15" s="492"/>
      <c r="BO15" s="493">
        <f>BO65</f>
        <v>0</v>
      </c>
      <c r="BP15" s="550"/>
      <c r="BQ15" s="492"/>
      <c r="BR15" s="492"/>
      <c r="BS15" s="492"/>
      <c r="BT15" s="493">
        <f>BT65</f>
        <v>517018</v>
      </c>
      <c r="BU15" s="550"/>
      <c r="BV15" s="493"/>
      <c r="BW15" s="492"/>
      <c r="BX15" s="492"/>
      <c r="BY15" s="493">
        <f>BY65</f>
        <v>4361282</v>
      </c>
      <c r="BZ15" s="550"/>
      <c r="CA15" s="88"/>
      <c r="CB15" s="391"/>
      <c r="CC15" s="492"/>
      <c r="CD15" s="493">
        <f>CD65</f>
        <v>3109689</v>
      </c>
      <c r="CE15" s="550"/>
      <c r="CF15" s="88"/>
      <c r="CG15" s="391"/>
      <c r="CH15" s="492"/>
      <c r="CI15" s="493">
        <f>CI65</f>
        <v>0</v>
      </c>
      <c r="CJ15" s="550"/>
      <c r="CK15" s="493"/>
      <c r="CL15" s="492"/>
      <c r="CM15" s="492"/>
      <c r="CN15" s="493">
        <f>CN65</f>
        <v>0</v>
      </c>
      <c r="CO15" s="550"/>
      <c r="CP15" s="493"/>
      <c r="CQ15" s="492"/>
      <c r="CR15" s="492"/>
      <c r="CS15" s="493">
        <f>CS65</f>
        <v>0</v>
      </c>
      <c r="CT15" s="550"/>
      <c r="CU15" s="493"/>
      <c r="CV15" s="492"/>
      <c r="CW15" s="492"/>
      <c r="CX15" s="493">
        <f>CX65</f>
        <v>289217</v>
      </c>
      <c r="CY15" s="550"/>
      <c r="CZ15" s="493"/>
      <c r="DA15" s="492"/>
      <c r="DB15" s="492"/>
      <c r="DC15" s="493">
        <f>DC65</f>
        <v>235010</v>
      </c>
      <c r="DD15" s="550"/>
      <c r="DE15" s="493"/>
      <c r="DF15" s="492"/>
      <c r="DG15" s="492"/>
      <c r="DH15" s="493">
        <f>DH65</f>
        <v>0</v>
      </c>
      <c r="DI15" s="550"/>
      <c r="DJ15" s="493"/>
      <c r="DK15" s="492"/>
      <c r="DL15" s="492"/>
      <c r="DM15" s="493">
        <f>DM65</f>
        <v>64127</v>
      </c>
      <c r="DN15" s="550"/>
      <c r="DO15" s="493"/>
      <c r="DP15" s="492"/>
      <c r="DQ15" s="492"/>
      <c r="DR15" s="493">
        <f>DR65</f>
        <v>0</v>
      </c>
      <c r="DS15" s="550"/>
      <c r="DT15" s="493"/>
      <c r="DU15" s="492"/>
      <c r="DV15" s="492"/>
      <c r="DW15" s="493">
        <f>DW65</f>
        <v>0</v>
      </c>
      <c r="DX15" s="550"/>
      <c r="DY15" s="493"/>
      <c r="DZ15" s="492"/>
      <c r="EA15" s="492"/>
      <c r="EB15" s="493">
        <f>EB65</f>
        <v>0</v>
      </c>
      <c r="EC15" s="550"/>
      <c r="ED15" s="493"/>
      <c r="EE15" s="492"/>
      <c r="EF15" s="492"/>
      <c r="EG15" s="493">
        <f>EG65</f>
        <v>663239</v>
      </c>
      <c r="EH15" s="550"/>
      <c r="EI15" s="493"/>
      <c r="EJ15" s="492"/>
      <c r="EK15" s="492"/>
      <c r="EL15" s="493">
        <f>EL65</f>
        <v>3109689</v>
      </c>
      <c r="EM15" s="550"/>
      <c r="EN15" s="442"/>
      <c r="EO15" s="455"/>
      <c r="EP15" s="472"/>
      <c r="EQ15" s="472"/>
    </row>
    <row r="16" spans="1:147" ht="12.75" customHeight="1" x14ac:dyDescent="0.2">
      <c r="A16" s="442"/>
      <c r="B16" s="442"/>
      <c r="D16" s="455" t="s">
        <v>414</v>
      </c>
      <c r="E16" s="465"/>
      <c r="F16" s="508"/>
      <c r="G16" s="553">
        <f>G122</f>
        <v>0</v>
      </c>
      <c r="H16" s="552"/>
      <c r="I16" s="88"/>
      <c r="J16" s="391"/>
      <c r="K16" s="508"/>
      <c r="L16" s="553">
        <f>L122</f>
        <v>0</v>
      </c>
      <c r="M16" s="552"/>
      <c r="N16" s="88"/>
      <c r="O16" s="391"/>
      <c r="P16" s="508"/>
      <c r="Q16" s="553">
        <f>Q122</f>
        <v>0</v>
      </c>
      <c r="R16" s="552"/>
      <c r="S16" s="493"/>
      <c r="T16" s="492"/>
      <c r="U16" s="508"/>
      <c r="V16" s="553">
        <f>V122</f>
        <v>0</v>
      </c>
      <c r="W16" s="552"/>
      <c r="X16" s="493"/>
      <c r="Y16" s="492"/>
      <c r="Z16" s="508"/>
      <c r="AA16" s="553">
        <f>AA122</f>
        <v>0</v>
      </c>
      <c r="AB16" s="552"/>
      <c r="AC16" s="493"/>
      <c r="AD16" s="492"/>
      <c r="AE16" s="508"/>
      <c r="AF16" s="553">
        <f>AF122</f>
        <v>0</v>
      </c>
      <c r="AG16" s="552"/>
      <c r="AH16" s="493"/>
      <c r="AI16" s="492"/>
      <c r="AJ16" s="508"/>
      <c r="AK16" s="553">
        <f>AK122</f>
        <v>0</v>
      </c>
      <c r="AL16" s="552"/>
      <c r="AM16" s="493"/>
      <c r="AN16" s="492"/>
      <c r="AO16" s="508"/>
      <c r="AP16" s="553">
        <f>AP122</f>
        <v>0</v>
      </c>
      <c r="AQ16" s="552"/>
      <c r="AR16" s="493"/>
      <c r="AS16" s="492"/>
      <c r="AT16" s="508"/>
      <c r="AU16" s="553">
        <f>AU122</f>
        <v>0</v>
      </c>
      <c r="AV16" s="552"/>
      <c r="AW16" s="493"/>
      <c r="AX16" s="492"/>
      <c r="AY16" s="508"/>
      <c r="AZ16" s="553">
        <f>AZ122</f>
        <v>0</v>
      </c>
      <c r="BA16" s="552"/>
      <c r="BB16" s="493"/>
      <c r="BC16" s="492"/>
      <c r="BD16" s="508"/>
      <c r="BE16" s="553">
        <f>BE122</f>
        <v>0</v>
      </c>
      <c r="BF16" s="552"/>
      <c r="BG16" s="493"/>
      <c r="BH16" s="492"/>
      <c r="BI16" s="508"/>
      <c r="BJ16" s="553">
        <f>BJ122</f>
        <v>0</v>
      </c>
      <c r="BK16" s="552"/>
      <c r="BL16" s="493"/>
      <c r="BM16" s="492"/>
      <c r="BN16" s="508"/>
      <c r="BO16" s="553">
        <f>BO122</f>
        <v>0</v>
      </c>
      <c r="BP16" s="552"/>
      <c r="BQ16" s="493"/>
      <c r="BR16" s="492"/>
      <c r="BS16" s="508"/>
      <c r="BT16" s="553">
        <f>BT122</f>
        <v>0</v>
      </c>
      <c r="BU16" s="552"/>
      <c r="BV16" s="493"/>
      <c r="BW16" s="492"/>
      <c r="BX16" s="508"/>
      <c r="BY16" s="553">
        <f>BY122</f>
        <v>0</v>
      </c>
      <c r="BZ16" s="552"/>
      <c r="CA16" s="88"/>
      <c r="CB16" s="391"/>
      <c r="CC16" s="508"/>
      <c r="CD16" s="553">
        <f>CD122</f>
        <v>0</v>
      </c>
      <c r="CE16" s="552"/>
      <c r="CF16" s="88"/>
      <c r="CG16" s="391"/>
      <c r="CH16" s="508"/>
      <c r="CI16" s="553">
        <f>CI122</f>
        <v>0</v>
      </c>
      <c r="CJ16" s="552"/>
      <c r="CK16" s="493"/>
      <c r="CL16" s="492"/>
      <c r="CM16" s="508"/>
      <c r="CN16" s="553">
        <f>CN122</f>
        <v>0</v>
      </c>
      <c r="CO16" s="552"/>
      <c r="CP16" s="493"/>
      <c r="CQ16" s="492"/>
      <c r="CR16" s="508"/>
      <c r="CS16" s="553">
        <f>CS122</f>
        <v>0</v>
      </c>
      <c r="CT16" s="552"/>
      <c r="CU16" s="493"/>
      <c r="CV16" s="492"/>
      <c r="CW16" s="508"/>
      <c r="CX16" s="553">
        <f>CX122</f>
        <v>0</v>
      </c>
      <c r="CY16" s="552"/>
      <c r="CZ16" s="493"/>
      <c r="DA16" s="492"/>
      <c r="DB16" s="508"/>
      <c r="DC16" s="553">
        <f>DC122</f>
        <v>0</v>
      </c>
      <c r="DD16" s="552"/>
      <c r="DE16" s="493"/>
      <c r="DF16" s="492"/>
      <c r="DG16" s="508"/>
      <c r="DH16" s="553">
        <f>DH122</f>
        <v>0</v>
      </c>
      <c r="DI16" s="552"/>
      <c r="DJ16" s="493"/>
      <c r="DK16" s="492"/>
      <c r="DL16" s="508"/>
      <c r="DM16" s="553">
        <f>DM122</f>
        <v>0</v>
      </c>
      <c r="DN16" s="552"/>
      <c r="DO16" s="493"/>
      <c r="DP16" s="492"/>
      <c r="DQ16" s="508"/>
      <c r="DR16" s="553">
        <f>DR122</f>
        <v>0</v>
      </c>
      <c r="DS16" s="552"/>
      <c r="DT16" s="493"/>
      <c r="DU16" s="492"/>
      <c r="DV16" s="508"/>
      <c r="DW16" s="553">
        <f>DW122</f>
        <v>0</v>
      </c>
      <c r="DX16" s="552"/>
      <c r="DY16" s="493"/>
      <c r="DZ16" s="492"/>
      <c r="EA16" s="508"/>
      <c r="EB16" s="553">
        <f>EB122</f>
        <v>0</v>
      </c>
      <c r="EC16" s="552"/>
      <c r="ED16" s="493"/>
      <c r="EE16" s="492"/>
      <c r="EF16" s="508"/>
      <c r="EG16" s="553">
        <f>EG122</f>
        <v>0</v>
      </c>
      <c r="EH16" s="552"/>
      <c r="EI16" s="493"/>
      <c r="EJ16" s="492"/>
      <c r="EK16" s="508"/>
      <c r="EL16" s="553">
        <f>EL122</f>
        <v>0</v>
      </c>
      <c r="EM16" s="552"/>
      <c r="EN16" s="442"/>
      <c r="EO16" s="455"/>
      <c r="EP16" s="472"/>
      <c r="EQ16" s="472"/>
    </row>
    <row r="17" spans="1:147" x14ac:dyDescent="0.2">
      <c r="A17" s="442"/>
      <c r="B17" s="442"/>
      <c r="D17" s="455"/>
      <c r="E17" s="465"/>
      <c r="F17" s="442"/>
      <c r="G17" s="549"/>
      <c r="H17" s="493"/>
      <c r="I17" s="493"/>
      <c r="J17" s="492"/>
      <c r="K17" s="493"/>
      <c r="L17" s="493"/>
      <c r="M17" s="493"/>
      <c r="N17" s="493"/>
      <c r="O17" s="492"/>
      <c r="P17" s="544"/>
      <c r="Q17" s="493"/>
      <c r="R17" s="544"/>
      <c r="S17" s="493"/>
      <c r="T17" s="492"/>
      <c r="U17" s="544"/>
      <c r="V17" s="493"/>
      <c r="W17" s="544"/>
      <c r="X17" s="493"/>
      <c r="Y17" s="492"/>
      <c r="Z17" s="544"/>
      <c r="AA17" s="493"/>
      <c r="AB17" s="544"/>
      <c r="AC17" s="493"/>
      <c r="AD17" s="492"/>
      <c r="AE17" s="544"/>
      <c r="AF17" s="493"/>
      <c r="AG17" s="544"/>
      <c r="AH17" s="493"/>
      <c r="AI17" s="492"/>
      <c r="AJ17" s="544"/>
      <c r="AK17" s="493"/>
      <c r="AL17" s="544"/>
      <c r="AM17" s="493"/>
      <c r="AN17" s="492"/>
      <c r="AO17" s="544"/>
      <c r="AP17" s="493"/>
      <c r="AQ17" s="544"/>
      <c r="AR17" s="493"/>
      <c r="AS17" s="492"/>
      <c r="AT17" s="493"/>
      <c r="AU17" s="493"/>
      <c r="AV17" s="493"/>
      <c r="AW17" s="493"/>
      <c r="AX17" s="492"/>
      <c r="AY17" s="493"/>
      <c r="AZ17" s="493"/>
      <c r="BA17" s="544"/>
      <c r="BB17" s="493"/>
      <c r="BC17" s="492"/>
      <c r="BD17" s="493"/>
      <c r="BE17" s="493"/>
      <c r="BF17" s="493"/>
      <c r="BG17" s="493"/>
      <c r="BH17" s="492"/>
      <c r="BI17" s="544"/>
      <c r="BJ17" s="493"/>
      <c r="BK17" s="544"/>
      <c r="BL17" s="493"/>
      <c r="BM17" s="492"/>
      <c r="BN17" s="544"/>
      <c r="BO17" s="493"/>
      <c r="BP17" s="544"/>
      <c r="BQ17" s="493"/>
      <c r="BR17" s="492"/>
      <c r="BS17" s="493"/>
      <c r="BT17" s="493"/>
      <c r="BU17" s="493"/>
      <c r="BV17" s="493"/>
      <c r="BW17" s="492"/>
      <c r="BX17" s="493"/>
      <c r="BY17" s="493"/>
      <c r="BZ17" s="493"/>
      <c r="CA17" s="493"/>
      <c r="CB17" s="492"/>
      <c r="CC17" s="493"/>
      <c r="CD17" s="493"/>
      <c r="CE17" s="493"/>
      <c r="CF17" s="493"/>
      <c r="CG17" s="492"/>
      <c r="CH17" s="544"/>
      <c r="CI17" s="493"/>
      <c r="CJ17" s="544"/>
      <c r="CK17" s="493"/>
      <c r="CL17" s="492"/>
      <c r="CM17" s="544"/>
      <c r="CN17" s="493"/>
      <c r="CO17" s="544"/>
      <c r="CP17" s="493"/>
      <c r="CQ17" s="492"/>
      <c r="CR17" s="544"/>
      <c r="CS17" s="493"/>
      <c r="CT17" s="544"/>
      <c r="CU17" s="493"/>
      <c r="CV17" s="492"/>
      <c r="CW17" s="544"/>
      <c r="CX17" s="493"/>
      <c r="CY17" s="544"/>
      <c r="CZ17" s="493"/>
      <c r="DA17" s="492"/>
      <c r="DB17" s="544"/>
      <c r="DC17" s="493"/>
      <c r="DD17" s="544"/>
      <c r="DE17" s="493"/>
      <c r="DF17" s="492"/>
      <c r="DG17" s="544"/>
      <c r="DH17" s="493"/>
      <c r="DI17" s="544"/>
      <c r="DJ17" s="493"/>
      <c r="DK17" s="492"/>
      <c r="DL17" s="493"/>
      <c r="DM17" s="493"/>
      <c r="DN17" s="493"/>
      <c r="DO17" s="493"/>
      <c r="DP17" s="492"/>
      <c r="DQ17" s="493"/>
      <c r="DR17" s="493"/>
      <c r="DS17" s="544"/>
      <c r="DT17" s="493"/>
      <c r="DU17" s="492"/>
      <c r="DV17" s="493"/>
      <c r="DW17" s="493"/>
      <c r="DX17" s="493"/>
      <c r="DY17" s="493"/>
      <c r="DZ17" s="492"/>
      <c r="EA17" s="544"/>
      <c r="EB17" s="493"/>
      <c r="EC17" s="544"/>
      <c r="ED17" s="493"/>
      <c r="EE17" s="492"/>
      <c r="EF17" s="544"/>
      <c r="EG17" s="493"/>
      <c r="EH17" s="544"/>
      <c r="EI17" s="493"/>
      <c r="EJ17" s="492"/>
      <c r="EK17" s="493"/>
      <c r="EL17" s="493"/>
      <c r="EM17" s="442"/>
      <c r="EN17" s="442"/>
      <c r="EO17" s="455"/>
      <c r="EP17" s="472"/>
      <c r="EQ17" s="472"/>
    </row>
    <row r="18" spans="1:147" s="472" customFormat="1" ht="12.75" customHeight="1" x14ac:dyDescent="0.2">
      <c r="A18" s="443"/>
      <c r="B18" s="443"/>
      <c r="D18" s="466" t="s">
        <v>415</v>
      </c>
      <c r="E18" s="468"/>
      <c r="F18" s="595"/>
      <c r="G18" s="42">
        <f>SUM(G19:G28)</f>
        <v>52465000</v>
      </c>
      <c r="H18" s="42"/>
      <c r="I18" s="58"/>
      <c r="J18" s="556"/>
      <c r="K18" s="42"/>
      <c r="L18" s="42">
        <f>SUM(L19:L28)</f>
        <v>1200137</v>
      </c>
      <c r="M18" s="42"/>
      <c r="N18" s="58"/>
      <c r="O18" s="556"/>
      <c r="P18" s="42"/>
      <c r="Q18" s="42">
        <f>SUM(Q19:Q28)</f>
        <v>335047</v>
      </c>
      <c r="R18" s="42"/>
      <c r="S18" s="58"/>
      <c r="T18" s="556"/>
      <c r="U18" s="42"/>
      <c r="V18" s="42">
        <f>SUM(V19:V28)</f>
        <v>0</v>
      </c>
      <c r="W18" s="42"/>
      <c r="X18" s="58"/>
      <c r="Y18" s="556"/>
      <c r="Z18" s="42"/>
      <c r="AA18" s="42">
        <f>SUM(AA19:AA28)</f>
        <v>0</v>
      </c>
      <c r="AB18" s="42"/>
      <c r="AC18" s="58"/>
      <c r="AD18" s="556"/>
      <c r="AE18" s="42"/>
      <c r="AF18" s="42">
        <f>SUM(AF19:AF28)</f>
        <v>0</v>
      </c>
      <c r="AG18" s="42"/>
      <c r="AH18" s="58"/>
      <c r="AI18" s="556"/>
      <c r="AJ18" s="42"/>
      <c r="AK18" s="42">
        <f>SUM(AK19:AK28)</f>
        <v>0</v>
      </c>
      <c r="AL18" s="42"/>
      <c r="AM18" s="58"/>
      <c r="AN18" s="556"/>
      <c r="AO18" s="42"/>
      <c r="AP18" s="42">
        <f>SUM(AP19:AP28)</f>
        <v>0</v>
      </c>
      <c r="AQ18" s="42"/>
      <c r="AR18" s="58"/>
      <c r="AS18" s="556"/>
      <c r="AT18" s="42"/>
      <c r="AU18" s="42">
        <f>SUM(AU19:AU28)</f>
        <v>0</v>
      </c>
      <c r="AV18" s="42"/>
      <c r="AW18" s="58"/>
      <c r="AX18" s="556"/>
      <c r="AY18" s="42"/>
      <c r="AZ18" s="42">
        <f>SUM(AZ19:AZ28)</f>
        <v>0</v>
      </c>
      <c r="BA18" s="42"/>
      <c r="BB18" s="58"/>
      <c r="BC18" s="556"/>
      <c r="BD18" s="42"/>
      <c r="BE18" s="42">
        <f>SUM(BE19:BE28)</f>
        <v>0</v>
      </c>
      <c r="BF18" s="42"/>
      <c r="BG18" s="58"/>
      <c r="BH18" s="556"/>
      <c r="BI18" s="42"/>
      <c r="BJ18" s="42">
        <f>SUM(BJ19:BJ28)</f>
        <v>0</v>
      </c>
      <c r="BK18" s="42"/>
      <c r="BL18" s="58"/>
      <c r="BM18" s="556"/>
      <c r="BN18" s="42"/>
      <c r="BO18" s="42">
        <f>SUM(BO19:BO28)</f>
        <v>0</v>
      </c>
      <c r="BP18" s="42"/>
      <c r="BQ18" s="58"/>
      <c r="BR18" s="556"/>
      <c r="BS18" s="42"/>
      <c r="BT18" s="42">
        <f>SUM(BT19:BT28)</f>
        <v>1535184</v>
      </c>
      <c r="BU18" s="42"/>
      <c r="BV18" s="58"/>
      <c r="BW18" s="556"/>
      <c r="BX18" s="42"/>
      <c r="BY18" s="42">
        <f>SUM(BY19:BY28)</f>
        <v>19427655</v>
      </c>
      <c r="BZ18" s="42"/>
      <c r="CA18" s="58"/>
      <c r="CB18" s="556"/>
      <c r="CC18" s="42"/>
      <c r="CD18" s="42">
        <f>SUM(CD19:CD28)</f>
        <v>334512</v>
      </c>
      <c r="CE18" s="42"/>
      <c r="CF18" s="58"/>
      <c r="CG18" s="556"/>
      <c r="CH18" s="42"/>
      <c r="CI18" s="42">
        <f>SUM(CI19:CI28)</f>
        <v>254394</v>
      </c>
      <c r="CJ18" s="42"/>
      <c r="CK18" s="58"/>
      <c r="CL18" s="556"/>
      <c r="CM18" s="42"/>
      <c r="CN18" s="42">
        <f>SUM(CN19:CN28)</f>
        <v>251090</v>
      </c>
      <c r="CO18" s="42"/>
      <c r="CP18" s="58"/>
      <c r="CQ18" s="556"/>
      <c r="CR18" s="42"/>
      <c r="CS18" s="42">
        <f>SUM(CS19:CS28)</f>
        <v>239599</v>
      </c>
      <c r="CT18" s="42"/>
      <c r="CU18" s="58"/>
      <c r="CV18" s="556"/>
      <c r="CW18" s="42"/>
      <c r="CX18" s="42">
        <f>SUM(CX19:CX28)</f>
        <v>317003</v>
      </c>
      <c r="CY18" s="42"/>
      <c r="CZ18" s="58"/>
      <c r="DA18" s="556"/>
      <c r="DB18" s="42"/>
      <c r="DC18" s="42">
        <f>SUM(DC19:DC28)</f>
        <v>464401</v>
      </c>
      <c r="DD18" s="42"/>
      <c r="DE18" s="58"/>
      <c r="DF18" s="556"/>
      <c r="DG18" s="42"/>
      <c r="DH18" s="42">
        <f>SUM(DH19:DH28)</f>
        <v>190972</v>
      </c>
      <c r="DI18" s="42"/>
      <c r="DJ18" s="58"/>
      <c r="DK18" s="556"/>
      <c r="DL18" s="42"/>
      <c r="DM18" s="42">
        <f>SUM(DM19:DM28)</f>
        <v>372701</v>
      </c>
      <c r="DN18" s="42"/>
      <c r="DO18" s="58"/>
      <c r="DP18" s="556"/>
      <c r="DQ18" s="42"/>
      <c r="DR18" s="42">
        <f>SUM(DR19:DR28)</f>
        <v>335951</v>
      </c>
      <c r="DS18" s="42"/>
      <c r="DT18" s="58"/>
      <c r="DU18" s="556"/>
      <c r="DV18" s="42"/>
      <c r="DW18" s="42">
        <f>SUM(DW19:DW28)</f>
        <v>16129719</v>
      </c>
      <c r="DX18" s="42"/>
      <c r="DY18" s="58"/>
      <c r="DZ18" s="556"/>
      <c r="EA18" s="42"/>
      <c r="EB18" s="42">
        <f>SUM(EB19:EB28)</f>
        <v>239823</v>
      </c>
      <c r="EC18" s="42"/>
      <c r="ED18" s="58"/>
      <c r="EE18" s="556"/>
      <c r="EF18" s="42"/>
      <c r="EG18" s="42">
        <f>SUM(EG19:EG28)</f>
        <v>297490</v>
      </c>
      <c r="EH18" s="42"/>
      <c r="EI18" s="58"/>
      <c r="EJ18" s="556"/>
      <c r="EK18" s="42"/>
      <c r="EL18" s="42">
        <f>SUM(EL19:EL28)</f>
        <v>588906</v>
      </c>
      <c r="EM18" s="595"/>
      <c r="EN18" s="443"/>
      <c r="EO18" s="466"/>
    </row>
    <row r="19" spans="1:147" ht="12.75" customHeight="1" x14ac:dyDescent="0.2">
      <c r="A19" s="442"/>
      <c r="B19" s="442"/>
      <c r="D19" s="455" t="s">
        <v>416</v>
      </c>
      <c r="E19" s="465"/>
      <c r="F19" s="465"/>
      <c r="G19" s="67">
        <v>48965000</v>
      </c>
      <c r="H19" s="66"/>
      <c r="I19" s="67"/>
      <c r="J19" s="560"/>
      <c r="K19" s="560"/>
      <c r="L19" s="67">
        <v>0</v>
      </c>
      <c r="M19" s="66"/>
      <c r="N19" s="67"/>
      <c r="O19" s="560"/>
      <c r="P19" s="560"/>
      <c r="Q19" s="67">
        <v>0</v>
      </c>
      <c r="R19" s="66"/>
      <c r="S19" s="67"/>
      <c r="T19" s="560"/>
      <c r="U19" s="560"/>
      <c r="V19" s="67">
        <v>0</v>
      </c>
      <c r="W19" s="66"/>
      <c r="X19" s="67"/>
      <c r="Y19" s="560"/>
      <c r="Z19" s="560"/>
      <c r="AA19" s="67">
        <v>0</v>
      </c>
      <c r="AB19" s="66"/>
      <c r="AC19" s="67"/>
      <c r="AD19" s="560"/>
      <c r="AE19" s="560"/>
      <c r="AF19" s="67">
        <v>0</v>
      </c>
      <c r="AG19" s="66"/>
      <c r="AH19" s="67"/>
      <c r="AI19" s="560"/>
      <c r="AJ19" s="560"/>
      <c r="AK19" s="67">
        <v>0</v>
      </c>
      <c r="AL19" s="66"/>
      <c r="AM19" s="67"/>
      <c r="AN19" s="560"/>
      <c r="AO19" s="560"/>
      <c r="AP19" s="67">
        <v>0</v>
      </c>
      <c r="AQ19" s="66"/>
      <c r="AR19" s="67"/>
      <c r="AS19" s="560"/>
      <c r="AT19" s="560"/>
      <c r="AU19" s="67">
        <v>0</v>
      </c>
      <c r="AV19" s="66"/>
      <c r="AW19" s="67"/>
      <c r="AX19" s="560"/>
      <c r="AY19" s="560"/>
      <c r="AZ19" s="67">
        <v>0</v>
      </c>
      <c r="BA19" s="66"/>
      <c r="BB19" s="67"/>
      <c r="BC19" s="560"/>
      <c r="BD19" s="560"/>
      <c r="BE19" s="67">
        <v>0</v>
      </c>
      <c r="BF19" s="66"/>
      <c r="BG19" s="67"/>
      <c r="BH19" s="560"/>
      <c r="BI19" s="560"/>
      <c r="BJ19" s="67">
        <v>0</v>
      </c>
      <c r="BK19" s="66"/>
      <c r="BL19" s="67"/>
      <c r="BM19" s="560"/>
      <c r="BN19" s="560"/>
      <c r="BO19" s="67">
        <v>0</v>
      </c>
      <c r="BP19" s="66"/>
      <c r="BQ19" s="67"/>
      <c r="BR19" s="560"/>
      <c r="BS19" s="560"/>
      <c r="BT19" s="67">
        <f t="shared" ref="BT19:BT28" si="0">SUM(L19:BO19)</f>
        <v>0</v>
      </c>
      <c r="BU19" s="66"/>
      <c r="BV19" s="67"/>
      <c r="BW19" s="560"/>
      <c r="BX19" s="560"/>
      <c r="BY19" s="67">
        <v>0</v>
      </c>
      <c r="BZ19" s="66"/>
      <c r="CA19" s="67"/>
      <c r="CB19" s="560"/>
      <c r="CC19" s="560"/>
      <c r="CD19" s="67">
        <v>0</v>
      </c>
      <c r="CE19" s="66"/>
      <c r="CF19" s="67"/>
      <c r="CG19" s="560"/>
      <c r="CH19" s="560"/>
      <c r="CI19" s="67">
        <v>0</v>
      </c>
      <c r="CJ19" s="66"/>
      <c r="CK19" s="67"/>
      <c r="CL19" s="560"/>
      <c r="CM19" s="560"/>
      <c r="CN19" s="67">
        <v>0</v>
      </c>
      <c r="CO19" s="66"/>
      <c r="CP19" s="67"/>
      <c r="CQ19" s="560"/>
      <c r="CR19" s="560"/>
      <c r="CS19" s="67">
        <v>0</v>
      </c>
      <c r="CT19" s="66"/>
      <c r="CU19" s="67"/>
      <c r="CV19" s="560"/>
      <c r="CW19" s="560"/>
      <c r="CX19" s="67">
        <v>0</v>
      </c>
      <c r="CY19" s="66"/>
      <c r="CZ19" s="67"/>
      <c r="DA19" s="560"/>
      <c r="DB19" s="560"/>
      <c r="DC19" s="67">
        <v>0</v>
      </c>
      <c r="DD19" s="66"/>
      <c r="DE19" s="67"/>
      <c r="DF19" s="560"/>
      <c r="DG19" s="560"/>
      <c r="DH19" s="67">
        <v>0</v>
      </c>
      <c r="DI19" s="66"/>
      <c r="DJ19" s="67"/>
      <c r="DK19" s="560"/>
      <c r="DL19" s="560"/>
      <c r="DM19" s="67">
        <v>0</v>
      </c>
      <c r="DN19" s="66"/>
      <c r="DO19" s="67"/>
      <c r="DP19" s="560"/>
      <c r="DQ19" s="560"/>
      <c r="DR19" s="67">
        <v>0</v>
      </c>
      <c r="DS19" s="66"/>
      <c r="DT19" s="67"/>
      <c r="DU19" s="560"/>
      <c r="DV19" s="560"/>
      <c r="DW19" s="67">
        <v>0</v>
      </c>
      <c r="DX19" s="66"/>
      <c r="DY19" s="67"/>
      <c r="DZ19" s="560"/>
      <c r="EA19" s="560"/>
      <c r="EB19" s="67">
        <v>0</v>
      </c>
      <c r="EC19" s="66"/>
      <c r="ED19" s="67"/>
      <c r="EE19" s="560"/>
      <c r="EF19" s="560"/>
      <c r="EG19" s="67">
        <v>0</v>
      </c>
      <c r="EH19" s="66"/>
      <c r="EI19" s="67"/>
      <c r="EJ19" s="560"/>
      <c r="EK19" s="560"/>
      <c r="EL19" s="67">
        <f>SUM(CD19:CI19)</f>
        <v>0</v>
      </c>
      <c r="EM19" s="480"/>
      <c r="EN19" s="442"/>
      <c r="EO19" s="455"/>
      <c r="EP19" s="472"/>
      <c r="EQ19" s="472"/>
    </row>
    <row r="20" spans="1:147" ht="12.75" customHeight="1" x14ac:dyDescent="0.2">
      <c r="A20" s="442"/>
      <c r="B20" s="442"/>
      <c r="D20" s="455" t="s">
        <v>362</v>
      </c>
      <c r="E20" s="465"/>
      <c r="F20" s="465"/>
      <c r="G20" s="67">
        <v>0</v>
      </c>
      <c r="H20" s="66"/>
      <c r="I20" s="67"/>
      <c r="J20" s="560"/>
      <c r="K20" s="560"/>
      <c r="L20" s="67">
        <v>0</v>
      </c>
      <c r="M20" s="66"/>
      <c r="N20" s="67"/>
      <c r="O20" s="560"/>
      <c r="P20" s="560"/>
      <c r="Q20" s="67">
        <v>0</v>
      </c>
      <c r="R20" s="66"/>
      <c r="S20" s="67"/>
      <c r="T20" s="560"/>
      <c r="U20" s="560"/>
      <c r="V20" s="67">
        <v>0</v>
      </c>
      <c r="W20" s="66"/>
      <c r="X20" s="67"/>
      <c r="Y20" s="560"/>
      <c r="Z20" s="560"/>
      <c r="AA20" s="67">
        <v>0</v>
      </c>
      <c r="AB20" s="66"/>
      <c r="AC20" s="67"/>
      <c r="AD20" s="560"/>
      <c r="AE20" s="560"/>
      <c r="AF20" s="67">
        <v>0</v>
      </c>
      <c r="AG20" s="66"/>
      <c r="AH20" s="67"/>
      <c r="AI20" s="560"/>
      <c r="AJ20" s="560"/>
      <c r="AK20" s="67">
        <v>0</v>
      </c>
      <c r="AL20" s="66"/>
      <c r="AM20" s="67"/>
      <c r="AN20" s="560"/>
      <c r="AO20" s="560"/>
      <c r="AP20" s="67">
        <v>0</v>
      </c>
      <c r="AQ20" s="66"/>
      <c r="AR20" s="67"/>
      <c r="AS20" s="560"/>
      <c r="AT20" s="560"/>
      <c r="AU20" s="67">
        <v>0</v>
      </c>
      <c r="AV20" s="66"/>
      <c r="AW20" s="67"/>
      <c r="AX20" s="560"/>
      <c r="AY20" s="560"/>
      <c r="AZ20" s="67">
        <v>0</v>
      </c>
      <c r="BA20" s="66"/>
      <c r="BB20" s="67"/>
      <c r="BC20" s="560"/>
      <c r="BD20" s="560"/>
      <c r="BE20" s="67">
        <v>0</v>
      </c>
      <c r="BF20" s="66"/>
      <c r="BG20" s="67"/>
      <c r="BH20" s="560"/>
      <c r="BI20" s="560"/>
      <c r="BJ20" s="67">
        <v>0</v>
      </c>
      <c r="BK20" s="66"/>
      <c r="BL20" s="67"/>
      <c r="BM20" s="560"/>
      <c r="BN20" s="560"/>
      <c r="BO20" s="67">
        <v>0</v>
      </c>
      <c r="BP20" s="66"/>
      <c r="BQ20" s="67"/>
      <c r="BR20" s="560"/>
      <c r="BS20" s="560"/>
      <c r="BT20" s="67">
        <f t="shared" si="0"/>
        <v>0</v>
      </c>
      <c r="BU20" s="66"/>
      <c r="BV20" s="67"/>
      <c r="BW20" s="560"/>
      <c r="BX20" s="560"/>
      <c r="BY20" s="67">
        <v>15884604</v>
      </c>
      <c r="BZ20" s="66"/>
      <c r="CA20" s="67"/>
      <c r="CB20" s="560"/>
      <c r="CC20" s="560"/>
      <c r="CD20" s="67">
        <v>0</v>
      </c>
      <c r="CE20" s="66"/>
      <c r="CF20" s="67"/>
      <c r="CG20" s="560"/>
      <c r="CH20" s="560"/>
      <c r="CI20" s="67">
        <v>0</v>
      </c>
      <c r="CJ20" s="66"/>
      <c r="CK20" s="67"/>
      <c r="CL20" s="560"/>
      <c r="CM20" s="560"/>
      <c r="CN20" s="67">
        <v>0</v>
      </c>
      <c r="CO20" s="66"/>
      <c r="CP20" s="67"/>
      <c r="CQ20" s="560"/>
      <c r="CR20" s="560"/>
      <c r="CS20" s="67">
        <v>0</v>
      </c>
      <c r="CT20" s="66"/>
      <c r="CU20" s="67"/>
      <c r="CV20" s="560"/>
      <c r="CW20" s="560"/>
      <c r="CX20" s="67">
        <v>0</v>
      </c>
      <c r="CY20" s="66"/>
      <c r="CZ20" s="67"/>
      <c r="DA20" s="560"/>
      <c r="DB20" s="560"/>
      <c r="DC20" s="67">
        <v>0</v>
      </c>
      <c r="DD20" s="66"/>
      <c r="DE20" s="67"/>
      <c r="DF20" s="560"/>
      <c r="DG20" s="560"/>
      <c r="DH20" s="67">
        <v>0</v>
      </c>
      <c r="DI20" s="66"/>
      <c r="DJ20" s="67"/>
      <c r="DK20" s="560"/>
      <c r="DL20" s="560"/>
      <c r="DM20" s="67">
        <v>0</v>
      </c>
      <c r="DN20" s="66"/>
      <c r="DO20" s="67"/>
      <c r="DP20" s="560"/>
      <c r="DQ20" s="560"/>
      <c r="DR20" s="67">
        <v>0</v>
      </c>
      <c r="DS20" s="66"/>
      <c r="DT20" s="67"/>
      <c r="DU20" s="560"/>
      <c r="DV20" s="560"/>
      <c r="DW20" s="67">
        <v>15884604</v>
      </c>
      <c r="DX20" s="66"/>
      <c r="DY20" s="67"/>
      <c r="DZ20" s="560"/>
      <c r="EA20" s="560"/>
      <c r="EB20" s="67">
        <v>0</v>
      </c>
      <c r="EC20" s="66"/>
      <c r="ED20" s="67"/>
      <c r="EE20" s="560"/>
      <c r="EF20" s="560"/>
      <c r="EG20" s="67">
        <v>0</v>
      </c>
      <c r="EH20" s="66"/>
      <c r="EI20" s="67"/>
      <c r="EJ20" s="560"/>
      <c r="EK20" s="560"/>
      <c r="EL20" s="67">
        <f t="shared" ref="EL20:EL27" si="1">SUM(CD20:CI20)</f>
        <v>0</v>
      </c>
      <c r="EM20" s="480"/>
      <c r="EN20" s="442"/>
      <c r="EO20" s="455"/>
      <c r="EP20" s="472"/>
      <c r="EQ20" s="472"/>
    </row>
    <row r="21" spans="1:147" ht="12.75" hidden="1" customHeight="1" x14ac:dyDescent="0.2">
      <c r="A21" s="442"/>
      <c r="B21" s="442"/>
      <c r="D21" s="455" t="s">
        <v>358</v>
      </c>
      <c r="E21" s="465"/>
      <c r="F21" s="465"/>
      <c r="G21" s="67">
        <v>0</v>
      </c>
      <c r="H21" s="66"/>
      <c r="I21" s="67"/>
      <c r="J21" s="560"/>
      <c r="K21" s="560"/>
      <c r="L21" s="67">
        <v>0</v>
      </c>
      <c r="M21" s="66"/>
      <c r="N21" s="67"/>
      <c r="O21" s="560"/>
      <c r="P21" s="560"/>
      <c r="Q21" s="67">
        <v>0</v>
      </c>
      <c r="R21" s="66"/>
      <c r="S21" s="67"/>
      <c r="T21" s="560"/>
      <c r="U21" s="560"/>
      <c r="V21" s="67">
        <v>0</v>
      </c>
      <c r="W21" s="66"/>
      <c r="X21" s="67"/>
      <c r="Y21" s="560"/>
      <c r="Z21" s="560"/>
      <c r="AA21" s="67">
        <v>0</v>
      </c>
      <c r="AB21" s="66"/>
      <c r="AC21" s="67"/>
      <c r="AD21" s="560"/>
      <c r="AE21" s="560"/>
      <c r="AF21" s="67">
        <v>0</v>
      </c>
      <c r="AG21" s="66"/>
      <c r="AH21" s="67"/>
      <c r="AI21" s="560"/>
      <c r="AJ21" s="560"/>
      <c r="AK21" s="67">
        <v>0</v>
      </c>
      <c r="AL21" s="66"/>
      <c r="AM21" s="67"/>
      <c r="AN21" s="560"/>
      <c r="AO21" s="560"/>
      <c r="AP21" s="67">
        <v>0</v>
      </c>
      <c r="AQ21" s="66"/>
      <c r="AR21" s="67"/>
      <c r="AS21" s="560"/>
      <c r="AT21" s="560"/>
      <c r="AU21" s="67">
        <v>0</v>
      </c>
      <c r="AV21" s="66"/>
      <c r="AW21" s="67"/>
      <c r="AX21" s="560"/>
      <c r="AY21" s="560"/>
      <c r="AZ21" s="67">
        <v>0</v>
      </c>
      <c r="BA21" s="66"/>
      <c r="BB21" s="67"/>
      <c r="BC21" s="560"/>
      <c r="BD21" s="560"/>
      <c r="BE21" s="67">
        <v>0</v>
      </c>
      <c r="BF21" s="66"/>
      <c r="BG21" s="67"/>
      <c r="BH21" s="560"/>
      <c r="BI21" s="560"/>
      <c r="BJ21" s="67">
        <v>0</v>
      </c>
      <c r="BK21" s="66"/>
      <c r="BL21" s="67"/>
      <c r="BM21" s="560"/>
      <c r="BN21" s="560"/>
      <c r="BO21" s="67">
        <v>0</v>
      </c>
      <c r="BP21" s="66"/>
      <c r="BQ21" s="67"/>
      <c r="BR21" s="560"/>
      <c r="BS21" s="560"/>
      <c r="BT21" s="67">
        <f t="shared" si="0"/>
        <v>0</v>
      </c>
      <c r="BU21" s="66"/>
      <c r="BV21" s="67"/>
      <c r="BW21" s="560"/>
      <c r="BX21" s="560"/>
      <c r="BY21" s="67">
        <v>0</v>
      </c>
      <c r="BZ21" s="66"/>
      <c r="CA21" s="67"/>
      <c r="CB21" s="560"/>
      <c r="CC21" s="560"/>
      <c r="CD21" s="67">
        <v>0</v>
      </c>
      <c r="CE21" s="66"/>
      <c r="CF21" s="67"/>
      <c r="CG21" s="560"/>
      <c r="CH21" s="560"/>
      <c r="CI21" s="67">
        <v>0</v>
      </c>
      <c r="CJ21" s="66"/>
      <c r="CK21" s="67"/>
      <c r="CL21" s="560"/>
      <c r="CM21" s="560"/>
      <c r="CN21" s="67">
        <v>0</v>
      </c>
      <c r="CO21" s="66"/>
      <c r="CP21" s="67"/>
      <c r="CQ21" s="560"/>
      <c r="CR21" s="560"/>
      <c r="CS21" s="67">
        <v>0</v>
      </c>
      <c r="CT21" s="66"/>
      <c r="CU21" s="67"/>
      <c r="CV21" s="560"/>
      <c r="CW21" s="560"/>
      <c r="CX21" s="67">
        <v>0</v>
      </c>
      <c r="CY21" s="66"/>
      <c r="CZ21" s="67"/>
      <c r="DA21" s="560"/>
      <c r="DB21" s="560"/>
      <c r="DC21" s="67">
        <v>0</v>
      </c>
      <c r="DD21" s="66"/>
      <c r="DE21" s="67"/>
      <c r="DF21" s="560"/>
      <c r="DG21" s="560"/>
      <c r="DH21" s="67">
        <v>0</v>
      </c>
      <c r="DI21" s="66"/>
      <c r="DJ21" s="67"/>
      <c r="DK21" s="560"/>
      <c r="DL21" s="560"/>
      <c r="DM21" s="67">
        <v>0</v>
      </c>
      <c r="DN21" s="66"/>
      <c r="DO21" s="67"/>
      <c r="DP21" s="560"/>
      <c r="DQ21" s="560"/>
      <c r="DR21" s="67">
        <v>0</v>
      </c>
      <c r="DS21" s="66"/>
      <c r="DT21" s="67"/>
      <c r="DU21" s="560"/>
      <c r="DV21" s="560"/>
      <c r="DW21" s="67">
        <v>0</v>
      </c>
      <c r="DX21" s="66"/>
      <c r="DY21" s="67"/>
      <c r="DZ21" s="560"/>
      <c r="EA21" s="560"/>
      <c r="EB21" s="67">
        <v>0</v>
      </c>
      <c r="EC21" s="66"/>
      <c r="ED21" s="67"/>
      <c r="EE21" s="560"/>
      <c r="EF21" s="560"/>
      <c r="EG21" s="67">
        <v>0</v>
      </c>
      <c r="EH21" s="66"/>
      <c r="EI21" s="67"/>
      <c r="EJ21" s="560"/>
      <c r="EK21" s="560"/>
      <c r="EL21" s="67">
        <f t="shared" si="1"/>
        <v>0</v>
      </c>
      <c r="EM21" s="66"/>
      <c r="EN21" s="442"/>
      <c r="EO21" s="455"/>
      <c r="EP21" s="472"/>
      <c r="EQ21" s="472"/>
    </row>
    <row r="22" spans="1:147" ht="12.75" hidden="1" customHeight="1" x14ac:dyDescent="0.2">
      <c r="A22" s="442"/>
      <c r="B22" s="442"/>
      <c r="D22" s="455" t="s">
        <v>417</v>
      </c>
      <c r="E22" s="465"/>
      <c r="F22" s="465"/>
      <c r="G22" s="67">
        <v>0</v>
      </c>
      <c r="H22" s="66"/>
      <c r="I22" s="67"/>
      <c r="J22" s="560"/>
      <c r="K22" s="560"/>
      <c r="L22" s="67">
        <v>0</v>
      </c>
      <c r="M22" s="66"/>
      <c r="N22" s="67"/>
      <c r="O22" s="560"/>
      <c r="P22" s="560"/>
      <c r="Q22" s="67">
        <v>0</v>
      </c>
      <c r="R22" s="66"/>
      <c r="S22" s="67"/>
      <c r="T22" s="560"/>
      <c r="U22" s="560"/>
      <c r="V22" s="67">
        <v>0</v>
      </c>
      <c r="W22" s="66"/>
      <c r="X22" s="67"/>
      <c r="Y22" s="560"/>
      <c r="Z22" s="560"/>
      <c r="AA22" s="67">
        <v>0</v>
      </c>
      <c r="AB22" s="66"/>
      <c r="AC22" s="67"/>
      <c r="AD22" s="560"/>
      <c r="AE22" s="560"/>
      <c r="AF22" s="67">
        <v>0</v>
      </c>
      <c r="AG22" s="66"/>
      <c r="AH22" s="67"/>
      <c r="AI22" s="560"/>
      <c r="AJ22" s="560"/>
      <c r="AK22" s="67">
        <v>0</v>
      </c>
      <c r="AL22" s="66"/>
      <c r="AM22" s="67"/>
      <c r="AN22" s="560"/>
      <c r="AO22" s="560"/>
      <c r="AP22" s="67">
        <v>0</v>
      </c>
      <c r="AQ22" s="66"/>
      <c r="AR22" s="67"/>
      <c r="AS22" s="560"/>
      <c r="AT22" s="560"/>
      <c r="AU22" s="67">
        <v>0</v>
      </c>
      <c r="AV22" s="66"/>
      <c r="AW22" s="67"/>
      <c r="AX22" s="560"/>
      <c r="AY22" s="560"/>
      <c r="AZ22" s="67">
        <v>0</v>
      </c>
      <c r="BA22" s="66"/>
      <c r="BB22" s="67"/>
      <c r="BC22" s="560"/>
      <c r="BD22" s="560"/>
      <c r="BE22" s="67">
        <v>0</v>
      </c>
      <c r="BF22" s="66"/>
      <c r="BG22" s="67"/>
      <c r="BH22" s="560"/>
      <c r="BI22" s="560"/>
      <c r="BJ22" s="67">
        <v>0</v>
      </c>
      <c r="BK22" s="66"/>
      <c r="BL22" s="67"/>
      <c r="BM22" s="560"/>
      <c r="BN22" s="560"/>
      <c r="BO22" s="67">
        <v>0</v>
      </c>
      <c r="BP22" s="66"/>
      <c r="BQ22" s="67"/>
      <c r="BR22" s="560"/>
      <c r="BS22" s="560"/>
      <c r="BT22" s="67">
        <f t="shared" si="0"/>
        <v>0</v>
      </c>
      <c r="BU22" s="66"/>
      <c r="BV22" s="67"/>
      <c r="BW22" s="560"/>
      <c r="BX22" s="560"/>
      <c r="BY22" s="67">
        <v>0</v>
      </c>
      <c r="BZ22" s="66"/>
      <c r="CA22" s="67"/>
      <c r="CB22" s="560"/>
      <c r="CC22" s="560"/>
      <c r="CD22" s="67">
        <v>0</v>
      </c>
      <c r="CE22" s="66"/>
      <c r="CF22" s="67"/>
      <c r="CG22" s="560"/>
      <c r="CH22" s="560"/>
      <c r="CI22" s="67">
        <v>0</v>
      </c>
      <c r="CJ22" s="66"/>
      <c r="CK22" s="67"/>
      <c r="CL22" s="560"/>
      <c r="CM22" s="560"/>
      <c r="CN22" s="67">
        <v>0</v>
      </c>
      <c r="CO22" s="66"/>
      <c r="CP22" s="67"/>
      <c r="CQ22" s="560"/>
      <c r="CR22" s="560"/>
      <c r="CS22" s="67">
        <v>0</v>
      </c>
      <c r="CT22" s="66"/>
      <c r="CU22" s="67"/>
      <c r="CV22" s="560"/>
      <c r="CW22" s="560"/>
      <c r="CX22" s="67">
        <v>0</v>
      </c>
      <c r="CY22" s="66"/>
      <c r="CZ22" s="67"/>
      <c r="DA22" s="560"/>
      <c r="DB22" s="560"/>
      <c r="DC22" s="67">
        <v>0</v>
      </c>
      <c r="DD22" s="66"/>
      <c r="DE22" s="67"/>
      <c r="DF22" s="560"/>
      <c r="DG22" s="560"/>
      <c r="DH22" s="67">
        <v>0</v>
      </c>
      <c r="DI22" s="66"/>
      <c r="DJ22" s="67"/>
      <c r="DK22" s="560"/>
      <c r="DL22" s="560"/>
      <c r="DM22" s="67">
        <v>0</v>
      </c>
      <c r="DN22" s="66"/>
      <c r="DO22" s="67"/>
      <c r="DP22" s="560"/>
      <c r="DQ22" s="560"/>
      <c r="DR22" s="67">
        <v>0</v>
      </c>
      <c r="DS22" s="66"/>
      <c r="DT22" s="67"/>
      <c r="DU22" s="560"/>
      <c r="DV22" s="560"/>
      <c r="DW22" s="67">
        <v>0</v>
      </c>
      <c r="DX22" s="66"/>
      <c r="DY22" s="67"/>
      <c r="DZ22" s="560"/>
      <c r="EA22" s="560"/>
      <c r="EB22" s="67">
        <v>0</v>
      </c>
      <c r="EC22" s="66"/>
      <c r="ED22" s="67"/>
      <c r="EE22" s="560"/>
      <c r="EF22" s="560"/>
      <c r="EG22" s="67">
        <v>0</v>
      </c>
      <c r="EH22" s="66"/>
      <c r="EI22" s="67"/>
      <c r="EJ22" s="560"/>
      <c r="EK22" s="560"/>
      <c r="EL22" s="67">
        <f t="shared" si="1"/>
        <v>0</v>
      </c>
      <c r="EM22" s="66"/>
      <c r="EN22" s="442"/>
      <c r="EO22" s="455"/>
      <c r="EP22" s="472"/>
      <c r="EQ22" s="472"/>
    </row>
    <row r="23" spans="1:147" ht="12.75" hidden="1" customHeight="1" x14ac:dyDescent="0.2">
      <c r="A23" s="442"/>
      <c r="B23" s="442"/>
      <c r="D23" s="455" t="s">
        <v>418</v>
      </c>
      <c r="E23" s="465"/>
      <c r="F23" s="465"/>
      <c r="G23" s="67">
        <v>0</v>
      </c>
      <c r="H23" s="66"/>
      <c r="I23" s="67"/>
      <c r="J23" s="560"/>
      <c r="K23" s="560"/>
      <c r="L23" s="67">
        <v>0</v>
      </c>
      <c r="M23" s="66"/>
      <c r="N23" s="67"/>
      <c r="O23" s="560"/>
      <c r="P23" s="560"/>
      <c r="Q23" s="67">
        <v>0</v>
      </c>
      <c r="R23" s="66"/>
      <c r="S23" s="67"/>
      <c r="T23" s="560"/>
      <c r="U23" s="560"/>
      <c r="V23" s="67">
        <v>0</v>
      </c>
      <c r="W23" s="66"/>
      <c r="X23" s="67"/>
      <c r="Y23" s="560"/>
      <c r="Z23" s="560"/>
      <c r="AA23" s="67">
        <v>0</v>
      </c>
      <c r="AB23" s="66"/>
      <c r="AC23" s="67"/>
      <c r="AD23" s="560"/>
      <c r="AE23" s="560"/>
      <c r="AF23" s="67">
        <v>0</v>
      </c>
      <c r="AG23" s="66"/>
      <c r="AH23" s="67"/>
      <c r="AI23" s="560"/>
      <c r="AJ23" s="560"/>
      <c r="AK23" s="67">
        <v>0</v>
      </c>
      <c r="AL23" s="66"/>
      <c r="AM23" s="67"/>
      <c r="AN23" s="560"/>
      <c r="AO23" s="560"/>
      <c r="AP23" s="67">
        <v>0</v>
      </c>
      <c r="AQ23" s="66"/>
      <c r="AR23" s="67"/>
      <c r="AS23" s="560"/>
      <c r="AT23" s="560"/>
      <c r="AU23" s="67">
        <v>0</v>
      </c>
      <c r="AV23" s="66"/>
      <c r="AW23" s="67"/>
      <c r="AX23" s="560"/>
      <c r="AY23" s="560"/>
      <c r="AZ23" s="67">
        <v>0</v>
      </c>
      <c r="BA23" s="66"/>
      <c r="BB23" s="67"/>
      <c r="BC23" s="560"/>
      <c r="BD23" s="560"/>
      <c r="BE23" s="67">
        <v>0</v>
      </c>
      <c r="BF23" s="66"/>
      <c r="BG23" s="67"/>
      <c r="BH23" s="560"/>
      <c r="BI23" s="560"/>
      <c r="BJ23" s="67">
        <v>0</v>
      </c>
      <c r="BK23" s="66"/>
      <c r="BL23" s="67"/>
      <c r="BM23" s="560"/>
      <c r="BN23" s="560"/>
      <c r="BO23" s="67">
        <v>0</v>
      </c>
      <c r="BP23" s="66"/>
      <c r="BQ23" s="67"/>
      <c r="BR23" s="560"/>
      <c r="BS23" s="560"/>
      <c r="BT23" s="67">
        <f t="shared" si="0"/>
        <v>0</v>
      </c>
      <c r="BU23" s="66"/>
      <c r="BV23" s="67"/>
      <c r="BW23" s="560"/>
      <c r="BX23" s="560"/>
      <c r="BY23" s="67">
        <v>0</v>
      </c>
      <c r="BZ23" s="66"/>
      <c r="CA23" s="67"/>
      <c r="CB23" s="560"/>
      <c r="CC23" s="560"/>
      <c r="CD23" s="67">
        <v>0</v>
      </c>
      <c r="CE23" s="66"/>
      <c r="CF23" s="67"/>
      <c r="CG23" s="560"/>
      <c r="CH23" s="560"/>
      <c r="CI23" s="67">
        <v>0</v>
      </c>
      <c r="CJ23" s="66"/>
      <c r="CK23" s="67"/>
      <c r="CL23" s="560"/>
      <c r="CM23" s="560"/>
      <c r="CN23" s="67">
        <v>0</v>
      </c>
      <c r="CO23" s="66"/>
      <c r="CP23" s="67"/>
      <c r="CQ23" s="560"/>
      <c r="CR23" s="560"/>
      <c r="CS23" s="67">
        <v>0</v>
      </c>
      <c r="CT23" s="66"/>
      <c r="CU23" s="67"/>
      <c r="CV23" s="560"/>
      <c r="CW23" s="560"/>
      <c r="CX23" s="67">
        <v>0</v>
      </c>
      <c r="CY23" s="66"/>
      <c r="CZ23" s="67"/>
      <c r="DA23" s="560"/>
      <c r="DB23" s="560"/>
      <c r="DC23" s="67">
        <v>0</v>
      </c>
      <c r="DD23" s="66"/>
      <c r="DE23" s="67"/>
      <c r="DF23" s="560"/>
      <c r="DG23" s="560"/>
      <c r="DH23" s="67">
        <v>0</v>
      </c>
      <c r="DI23" s="66"/>
      <c r="DJ23" s="67"/>
      <c r="DK23" s="560"/>
      <c r="DL23" s="560"/>
      <c r="DM23" s="67">
        <v>0</v>
      </c>
      <c r="DN23" s="66"/>
      <c r="DO23" s="67"/>
      <c r="DP23" s="560"/>
      <c r="DQ23" s="560"/>
      <c r="DR23" s="67">
        <v>0</v>
      </c>
      <c r="DS23" s="66"/>
      <c r="DT23" s="67"/>
      <c r="DU23" s="560"/>
      <c r="DV23" s="560"/>
      <c r="DW23" s="67">
        <v>0</v>
      </c>
      <c r="DX23" s="66"/>
      <c r="DY23" s="67"/>
      <c r="DZ23" s="560"/>
      <c r="EA23" s="560"/>
      <c r="EB23" s="67">
        <v>0</v>
      </c>
      <c r="EC23" s="66"/>
      <c r="ED23" s="67"/>
      <c r="EE23" s="560"/>
      <c r="EF23" s="560"/>
      <c r="EG23" s="67">
        <v>0</v>
      </c>
      <c r="EH23" s="66"/>
      <c r="EI23" s="67"/>
      <c r="EJ23" s="560"/>
      <c r="EK23" s="560"/>
      <c r="EL23" s="67">
        <f t="shared" si="1"/>
        <v>0</v>
      </c>
      <c r="EM23" s="66"/>
      <c r="EN23" s="442"/>
      <c r="EO23" s="455"/>
      <c r="EP23" s="472"/>
      <c r="EQ23" s="472"/>
    </row>
    <row r="24" spans="1:147" ht="12.75" customHeight="1" x14ac:dyDescent="0.2">
      <c r="A24" s="442"/>
      <c r="B24" s="442"/>
      <c r="D24" s="455" t="s">
        <v>419</v>
      </c>
      <c r="E24" s="465"/>
      <c r="F24" s="465"/>
      <c r="G24" s="67">
        <v>0</v>
      </c>
      <c r="H24" s="66"/>
      <c r="I24" s="67"/>
      <c r="J24" s="560"/>
      <c r="K24" s="560"/>
      <c r="L24" s="67">
        <v>0</v>
      </c>
      <c r="M24" s="66"/>
      <c r="N24" s="67"/>
      <c r="O24" s="560"/>
      <c r="P24" s="560"/>
      <c r="Q24" s="67">
        <v>0</v>
      </c>
      <c r="R24" s="66"/>
      <c r="S24" s="67"/>
      <c r="T24" s="560"/>
      <c r="U24" s="560"/>
      <c r="V24" s="67">
        <v>0</v>
      </c>
      <c r="W24" s="66"/>
      <c r="X24" s="67"/>
      <c r="Y24" s="560"/>
      <c r="Z24" s="560"/>
      <c r="AA24" s="67">
        <v>0</v>
      </c>
      <c r="AB24" s="66"/>
      <c r="AC24" s="67"/>
      <c r="AD24" s="560"/>
      <c r="AE24" s="560"/>
      <c r="AF24" s="67">
        <v>0</v>
      </c>
      <c r="AG24" s="66"/>
      <c r="AH24" s="67"/>
      <c r="AI24" s="560"/>
      <c r="AJ24" s="560"/>
      <c r="AK24" s="67">
        <v>0</v>
      </c>
      <c r="AL24" s="66"/>
      <c r="AM24" s="67"/>
      <c r="AN24" s="560"/>
      <c r="AO24" s="560"/>
      <c r="AP24" s="67">
        <v>0</v>
      </c>
      <c r="AQ24" s="66"/>
      <c r="AR24" s="67"/>
      <c r="AS24" s="560"/>
      <c r="AT24" s="560"/>
      <c r="AU24" s="67">
        <v>0</v>
      </c>
      <c r="AV24" s="66"/>
      <c r="AW24" s="67"/>
      <c r="AX24" s="560"/>
      <c r="AY24" s="560"/>
      <c r="AZ24" s="67">
        <v>0</v>
      </c>
      <c r="BA24" s="66"/>
      <c r="BB24" s="67"/>
      <c r="BC24" s="560"/>
      <c r="BD24" s="560"/>
      <c r="BE24" s="67">
        <v>0</v>
      </c>
      <c r="BF24" s="66"/>
      <c r="BG24" s="67"/>
      <c r="BH24" s="560"/>
      <c r="BI24" s="560"/>
      <c r="BJ24" s="67">
        <v>0</v>
      </c>
      <c r="BK24" s="66"/>
      <c r="BL24" s="67"/>
      <c r="BM24" s="560"/>
      <c r="BN24" s="560"/>
      <c r="BO24" s="67">
        <v>0</v>
      </c>
      <c r="BP24" s="66"/>
      <c r="BQ24" s="67"/>
      <c r="BR24" s="560"/>
      <c r="BS24" s="560"/>
      <c r="BT24" s="67">
        <f t="shared" si="0"/>
        <v>0</v>
      </c>
      <c r="BU24" s="66"/>
      <c r="BV24" s="67"/>
      <c r="BW24" s="560"/>
      <c r="BX24" s="560"/>
      <c r="BY24" s="67">
        <v>150000</v>
      </c>
      <c r="BZ24" s="66"/>
      <c r="CA24" s="67"/>
      <c r="CB24" s="560"/>
      <c r="CC24" s="560"/>
      <c r="CD24" s="67">
        <v>0</v>
      </c>
      <c r="CE24" s="66"/>
      <c r="CF24" s="67"/>
      <c r="CG24" s="560"/>
      <c r="CH24" s="560"/>
      <c r="CI24" s="67">
        <v>0</v>
      </c>
      <c r="CJ24" s="66"/>
      <c r="CK24" s="67"/>
      <c r="CL24" s="560"/>
      <c r="CM24" s="560"/>
      <c r="CN24" s="67">
        <v>0</v>
      </c>
      <c r="CO24" s="66"/>
      <c r="CP24" s="67"/>
      <c r="CQ24" s="560"/>
      <c r="CR24" s="560"/>
      <c r="CS24" s="67">
        <v>0</v>
      </c>
      <c r="CT24" s="66"/>
      <c r="CU24" s="67"/>
      <c r="CV24" s="560"/>
      <c r="CW24" s="560"/>
      <c r="CX24" s="67">
        <v>0</v>
      </c>
      <c r="CY24" s="66"/>
      <c r="CZ24" s="67"/>
      <c r="DA24" s="560"/>
      <c r="DB24" s="560"/>
      <c r="DC24" s="67">
        <v>150000</v>
      </c>
      <c r="DD24" s="66"/>
      <c r="DE24" s="67"/>
      <c r="DF24" s="560"/>
      <c r="DG24" s="560"/>
      <c r="DH24" s="67">
        <v>0</v>
      </c>
      <c r="DI24" s="66"/>
      <c r="DJ24" s="67"/>
      <c r="DK24" s="560"/>
      <c r="DL24" s="560"/>
      <c r="DM24" s="67">
        <v>0</v>
      </c>
      <c r="DN24" s="66"/>
      <c r="DO24" s="67"/>
      <c r="DP24" s="560"/>
      <c r="DQ24" s="560"/>
      <c r="DR24" s="67">
        <v>0</v>
      </c>
      <c r="DS24" s="66"/>
      <c r="DT24" s="67"/>
      <c r="DU24" s="560"/>
      <c r="DV24" s="560"/>
      <c r="DW24" s="67">
        <v>0</v>
      </c>
      <c r="DX24" s="66"/>
      <c r="DY24" s="67"/>
      <c r="DZ24" s="560"/>
      <c r="EA24" s="560"/>
      <c r="EB24" s="67">
        <v>0</v>
      </c>
      <c r="EC24" s="66"/>
      <c r="ED24" s="67"/>
      <c r="EE24" s="560"/>
      <c r="EF24" s="560"/>
      <c r="EG24" s="67">
        <v>0</v>
      </c>
      <c r="EH24" s="66"/>
      <c r="EI24" s="67"/>
      <c r="EJ24" s="560"/>
      <c r="EK24" s="560"/>
      <c r="EL24" s="67">
        <f t="shared" si="1"/>
        <v>0</v>
      </c>
      <c r="EM24" s="66"/>
      <c r="EN24" s="442"/>
      <c r="EO24" s="455"/>
      <c r="EP24" s="472"/>
      <c r="EQ24" s="472"/>
    </row>
    <row r="25" spans="1:147" ht="12.75" customHeight="1" x14ac:dyDescent="0.2">
      <c r="A25" s="442"/>
      <c r="B25" s="442"/>
      <c r="D25" s="455" t="s">
        <v>420</v>
      </c>
      <c r="E25" s="465"/>
      <c r="F25" s="465"/>
      <c r="G25" s="67">
        <v>0</v>
      </c>
      <c r="H25" s="66"/>
      <c r="I25" s="67"/>
      <c r="J25" s="560"/>
      <c r="K25" s="560"/>
      <c r="L25" s="67">
        <v>0</v>
      </c>
      <c r="M25" s="66"/>
      <c r="N25" s="67"/>
      <c r="O25" s="560"/>
      <c r="P25" s="560"/>
      <c r="Q25" s="67">
        <v>0</v>
      </c>
      <c r="R25" s="66"/>
      <c r="S25" s="67"/>
      <c r="T25" s="560"/>
      <c r="U25" s="560"/>
      <c r="V25" s="67">
        <v>0</v>
      </c>
      <c r="W25" s="66"/>
      <c r="X25" s="67"/>
      <c r="Y25" s="560"/>
      <c r="Z25" s="560"/>
      <c r="AA25" s="67">
        <v>0</v>
      </c>
      <c r="AB25" s="66"/>
      <c r="AC25" s="67"/>
      <c r="AD25" s="560"/>
      <c r="AE25" s="560"/>
      <c r="AF25" s="67">
        <v>0</v>
      </c>
      <c r="AG25" s="66"/>
      <c r="AH25" s="67"/>
      <c r="AI25" s="560"/>
      <c r="AJ25" s="560"/>
      <c r="AK25" s="67">
        <v>0</v>
      </c>
      <c r="AL25" s="66"/>
      <c r="AM25" s="67"/>
      <c r="AN25" s="560"/>
      <c r="AO25" s="560"/>
      <c r="AP25" s="67">
        <v>0</v>
      </c>
      <c r="AQ25" s="66"/>
      <c r="AR25" s="67"/>
      <c r="AS25" s="560"/>
      <c r="AT25" s="560"/>
      <c r="AU25" s="67">
        <v>0</v>
      </c>
      <c r="AV25" s="66"/>
      <c r="AW25" s="67"/>
      <c r="AX25" s="560"/>
      <c r="AY25" s="560"/>
      <c r="AZ25" s="67">
        <v>0</v>
      </c>
      <c r="BA25" s="66"/>
      <c r="BB25" s="67"/>
      <c r="BC25" s="560"/>
      <c r="BD25" s="560"/>
      <c r="BE25" s="67">
        <v>0</v>
      </c>
      <c r="BF25" s="66"/>
      <c r="BG25" s="67"/>
      <c r="BH25" s="560"/>
      <c r="BI25" s="560"/>
      <c r="BJ25" s="67">
        <v>0</v>
      </c>
      <c r="BK25" s="66"/>
      <c r="BL25" s="67"/>
      <c r="BM25" s="560"/>
      <c r="BN25" s="560"/>
      <c r="BO25" s="67">
        <v>0</v>
      </c>
      <c r="BP25" s="66"/>
      <c r="BQ25" s="67"/>
      <c r="BR25" s="560"/>
      <c r="BS25" s="560"/>
      <c r="BT25" s="67">
        <f t="shared" si="0"/>
        <v>0</v>
      </c>
      <c r="BU25" s="66"/>
      <c r="BV25" s="67"/>
      <c r="BW25" s="560"/>
      <c r="BX25" s="560"/>
      <c r="BY25" s="67">
        <v>12</v>
      </c>
      <c r="BZ25" s="66"/>
      <c r="CA25" s="67"/>
      <c r="CB25" s="560"/>
      <c r="CC25" s="560"/>
      <c r="CD25" s="67">
        <v>0</v>
      </c>
      <c r="CE25" s="66"/>
      <c r="CF25" s="67"/>
      <c r="CG25" s="560"/>
      <c r="CH25" s="560"/>
      <c r="CI25" s="67">
        <v>0</v>
      </c>
      <c r="CJ25" s="66"/>
      <c r="CK25" s="67"/>
      <c r="CL25" s="560"/>
      <c r="CM25" s="560"/>
      <c r="CN25" s="67">
        <v>0</v>
      </c>
      <c r="CO25" s="66"/>
      <c r="CP25" s="67"/>
      <c r="CQ25" s="560"/>
      <c r="CR25" s="560"/>
      <c r="CS25" s="67">
        <v>9</v>
      </c>
      <c r="CT25" s="66"/>
      <c r="CU25" s="67"/>
      <c r="CV25" s="560"/>
      <c r="CW25" s="560"/>
      <c r="CX25" s="67">
        <v>0</v>
      </c>
      <c r="CY25" s="66"/>
      <c r="CZ25" s="67"/>
      <c r="DA25" s="560"/>
      <c r="DB25" s="560"/>
      <c r="DC25" s="67">
        <v>0</v>
      </c>
      <c r="DD25" s="66"/>
      <c r="DE25" s="67"/>
      <c r="DF25" s="560"/>
      <c r="DG25" s="560"/>
      <c r="DH25" s="67">
        <v>2</v>
      </c>
      <c r="DI25" s="66"/>
      <c r="DJ25" s="67"/>
      <c r="DK25" s="560"/>
      <c r="DL25" s="560"/>
      <c r="DM25" s="67">
        <v>0</v>
      </c>
      <c r="DN25" s="66"/>
      <c r="DO25" s="67"/>
      <c r="DP25" s="560"/>
      <c r="DQ25" s="560"/>
      <c r="DR25" s="67">
        <v>1</v>
      </c>
      <c r="DS25" s="66"/>
      <c r="DT25" s="67"/>
      <c r="DU25" s="560"/>
      <c r="DV25" s="560"/>
      <c r="DW25" s="67">
        <v>0</v>
      </c>
      <c r="DX25" s="66"/>
      <c r="DY25" s="67"/>
      <c r="DZ25" s="560"/>
      <c r="EA25" s="560"/>
      <c r="EB25" s="67">
        <v>0</v>
      </c>
      <c r="EC25" s="66"/>
      <c r="ED25" s="67"/>
      <c r="EE25" s="560"/>
      <c r="EF25" s="560"/>
      <c r="EG25" s="67">
        <v>0</v>
      </c>
      <c r="EH25" s="66"/>
      <c r="EI25" s="67"/>
      <c r="EJ25" s="560"/>
      <c r="EK25" s="560"/>
      <c r="EL25" s="67">
        <f t="shared" si="1"/>
        <v>0</v>
      </c>
      <c r="EM25" s="66"/>
      <c r="EN25" s="442"/>
      <c r="EO25" s="455"/>
      <c r="EP25" s="472"/>
      <c r="EQ25" s="472"/>
    </row>
    <row r="26" spans="1:147" ht="12.75" customHeight="1" x14ac:dyDescent="0.2">
      <c r="A26" s="442"/>
      <c r="B26" s="442"/>
      <c r="D26" s="455" t="s">
        <v>341</v>
      </c>
      <c r="E26" s="465"/>
      <c r="F26" s="465"/>
      <c r="G26" s="67">
        <v>3500000</v>
      </c>
      <c r="H26" s="66"/>
      <c r="I26" s="67"/>
      <c r="J26" s="560"/>
      <c r="K26" s="560"/>
      <c r="L26" s="67">
        <v>1200137</v>
      </c>
      <c r="M26" s="66"/>
      <c r="N26" s="67"/>
      <c r="O26" s="560"/>
      <c r="P26" s="560"/>
      <c r="Q26" s="67">
        <v>335047</v>
      </c>
      <c r="R26" s="66"/>
      <c r="S26" s="67"/>
      <c r="T26" s="560"/>
      <c r="U26" s="560"/>
      <c r="V26" s="67">
        <v>0</v>
      </c>
      <c r="W26" s="66"/>
      <c r="X26" s="67"/>
      <c r="Y26" s="560"/>
      <c r="Z26" s="560"/>
      <c r="AA26" s="67">
        <v>0</v>
      </c>
      <c r="AB26" s="66"/>
      <c r="AC26" s="67"/>
      <c r="AD26" s="560"/>
      <c r="AE26" s="560"/>
      <c r="AF26" s="67">
        <v>0</v>
      </c>
      <c r="AG26" s="66"/>
      <c r="AH26" s="67"/>
      <c r="AI26" s="560"/>
      <c r="AJ26" s="560"/>
      <c r="AK26" s="67">
        <v>0</v>
      </c>
      <c r="AL26" s="66"/>
      <c r="AM26" s="67"/>
      <c r="AN26" s="560"/>
      <c r="AO26" s="560"/>
      <c r="AP26" s="67">
        <v>0</v>
      </c>
      <c r="AQ26" s="66"/>
      <c r="AR26" s="67"/>
      <c r="AS26" s="560"/>
      <c r="AT26" s="560"/>
      <c r="AU26" s="67">
        <v>0</v>
      </c>
      <c r="AV26" s="66"/>
      <c r="AW26" s="67"/>
      <c r="AX26" s="560"/>
      <c r="AY26" s="560"/>
      <c r="AZ26" s="67">
        <v>0</v>
      </c>
      <c r="BA26" s="66"/>
      <c r="BB26" s="67"/>
      <c r="BC26" s="560"/>
      <c r="BD26" s="560"/>
      <c r="BE26" s="67">
        <v>0</v>
      </c>
      <c r="BF26" s="66"/>
      <c r="BG26" s="67"/>
      <c r="BH26" s="560"/>
      <c r="BI26" s="560"/>
      <c r="BJ26" s="67">
        <v>0</v>
      </c>
      <c r="BK26" s="66"/>
      <c r="BL26" s="67"/>
      <c r="BM26" s="560"/>
      <c r="BN26" s="560"/>
      <c r="BO26" s="67">
        <v>0</v>
      </c>
      <c r="BP26" s="66"/>
      <c r="BQ26" s="67"/>
      <c r="BR26" s="560"/>
      <c r="BS26" s="560"/>
      <c r="BT26" s="67">
        <f>SUM(L26:BO26)</f>
        <v>1535184</v>
      </c>
      <c r="BU26" s="66"/>
      <c r="BV26" s="67"/>
      <c r="BW26" s="560"/>
      <c r="BX26" s="560"/>
      <c r="BY26" s="67">
        <v>3393035</v>
      </c>
      <c r="BZ26" s="66"/>
      <c r="CA26" s="67"/>
      <c r="CB26" s="560"/>
      <c r="CC26" s="560"/>
      <c r="CD26" s="67">
        <v>334508</v>
      </c>
      <c r="CE26" s="66"/>
      <c r="CF26" s="67"/>
      <c r="CG26" s="560"/>
      <c r="CH26" s="560"/>
      <c r="CI26" s="67">
        <v>254394</v>
      </c>
      <c r="CJ26" s="66"/>
      <c r="CK26" s="67"/>
      <c r="CL26" s="560"/>
      <c r="CM26" s="560"/>
      <c r="CN26" s="67">
        <v>251090</v>
      </c>
      <c r="CO26" s="66"/>
      <c r="CP26" s="67"/>
      <c r="CQ26" s="560"/>
      <c r="CR26" s="560"/>
      <c r="CS26" s="67">
        <v>239590</v>
      </c>
      <c r="CT26" s="66"/>
      <c r="CU26" s="67"/>
      <c r="CV26" s="560"/>
      <c r="CW26" s="560"/>
      <c r="CX26" s="67">
        <v>317003</v>
      </c>
      <c r="CY26" s="66"/>
      <c r="CZ26" s="67"/>
      <c r="DA26" s="560"/>
      <c r="DB26" s="560"/>
      <c r="DC26" s="67">
        <v>314401</v>
      </c>
      <c r="DD26" s="66"/>
      <c r="DE26" s="67"/>
      <c r="DF26" s="560"/>
      <c r="DG26" s="560"/>
      <c r="DH26" s="67">
        <v>190970</v>
      </c>
      <c r="DI26" s="66"/>
      <c r="DJ26" s="67"/>
      <c r="DK26" s="560"/>
      <c r="DL26" s="560"/>
      <c r="DM26" s="67">
        <v>372701</v>
      </c>
      <c r="DN26" s="66"/>
      <c r="DO26" s="67"/>
      <c r="DP26" s="560"/>
      <c r="DQ26" s="560"/>
      <c r="DR26" s="67">
        <v>335950</v>
      </c>
      <c r="DS26" s="66"/>
      <c r="DT26" s="67"/>
      <c r="DU26" s="560"/>
      <c r="DV26" s="560"/>
      <c r="DW26" s="67">
        <v>245115</v>
      </c>
      <c r="DX26" s="66"/>
      <c r="DY26" s="67"/>
      <c r="DZ26" s="560"/>
      <c r="EA26" s="560"/>
      <c r="EB26" s="67">
        <v>239823</v>
      </c>
      <c r="EC26" s="66"/>
      <c r="ED26" s="67"/>
      <c r="EE26" s="560"/>
      <c r="EF26" s="560"/>
      <c r="EG26" s="67">
        <v>297490</v>
      </c>
      <c r="EH26" s="66"/>
      <c r="EI26" s="67"/>
      <c r="EJ26" s="560"/>
      <c r="EK26" s="560"/>
      <c r="EL26" s="67">
        <f t="shared" si="1"/>
        <v>588902</v>
      </c>
      <c r="EM26" s="66"/>
      <c r="EN26" s="442"/>
      <c r="EO26" s="455"/>
      <c r="EP26" s="472"/>
      <c r="EQ26" s="472"/>
    </row>
    <row r="27" spans="1:147" x14ac:dyDescent="0.2">
      <c r="A27" s="442"/>
      <c r="B27" s="442"/>
      <c r="D27" s="455" t="s">
        <v>421</v>
      </c>
      <c r="E27" s="465"/>
      <c r="F27" s="488"/>
      <c r="G27" s="113">
        <v>0</v>
      </c>
      <c r="H27" s="112"/>
      <c r="I27" s="67"/>
      <c r="J27" s="560"/>
      <c r="K27" s="569"/>
      <c r="L27" s="113">
        <v>0</v>
      </c>
      <c r="M27" s="112"/>
      <c r="N27" s="67"/>
      <c r="O27" s="560"/>
      <c r="P27" s="569"/>
      <c r="Q27" s="113">
        <v>0</v>
      </c>
      <c r="R27" s="112"/>
      <c r="S27" s="67"/>
      <c r="T27" s="560"/>
      <c r="U27" s="569"/>
      <c r="V27" s="113">
        <v>0</v>
      </c>
      <c r="W27" s="112"/>
      <c r="X27" s="67"/>
      <c r="Y27" s="560"/>
      <c r="Z27" s="569"/>
      <c r="AA27" s="113">
        <v>0</v>
      </c>
      <c r="AB27" s="112"/>
      <c r="AC27" s="67"/>
      <c r="AD27" s="560"/>
      <c r="AE27" s="569"/>
      <c r="AF27" s="113">
        <v>0</v>
      </c>
      <c r="AG27" s="112"/>
      <c r="AH27" s="67"/>
      <c r="AI27" s="560"/>
      <c r="AJ27" s="569"/>
      <c r="AK27" s="113">
        <v>0</v>
      </c>
      <c r="AL27" s="112"/>
      <c r="AM27" s="67"/>
      <c r="AN27" s="560"/>
      <c r="AO27" s="569"/>
      <c r="AP27" s="113">
        <v>0</v>
      </c>
      <c r="AQ27" s="112"/>
      <c r="AR27" s="67"/>
      <c r="AS27" s="560"/>
      <c r="AT27" s="569"/>
      <c r="AU27" s="113">
        <v>0</v>
      </c>
      <c r="AV27" s="112"/>
      <c r="AW27" s="67"/>
      <c r="AX27" s="560"/>
      <c r="AY27" s="569"/>
      <c r="AZ27" s="113">
        <v>0</v>
      </c>
      <c r="BA27" s="112"/>
      <c r="BB27" s="67"/>
      <c r="BC27" s="560"/>
      <c r="BD27" s="569"/>
      <c r="BE27" s="113">
        <v>0</v>
      </c>
      <c r="BF27" s="112"/>
      <c r="BG27" s="67"/>
      <c r="BH27" s="560"/>
      <c r="BI27" s="569"/>
      <c r="BJ27" s="113">
        <v>0</v>
      </c>
      <c r="BK27" s="112"/>
      <c r="BL27" s="67"/>
      <c r="BM27" s="560"/>
      <c r="BN27" s="569"/>
      <c r="BO27" s="113">
        <v>0</v>
      </c>
      <c r="BP27" s="112"/>
      <c r="BQ27" s="67"/>
      <c r="BR27" s="560"/>
      <c r="BS27" s="569"/>
      <c r="BT27" s="113">
        <f t="shared" si="0"/>
        <v>0</v>
      </c>
      <c r="BU27" s="112"/>
      <c r="BV27" s="67"/>
      <c r="BW27" s="560"/>
      <c r="BX27" s="569"/>
      <c r="BY27" s="113">
        <v>4</v>
      </c>
      <c r="BZ27" s="112"/>
      <c r="CA27" s="67"/>
      <c r="CB27" s="560"/>
      <c r="CC27" s="569"/>
      <c r="CD27" s="113">
        <v>4</v>
      </c>
      <c r="CE27" s="112"/>
      <c r="CF27" s="67"/>
      <c r="CG27" s="560"/>
      <c r="CH27" s="569"/>
      <c r="CI27" s="113">
        <v>0</v>
      </c>
      <c r="CJ27" s="112"/>
      <c r="CK27" s="67"/>
      <c r="CL27" s="560"/>
      <c r="CM27" s="569"/>
      <c r="CN27" s="113">
        <v>0</v>
      </c>
      <c r="CO27" s="112"/>
      <c r="CP27" s="67"/>
      <c r="CQ27" s="560"/>
      <c r="CR27" s="569"/>
      <c r="CS27" s="113">
        <v>0</v>
      </c>
      <c r="CT27" s="112"/>
      <c r="CU27" s="67"/>
      <c r="CV27" s="560"/>
      <c r="CW27" s="569"/>
      <c r="CX27" s="113">
        <v>0</v>
      </c>
      <c r="CY27" s="112"/>
      <c r="CZ27" s="67"/>
      <c r="DA27" s="560"/>
      <c r="DB27" s="569"/>
      <c r="DC27" s="113">
        <v>0</v>
      </c>
      <c r="DD27" s="112"/>
      <c r="DE27" s="67"/>
      <c r="DF27" s="560"/>
      <c r="DG27" s="569"/>
      <c r="DH27" s="113">
        <v>0</v>
      </c>
      <c r="DI27" s="112"/>
      <c r="DJ27" s="67"/>
      <c r="DK27" s="560"/>
      <c r="DL27" s="569"/>
      <c r="DM27" s="113">
        <v>0</v>
      </c>
      <c r="DN27" s="112"/>
      <c r="DO27" s="67"/>
      <c r="DP27" s="560"/>
      <c r="DQ27" s="569"/>
      <c r="DR27" s="113">
        <v>0</v>
      </c>
      <c r="DS27" s="112"/>
      <c r="DT27" s="67"/>
      <c r="DU27" s="560"/>
      <c r="DV27" s="569"/>
      <c r="DW27" s="113">
        <v>0</v>
      </c>
      <c r="DX27" s="112"/>
      <c r="DY27" s="67"/>
      <c r="DZ27" s="560"/>
      <c r="EA27" s="569"/>
      <c r="EB27" s="113">
        <v>0</v>
      </c>
      <c r="EC27" s="112"/>
      <c r="ED27" s="67"/>
      <c r="EE27" s="560"/>
      <c r="EF27" s="569"/>
      <c r="EG27" s="113">
        <v>0</v>
      </c>
      <c r="EH27" s="112"/>
      <c r="EI27" s="67"/>
      <c r="EJ27" s="560"/>
      <c r="EK27" s="569"/>
      <c r="EL27" s="113">
        <f t="shared" si="1"/>
        <v>4</v>
      </c>
      <c r="EM27" s="112"/>
      <c r="EN27" s="442"/>
      <c r="EO27" s="455"/>
      <c r="EP27" s="472"/>
      <c r="EQ27" s="472"/>
    </row>
    <row r="28" spans="1:147" ht="12.75" hidden="1" customHeight="1" x14ac:dyDescent="0.2">
      <c r="A28" s="442"/>
      <c r="B28" s="442"/>
      <c r="D28" s="455" t="s">
        <v>422</v>
      </c>
      <c r="E28" s="465"/>
      <c r="F28" s="488"/>
      <c r="G28" s="113">
        <v>0</v>
      </c>
      <c r="H28" s="112"/>
      <c r="I28" s="67"/>
      <c r="J28" s="560"/>
      <c r="K28" s="569"/>
      <c r="L28" s="113">
        <v>0</v>
      </c>
      <c r="M28" s="112"/>
      <c r="N28" s="67"/>
      <c r="O28" s="560"/>
      <c r="P28" s="569"/>
      <c r="Q28" s="113">
        <v>0</v>
      </c>
      <c r="R28" s="112"/>
      <c r="S28" s="67"/>
      <c r="T28" s="560"/>
      <c r="U28" s="569"/>
      <c r="V28" s="113">
        <v>0</v>
      </c>
      <c r="W28" s="112"/>
      <c r="X28" s="67"/>
      <c r="Y28" s="560"/>
      <c r="Z28" s="569"/>
      <c r="AA28" s="113">
        <v>0</v>
      </c>
      <c r="AB28" s="112"/>
      <c r="AC28" s="67"/>
      <c r="AD28" s="560"/>
      <c r="AE28" s="569"/>
      <c r="AF28" s="113">
        <v>0</v>
      </c>
      <c r="AG28" s="112"/>
      <c r="AH28" s="67"/>
      <c r="AI28" s="560"/>
      <c r="AJ28" s="569"/>
      <c r="AK28" s="113">
        <v>0</v>
      </c>
      <c r="AL28" s="112"/>
      <c r="AM28" s="67"/>
      <c r="AN28" s="560"/>
      <c r="AO28" s="569"/>
      <c r="AP28" s="113">
        <v>0</v>
      </c>
      <c r="AQ28" s="112"/>
      <c r="AR28" s="67"/>
      <c r="AS28" s="560"/>
      <c r="AT28" s="569"/>
      <c r="AU28" s="113">
        <v>0</v>
      </c>
      <c r="AV28" s="112"/>
      <c r="AW28" s="67"/>
      <c r="AX28" s="560"/>
      <c r="AY28" s="569"/>
      <c r="AZ28" s="113">
        <v>0</v>
      </c>
      <c r="BA28" s="112"/>
      <c r="BB28" s="67"/>
      <c r="BC28" s="560"/>
      <c r="BD28" s="569"/>
      <c r="BE28" s="113">
        <v>0</v>
      </c>
      <c r="BF28" s="112"/>
      <c r="BG28" s="67"/>
      <c r="BH28" s="560"/>
      <c r="BI28" s="569"/>
      <c r="BJ28" s="113">
        <v>0</v>
      </c>
      <c r="BK28" s="112"/>
      <c r="BL28" s="67"/>
      <c r="BM28" s="560"/>
      <c r="BN28" s="569"/>
      <c r="BO28" s="113">
        <v>0</v>
      </c>
      <c r="BP28" s="112"/>
      <c r="BQ28" s="67"/>
      <c r="BR28" s="560"/>
      <c r="BS28" s="569"/>
      <c r="BT28" s="113">
        <f t="shared" si="0"/>
        <v>0</v>
      </c>
      <c r="BU28" s="112"/>
      <c r="BV28" s="67"/>
      <c r="BW28" s="560"/>
      <c r="BX28" s="569"/>
      <c r="BY28" s="113">
        <f>SUM(Q28:BT28)</f>
        <v>0</v>
      </c>
      <c r="BZ28" s="112"/>
      <c r="CA28" s="67"/>
      <c r="CB28" s="560"/>
      <c r="CC28" s="569"/>
      <c r="CD28" s="113">
        <v>0</v>
      </c>
      <c r="CE28" s="112"/>
      <c r="CF28" s="67"/>
      <c r="CG28" s="560"/>
      <c r="CH28" s="569"/>
      <c r="CI28" s="113">
        <v>0</v>
      </c>
      <c r="CJ28" s="112"/>
      <c r="CK28" s="67"/>
      <c r="CL28" s="560"/>
      <c r="CM28" s="569"/>
      <c r="CN28" s="113">
        <v>0</v>
      </c>
      <c r="CO28" s="112"/>
      <c r="CP28" s="67"/>
      <c r="CQ28" s="560"/>
      <c r="CR28" s="569"/>
      <c r="CS28" s="113">
        <v>0</v>
      </c>
      <c r="CT28" s="112"/>
      <c r="CU28" s="67"/>
      <c r="CV28" s="560"/>
      <c r="CW28" s="569"/>
      <c r="CX28" s="113">
        <v>0</v>
      </c>
      <c r="CY28" s="112"/>
      <c r="CZ28" s="67"/>
      <c r="DA28" s="560"/>
      <c r="DB28" s="569"/>
      <c r="DC28" s="113">
        <v>0</v>
      </c>
      <c r="DD28" s="112"/>
      <c r="DE28" s="67"/>
      <c r="DF28" s="560"/>
      <c r="DG28" s="569"/>
      <c r="DH28" s="113">
        <v>0</v>
      </c>
      <c r="DI28" s="112"/>
      <c r="DJ28" s="67"/>
      <c r="DK28" s="560"/>
      <c r="DL28" s="569"/>
      <c r="DM28" s="113">
        <v>0</v>
      </c>
      <c r="DN28" s="112"/>
      <c r="DO28" s="67"/>
      <c r="DP28" s="560"/>
      <c r="DQ28" s="569"/>
      <c r="DR28" s="113">
        <v>0</v>
      </c>
      <c r="DS28" s="112"/>
      <c r="DT28" s="67"/>
      <c r="DU28" s="560"/>
      <c r="DV28" s="569"/>
      <c r="DW28" s="113">
        <v>0</v>
      </c>
      <c r="DX28" s="112"/>
      <c r="DY28" s="67"/>
      <c r="DZ28" s="560"/>
      <c r="EA28" s="569"/>
      <c r="EB28" s="113">
        <v>0</v>
      </c>
      <c r="EC28" s="112"/>
      <c r="ED28" s="67"/>
      <c r="EE28" s="560"/>
      <c r="EF28" s="569"/>
      <c r="EG28" s="113">
        <v>0</v>
      </c>
      <c r="EH28" s="112"/>
      <c r="EI28" s="67"/>
      <c r="EJ28" s="560"/>
      <c r="EK28" s="569"/>
      <c r="EL28" s="113">
        <f>SUM(CD28:EG28)</f>
        <v>0</v>
      </c>
      <c r="EM28" s="490"/>
      <c r="EN28" s="442"/>
      <c r="EO28" s="455"/>
      <c r="EP28" s="472"/>
      <c r="EQ28" s="472"/>
    </row>
    <row r="29" spans="1:147" x14ac:dyDescent="0.2">
      <c r="A29" s="442"/>
      <c r="B29" s="442"/>
      <c r="D29" s="455"/>
      <c r="E29" s="465"/>
      <c r="F29" s="442"/>
      <c r="G29" s="67"/>
      <c r="H29" s="67"/>
      <c r="I29" s="67"/>
      <c r="J29" s="560"/>
      <c r="K29" s="67"/>
      <c r="L29" s="67"/>
      <c r="M29" s="67"/>
      <c r="N29" s="67"/>
      <c r="O29" s="560"/>
      <c r="P29" s="67"/>
      <c r="Q29" s="67"/>
      <c r="R29" s="67"/>
      <c r="S29" s="67"/>
      <c r="T29" s="560"/>
      <c r="U29" s="67"/>
      <c r="V29" s="67"/>
      <c r="W29" s="67"/>
      <c r="X29" s="67"/>
      <c r="Y29" s="560"/>
      <c r="Z29" s="67"/>
      <c r="AA29" s="67"/>
      <c r="AB29" s="67"/>
      <c r="AC29" s="67"/>
      <c r="AD29" s="560"/>
      <c r="AE29" s="67"/>
      <c r="AF29" s="67"/>
      <c r="AG29" s="67"/>
      <c r="AH29" s="67"/>
      <c r="AI29" s="560"/>
      <c r="AJ29" s="67"/>
      <c r="AK29" s="67"/>
      <c r="AL29" s="67"/>
      <c r="AM29" s="67"/>
      <c r="AN29" s="560"/>
      <c r="AO29" s="67"/>
      <c r="AP29" s="67"/>
      <c r="AQ29" s="67"/>
      <c r="AR29" s="67"/>
      <c r="AS29" s="560"/>
      <c r="AT29" s="67"/>
      <c r="AU29" s="67"/>
      <c r="AV29" s="67"/>
      <c r="AW29" s="67"/>
      <c r="AX29" s="560"/>
      <c r="AY29" s="67"/>
      <c r="AZ29" s="67"/>
      <c r="BA29" s="67"/>
      <c r="BB29" s="67"/>
      <c r="BC29" s="560"/>
      <c r="BD29" s="67"/>
      <c r="BE29" s="67"/>
      <c r="BF29" s="67"/>
      <c r="BG29" s="67"/>
      <c r="BH29" s="560"/>
      <c r="BI29" s="67"/>
      <c r="BJ29" s="67"/>
      <c r="BK29" s="67"/>
      <c r="BL29" s="67"/>
      <c r="BM29" s="560"/>
      <c r="BN29" s="67"/>
      <c r="BO29" s="67"/>
      <c r="BP29" s="67"/>
      <c r="BQ29" s="67"/>
      <c r="BR29" s="560"/>
      <c r="BS29" s="67"/>
      <c r="BT29" s="67"/>
      <c r="BU29" s="67"/>
      <c r="BV29" s="67"/>
      <c r="BW29" s="560"/>
      <c r="BX29" s="67"/>
      <c r="BY29" s="67"/>
      <c r="BZ29" s="67"/>
      <c r="CA29" s="67"/>
      <c r="CB29" s="560"/>
      <c r="CC29" s="67"/>
      <c r="CD29" s="67"/>
      <c r="CE29" s="67"/>
      <c r="CF29" s="67"/>
      <c r="CG29" s="560"/>
      <c r="CH29" s="67"/>
      <c r="CI29" s="67"/>
      <c r="CJ29" s="67"/>
      <c r="CK29" s="67"/>
      <c r="CL29" s="560"/>
      <c r="CM29" s="67"/>
      <c r="CN29" s="67"/>
      <c r="CO29" s="67"/>
      <c r="CP29" s="67"/>
      <c r="CQ29" s="560"/>
      <c r="CR29" s="67"/>
      <c r="CS29" s="67"/>
      <c r="CT29" s="67"/>
      <c r="CU29" s="67"/>
      <c r="CV29" s="560"/>
      <c r="CW29" s="67"/>
      <c r="CX29" s="67"/>
      <c r="CY29" s="67"/>
      <c r="CZ29" s="67"/>
      <c r="DA29" s="560"/>
      <c r="DB29" s="67"/>
      <c r="DC29" s="67"/>
      <c r="DD29" s="67"/>
      <c r="DE29" s="67"/>
      <c r="DF29" s="560"/>
      <c r="DG29" s="67"/>
      <c r="DH29" s="67"/>
      <c r="DI29" s="67"/>
      <c r="DJ29" s="67"/>
      <c r="DK29" s="560"/>
      <c r="DL29" s="67"/>
      <c r="DM29" s="67"/>
      <c r="DN29" s="67"/>
      <c r="DO29" s="67"/>
      <c r="DP29" s="560"/>
      <c r="DQ29" s="67"/>
      <c r="DR29" s="67"/>
      <c r="DS29" s="67"/>
      <c r="DT29" s="67"/>
      <c r="DU29" s="560"/>
      <c r="DV29" s="67"/>
      <c r="DW29" s="67"/>
      <c r="DX29" s="67"/>
      <c r="DY29" s="67"/>
      <c r="DZ29" s="560"/>
      <c r="EA29" s="67"/>
      <c r="EB29" s="67"/>
      <c r="EC29" s="67"/>
      <c r="ED29" s="67"/>
      <c r="EE29" s="560"/>
      <c r="EF29" s="67"/>
      <c r="EG29" s="67"/>
      <c r="EH29" s="67"/>
      <c r="EI29" s="67"/>
      <c r="EJ29" s="560"/>
      <c r="EK29" s="67"/>
      <c r="EL29" s="67"/>
      <c r="EM29" s="442"/>
      <c r="EN29" s="442"/>
      <c r="EO29" s="455"/>
      <c r="EP29" s="472"/>
      <c r="EQ29" s="472"/>
    </row>
    <row r="30" spans="1:147" s="472" customFormat="1" x14ac:dyDescent="0.2">
      <c r="A30" s="443"/>
      <c r="B30" s="443"/>
      <c r="D30" s="466" t="s">
        <v>423</v>
      </c>
      <c r="E30" s="468"/>
      <c r="F30" s="443"/>
      <c r="G30" s="58">
        <f>SUM(G31:G33)</f>
        <v>0</v>
      </c>
      <c r="H30" s="58"/>
      <c r="I30" s="58"/>
      <c r="J30" s="556"/>
      <c r="K30" s="58"/>
      <c r="L30" s="58">
        <f>SUM(L31:L33)</f>
        <v>0</v>
      </c>
      <c r="M30" s="58"/>
      <c r="N30" s="58"/>
      <c r="O30" s="556"/>
      <c r="P30" s="58"/>
      <c r="Q30" s="58">
        <f>SUM(Q31:Q33)</f>
        <v>0</v>
      </c>
      <c r="R30" s="58"/>
      <c r="S30" s="58"/>
      <c r="T30" s="556"/>
      <c r="U30" s="58"/>
      <c r="V30" s="58">
        <f>SUM(V31:V33)</f>
        <v>0</v>
      </c>
      <c r="W30" s="58"/>
      <c r="X30" s="58"/>
      <c r="Y30" s="556"/>
      <c r="Z30" s="58"/>
      <c r="AA30" s="58">
        <f>SUM(AA31:AA33)</f>
        <v>0</v>
      </c>
      <c r="AB30" s="58"/>
      <c r="AC30" s="58"/>
      <c r="AD30" s="556"/>
      <c r="AE30" s="58"/>
      <c r="AF30" s="58">
        <f>SUM(AF31:AF33)</f>
        <v>0</v>
      </c>
      <c r="AG30" s="58"/>
      <c r="AH30" s="58"/>
      <c r="AI30" s="556"/>
      <c r="AJ30" s="58"/>
      <c r="AK30" s="58">
        <f>SUM(AK31:AK33)</f>
        <v>0</v>
      </c>
      <c r="AL30" s="58"/>
      <c r="AM30" s="58"/>
      <c r="AN30" s="556"/>
      <c r="AO30" s="58"/>
      <c r="AP30" s="58">
        <f>SUM(AP31:AP33)</f>
        <v>0</v>
      </c>
      <c r="AQ30" s="58"/>
      <c r="AR30" s="58"/>
      <c r="AS30" s="556"/>
      <c r="AT30" s="58"/>
      <c r="AU30" s="58">
        <f>SUM(AU31:AU33)</f>
        <v>0</v>
      </c>
      <c r="AV30" s="58"/>
      <c r="AW30" s="58"/>
      <c r="AX30" s="556"/>
      <c r="AY30" s="58"/>
      <c r="AZ30" s="58">
        <f>SUM(AZ31:AZ33)</f>
        <v>0</v>
      </c>
      <c r="BA30" s="58"/>
      <c r="BB30" s="58"/>
      <c r="BC30" s="556"/>
      <c r="BD30" s="58"/>
      <c r="BE30" s="58">
        <f>SUM(BE31:BE33)</f>
        <v>0</v>
      </c>
      <c r="BF30" s="58"/>
      <c r="BG30" s="58"/>
      <c r="BH30" s="556"/>
      <c r="BI30" s="58"/>
      <c r="BJ30" s="58">
        <f>SUM(BJ31:BJ33)</f>
        <v>0</v>
      </c>
      <c r="BK30" s="58"/>
      <c r="BL30" s="58"/>
      <c r="BM30" s="556"/>
      <c r="BN30" s="58"/>
      <c r="BO30" s="58">
        <f>SUM(BO31:BO33)</f>
        <v>0</v>
      </c>
      <c r="BP30" s="58"/>
      <c r="BQ30" s="58"/>
      <c r="BR30" s="556"/>
      <c r="BS30" s="442"/>
      <c r="BT30" s="58">
        <f>SUM(BT31:BT33)</f>
        <v>0</v>
      </c>
      <c r="BU30" s="67"/>
      <c r="BV30" s="58"/>
      <c r="BW30" s="556"/>
      <c r="BX30" s="58"/>
      <c r="BY30" s="58">
        <f>SUM(BY31:BY33)</f>
        <v>12795000</v>
      </c>
      <c r="BZ30" s="58"/>
      <c r="CA30" s="58"/>
      <c r="CB30" s="556"/>
      <c r="CC30" s="58"/>
      <c r="CD30" s="58">
        <f>SUM(CD31:CD33)</f>
        <v>0</v>
      </c>
      <c r="CE30" s="58"/>
      <c r="CF30" s="58"/>
      <c r="CG30" s="556"/>
      <c r="CH30" s="58"/>
      <c r="CI30" s="58">
        <f>SUM(CI31:CI33)</f>
        <v>12795000</v>
      </c>
      <c r="CJ30" s="58"/>
      <c r="CK30" s="58"/>
      <c r="CL30" s="556"/>
      <c r="CM30" s="58"/>
      <c r="CN30" s="58">
        <f>SUM(CN31:CN33)</f>
        <v>0</v>
      </c>
      <c r="CO30" s="58"/>
      <c r="CP30" s="58"/>
      <c r="CQ30" s="556"/>
      <c r="CR30" s="58"/>
      <c r="CS30" s="58">
        <f>SUM(CS31:CS33)</f>
        <v>0</v>
      </c>
      <c r="CT30" s="58"/>
      <c r="CU30" s="58"/>
      <c r="CV30" s="556"/>
      <c r="CW30" s="58"/>
      <c r="CX30" s="58">
        <f>SUM(CX31:CX33)</f>
        <v>0</v>
      </c>
      <c r="CY30" s="58"/>
      <c r="CZ30" s="58"/>
      <c r="DA30" s="556"/>
      <c r="DB30" s="58"/>
      <c r="DC30" s="58">
        <f>SUM(DC31:DC33)</f>
        <v>0</v>
      </c>
      <c r="DD30" s="58"/>
      <c r="DE30" s="58"/>
      <c r="DF30" s="556"/>
      <c r="DG30" s="58"/>
      <c r="DH30" s="58">
        <f>SUM(DH31:DH33)</f>
        <v>0</v>
      </c>
      <c r="DI30" s="58"/>
      <c r="DJ30" s="58"/>
      <c r="DK30" s="556"/>
      <c r="DL30" s="58"/>
      <c r="DM30" s="58">
        <f>SUM(DM31:DM33)</f>
        <v>0</v>
      </c>
      <c r="DN30" s="58"/>
      <c r="DO30" s="58"/>
      <c r="DP30" s="556"/>
      <c r="DQ30" s="58"/>
      <c r="DR30" s="58">
        <f>SUM(DR31:DR33)</f>
        <v>0</v>
      </c>
      <c r="DS30" s="58"/>
      <c r="DT30" s="58"/>
      <c r="DU30" s="556"/>
      <c r="DV30" s="58"/>
      <c r="DW30" s="58">
        <f>SUM(DW31:DW33)</f>
        <v>0</v>
      </c>
      <c r="DX30" s="58"/>
      <c r="DY30" s="58"/>
      <c r="DZ30" s="556"/>
      <c r="EA30" s="58"/>
      <c r="EB30" s="58">
        <f>SUM(EB31:EB33)</f>
        <v>0</v>
      </c>
      <c r="EC30" s="58"/>
      <c r="ED30" s="58"/>
      <c r="EE30" s="556"/>
      <c r="EF30" s="58"/>
      <c r="EG30" s="58">
        <f>SUM(EG31:EG33)</f>
        <v>0</v>
      </c>
      <c r="EH30" s="58"/>
      <c r="EI30" s="58"/>
      <c r="EJ30" s="556"/>
      <c r="EK30" s="58"/>
      <c r="EL30" s="58">
        <f>SUM(EL31:EL33)</f>
        <v>12795000</v>
      </c>
      <c r="EM30" s="443"/>
      <c r="EN30" s="443"/>
      <c r="EO30" s="466"/>
    </row>
    <row r="31" spans="1:147" x14ac:dyDescent="0.2">
      <c r="A31" s="442"/>
      <c r="B31" s="442"/>
      <c r="D31" s="455" t="s">
        <v>342</v>
      </c>
      <c r="E31" s="465"/>
      <c r="F31" s="473"/>
      <c r="G31" s="558">
        <f>G36+G41+G51+G61+G46+G56</f>
        <v>0</v>
      </c>
      <c r="H31" s="559"/>
      <c r="I31" s="67"/>
      <c r="J31" s="560"/>
      <c r="K31" s="561"/>
      <c r="L31" s="558">
        <v>0</v>
      </c>
      <c r="M31" s="559"/>
      <c r="N31" s="67"/>
      <c r="O31" s="560"/>
      <c r="P31" s="561"/>
      <c r="Q31" s="558">
        <f>Q36+Q41+Q51+Q61+Q46+Q56</f>
        <v>0</v>
      </c>
      <c r="R31" s="559"/>
      <c r="S31" s="67"/>
      <c r="T31" s="63"/>
      <c r="U31" s="561"/>
      <c r="V31" s="558">
        <v>0</v>
      </c>
      <c r="W31" s="559"/>
      <c r="X31" s="67"/>
      <c r="Y31" s="560"/>
      <c r="Z31" s="561"/>
      <c r="AA31" s="558">
        <v>0</v>
      </c>
      <c r="AB31" s="559"/>
      <c r="AC31" s="67"/>
      <c r="AD31" s="560"/>
      <c r="AE31" s="561"/>
      <c r="AF31" s="558">
        <v>0</v>
      </c>
      <c r="AG31" s="559"/>
      <c r="AH31" s="67"/>
      <c r="AI31" s="560"/>
      <c r="AJ31" s="561"/>
      <c r="AK31" s="558">
        <v>0</v>
      </c>
      <c r="AL31" s="559"/>
      <c r="AM31" s="67"/>
      <c r="AN31" s="560"/>
      <c r="AO31" s="561"/>
      <c r="AP31" s="558">
        <v>0</v>
      </c>
      <c r="AQ31" s="559"/>
      <c r="AR31" s="67"/>
      <c r="AS31" s="560"/>
      <c r="AT31" s="561"/>
      <c r="AU31" s="558">
        <v>0</v>
      </c>
      <c r="AV31" s="559"/>
      <c r="AW31" s="67"/>
      <c r="AX31" s="560"/>
      <c r="AY31" s="561"/>
      <c r="AZ31" s="558">
        <v>0</v>
      </c>
      <c r="BA31" s="559"/>
      <c r="BB31" s="67"/>
      <c r="BC31" s="560"/>
      <c r="BD31" s="561"/>
      <c r="BE31" s="558">
        <v>0</v>
      </c>
      <c r="BF31" s="559"/>
      <c r="BG31" s="67"/>
      <c r="BH31" s="560"/>
      <c r="BI31" s="561"/>
      <c r="BJ31" s="558">
        <v>0</v>
      </c>
      <c r="BK31" s="559"/>
      <c r="BL31" s="67"/>
      <c r="BM31" s="560"/>
      <c r="BN31" s="561"/>
      <c r="BO31" s="558">
        <v>0</v>
      </c>
      <c r="BP31" s="559"/>
      <c r="BQ31" s="67"/>
      <c r="BR31" s="560"/>
      <c r="BS31" s="473"/>
      <c r="BT31" s="558">
        <f>BT36+BT41+BT51+BT61+BT46+BT56</f>
        <v>0</v>
      </c>
      <c r="BU31" s="559"/>
      <c r="BV31" s="67"/>
      <c r="BW31" s="560"/>
      <c r="BX31" s="561"/>
      <c r="BY31" s="558">
        <f>BY36+BY41+BY51+BY61+BY46+BY56</f>
        <v>12795000</v>
      </c>
      <c r="BZ31" s="559"/>
      <c r="CA31" s="67"/>
      <c r="CB31" s="560"/>
      <c r="CC31" s="561"/>
      <c r="CD31" s="558">
        <v>0</v>
      </c>
      <c r="CE31" s="559"/>
      <c r="CF31" s="67"/>
      <c r="CG31" s="560"/>
      <c r="CH31" s="561"/>
      <c r="CI31" s="558">
        <f>CI36+CI41+CI51+CI61+CI46+CI56</f>
        <v>12795000</v>
      </c>
      <c r="CJ31" s="559"/>
      <c r="CK31" s="67"/>
      <c r="CL31" s="63"/>
      <c r="CM31" s="561"/>
      <c r="CN31" s="558">
        <v>0</v>
      </c>
      <c r="CO31" s="559"/>
      <c r="CP31" s="67"/>
      <c r="CQ31" s="560"/>
      <c r="CR31" s="561"/>
      <c r="CS31" s="558">
        <v>0</v>
      </c>
      <c r="CT31" s="559"/>
      <c r="CU31" s="67"/>
      <c r="CV31" s="560"/>
      <c r="CW31" s="561"/>
      <c r="CX31" s="558">
        <v>0</v>
      </c>
      <c r="CY31" s="559"/>
      <c r="CZ31" s="67"/>
      <c r="DA31" s="560"/>
      <c r="DB31" s="561"/>
      <c r="DC31" s="558">
        <v>0</v>
      </c>
      <c r="DD31" s="559"/>
      <c r="DE31" s="67"/>
      <c r="DF31" s="560"/>
      <c r="DG31" s="561"/>
      <c r="DH31" s="558">
        <v>0</v>
      </c>
      <c r="DI31" s="559"/>
      <c r="DJ31" s="67"/>
      <c r="DK31" s="560"/>
      <c r="DL31" s="561"/>
      <c r="DM31" s="558">
        <v>0</v>
      </c>
      <c r="DN31" s="559"/>
      <c r="DO31" s="67"/>
      <c r="DP31" s="560"/>
      <c r="DQ31" s="561"/>
      <c r="DR31" s="558">
        <v>0</v>
      </c>
      <c r="DS31" s="559"/>
      <c r="DT31" s="67"/>
      <c r="DU31" s="560"/>
      <c r="DV31" s="561"/>
      <c r="DW31" s="558">
        <v>0</v>
      </c>
      <c r="DX31" s="559"/>
      <c r="DY31" s="67"/>
      <c r="DZ31" s="560"/>
      <c r="EA31" s="561"/>
      <c r="EB31" s="558">
        <v>0</v>
      </c>
      <c r="EC31" s="559"/>
      <c r="ED31" s="67"/>
      <c r="EE31" s="560"/>
      <c r="EF31" s="561"/>
      <c r="EG31" s="558">
        <v>0</v>
      </c>
      <c r="EH31" s="559"/>
      <c r="EI31" s="67"/>
      <c r="EJ31" s="560"/>
      <c r="EK31" s="561"/>
      <c r="EL31" s="558">
        <f>EL36+EL41+EL51+EL61+EL46+EL56</f>
        <v>12795000</v>
      </c>
      <c r="EM31" s="475"/>
      <c r="EN31" s="442"/>
      <c r="EO31" s="455"/>
      <c r="EP31" s="472"/>
      <c r="EQ31" s="472"/>
    </row>
    <row r="32" spans="1:147" x14ac:dyDescent="0.2">
      <c r="A32" s="442"/>
      <c r="B32" s="442"/>
      <c r="D32" s="455" t="s">
        <v>424</v>
      </c>
      <c r="E32" s="465"/>
      <c r="F32" s="465"/>
      <c r="G32" s="67">
        <v>0</v>
      </c>
      <c r="H32" s="66"/>
      <c r="I32" s="67"/>
      <c r="J32" s="560"/>
      <c r="K32" s="560"/>
      <c r="L32" s="67">
        <v>0</v>
      </c>
      <c r="M32" s="66"/>
      <c r="N32" s="67"/>
      <c r="O32" s="560"/>
      <c r="P32" s="560"/>
      <c r="Q32" s="67">
        <v>0</v>
      </c>
      <c r="R32" s="66"/>
      <c r="S32" s="67"/>
      <c r="T32" s="63"/>
      <c r="U32" s="560"/>
      <c r="V32" s="67">
        <v>0</v>
      </c>
      <c r="W32" s="66"/>
      <c r="X32" s="67"/>
      <c r="Y32" s="560"/>
      <c r="Z32" s="560"/>
      <c r="AA32" s="67">
        <v>0</v>
      </c>
      <c r="AB32" s="66"/>
      <c r="AC32" s="67"/>
      <c r="AD32" s="560"/>
      <c r="AE32" s="560"/>
      <c r="AF32" s="67">
        <v>0</v>
      </c>
      <c r="AG32" s="66"/>
      <c r="AH32" s="67"/>
      <c r="AI32" s="560"/>
      <c r="AJ32" s="560"/>
      <c r="AK32" s="67">
        <v>0</v>
      </c>
      <c r="AL32" s="66"/>
      <c r="AM32" s="67"/>
      <c r="AN32" s="560"/>
      <c r="AO32" s="560"/>
      <c r="AP32" s="67">
        <v>0</v>
      </c>
      <c r="AQ32" s="66"/>
      <c r="AR32" s="67"/>
      <c r="AS32" s="560"/>
      <c r="AT32" s="560"/>
      <c r="AU32" s="67">
        <v>0</v>
      </c>
      <c r="AV32" s="66"/>
      <c r="AW32" s="67"/>
      <c r="AX32" s="560"/>
      <c r="AY32" s="560"/>
      <c r="AZ32" s="67">
        <v>0</v>
      </c>
      <c r="BA32" s="66"/>
      <c r="BB32" s="67"/>
      <c r="BC32" s="560"/>
      <c r="BD32" s="560"/>
      <c r="BE32" s="67">
        <v>0</v>
      </c>
      <c r="BF32" s="66"/>
      <c r="BG32" s="67"/>
      <c r="BH32" s="560"/>
      <c r="BI32" s="560"/>
      <c r="BJ32" s="67">
        <v>0</v>
      </c>
      <c r="BK32" s="66"/>
      <c r="BL32" s="67"/>
      <c r="BM32" s="560"/>
      <c r="BN32" s="560"/>
      <c r="BO32" s="67">
        <v>0</v>
      </c>
      <c r="BP32" s="66"/>
      <c r="BQ32" s="67"/>
      <c r="BR32" s="560"/>
      <c r="BS32" s="465"/>
      <c r="BT32" s="67">
        <f>BT37+BT42+BT52+BT62+BT47+BT57</f>
        <v>0</v>
      </c>
      <c r="BU32" s="66"/>
      <c r="BV32" s="67"/>
      <c r="BW32" s="560"/>
      <c r="BX32" s="560"/>
      <c r="BY32" s="67">
        <f>BY37+BY42+BY52+BY62+BY47+BY57</f>
        <v>0</v>
      </c>
      <c r="BZ32" s="66"/>
      <c r="CA32" s="67"/>
      <c r="CB32" s="560"/>
      <c r="CC32" s="560"/>
      <c r="CD32" s="67">
        <v>0</v>
      </c>
      <c r="CE32" s="66"/>
      <c r="CF32" s="67"/>
      <c r="CG32" s="560"/>
      <c r="CH32" s="560"/>
      <c r="CI32" s="67">
        <v>0</v>
      </c>
      <c r="CJ32" s="66"/>
      <c r="CK32" s="67"/>
      <c r="CL32" s="63"/>
      <c r="CM32" s="560"/>
      <c r="CN32" s="67">
        <v>0</v>
      </c>
      <c r="CO32" s="66"/>
      <c r="CP32" s="67"/>
      <c r="CQ32" s="560"/>
      <c r="CR32" s="560"/>
      <c r="CS32" s="67">
        <v>0</v>
      </c>
      <c r="CT32" s="66"/>
      <c r="CU32" s="67"/>
      <c r="CV32" s="560"/>
      <c r="CW32" s="560"/>
      <c r="CX32" s="67">
        <v>0</v>
      </c>
      <c r="CY32" s="66"/>
      <c r="CZ32" s="67"/>
      <c r="DA32" s="560"/>
      <c r="DB32" s="560"/>
      <c r="DC32" s="67">
        <v>0</v>
      </c>
      <c r="DD32" s="66"/>
      <c r="DE32" s="67"/>
      <c r="DF32" s="560"/>
      <c r="DG32" s="560"/>
      <c r="DH32" s="67">
        <v>0</v>
      </c>
      <c r="DI32" s="66"/>
      <c r="DJ32" s="67"/>
      <c r="DK32" s="560"/>
      <c r="DL32" s="560"/>
      <c r="DM32" s="67">
        <v>0</v>
      </c>
      <c r="DN32" s="66"/>
      <c r="DO32" s="67"/>
      <c r="DP32" s="560"/>
      <c r="DQ32" s="560"/>
      <c r="DR32" s="67">
        <v>0</v>
      </c>
      <c r="DS32" s="66"/>
      <c r="DT32" s="67"/>
      <c r="DU32" s="560"/>
      <c r="DV32" s="560"/>
      <c r="DW32" s="67">
        <v>0</v>
      </c>
      <c r="DX32" s="66"/>
      <c r="DY32" s="67"/>
      <c r="DZ32" s="560"/>
      <c r="EA32" s="560"/>
      <c r="EB32" s="67">
        <v>0</v>
      </c>
      <c r="EC32" s="66"/>
      <c r="ED32" s="67"/>
      <c r="EE32" s="560"/>
      <c r="EF32" s="560"/>
      <c r="EG32" s="67">
        <v>0</v>
      </c>
      <c r="EH32" s="66"/>
      <c r="EI32" s="67"/>
      <c r="EJ32" s="560"/>
      <c r="EK32" s="560"/>
      <c r="EL32" s="67">
        <f>EL37+EL42+EL52+EL62+EL47+EL57</f>
        <v>0</v>
      </c>
      <c r="EM32" s="480"/>
      <c r="EN32" s="442"/>
      <c r="EO32" s="455"/>
      <c r="EP32" s="472"/>
      <c r="EQ32" s="472"/>
    </row>
    <row r="33" spans="1:147" x14ac:dyDescent="0.2">
      <c r="A33" s="442"/>
      <c r="B33" s="442"/>
      <c r="D33" s="455" t="s">
        <v>425</v>
      </c>
      <c r="E33" s="465"/>
      <c r="F33" s="488"/>
      <c r="G33" s="113">
        <v>0</v>
      </c>
      <c r="H33" s="112"/>
      <c r="I33" s="67"/>
      <c r="J33" s="560"/>
      <c r="K33" s="569"/>
      <c r="L33" s="113">
        <v>0</v>
      </c>
      <c r="M33" s="112"/>
      <c r="N33" s="67"/>
      <c r="O33" s="560"/>
      <c r="P33" s="569"/>
      <c r="Q33" s="113">
        <v>0</v>
      </c>
      <c r="R33" s="112"/>
      <c r="S33" s="67"/>
      <c r="T33" s="63"/>
      <c r="U33" s="569"/>
      <c r="V33" s="113">
        <v>0</v>
      </c>
      <c r="W33" s="112"/>
      <c r="X33" s="67"/>
      <c r="Y33" s="560"/>
      <c r="Z33" s="569"/>
      <c r="AA33" s="113">
        <v>0</v>
      </c>
      <c r="AB33" s="112"/>
      <c r="AC33" s="67"/>
      <c r="AD33" s="560"/>
      <c r="AE33" s="569"/>
      <c r="AF33" s="113">
        <v>0</v>
      </c>
      <c r="AG33" s="112"/>
      <c r="AH33" s="67"/>
      <c r="AI33" s="560"/>
      <c r="AJ33" s="569"/>
      <c r="AK33" s="113">
        <v>0</v>
      </c>
      <c r="AL33" s="112"/>
      <c r="AM33" s="67"/>
      <c r="AN33" s="560"/>
      <c r="AO33" s="569"/>
      <c r="AP33" s="113">
        <v>0</v>
      </c>
      <c r="AQ33" s="112"/>
      <c r="AR33" s="67"/>
      <c r="AS33" s="560"/>
      <c r="AT33" s="569"/>
      <c r="AU33" s="113">
        <v>0</v>
      </c>
      <c r="AV33" s="112"/>
      <c r="AW33" s="67"/>
      <c r="AX33" s="560"/>
      <c r="AY33" s="569"/>
      <c r="AZ33" s="113">
        <v>0</v>
      </c>
      <c r="BA33" s="112"/>
      <c r="BB33" s="67"/>
      <c r="BC33" s="560"/>
      <c r="BD33" s="569"/>
      <c r="BE33" s="113">
        <v>0</v>
      </c>
      <c r="BF33" s="112"/>
      <c r="BG33" s="67"/>
      <c r="BH33" s="560"/>
      <c r="BI33" s="569"/>
      <c r="BJ33" s="113">
        <v>0</v>
      </c>
      <c r="BK33" s="112"/>
      <c r="BL33" s="67"/>
      <c r="BM33" s="560"/>
      <c r="BN33" s="569"/>
      <c r="BO33" s="113">
        <v>0</v>
      </c>
      <c r="BP33" s="112"/>
      <c r="BQ33" s="67"/>
      <c r="BR33" s="560"/>
      <c r="BS33" s="488"/>
      <c r="BT33" s="113">
        <f>BT38+BT43+BT53+BT63+BT48+BT58</f>
        <v>0</v>
      </c>
      <c r="BU33" s="112"/>
      <c r="BV33" s="67"/>
      <c r="BW33" s="560"/>
      <c r="BX33" s="569"/>
      <c r="BY33" s="113">
        <f>BY38+BY43+BY53+BY63+BY48+BY58</f>
        <v>0</v>
      </c>
      <c r="BZ33" s="112"/>
      <c r="CA33" s="67"/>
      <c r="CB33" s="560"/>
      <c r="CC33" s="569"/>
      <c r="CD33" s="113">
        <v>0</v>
      </c>
      <c r="CE33" s="112"/>
      <c r="CF33" s="67"/>
      <c r="CG33" s="560"/>
      <c r="CH33" s="569"/>
      <c r="CI33" s="113">
        <v>0</v>
      </c>
      <c r="CJ33" s="112"/>
      <c r="CK33" s="67"/>
      <c r="CL33" s="63"/>
      <c r="CM33" s="569"/>
      <c r="CN33" s="113">
        <v>0</v>
      </c>
      <c r="CO33" s="112"/>
      <c r="CP33" s="67"/>
      <c r="CQ33" s="560"/>
      <c r="CR33" s="569"/>
      <c r="CS33" s="113">
        <v>0</v>
      </c>
      <c r="CT33" s="112"/>
      <c r="CU33" s="67"/>
      <c r="CV33" s="560"/>
      <c r="CW33" s="569"/>
      <c r="CX33" s="113">
        <v>0</v>
      </c>
      <c r="CY33" s="112"/>
      <c r="CZ33" s="67"/>
      <c r="DA33" s="560"/>
      <c r="DB33" s="569"/>
      <c r="DC33" s="113">
        <v>0</v>
      </c>
      <c r="DD33" s="112"/>
      <c r="DE33" s="67"/>
      <c r="DF33" s="560"/>
      <c r="DG33" s="569"/>
      <c r="DH33" s="113">
        <v>0</v>
      </c>
      <c r="DI33" s="112"/>
      <c r="DJ33" s="67"/>
      <c r="DK33" s="560"/>
      <c r="DL33" s="569"/>
      <c r="DM33" s="113">
        <v>0</v>
      </c>
      <c r="DN33" s="112"/>
      <c r="DO33" s="67"/>
      <c r="DP33" s="560"/>
      <c r="DQ33" s="569"/>
      <c r="DR33" s="113">
        <v>0</v>
      </c>
      <c r="DS33" s="112"/>
      <c r="DT33" s="67"/>
      <c r="DU33" s="560"/>
      <c r="DV33" s="569"/>
      <c r="DW33" s="113">
        <v>0</v>
      </c>
      <c r="DX33" s="112"/>
      <c r="DY33" s="67"/>
      <c r="DZ33" s="560"/>
      <c r="EA33" s="569"/>
      <c r="EB33" s="113">
        <v>0</v>
      </c>
      <c r="EC33" s="112"/>
      <c r="ED33" s="67"/>
      <c r="EE33" s="560"/>
      <c r="EF33" s="569"/>
      <c r="EG33" s="113">
        <v>0</v>
      </c>
      <c r="EH33" s="112"/>
      <c r="EI33" s="67"/>
      <c r="EJ33" s="560"/>
      <c r="EK33" s="569"/>
      <c r="EL33" s="113">
        <f>EL38+EL43+EL53+EL63+EL48+EL58</f>
        <v>0</v>
      </c>
      <c r="EM33" s="490"/>
      <c r="EN33" s="442"/>
      <c r="EO33" s="455"/>
      <c r="EP33" s="472"/>
      <c r="EQ33" s="472"/>
    </row>
    <row r="34" spans="1:147" ht="12.75" customHeight="1" x14ac:dyDescent="0.2">
      <c r="A34" s="442"/>
      <c r="B34" s="442"/>
      <c r="D34" s="455"/>
      <c r="E34" s="465"/>
      <c r="F34" s="442"/>
      <c r="G34" s="67"/>
      <c r="H34" s="67"/>
      <c r="I34" s="67"/>
      <c r="J34" s="560"/>
      <c r="K34" s="67"/>
      <c r="L34" s="67"/>
      <c r="M34" s="67"/>
      <c r="N34" s="67"/>
      <c r="O34" s="560"/>
      <c r="P34" s="67"/>
      <c r="Q34" s="67"/>
      <c r="R34" s="67"/>
      <c r="S34" s="67"/>
      <c r="T34" s="560"/>
      <c r="U34" s="67"/>
      <c r="V34" s="67"/>
      <c r="W34" s="67"/>
      <c r="X34" s="67"/>
      <c r="Y34" s="560"/>
      <c r="Z34" s="67"/>
      <c r="AA34" s="67"/>
      <c r="AB34" s="67"/>
      <c r="AC34" s="67"/>
      <c r="AD34" s="560"/>
      <c r="AE34" s="67"/>
      <c r="AF34" s="67"/>
      <c r="AG34" s="67"/>
      <c r="AH34" s="67"/>
      <c r="AI34" s="560"/>
      <c r="AJ34" s="67"/>
      <c r="AK34" s="67"/>
      <c r="AL34" s="67"/>
      <c r="AM34" s="67"/>
      <c r="AN34" s="560"/>
      <c r="AO34" s="67"/>
      <c r="AP34" s="67"/>
      <c r="AQ34" s="67"/>
      <c r="AR34" s="67"/>
      <c r="AS34" s="560"/>
      <c r="AT34" s="67"/>
      <c r="AU34" s="67"/>
      <c r="AV34" s="67"/>
      <c r="AW34" s="67"/>
      <c r="AX34" s="560"/>
      <c r="AY34" s="67"/>
      <c r="AZ34" s="67"/>
      <c r="BA34" s="67"/>
      <c r="BB34" s="67"/>
      <c r="BC34" s="560"/>
      <c r="BD34" s="67"/>
      <c r="BE34" s="67"/>
      <c r="BF34" s="67"/>
      <c r="BG34" s="67"/>
      <c r="BH34" s="560"/>
      <c r="BI34" s="67"/>
      <c r="BJ34" s="67"/>
      <c r="BK34" s="67"/>
      <c r="BL34" s="67"/>
      <c r="BM34" s="560"/>
      <c r="BN34" s="67"/>
      <c r="BO34" s="67"/>
      <c r="BP34" s="67"/>
      <c r="BQ34" s="67"/>
      <c r="BR34" s="560"/>
      <c r="BS34" s="67"/>
      <c r="BT34" s="67"/>
      <c r="BU34" s="67"/>
      <c r="BV34" s="67"/>
      <c r="BW34" s="560"/>
      <c r="BX34" s="67"/>
      <c r="BY34" s="67"/>
      <c r="BZ34" s="67"/>
      <c r="CA34" s="67"/>
      <c r="CB34" s="560"/>
      <c r="CC34" s="67"/>
      <c r="CD34" s="67"/>
      <c r="CE34" s="67"/>
      <c r="CF34" s="67"/>
      <c r="CG34" s="560"/>
      <c r="CH34" s="67"/>
      <c r="CI34" s="67"/>
      <c r="CJ34" s="67"/>
      <c r="CK34" s="67"/>
      <c r="CL34" s="560"/>
      <c r="CM34" s="67"/>
      <c r="CN34" s="67"/>
      <c r="CO34" s="67"/>
      <c r="CP34" s="67"/>
      <c r="CQ34" s="560"/>
      <c r="CR34" s="67"/>
      <c r="CS34" s="67"/>
      <c r="CT34" s="67"/>
      <c r="CU34" s="67"/>
      <c r="CV34" s="560"/>
      <c r="CW34" s="67"/>
      <c r="CX34" s="67"/>
      <c r="CY34" s="67"/>
      <c r="CZ34" s="67"/>
      <c r="DA34" s="560"/>
      <c r="DB34" s="67"/>
      <c r="DC34" s="67"/>
      <c r="DD34" s="67"/>
      <c r="DE34" s="67"/>
      <c r="DF34" s="560"/>
      <c r="DG34" s="67"/>
      <c r="DH34" s="67"/>
      <c r="DI34" s="67"/>
      <c r="DJ34" s="67"/>
      <c r="DK34" s="560"/>
      <c r="DL34" s="67"/>
      <c r="DM34" s="67"/>
      <c r="DN34" s="67"/>
      <c r="DO34" s="67"/>
      <c r="DP34" s="560"/>
      <c r="DQ34" s="67"/>
      <c r="DR34" s="67"/>
      <c r="DS34" s="67"/>
      <c r="DT34" s="67"/>
      <c r="DU34" s="560"/>
      <c r="DV34" s="67"/>
      <c r="DW34" s="67"/>
      <c r="DX34" s="67"/>
      <c r="DY34" s="67"/>
      <c r="DZ34" s="560"/>
      <c r="EA34" s="67"/>
      <c r="EB34" s="67"/>
      <c r="EC34" s="67"/>
      <c r="ED34" s="67"/>
      <c r="EE34" s="560"/>
      <c r="EF34" s="67"/>
      <c r="EG34" s="67"/>
      <c r="EH34" s="67"/>
      <c r="EI34" s="67"/>
      <c r="EJ34" s="560"/>
      <c r="EK34" s="67"/>
      <c r="EL34" s="67"/>
      <c r="EM34" s="442"/>
      <c r="EN34" s="442"/>
      <c r="EO34" s="455"/>
      <c r="EP34" s="472"/>
      <c r="EQ34" s="472"/>
    </row>
    <row r="35" spans="1:147" ht="12.75" hidden="1" customHeight="1" x14ac:dyDescent="0.2">
      <c r="A35" s="442"/>
      <c r="B35" s="442"/>
      <c r="D35" s="455" t="s">
        <v>426</v>
      </c>
      <c r="E35" s="465"/>
      <c r="F35" s="442"/>
      <c r="G35" s="67">
        <v>0</v>
      </c>
      <c r="H35" s="67"/>
      <c r="I35" s="67"/>
      <c r="J35" s="560"/>
      <c r="K35" s="442"/>
      <c r="L35" s="67">
        <f>SUM(L36:L38)</f>
        <v>0</v>
      </c>
      <c r="M35" s="67"/>
      <c r="N35" s="67"/>
      <c r="O35" s="560"/>
      <c r="P35" s="442"/>
      <c r="Q35" s="67">
        <f>SUM(Q36:Q38)</f>
        <v>0</v>
      </c>
      <c r="R35" s="67"/>
      <c r="S35" s="67"/>
      <c r="T35" s="560"/>
      <c r="U35" s="442"/>
      <c r="V35" s="67">
        <f>SUM(V36:V38)</f>
        <v>0</v>
      </c>
      <c r="W35" s="67"/>
      <c r="X35" s="67"/>
      <c r="Y35" s="560"/>
      <c r="Z35" s="442"/>
      <c r="AA35" s="67">
        <f>SUM(AA36:AA38)</f>
        <v>0</v>
      </c>
      <c r="AB35" s="67"/>
      <c r="AC35" s="67"/>
      <c r="AD35" s="560"/>
      <c r="AE35" s="442"/>
      <c r="AF35" s="67">
        <f>SUM(AF36:AF38)</f>
        <v>0</v>
      </c>
      <c r="AG35" s="67"/>
      <c r="AH35" s="67"/>
      <c r="AI35" s="560"/>
      <c r="AJ35" s="442"/>
      <c r="AK35" s="67">
        <f>SUM(AK36:AK38)</f>
        <v>0</v>
      </c>
      <c r="AL35" s="67"/>
      <c r="AM35" s="67"/>
      <c r="AN35" s="560"/>
      <c r="AO35" s="442"/>
      <c r="AP35" s="67">
        <f>SUM(AP36:AP38)</f>
        <v>0</v>
      </c>
      <c r="AQ35" s="67"/>
      <c r="AR35" s="67"/>
      <c r="AS35" s="560"/>
      <c r="AT35" s="442"/>
      <c r="AU35" s="67">
        <f>SUM(AU36:AU38)</f>
        <v>0</v>
      </c>
      <c r="AV35" s="67"/>
      <c r="AW35" s="67"/>
      <c r="AX35" s="560"/>
      <c r="AY35" s="442"/>
      <c r="AZ35" s="67">
        <f>SUM(AZ36:AZ38)</f>
        <v>0</v>
      </c>
      <c r="BA35" s="67"/>
      <c r="BB35" s="67"/>
      <c r="BC35" s="560"/>
      <c r="BD35" s="442"/>
      <c r="BE35" s="67">
        <f>SUM(BE36:BE38)</f>
        <v>0</v>
      </c>
      <c r="BF35" s="67"/>
      <c r="BG35" s="67"/>
      <c r="BH35" s="560"/>
      <c r="BI35" s="442"/>
      <c r="BJ35" s="67">
        <f>SUM(BJ36:BJ38)</f>
        <v>0</v>
      </c>
      <c r="BK35" s="67"/>
      <c r="BL35" s="67"/>
      <c r="BM35" s="560"/>
      <c r="BN35" s="442"/>
      <c r="BO35" s="67">
        <f>SUM(BO36:BO38)</f>
        <v>0</v>
      </c>
      <c r="BP35" s="67"/>
      <c r="BQ35" s="67"/>
      <c r="BR35" s="560"/>
      <c r="BS35" s="442"/>
      <c r="BT35" s="113">
        <f>SUM(BT36:BT38)</f>
        <v>0</v>
      </c>
      <c r="BU35" s="67"/>
      <c r="BV35" s="67"/>
      <c r="BW35" s="560"/>
      <c r="BX35" s="442"/>
      <c r="BY35" s="67">
        <f>SUM(BY36:BY38)</f>
        <v>0</v>
      </c>
      <c r="BZ35" s="67"/>
      <c r="CA35" s="67"/>
      <c r="CB35" s="560"/>
      <c r="CC35" s="442"/>
      <c r="CD35" s="67">
        <f>SUM(CD36:CD38)</f>
        <v>0</v>
      </c>
      <c r="CE35" s="67"/>
      <c r="CF35" s="67"/>
      <c r="CG35" s="560"/>
      <c r="CH35" s="442"/>
      <c r="CI35" s="67">
        <f>SUM(CI36:CI38)</f>
        <v>0</v>
      </c>
      <c r="CJ35" s="67"/>
      <c r="CK35" s="67"/>
      <c r="CL35" s="560"/>
      <c r="CM35" s="442"/>
      <c r="CN35" s="67">
        <f>SUM(CN36:CN38)</f>
        <v>0</v>
      </c>
      <c r="CO35" s="67"/>
      <c r="CP35" s="67"/>
      <c r="CQ35" s="560"/>
      <c r="CR35" s="442"/>
      <c r="CS35" s="67">
        <f>SUM(CS36:CS38)</f>
        <v>0</v>
      </c>
      <c r="CT35" s="67"/>
      <c r="CU35" s="67"/>
      <c r="CV35" s="560"/>
      <c r="CW35" s="442"/>
      <c r="CX35" s="67">
        <f>SUM(CX36:CX38)</f>
        <v>0</v>
      </c>
      <c r="CY35" s="67"/>
      <c r="CZ35" s="67"/>
      <c r="DA35" s="560"/>
      <c r="DB35" s="442"/>
      <c r="DC35" s="67">
        <f>SUM(DC36:DC38)</f>
        <v>0</v>
      </c>
      <c r="DD35" s="67"/>
      <c r="DE35" s="67"/>
      <c r="DF35" s="560"/>
      <c r="DG35" s="442"/>
      <c r="DH35" s="67">
        <f>SUM(DH36:DH38)</f>
        <v>0</v>
      </c>
      <c r="DI35" s="67"/>
      <c r="DJ35" s="67"/>
      <c r="DK35" s="560"/>
      <c r="DL35" s="442"/>
      <c r="DM35" s="67">
        <f>SUM(DM36:DM38)</f>
        <v>0</v>
      </c>
      <c r="DN35" s="67"/>
      <c r="DO35" s="67"/>
      <c r="DP35" s="560"/>
      <c r="DQ35" s="442"/>
      <c r="DR35" s="67">
        <f>SUM(DR36:DR38)</f>
        <v>0</v>
      </c>
      <c r="DS35" s="67"/>
      <c r="DT35" s="67"/>
      <c r="DU35" s="560"/>
      <c r="DV35" s="442"/>
      <c r="DW35" s="67">
        <f>SUM(DW36:DW38)</f>
        <v>0</v>
      </c>
      <c r="DX35" s="67"/>
      <c r="DY35" s="67"/>
      <c r="DZ35" s="560"/>
      <c r="EA35" s="442"/>
      <c r="EB35" s="67">
        <f>SUM(EB36:EB38)</f>
        <v>0</v>
      </c>
      <c r="EC35" s="67"/>
      <c r="ED35" s="67"/>
      <c r="EE35" s="560"/>
      <c r="EF35" s="442"/>
      <c r="EG35" s="67">
        <f>SUM(EG36:EG38)</f>
        <v>0</v>
      </c>
      <c r="EH35" s="67"/>
      <c r="EI35" s="67"/>
      <c r="EJ35" s="560"/>
      <c r="EK35" s="442"/>
      <c r="EL35" s="67">
        <f>SUM(EL36:EL38)</f>
        <v>0</v>
      </c>
      <c r="EM35" s="67"/>
      <c r="EN35" s="442"/>
      <c r="EO35" s="455"/>
      <c r="EP35" s="472"/>
      <c r="EQ35" s="472"/>
    </row>
    <row r="36" spans="1:147" ht="12.75" hidden="1" customHeight="1" x14ac:dyDescent="0.2">
      <c r="A36" s="442"/>
      <c r="B36" s="442"/>
      <c r="D36" s="455" t="s">
        <v>342</v>
      </c>
      <c r="E36" s="465"/>
      <c r="F36" s="473"/>
      <c r="G36" s="558">
        <v>0</v>
      </c>
      <c r="H36" s="559"/>
      <c r="I36" s="67"/>
      <c r="J36" s="560"/>
      <c r="K36" s="473"/>
      <c r="L36" s="558">
        <v>0</v>
      </c>
      <c r="M36" s="559"/>
      <c r="N36" s="67"/>
      <c r="O36" s="560"/>
      <c r="P36" s="473"/>
      <c r="Q36" s="558">
        <v>0</v>
      </c>
      <c r="R36" s="559"/>
      <c r="S36" s="67"/>
      <c r="T36" s="560"/>
      <c r="U36" s="473"/>
      <c r="V36" s="558">
        <v>0</v>
      </c>
      <c r="W36" s="559"/>
      <c r="X36" s="67"/>
      <c r="Y36" s="560"/>
      <c r="Z36" s="473"/>
      <c r="AA36" s="558">
        <v>0</v>
      </c>
      <c r="AB36" s="559"/>
      <c r="AC36" s="67"/>
      <c r="AD36" s="560"/>
      <c r="AE36" s="473"/>
      <c r="AF36" s="558">
        <v>0</v>
      </c>
      <c r="AG36" s="559"/>
      <c r="AH36" s="67"/>
      <c r="AI36" s="560"/>
      <c r="AJ36" s="473"/>
      <c r="AK36" s="558">
        <v>0</v>
      </c>
      <c r="AL36" s="559"/>
      <c r="AM36" s="67"/>
      <c r="AN36" s="560"/>
      <c r="AO36" s="473"/>
      <c r="AP36" s="558">
        <v>0</v>
      </c>
      <c r="AQ36" s="559"/>
      <c r="AR36" s="67"/>
      <c r="AS36" s="560"/>
      <c r="AT36" s="473"/>
      <c r="AU36" s="558">
        <v>0</v>
      </c>
      <c r="AV36" s="559"/>
      <c r="AW36" s="67"/>
      <c r="AX36" s="560"/>
      <c r="AY36" s="473"/>
      <c r="AZ36" s="558">
        <v>0</v>
      </c>
      <c r="BA36" s="559"/>
      <c r="BB36" s="67"/>
      <c r="BC36" s="560"/>
      <c r="BD36" s="473"/>
      <c r="BE36" s="558">
        <v>0</v>
      </c>
      <c r="BF36" s="559"/>
      <c r="BG36" s="67"/>
      <c r="BH36" s="560"/>
      <c r="BI36" s="473"/>
      <c r="BJ36" s="558">
        <v>0</v>
      </c>
      <c r="BK36" s="559"/>
      <c r="BL36" s="67"/>
      <c r="BM36" s="560"/>
      <c r="BN36" s="473"/>
      <c r="BO36" s="558">
        <v>0</v>
      </c>
      <c r="BP36" s="559"/>
      <c r="BQ36" s="67"/>
      <c r="BR36" s="560"/>
      <c r="BS36" s="473"/>
      <c r="BT36" s="67">
        <f>SUM(L36:BO36)</f>
        <v>0</v>
      </c>
      <c r="BU36" s="559"/>
      <c r="BV36" s="67"/>
      <c r="BW36" s="560"/>
      <c r="BX36" s="473"/>
      <c r="BY36" s="558">
        <f>SUM(Q36:BT36)</f>
        <v>0</v>
      </c>
      <c r="BZ36" s="559"/>
      <c r="CA36" s="67"/>
      <c r="CB36" s="560"/>
      <c r="CC36" s="473"/>
      <c r="CD36" s="558">
        <v>0</v>
      </c>
      <c r="CE36" s="559"/>
      <c r="CF36" s="67"/>
      <c r="CG36" s="560"/>
      <c r="CH36" s="473"/>
      <c r="CI36" s="558">
        <v>0</v>
      </c>
      <c r="CJ36" s="559"/>
      <c r="CK36" s="67"/>
      <c r="CL36" s="560"/>
      <c r="CM36" s="473"/>
      <c r="CN36" s="558">
        <v>0</v>
      </c>
      <c r="CO36" s="559"/>
      <c r="CP36" s="67"/>
      <c r="CQ36" s="560"/>
      <c r="CR36" s="473"/>
      <c r="CS36" s="558">
        <v>0</v>
      </c>
      <c r="CT36" s="559"/>
      <c r="CU36" s="67"/>
      <c r="CV36" s="560"/>
      <c r="CW36" s="473"/>
      <c r="CX36" s="558">
        <v>0</v>
      </c>
      <c r="CY36" s="559"/>
      <c r="CZ36" s="67"/>
      <c r="DA36" s="560"/>
      <c r="DB36" s="473"/>
      <c r="DC36" s="558">
        <v>0</v>
      </c>
      <c r="DD36" s="559"/>
      <c r="DE36" s="67"/>
      <c r="DF36" s="560"/>
      <c r="DG36" s="473"/>
      <c r="DH36" s="558">
        <v>0</v>
      </c>
      <c r="DI36" s="559"/>
      <c r="DJ36" s="67"/>
      <c r="DK36" s="560"/>
      <c r="DL36" s="473"/>
      <c r="DM36" s="558">
        <v>0</v>
      </c>
      <c r="DN36" s="559"/>
      <c r="DO36" s="67"/>
      <c r="DP36" s="560"/>
      <c r="DQ36" s="473"/>
      <c r="DR36" s="558">
        <v>0</v>
      </c>
      <c r="DS36" s="559"/>
      <c r="DT36" s="67"/>
      <c r="DU36" s="560"/>
      <c r="DV36" s="473"/>
      <c r="DW36" s="558">
        <v>0</v>
      </c>
      <c r="DX36" s="559"/>
      <c r="DY36" s="67"/>
      <c r="DZ36" s="560"/>
      <c r="EA36" s="473"/>
      <c r="EB36" s="558">
        <v>0</v>
      </c>
      <c r="EC36" s="559"/>
      <c r="ED36" s="67"/>
      <c r="EE36" s="560"/>
      <c r="EF36" s="473"/>
      <c r="EG36" s="558">
        <v>0</v>
      </c>
      <c r="EH36" s="559"/>
      <c r="EI36" s="67"/>
      <c r="EJ36" s="560"/>
      <c r="EK36" s="473"/>
      <c r="EL36" s="558">
        <f>SUM(CD36:EG36)</f>
        <v>0</v>
      </c>
      <c r="EM36" s="559">
        <f>SUM(CE36:CO36)</f>
        <v>0</v>
      </c>
      <c r="EN36" s="442"/>
      <c r="EO36" s="455"/>
      <c r="EP36" s="472"/>
      <c r="EQ36" s="472"/>
    </row>
    <row r="37" spans="1:147" ht="12.75" hidden="1" customHeight="1" x14ac:dyDescent="0.2">
      <c r="A37" s="442"/>
      <c r="B37" s="442"/>
      <c r="D37" s="455" t="s">
        <v>424</v>
      </c>
      <c r="E37" s="465"/>
      <c r="F37" s="465"/>
      <c r="G37" s="67">
        <v>0</v>
      </c>
      <c r="H37" s="66"/>
      <c r="I37" s="67"/>
      <c r="J37" s="560"/>
      <c r="K37" s="465"/>
      <c r="L37" s="67">
        <v>0</v>
      </c>
      <c r="M37" s="66"/>
      <c r="N37" s="67"/>
      <c r="O37" s="560"/>
      <c r="P37" s="465"/>
      <c r="Q37" s="67">
        <v>0</v>
      </c>
      <c r="R37" s="66"/>
      <c r="S37" s="67"/>
      <c r="T37" s="560"/>
      <c r="U37" s="465"/>
      <c r="V37" s="67">
        <v>0</v>
      </c>
      <c r="W37" s="66"/>
      <c r="X37" s="67"/>
      <c r="Y37" s="560"/>
      <c r="Z37" s="465"/>
      <c r="AA37" s="67">
        <v>0</v>
      </c>
      <c r="AB37" s="66"/>
      <c r="AC37" s="67"/>
      <c r="AD37" s="560"/>
      <c r="AE37" s="465"/>
      <c r="AF37" s="67">
        <v>0</v>
      </c>
      <c r="AG37" s="66"/>
      <c r="AH37" s="67"/>
      <c r="AI37" s="560"/>
      <c r="AJ37" s="465"/>
      <c r="AK37" s="67">
        <v>0</v>
      </c>
      <c r="AL37" s="66"/>
      <c r="AM37" s="67"/>
      <c r="AN37" s="560"/>
      <c r="AO37" s="465"/>
      <c r="AP37" s="67">
        <v>0</v>
      </c>
      <c r="AQ37" s="66"/>
      <c r="AR37" s="67"/>
      <c r="AS37" s="560"/>
      <c r="AT37" s="465"/>
      <c r="AU37" s="67">
        <v>0</v>
      </c>
      <c r="AV37" s="66"/>
      <c r="AW37" s="67"/>
      <c r="AX37" s="560"/>
      <c r="AY37" s="465"/>
      <c r="AZ37" s="67">
        <v>0</v>
      </c>
      <c r="BA37" s="66"/>
      <c r="BB37" s="67"/>
      <c r="BC37" s="560"/>
      <c r="BD37" s="465"/>
      <c r="BE37" s="67">
        <v>0</v>
      </c>
      <c r="BF37" s="66"/>
      <c r="BG37" s="67"/>
      <c r="BH37" s="560"/>
      <c r="BI37" s="465"/>
      <c r="BJ37" s="67">
        <v>0</v>
      </c>
      <c r="BK37" s="66"/>
      <c r="BL37" s="67"/>
      <c r="BM37" s="560"/>
      <c r="BN37" s="465"/>
      <c r="BO37" s="67">
        <v>0</v>
      </c>
      <c r="BP37" s="66"/>
      <c r="BQ37" s="67"/>
      <c r="BR37" s="560"/>
      <c r="BS37" s="465"/>
      <c r="BT37" s="67">
        <f>SUM(L37:BO37)</f>
        <v>0</v>
      </c>
      <c r="BU37" s="66"/>
      <c r="BV37" s="67"/>
      <c r="BW37" s="560"/>
      <c r="BX37" s="465"/>
      <c r="BY37" s="67">
        <f>SUM(Q37:BT37)</f>
        <v>0</v>
      </c>
      <c r="BZ37" s="66"/>
      <c r="CA37" s="67"/>
      <c r="CB37" s="560"/>
      <c r="CC37" s="465"/>
      <c r="CD37" s="67">
        <v>0</v>
      </c>
      <c r="CE37" s="66"/>
      <c r="CF37" s="67"/>
      <c r="CG37" s="560"/>
      <c r="CH37" s="465"/>
      <c r="CI37" s="67">
        <v>0</v>
      </c>
      <c r="CJ37" s="66"/>
      <c r="CK37" s="67"/>
      <c r="CL37" s="560"/>
      <c r="CM37" s="465"/>
      <c r="CN37" s="67">
        <v>0</v>
      </c>
      <c r="CO37" s="66"/>
      <c r="CP37" s="67"/>
      <c r="CQ37" s="560"/>
      <c r="CR37" s="465"/>
      <c r="CS37" s="67">
        <v>0</v>
      </c>
      <c r="CT37" s="66"/>
      <c r="CU37" s="67"/>
      <c r="CV37" s="560"/>
      <c r="CW37" s="465"/>
      <c r="CX37" s="67">
        <v>0</v>
      </c>
      <c r="CY37" s="66"/>
      <c r="CZ37" s="67"/>
      <c r="DA37" s="560"/>
      <c r="DB37" s="465"/>
      <c r="DC37" s="67">
        <v>0</v>
      </c>
      <c r="DD37" s="66"/>
      <c r="DE37" s="67"/>
      <c r="DF37" s="560"/>
      <c r="DG37" s="465"/>
      <c r="DH37" s="67">
        <v>0</v>
      </c>
      <c r="DI37" s="66"/>
      <c r="DJ37" s="67"/>
      <c r="DK37" s="560"/>
      <c r="DL37" s="465"/>
      <c r="DM37" s="67">
        <v>0</v>
      </c>
      <c r="DN37" s="66"/>
      <c r="DO37" s="67"/>
      <c r="DP37" s="560"/>
      <c r="DQ37" s="465"/>
      <c r="DR37" s="67">
        <v>0</v>
      </c>
      <c r="DS37" s="66"/>
      <c r="DT37" s="67"/>
      <c r="DU37" s="560"/>
      <c r="DV37" s="465"/>
      <c r="DW37" s="67">
        <v>0</v>
      </c>
      <c r="DX37" s="66"/>
      <c r="DY37" s="67"/>
      <c r="DZ37" s="560"/>
      <c r="EA37" s="465"/>
      <c r="EB37" s="67">
        <v>0</v>
      </c>
      <c r="EC37" s="66"/>
      <c r="ED37" s="67"/>
      <c r="EE37" s="560"/>
      <c r="EF37" s="465"/>
      <c r="EG37" s="67">
        <v>0</v>
      </c>
      <c r="EH37" s="66"/>
      <c r="EI37" s="67"/>
      <c r="EJ37" s="560"/>
      <c r="EK37" s="465"/>
      <c r="EL37" s="67">
        <f>SUM(CD37:EG37)</f>
        <v>0</v>
      </c>
      <c r="EM37" s="66">
        <f>SUM(CE37:CO37)</f>
        <v>0</v>
      </c>
      <c r="EN37" s="442"/>
      <c r="EO37" s="455"/>
      <c r="EP37" s="472"/>
      <c r="EQ37" s="472"/>
    </row>
    <row r="38" spans="1:147" ht="12.75" hidden="1" customHeight="1" x14ac:dyDescent="0.2">
      <c r="A38" s="442"/>
      <c r="B38" s="442"/>
      <c r="D38" s="455" t="s">
        <v>425</v>
      </c>
      <c r="E38" s="465"/>
      <c r="F38" s="488"/>
      <c r="G38" s="113">
        <v>0</v>
      </c>
      <c r="H38" s="112"/>
      <c r="I38" s="67"/>
      <c r="J38" s="560"/>
      <c r="K38" s="488"/>
      <c r="L38" s="113">
        <v>0</v>
      </c>
      <c r="M38" s="112"/>
      <c r="N38" s="67"/>
      <c r="O38" s="560"/>
      <c r="P38" s="488"/>
      <c r="Q38" s="113">
        <v>0</v>
      </c>
      <c r="R38" s="112"/>
      <c r="S38" s="67"/>
      <c r="T38" s="560"/>
      <c r="U38" s="488"/>
      <c r="V38" s="113">
        <v>0</v>
      </c>
      <c r="W38" s="112"/>
      <c r="X38" s="67"/>
      <c r="Y38" s="560"/>
      <c r="Z38" s="488"/>
      <c r="AA38" s="113">
        <v>0</v>
      </c>
      <c r="AB38" s="112"/>
      <c r="AC38" s="67"/>
      <c r="AD38" s="560"/>
      <c r="AE38" s="488"/>
      <c r="AF38" s="113">
        <v>0</v>
      </c>
      <c r="AG38" s="112"/>
      <c r="AH38" s="67"/>
      <c r="AI38" s="560"/>
      <c r="AJ38" s="488"/>
      <c r="AK38" s="113">
        <v>0</v>
      </c>
      <c r="AL38" s="112"/>
      <c r="AM38" s="67"/>
      <c r="AN38" s="560"/>
      <c r="AO38" s="488"/>
      <c r="AP38" s="113">
        <v>0</v>
      </c>
      <c r="AQ38" s="112"/>
      <c r="AR38" s="67"/>
      <c r="AS38" s="560"/>
      <c r="AT38" s="488"/>
      <c r="AU38" s="113">
        <v>0</v>
      </c>
      <c r="AV38" s="112"/>
      <c r="AW38" s="67"/>
      <c r="AX38" s="560"/>
      <c r="AY38" s="488"/>
      <c r="AZ38" s="113">
        <v>0</v>
      </c>
      <c r="BA38" s="112"/>
      <c r="BB38" s="67"/>
      <c r="BC38" s="560"/>
      <c r="BD38" s="488"/>
      <c r="BE38" s="113">
        <v>0</v>
      </c>
      <c r="BF38" s="112"/>
      <c r="BG38" s="67"/>
      <c r="BH38" s="560"/>
      <c r="BI38" s="488"/>
      <c r="BJ38" s="113">
        <v>0</v>
      </c>
      <c r="BK38" s="112"/>
      <c r="BL38" s="67"/>
      <c r="BM38" s="560"/>
      <c r="BN38" s="488"/>
      <c r="BO38" s="113">
        <v>0</v>
      </c>
      <c r="BP38" s="112"/>
      <c r="BQ38" s="67"/>
      <c r="BR38" s="560"/>
      <c r="BS38" s="488"/>
      <c r="BT38" s="113">
        <f>SUM(L38:BO38)</f>
        <v>0</v>
      </c>
      <c r="BU38" s="112"/>
      <c r="BV38" s="67"/>
      <c r="BW38" s="560"/>
      <c r="BX38" s="488"/>
      <c r="BY38" s="113">
        <f>SUM(Q38:BT38)</f>
        <v>0</v>
      </c>
      <c r="BZ38" s="112"/>
      <c r="CA38" s="67"/>
      <c r="CB38" s="560"/>
      <c r="CC38" s="488"/>
      <c r="CD38" s="113">
        <v>0</v>
      </c>
      <c r="CE38" s="112"/>
      <c r="CF38" s="67"/>
      <c r="CG38" s="560"/>
      <c r="CH38" s="488"/>
      <c r="CI38" s="113">
        <v>0</v>
      </c>
      <c r="CJ38" s="112"/>
      <c r="CK38" s="67"/>
      <c r="CL38" s="560"/>
      <c r="CM38" s="488"/>
      <c r="CN38" s="113">
        <v>0</v>
      </c>
      <c r="CO38" s="112"/>
      <c r="CP38" s="67"/>
      <c r="CQ38" s="560"/>
      <c r="CR38" s="488"/>
      <c r="CS38" s="113">
        <v>0</v>
      </c>
      <c r="CT38" s="112"/>
      <c r="CU38" s="67"/>
      <c r="CV38" s="560"/>
      <c r="CW38" s="488"/>
      <c r="CX38" s="113">
        <v>0</v>
      </c>
      <c r="CY38" s="112"/>
      <c r="CZ38" s="67"/>
      <c r="DA38" s="560"/>
      <c r="DB38" s="488"/>
      <c r="DC38" s="113">
        <v>0</v>
      </c>
      <c r="DD38" s="112"/>
      <c r="DE38" s="67"/>
      <c r="DF38" s="560"/>
      <c r="DG38" s="488"/>
      <c r="DH38" s="113">
        <v>0</v>
      </c>
      <c r="DI38" s="112"/>
      <c r="DJ38" s="67"/>
      <c r="DK38" s="560"/>
      <c r="DL38" s="488"/>
      <c r="DM38" s="113">
        <v>0</v>
      </c>
      <c r="DN38" s="112"/>
      <c r="DO38" s="67"/>
      <c r="DP38" s="560"/>
      <c r="DQ38" s="488"/>
      <c r="DR38" s="113">
        <v>0</v>
      </c>
      <c r="DS38" s="112"/>
      <c r="DT38" s="67"/>
      <c r="DU38" s="560"/>
      <c r="DV38" s="488"/>
      <c r="DW38" s="113">
        <v>0</v>
      </c>
      <c r="DX38" s="112"/>
      <c r="DY38" s="67"/>
      <c r="DZ38" s="560"/>
      <c r="EA38" s="488"/>
      <c r="EB38" s="113">
        <v>0</v>
      </c>
      <c r="EC38" s="112"/>
      <c r="ED38" s="67"/>
      <c r="EE38" s="560"/>
      <c r="EF38" s="488"/>
      <c r="EG38" s="113">
        <v>0</v>
      </c>
      <c r="EH38" s="112"/>
      <c r="EI38" s="67"/>
      <c r="EJ38" s="560"/>
      <c r="EK38" s="488"/>
      <c r="EL38" s="113">
        <f>SUM(CD38:EG38)</f>
        <v>0</v>
      </c>
      <c r="EM38" s="112">
        <f>SUM(CE38:CO38)</f>
        <v>0</v>
      </c>
      <c r="EN38" s="442"/>
      <c r="EO38" s="455"/>
      <c r="EP38" s="472"/>
      <c r="EQ38" s="472"/>
    </row>
    <row r="39" spans="1:147" hidden="1" x14ac:dyDescent="0.2">
      <c r="A39" s="442"/>
      <c r="B39" s="442"/>
      <c r="D39" s="455"/>
      <c r="E39" s="465"/>
      <c r="F39" s="442"/>
      <c r="G39" s="67"/>
      <c r="H39" s="67"/>
      <c r="I39" s="67"/>
      <c r="J39" s="560"/>
      <c r="K39" s="67"/>
      <c r="L39" s="67"/>
      <c r="M39" s="67"/>
      <c r="N39" s="67"/>
      <c r="O39" s="560"/>
      <c r="P39" s="67"/>
      <c r="Q39" s="67"/>
      <c r="R39" s="67"/>
      <c r="S39" s="67"/>
      <c r="T39" s="560"/>
      <c r="U39" s="67"/>
      <c r="V39" s="67"/>
      <c r="W39" s="67"/>
      <c r="X39" s="67"/>
      <c r="Y39" s="560"/>
      <c r="Z39" s="67"/>
      <c r="AA39" s="67"/>
      <c r="AB39" s="67"/>
      <c r="AC39" s="67"/>
      <c r="AD39" s="560"/>
      <c r="AE39" s="67"/>
      <c r="AF39" s="67"/>
      <c r="AG39" s="67"/>
      <c r="AH39" s="67"/>
      <c r="AI39" s="560"/>
      <c r="AJ39" s="67"/>
      <c r="AK39" s="67"/>
      <c r="AL39" s="67"/>
      <c r="AM39" s="67"/>
      <c r="AN39" s="560"/>
      <c r="AO39" s="67"/>
      <c r="AP39" s="67"/>
      <c r="AQ39" s="67"/>
      <c r="AR39" s="67"/>
      <c r="AS39" s="560"/>
      <c r="AT39" s="67"/>
      <c r="AU39" s="67"/>
      <c r="AV39" s="67"/>
      <c r="AW39" s="67"/>
      <c r="AX39" s="560"/>
      <c r="AY39" s="67"/>
      <c r="AZ39" s="67"/>
      <c r="BA39" s="67"/>
      <c r="BB39" s="67"/>
      <c r="BC39" s="560"/>
      <c r="BD39" s="67"/>
      <c r="BE39" s="67"/>
      <c r="BF39" s="67"/>
      <c r="BG39" s="67"/>
      <c r="BH39" s="560"/>
      <c r="BI39" s="67"/>
      <c r="BJ39" s="67"/>
      <c r="BK39" s="67"/>
      <c r="BL39" s="67"/>
      <c r="BM39" s="560"/>
      <c r="BN39" s="67"/>
      <c r="BO39" s="67"/>
      <c r="BP39" s="67"/>
      <c r="BQ39" s="67"/>
      <c r="BR39" s="560"/>
      <c r="BS39" s="67"/>
      <c r="BT39" s="67"/>
      <c r="BU39" s="67"/>
      <c r="BV39" s="67"/>
      <c r="BW39" s="560"/>
      <c r="BX39" s="67"/>
      <c r="BY39" s="67"/>
      <c r="BZ39" s="67"/>
      <c r="CA39" s="67"/>
      <c r="CB39" s="560"/>
      <c r="CC39" s="67"/>
      <c r="CD39" s="67"/>
      <c r="CE39" s="67"/>
      <c r="CF39" s="67"/>
      <c r="CG39" s="560"/>
      <c r="CH39" s="67"/>
      <c r="CI39" s="67"/>
      <c r="CJ39" s="67"/>
      <c r="CK39" s="67"/>
      <c r="CL39" s="560"/>
      <c r="CM39" s="67"/>
      <c r="CN39" s="67"/>
      <c r="CO39" s="67"/>
      <c r="CP39" s="67"/>
      <c r="CQ39" s="560"/>
      <c r="CR39" s="67"/>
      <c r="CS39" s="67"/>
      <c r="CT39" s="67"/>
      <c r="CU39" s="67"/>
      <c r="CV39" s="560"/>
      <c r="CW39" s="67"/>
      <c r="CX39" s="67"/>
      <c r="CY39" s="67"/>
      <c r="CZ39" s="67"/>
      <c r="DA39" s="560"/>
      <c r="DB39" s="67"/>
      <c r="DC39" s="67"/>
      <c r="DD39" s="67"/>
      <c r="DE39" s="67"/>
      <c r="DF39" s="560"/>
      <c r="DG39" s="67"/>
      <c r="DH39" s="67"/>
      <c r="DI39" s="67"/>
      <c r="DJ39" s="67"/>
      <c r="DK39" s="560"/>
      <c r="DL39" s="67"/>
      <c r="DM39" s="67"/>
      <c r="DN39" s="67"/>
      <c r="DO39" s="67"/>
      <c r="DP39" s="560"/>
      <c r="DQ39" s="67"/>
      <c r="DR39" s="67"/>
      <c r="DS39" s="67"/>
      <c r="DT39" s="67"/>
      <c r="DU39" s="560"/>
      <c r="DV39" s="67"/>
      <c r="DW39" s="67"/>
      <c r="DX39" s="67"/>
      <c r="DY39" s="67"/>
      <c r="DZ39" s="560"/>
      <c r="EA39" s="67"/>
      <c r="EB39" s="67"/>
      <c r="EC39" s="67"/>
      <c r="ED39" s="67"/>
      <c r="EE39" s="560"/>
      <c r="EF39" s="67"/>
      <c r="EG39" s="67"/>
      <c r="EH39" s="67"/>
      <c r="EI39" s="67"/>
      <c r="EJ39" s="560"/>
      <c r="EK39" s="67"/>
      <c r="EL39" s="67"/>
      <c r="EM39" s="442"/>
      <c r="EN39" s="442"/>
      <c r="EO39" s="455"/>
      <c r="EP39" s="472"/>
      <c r="EQ39" s="472"/>
    </row>
    <row r="40" spans="1:147" hidden="1" x14ac:dyDescent="0.2">
      <c r="A40" s="442"/>
      <c r="B40" s="442"/>
      <c r="D40" s="455" t="s">
        <v>427</v>
      </c>
      <c r="E40" s="465"/>
      <c r="F40" s="442"/>
      <c r="G40" s="67">
        <v>0</v>
      </c>
      <c r="H40" s="67"/>
      <c r="I40" s="67"/>
      <c r="J40" s="560"/>
      <c r="K40" s="442"/>
      <c r="L40" s="67">
        <f>SUM(L41:L43)</f>
        <v>0</v>
      </c>
      <c r="M40" s="67"/>
      <c r="N40" s="67"/>
      <c r="O40" s="560"/>
      <c r="P40" s="442"/>
      <c r="Q40" s="67">
        <f>SUM(Q41:Q43)</f>
        <v>0</v>
      </c>
      <c r="R40" s="67"/>
      <c r="S40" s="67"/>
      <c r="T40" s="560"/>
      <c r="U40" s="442"/>
      <c r="V40" s="67">
        <f>SUM(V41:V43)</f>
        <v>0</v>
      </c>
      <c r="W40" s="67"/>
      <c r="X40" s="67"/>
      <c r="Y40" s="560"/>
      <c r="Z40" s="442"/>
      <c r="AA40" s="67">
        <f>SUM(AA41:AA43)</f>
        <v>0</v>
      </c>
      <c r="AB40" s="67"/>
      <c r="AC40" s="67"/>
      <c r="AD40" s="560"/>
      <c r="AE40" s="442"/>
      <c r="AF40" s="67">
        <f>SUM(AF41:AF43)</f>
        <v>0</v>
      </c>
      <c r="AG40" s="67"/>
      <c r="AH40" s="67"/>
      <c r="AI40" s="560"/>
      <c r="AJ40" s="442"/>
      <c r="AK40" s="67">
        <f>SUM(AK41:AK43)</f>
        <v>0</v>
      </c>
      <c r="AL40" s="67"/>
      <c r="AM40" s="67"/>
      <c r="AN40" s="560"/>
      <c r="AO40" s="442"/>
      <c r="AP40" s="67">
        <f>SUM(AP41:AP43)</f>
        <v>0</v>
      </c>
      <c r="AQ40" s="67"/>
      <c r="AR40" s="67"/>
      <c r="AS40" s="560"/>
      <c r="AT40" s="442"/>
      <c r="AU40" s="67">
        <f>SUM(AU41:AU43)</f>
        <v>0</v>
      </c>
      <c r="AV40" s="67"/>
      <c r="AW40" s="67"/>
      <c r="AX40" s="560"/>
      <c r="AY40" s="442"/>
      <c r="AZ40" s="67">
        <f>SUM(AZ41:AZ43)</f>
        <v>0</v>
      </c>
      <c r="BA40" s="67"/>
      <c r="BB40" s="67"/>
      <c r="BC40" s="560"/>
      <c r="BD40" s="442"/>
      <c r="BE40" s="67">
        <f>SUM(BE41:BE43)</f>
        <v>0</v>
      </c>
      <c r="BF40" s="67"/>
      <c r="BG40" s="67"/>
      <c r="BH40" s="560"/>
      <c r="BI40" s="442"/>
      <c r="BJ40" s="67">
        <f>SUM(BJ41:BJ43)</f>
        <v>0</v>
      </c>
      <c r="BK40" s="67"/>
      <c r="BL40" s="67"/>
      <c r="BM40" s="560"/>
      <c r="BN40" s="442"/>
      <c r="BO40" s="67">
        <f>SUM(BO41:BO43)</f>
        <v>0</v>
      </c>
      <c r="BP40" s="67"/>
      <c r="BQ40" s="67"/>
      <c r="BR40" s="560"/>
      <c r="BS40" s="442"/>
      <c r="BT40" s="67">
        <f>SUM(BT41:BT43)</f>
        <v>0</v>
      </c>
      <c r="BU40" s="67"/>
      <c r="BV40" s="67"/>
      <c r="BW40" s="560"/>
      <c r="BX40" s="442"/>
      <c r="BY40" s="67">
        <f>SUM(BY41:BY43)</f>
        <v>0</v>
      </c>
      <c r="BZ40" s="67"/>
      <c r="CA40" s="67"/>
      <c r="CB40" s="560"/>
      <c r="CC40" s="442"/>
      <c r="CD40" s="67">
        <f>SUM(CD41:CD43)</f>
        <v>0</v>
      </c>
      <c r="CE40" s="67"/>
      <c r="CF40" s="67"/>
      <c r="CG40" s="560"/>
      <c r="CH40" s="442"/>
      <c r="CI40" s="67">
        <f>SUM(CI41:CI43)</f>
        <v>0</v>
      </c>
      <c r="CJ40" s="67"/>
      <c r="CK40" s="67"/>
      <c r="CL40" s="560"/>
      <c r="CM40" s="442"/>
      <c r="CN40" s="67">
        <f>SUM(CN41:CN43)</f>
        <v>0</v>
      </c>
      <c r="CO40" s="67"/>
      <c r="CP40" s="67"/>
      <c r="CQ40" s="560"/>
      <c r="CR40" s="442"/>
      <c r="CS40" s="67">
        <f>SUM(CS41:CS43)</f>
        <v>0</v>
      </c>
      <c r="CT40" s="67"/>
      <c r="CU40" s="67"/>
      <c r="CV40" s="560"/>
      <c r="CW40" s="442"/>
      <c r="CX40" s="67">
        <f>SUM(CX41:CX43)</f>
        <v>0</v>
      </c>
      <c r="CY40" s="67"/>
      <c r="CZ40" s="67"/>
      <c r="DA40" s="560"/>
      <c r="DB40" s="442"/>
      <c r="DC40" s="67">
        <f>SUM(DC41:DC43)</f>
        <v>0</v>
      </c>
      <c r="DD40" s="67"/>
      <c r="DE40" s="67"/>
      <c r="DF40" s="560"/>
      <c r="DG40" s="442"/>
      <c r="DH40" s="67">
        <f>SUM(DH41:DH43)</f>
        <v>0</v>
      </c>
      <c r="DI40" s="67"/>
      <c r="DJ40" s="67"/>
      <c r="DK40" s="560"/>
      <c r="DL40" s="442"/>
      <c r="DM40" s="67">
        <f>SUM(DM41:DM43)</f>
        <v>0</v>
      </c>
      <c r="DN40" s="67"/>
      <c r="DO40" s="67"/>
      <c r="DP40" s="560"/>
      <c r="DQ40" s="442"/>
      <c r="DR40" s="67">
        <f>SUM(DR41:DR43)</f>
        <v>0</v>
      </c>
      <c r="DS40" s="67"/>
      <c r="DT40" s="67"/>
      <c r="DU40" s="560"/>
      <c r="DV40" s="442"/>
      <c r="DW40" s="67">
        <f>SUM(DW41:DW43)</f>
        <v>0</v>
      </c>
      <c r="DX40" s="67"/>
      <c r="DY40" s="67"/>
      <c r="DZ40" s="560"/>
      <c r="EA40" s="442"/>
      <c r="EB40" s="67">
        <f>SUM(EB41:EB43)</f>
        <v>0</v>
      </c>
      <c r="EC40" s="67"/>
      <c r="ED40" s="67"/>
      <c r="EE40" s="560"/>
      <c r="EF40" s="442"/>
      <c r="EG40" s="67">
        <f>SUM(EG41:EG43)</f>
        <v>0</v>
      </c>
      <c r="EH40" s="67"/>
      <c r="EI40" s="67"/>
      <c r="EJ40" s="560"/>
      <c r="EK40" s="442"/>
      <c r="EL40" s="67">
        <f>SUM(EL41:EL43)</f>
        <v>0</v>
      </c>
      <c r="EM40" s="67"/>
      <c r="EN40" s="442"/>
      <c r="EO40" s="455"/>
      <c r="EP40" s="472"/>
      <c r="EQ40" s="472"/>
    </row>
    <row r="41" spans="1:147" hidden="1" x14ac:dyDescent="0.2">
      <c r="A41" s="442"/>
      <c r="B41" s="442"/>
      <c r="D41" s="455" t="s">
        <v>342</v>
      </c>
      <c r="E41" s="465"/>
      <c r="F41" s="473"/>
      <c r="G41" s="558">
        <v>0</v>
      </c>
      <c r="H41" s="559"/>
      <c r="I41" s="67"/>
      <c r="J41" s="560"/>
      <c r="K41" s="473"/>
      <c r="L41" s="558">
        <v>0</v>
      </c>
      <c r="M41" s="559"/>
      <c r="N41" s="67"/>
      <c r="O41" s="560"/>
      <c r="P41" s="473"/>
      <c r="Q41" s="558">
        <v>0</v>
      </c>
      <c r="R41" s="559"/>
      <c r="S41" s="67"/>
      <c r="T41" s="560"/>
      <c r="U41" s="473"/>
      <c r="V41" s="558">
        <v>0</v>
      </c>
      <c r="W41" s="559"/>
      <c r="X41" s="67"/>
      <c r="Y41" s="560"/>
      <c r="Z41" s="473"/>
      <c r="AA41" s="558">
        <v>0</v>
      </c>
      <c r="AB41" s="559"/>
      <c r="AC41" s="67"/>
      <c r="AD41" s="560"/>
      <c r="AE41" s="473"/>
      <c r="AF41" s="558">
        <v>0</v>
      </c>
      <c r="AG41" s="559"/>
      <c r="AH41" s="67"/>
      <c r="AI41" s="560"/>
      <c r="AJ41" s="473"/>
      <c r="AK41" s="558">
        <v>0</v>
      </c>
      <c r="AL41" s="559"/>
      <c r="AM41" s="67"/>
      <c r="AN41" s="560"/>
      <c r="AO41" s="473"/>
      <c r="AP41" s="558">
        <v>0</v>
      </c>
      <c r="AQ41" s="559"/>
      <c r="AR41" s="67"/>
      <c r="AS41" s="560"/>
      <c r="AT41" s="473"/>
      <c r="AU41" s="558">
        <v>0</v>
      </c>
      <c r="AV41" s="559"/>
      <c r="AW41" s="67"/>
      <c r="AX41" s="560"/>
      <c r="AY41" s="473"/>
      <c r="AZ41" s="558">
        <v>0</v>
      </c>
      <c r="BA41" s="559"/>
      <c r="BB41" s="67"/>
      <c r="BC41" s="560"/>
      <c r="BD41" s="473"/>
      <c r="BE41" s="558">
        <v>0</v>
      </c>
      <c r="BF41" s="559"/>
      <c r="BG41" s="67"/>
      <c r="BH41" s="560"/>
      <c r="BI41" s="473"/>
      <c r="BJ41" s="558">
        <v>0</v>
      </c>
      <c r="BK41" s="559"/>
      <c r="BL41" s="67"/>
      <c r="BM41" s="560"/>
      <c r="BN41" s="473"/>
      <c r="BO41" s="558">
        <v>0</v>
      </c>
      <c r="BP41" s="559"/>
      <c r="BQ41" s="67"/>
      <c r="BR41" s="560"/>
      <c r="BS41" s="473"/>
      <c r="BT41" s="558">
        <f>SUM(L41:BO41)</f>
        <v>0</v>
      </c>
      <c r="BU41" s="559"/>
      <c r="BV41" s="67"/>
      <c r="BW41" s="560"/>
      <c r="BX41" s="473"/>
      <c r="BY41" s="558">
        <f>SUM(Q41:BT41)</f>
        <v>0</v>
      </c>
      <c r="BZ41" s="559"/>
      <c r="CA41" s="67"/>
      <c r="CB41" s="560"/>
      <c r="CC41" s="473"/>
      <c r="CD41" s="558">
        <v>0</v>
      </c>
      <c r="CE41" s="559"/>
      <c r="CF41" s="67"/>
      <c r="CG41" s="560"/>
      <c r="CH41" s="473"/>
      <c r="CI41" s="558">
        <v>0</v>
      </c>
      <c r="CJ41" s="559"/>
      <c r="CK41" s="67"/>
      <c r="CL41" s="560"/>
      <c r="CM41" s="473"/>
      <c r="CN41" s="558">
        <v>0</v>
      </c>
      <c r="CO41" s="559"/>
      <c r="CP41" s="67"/>
      <c r="CQ41" s="560"/>
      <c r="CR41" s="473"/>
      <c r="CS41" s="558">
        <v>0</v>
      </c>
      <c r="CT41" s="559"/>
      <c r="CU41" s="67"/>
      <c r="CV41" s="560"/>
      <c r="CW41" s="473"/>
      <c r="CX41" s="558">
        <v>0</v>
      </c>
      <c r="CY41" s="559"/>
      <c r="CZ41" s="67"/>
      <c r="DA41" s="560"/>
      <c r="DB41" s="473"/>
      <c r="DC41" s="558">
        <v>0</v>
      </c>
      <c r="DD41" s="559"/>
      <c r="DE41" s="67"/>
      <c r="DF41" s="560"/>
      <c r="DG41" s="473"/>
      <c r="DH41" s="558">
        <v>0</v>
      </c>
      <c r="DI41" s="559"/>
      <c r="DJ41" s="67"/>
      <c r="DK41" s="560"/>
      <c r="DL41" s="473"/>
      <c r="DM41" s="558">
        <v>0</v>
      </c>
      <c r="DN41" s="559"/>
      <c r="DO41" s="67"/>
      <c r="DP41" s="560"/>
      <c r="DQ41" s="473"/>
      <c r="DR41" s="558">
        <v>0</v>
      </c>
      <c r="DS41" s="559"/>
      <c r="DT41" s="67"/>
      <c r="DU41" s="560"/>
      <c r="DV41" s="473"/>
      <c r="DW41" s="558">
        <v>0</v>
      </c>
      <c r="DX41" s="559"/>
      <c r="DY41" s="67"/>
      <c r="DZ41" s="560"/>
      <c r="EA41" s="473"/>
      <c r="EB41" s="558">
        <v>0</v>
      </c>
      <c r="EC41" s="559"/>
      <c r="ED41" s="67"/>
      <c r="EE41" s="560"/>
      <c r="EF41" s="473"/>
      <c r="EG41" s="558">
        <v>0</v>
      </c>
      <c r="EH41" s="559"/>
      <c r="EI41" s="67"/>
      <c r="EJ41" s="560"/>
      <c r="EK41" s="473"/>
      <c r="EL41" s="558">
        <f>SUM(CD41:EG41)</f>
        <v>0</v>
      </c>
      <c r="EM41" s="559"/>
      <c r="EN41" s="442"/>
      <c r="EO41" s="455"/>
      <c r="EP41" s="472"/>
      <c r="EQ41" s="472"/>
    </row>
    <row r="42" spans="1:147" hidden="1" x14ac:dyDescent="0.2">
      <c r="A42" s="442"/>
      <c r="B42" s="442"/>
      <c r="D42" s="455" t="s">
        <v>424</v>
      </c>
      <c r="E42" s="465"/>
      <c r="F42" s="465"/>
      <c r="G42" s="67">
        <v>0</v>
      </c>
      <c r="H42" s="66"/>
      <c r="I42" s="67"/>
      <c r="J42" s="560"/>
      <c r="K42" s="465"/>
      <c r="L42" s="67">
        <v>0</v>
      </c>
      <c r="M42" s="66"/>
      <c r="N42" s="67"/>
      <c r="O42" s="560"/>
      <c r="P42" s="465"/>
      <c r="Q42" s="67">
        <v>0</v>
      </c>
      <c r="R42" s="66"/>
      <c r="S42" s="67"/>
      <c r="T42" s="560"/>
      <c r="U42" s="465"/>
      <c r="V42" s="67">
        <v>0</v>
      </c>
      <c r="W42" s="66"/>
      <c r="X42" s="67"/>
      <c r="Y42" s="560"/>
      <c r="Z42" s="465"/>
      <c r="AA42" s="67">
        <v>0</v>
      </c>
      <c r="AB42" s="66"/>
      <c r="AC42" s="67"/>
      <c r="AD42" s="560"/>
      <c r="AE42" s="465"/>
      <c r="AF42" s="67">
        <v>0</v>
      </c>
      <c r="AG42" s="66"/>
      <c r="AH42" s="67"/>
      <c r="AI42" s="560"/>
      <c r="AJ42" s="465"/>
      <c r="AK42" s="67">
        <v>0</v>
      </c>
      <c r="AL42" s="66"/>
      <c r="AM42" s="67"/>
      <c r="AN42" s="560"/>
      <c r="AO42" s="465"/>
      <c r="AP42" s="67">
        <v>0</v>
      </c>
      <c r="AQ42" s="66"/>
      <c r="AR42" s="67"/>
      <c r="AS42" s="560"/>
      <c r="AT42" s="465"/>
      <c r="AU42" s="67">
        <v>0</v>
      </c>
      <c r="AV42" s="66"/>
      <c r="AW42" s="67"/>
      <c r="AX42" s="560"/>
      <c r="AY42" s="465"/>
      <c r="AZ42" s="67">
        <v>0</v>
      </c>
      <c r="BA42" s="66"/>
      <c r="BB42" s="67"/>
      <c r="BC42" s="560"/>
      <c r="BD42" s="465"/>
      <c r="BE42" s="67">
        <v>0</v>
      </c>
      <c r="BF42" s="66"/>
      <c r="BG42" s="67"/>
      <c r="BH42" s="560"/>
      <c r="BI42" s="465"/>
      <c r="BJ42" s="67">
        <v>0</v>
      </c>
      <c r="BK42" s="66"/>
      <c r="BL42" s="67"/>
      <c r="BM42" s="560"/>
      <c r="BN42" s="465"/>
      <c r="BO42" s="67">
        <v>0</v>
      </c>
      <c r="BP42" s="66"/>
      <c r="BQ42" s="67"/>
      <c r="BR42" s="560"/>
      <c r="BS42" s="465"/>
      <c r="BT42" s="67">
        <f>SUM(L42:BO42)</f>
        <v>0</v>
      </c>
      <c r="BU42" s="66"/>
      <c r="BV42" s="67"/>
      <c r="BW42" s="560"/>
      <c r="BX42" s="465"/>
      <c r="BY42" s="67">
        <f>SUM(Q42:BT42)</f>
        <v>0</v>
      </c>
      <c r="BZ42" s="66"/>
      <c r="CA42" s="67"/>
      <c r="CB42" s="560"/>
      <c r="CC42" s="465"/>
      <c r="CD42" s="67">
        <v>0</v>
      </c>
      <c r="CE42" s="66"/>
      <c r="CF42" s="67"/>
      <c r="CG42" s="560"/>
      <c r="CH42" s="465"/>
      <c r="CI42" s="67">
        <v>0</v>
      </c>
      <c r="CJ42" s="66"/>
      <c r="CK42" s="67"/>
      <c r="CL42" s="560"/>
      <c r="CM42" s="465"/>
      <c r="CN42" s="67">
        <v>0</v>
      </c>
      <c r="CO42" s="66"/>
      <c r="CP42" s="67"/>
      <c r="CQ42" s="560"/>
      <c r="CR42" s="465"/>
      <c r="CS42" s="67">
        <v>0</v>
      </c>
      <c r="CT42" s="66"/>
      <c r="CU42" s="67"/>
      <c r="CV42" s="560"/>
      <c r="CW42" s="465"/>
      <c r="CX42" s="67">
        <v>0</v>
      </c>
      <c r="CY42" s="66"/>
      <c r="CZ42" s="67"/>
      <c r="DA42" s="560"/>
      <c r="DB42" s="465"/>
      <c r="DC42" s="67">
        <v>0</v>
      </c>
      <c r="DD42" s="66"/>
      <c r="DE42" s="67"/>
      <c r="DF42" s="560"/>
      <c r="DG42" s="465"/>
      <c r="DH42" s="67">
        <v>0</v>
      </c>
      <c r="DI42" s="66"/>
      <c r="DJ42" s="67"/>
      <c r="DK42" s="560"/>
      <c r="DL42" s="465"/>
      <c r="DM42" s="67">
        <v>0</v>
      </c>
      <c r="DN42" s="66"/>
      <c r="DO42" s="67"/>
      <c r="DP42" s="560"/>
      <c r="DQ42" s="465"/>
      <c r="DR42" s="67">
        <v>0</v>
      </c>
      <c r="DS42" s="66"/>
      <c r="DT42" s="67"/>
      <c r="DU42" s="560"/>
      <c r="DV42" s="465"/>
      <c r="DW42" s="67">
        <v>0</v>
      </c>
      <c r="DX42" s="66"/>
      <c r="DY42" s="67"/>
      <c r="DZ42" s="560"/>
      <c r="EA42" s="465"/>
      <c r="EB42" s="67">
        <v>0</v>
      </c>
      <c r="EC42" s="66"/>
      <c r="ED42" s="67"/>
      <c r="EE42" s="560"/>
      <c r="EF42" s="465"/>
      <c r="EG42" s="67">
        <v>0</v>
      </c>
      <c r="EH42" s="66"/>
      <c r="EI42" s="67"/>
      <c r="EJ42" s="560"/>
      <c r="EK42" s="465"/>
      <c r="EL42" s="67">
        <f>SUM(CD42:EG42)</f>
        <v>0</v>
      </c>
      <c r="EM42" s="66"/>
      <c r="EN42" s="442"/>
      <c r="EO42" s="455"/>
      <c r="EP42" s="472"/>
      <c r="EQ42" s="472"/>
    </row>
    <row r="43" spans="1:147" hidden="1" x14ac:dyDescent="0.2">
      <c r="A43" s="442"/>
      <c r="B43" s="442"/>
      <c r="D43" s="455" t="s">
        <v>425</v>
      </c>
      <c r="E43" s="465"/>
      <c r="F43" s="488"/>
      <c r="G43" s="113">
        <v>0</v>
      </c>
      <c r="H43" s="112"/>
      <c r="I43" s="67"/>
      <c r="J43" s="560"/>
      <c r="K43" s="488"/>
      <c r="L43" s="113">
        <v>0</v>
      </c>
      <c r="M43" s="112"/>
      <c r="N43" s="67"/>
      <c r="O43" s="560"/>
      <c r="P43" s="488"/>
      <c r="Q43" s="113">
        <v>0</v>
      </c>
      <c r="R43" s="112"/>
      <c r="S43" s="67"/>
      <c r="T43" s="560"/>
      <c r="U43" s="488"/>
      <c r="V43" s="113">
        <v>0</v>
      </c>
      <c r="W43" s="112"/>
      <c r="X43" s="67"/>
      <c r="Y43" s="560"/>
      <c r="Z43" s="488"/>
      <c r="AA43" s="113">
        <v>0</v>
      </c>
      <c r="AB43" s="112"/>
      <c r="AC43" s="67"/>
      <c r="AD43" s="560"/>
      <c r="AE43" s="488"/>
      <c r="AF43" s="113">
        <v>0</v>
      </c>
      <c r="AG43" s="112"/>
      <c r="AH43" s="67"/>
      <c r="AI43" s="560"/>
      <c r="AJ43" s="488"/>
      <c r="AK43" s="113">
        <v>0</v>
      </c>
      <c r="AL43" s="112"/>
      <c r="AM43" s="67"/>
      <c r="AN43" s="560"/>
      <c r="AO43" s="488"/>
      <c r="AP43" s="113">
        <v>0</v>
      </c>
      <c r="AQ43" s="112"/>
      <c r="AR43" s="67"/>
      <c r="AS43" s="560"/>
      <c r="AT43" s="488"/>
      <c r="AU43" s="113">
        <v>0</v>
      </c>
      <c r="AV43" s="112"/>
      <c r="AW43" s="67"/>
      <c r="AX43" s="560"/>
      <c r="AY43" s="488"/>
      <c r="AZ43" s="113">
        <v>0</v>
      </c>
      <c r="BA43" s="112"/>
      <c r="BB43" s="67"/>
      <c r="BC43" s="560"/>
      <c r="BD43" s="488"/>
      <c r="BE43" s="113">
        <v>0</v>
      </c>
      <c r="BF43" s="112"/>
      <c r="BG43" s="67"/>
      <c r="BH43" s="560"/>
      <c r="BI43" s="488"/>
      <c r="BJ43" s="113">
        <v>0</v>
      </c>
      <c r="BK43" s="112"/>
      <c r="BL43" s="67"/>
      <c r="BM43" s="560"/>
      <c r="BN43" s="488"/>
      <c r="BO43" s="113">
        <v>0</v>
      </c>
      <c r="BP43" s="112"/>
      <c r="BQ43" s="67"/>
      <c r="BR43" s="560"/>
      <c r="BS43" s="488"/>
      <c r="BT43" s="113">
        <f>SUM(L43:BO43)</f>
        <v>0</v>
      </c>
      <c r="BU43" s="112"/>
      <c r="BV43" s="67"/>
      <c r="BW43" s="560"/>
      <c r="BX43" s="488"/>
      <c r="BY43" s="113">
        <f>SUM(Q43:BT43)</f>
        <v>0</v>
      </c>
      <c r="BZ43" s="112"/>
      <c r="CA43" s="67"/>
      <c r="CB43" s="560"/>
      <c r="CC43" s="488"/>
      <c r="CD43" s="113">
        <v>0</v>
      </c>
      <c r="CE43" s="112"/>
      <c r="CF43" s="67"/>
      <c r="CG43" s="560"/>
      <c r="CH43" s="488"/>
      <c r="CI43" s="113">
        <v>0</v>
      </c>
      <c r="CJ43" s="112"/>
      <c r="CK43" s="67"/>
      <c r="CL43" s="560"/>
      <c r="CM43" s="488"/>
      <c r="CN43" s="113">
        <v>0</v>
      </c>
      <c r="CO43" s="112"/>
      <c r="CP43" s="67"/>
      <c r="CQ43" s="560"/>
      <c r="CR43" s="488"/>
      <c r="CS43" s="113">
        <v>0</v>
      </c>
      <c r="CT43" s="112"/>
      <c r="CU43" s="67"/>
      <c r="CV43" s="560"/>
      <c r="CW43" s="488"/>
      <c r="CX43" s="113">
        <v>0</v>
      </c>
      <c r="CY43" s="112"/>
      <c r="CZ43" s="67"/>
      <c r="DA43" s="560"/>
      <c r="DB43" s="488"/>
      <c r="DC43" s="113">
        <v>0</v>
      </c>
      <c r="DD43" s="112"/>
      <c r="DE43" s="67"/>
      <c r="DF43" s="560"/>
      <c r="DG43" s="488"/>
      <c r="DH43" s="113">
        <v>0</v>
      </c>
      <c r="DI43" s="112"/>
      <c r="DJ43" s="67"/>
      <c r="DK43" s="560"/>
      <c r="DL43" s="488"/>
      <c r="DM43" s="113">
        <v>0</v>
      </c>
      <c r="DN43" s="112"/>
      <c r="DO43" s="67"/>
      <c r="DP43" s="560"/>
      <c r="DQ43" s="488"/>
      <c r="DR43" s="113">
        <v>0</v>
      </c>
      <c r="DS43" s="112"/>
      <c r="DT43" s="67"/>
      <c r="DU43" s="560"/>
      <c r="DV43" s="488"/>
      <c r="DW43" s="113">
        <v>0</v>
      </c>
      <c r="DX43" s="112"/>
      <c r="DY43" s="67"/>
      <c r="DZ43" s="560"/>
      <c r="EA43" s="488"/>
      <c r="EB43" s="113">
        <v>0</v>
      </c>
      <c r="EC43" s="112"/>
      <c r="ED43" s="67"/>
      <c r="EE43" s="560"/>
      <c r="EF43" s="488"/>
      <c r="EG43" s="113">
        <v>0</v>
      </c>
      <c r="EH43" s="112"/>
      <c r="EI43" s="67"/>
      <c r="EJ43" s="560"/>
      <c r="EK43" s="488"/>
      <c r="EL43" s="113">
        <f>SUM(CD43:EG43)</f>
        <v>0</v>
      </c>
      <c r="EM43" s="112"/>
      <c r="EN43" s="442"/>
      <c r="EO43" s="455"/>
      <c r="EP43" s="472"/>
      <c r="EQ43" s="472"/>
    </row>
    <row r="44" spans="1:147" ht="12.75" hidden="1" customHeight="1" x14ac:dyDescent="0.2">
      <c r="A44" s="442"/>
      <c r="B44" s="442"/>
      <c r="D44" s="455"/>
      <c r="E44" s="465"/>
      <c r="F44" s="442"/>
      <c r="G44" s="67"/>
      <c r="H44" s="67"/>
      <c r="I44" s="67"/>
      <c r="J44" s="560"/>
      <c r="K44" s="67"/>
      <c r="L44" s="67"/>
      <c r="M44" s="67"/>
      <c r="N44" s="67"/>
      <c r="O44" s="560"/>
      <c r="P44" s="67"/>
      <c r="Q44" s="67"/>
      <c r="R44" s="67"/>
      <c r="S44" s="67"/>
      <c r="T44" s="560"/>
      <c r="U44" s="67"/>
      <c r="V44" s="67"/>
      <c r="W44" s="67"/>
      <c r="X44" s="67"/>
      <c r="Y44" s="560"/>
      <c r="Z44" s="67"/>
      <c r="AA44" s="67"/>
      <c r="AB44" s="67"/>
      <c r="AC44" s="67"/>
      <c r="AD44" s="560"/>
      <c r="AE44" s="67"/>
      <c r="AF44" s="67"/>
      <c r="AG44" s="67"/>
      <c r="AH44" s="67"/>
      <c r="AI44" s="560"/>
      <c r="AJ44" s="67"/>
      <c r="AK44" s="67"/>
      <c r="AL44" s="67"/>
      <c r="AM44" s="67"/>
      <c r="AN44" s="560"/>
      <c r="AO44" s="67"/>
      <c r="AP44" s="67"/>
      <c r="AQ44" s="67"/>
      <c r="AR44" s="67"/>
      <c r="AS44" s="560"/>
      <c r="AT44" s="67"/>
      <c r="AU44" s="67"/>
      <c r="AV44" s="67"/>
      <c r="AW44" s="67"/>
      <c r="AX44" s="560"/>
      <c r="AY44" s="67"/>
      <c r="AZ44" s="67"/>
      <c r="BA44" s="67"/>
      <c r="BB44" s="67"/>
      <c r="BC44" s="560"/>
      <c r="BD44" s="67"/>
      <c r="BE44" s="67"/>
      <c r="BF44" s="67"/>
      <c r="BG44" s="67"/>
      <c r="BH44" s="560"/>
      <c r="BI44" s="67"/>
      <c r="BJ44" s="67"/>
      <c r="BK44" s="67"/>
      <c r="BL44" s="67"/>
      <c r="BM44" s="560"/>
      <c r="BN44" s="67"/>
      <c r="BO44" s="67"/>
      <c r="BP44" s="67"/>
      <c r="BQ44" s="67"/>
      <c r="BR44" s="560"/>
      <c r="BS44" s="67"/>
      <c r="BT44" s="67"/>
      <c r="BU44" s="67"/>
      <c r="BV44" s="67"/>
      <c r="BW44" s="560"/>
      <c r="BX44" s="67"/>
      <c r="BY44" s="67"/>
      <c r="BZ44" s="67"/>
      <c r="CA44" s="67"/>
      <c r="CB44" s="560"/>
      <c r="CC44" s="67"/>
      <c r="CD44" s="67"/>
      <c r="CE44" s="67"/>
      <c r="CF44" s="67"/>
      <c r="CG44" s="560"/>
      <c r="CH44" s="67"/>
      <c r="CI44" s="67"/>
      <c r="CJ44" s="67"/>
      <c r="CK44" s="67"/>
      <c r="CL44" s="560"/>
      <c r="CM44" s="67"/>
      <c r="CN44" s="67"/>
      <c r="CO44" s="67"/>
      <c r="CP44" s="67"/>
      <c r="CQ44" s="560"/>
      <c r="CR44" s="67"/>
      <c r="CS44" s="67"/>
      <c r="CT44" s="67"/>
      <c r="CU44" s="67"/>
      <c r="CV44" s="560"/>
      <c r="CW44" s="67"/>
      <c r="CX44" s="67"/>
      <c r="CY44" s="67"/>
      <c r="CZ44" s="67"/>
      <c r="DA44" s="560"/>
      <c r="DB44" s="67"/>
      <c r="DC44" s="67"/>
      <c r="DD44" s="67"/>
      <c r="DE44" s="67"/>
      <c r="DF44" s="560"/>
      <c r="DG44" s="67"/>
      <c r="DH44" s="67"/>
      <c r="DI44" s="67"/>
      <c r="DJ44" s="67"/>
      <c r="DK44" s="560"/>
      <c r="DL44" s="67"/>
      <c r="DM44" s="67"/>
      <c r="DN44" s="67"/>
      <c r="DO44" s="67"/>
      <c r="DP44" s="560"/>
      <c r="DQ44" s="67"/>
      <c r="DR44" s="67"/>
      <c r="DS44" s="67"/>
      <c r="DT44" s="67"/>
      <c r="DU44" s="560"/>
      <c r="DV44" s="67"/>
      <c r="DW44" s="67"/>
      <c r="DX44" s="67"/>
      <c r="DY44" s="67"/>
      <c r="DZ44" s="560"/>
      <c r="EA44" s="67"/>
      <c r="EB44" s="67"/>
      <c r="EC44" s="67"/>
      <c r="ED44" s="67"/>
      <c r="EE44" s="560"/>
      <c r="EF44" s="67"/>
      <c r="EG44" s="67"/>
      <c r="EH44" s="67"/>
      <c r="EI44" s="67"/>
      <c r="EJ44" s="560"/>
      <c r="EK44" s="67"/>
      <c r="EL44" s="67"/>
      <c r="EM44" s="442"/>
      <c r="EN44" s="442"/>
      <c r="EO44" s="455"/>
      <c r="EP44" s="472"/>
      <c r="EQ44" s="472"/>
    </row>
    <row r="45" spans="1:147" ht="12.75" customHeight="1" x14ac:dyDescent="0.2">
      <c r="A45" s="442"/>
      <c r="B45" s="442"/>
      <c r="D45" s="455" t="s">
        <v>363</v>
      </c>
      <c r="E45" s="465"/>
      <c r="F45" s="442"/>
      <c r="G45" s="67">
        <f>SUM(G46:G48)</f>
        <v>0</v>
      </c>
      <c r="H45" s="67"/>
      <c r="I45" s="67"/>
      <c r="J45" s="560"/>
      <c r="K45" s="67"/>
      <c r="L45" s="67">
        <f>SUM(L46:L48)</f>
        <v>0</v>
      </c>
      <c r="M45" s="67"/>
      <c r="N45" s="67"/>
      <c r="O45" s="560"/>
      <c r="P45" s="442"/>
      <c r="Q45" s="67">
        <f>SUM(Q46:Q48)</f>
        <v>0</v>
      </c>
      <c r="R45" s="67"/>
      <c r="S45" s="67"/>
      <c r="T45" s="560"/>
      <c r="U45" s="442"/>
      <c r="V45" s="67">
        <f>SUM(V46:V48)</f>
        <v>0</v>
      </c>
      <c r="W45" s="67"/>
      <c r="X45" s="67"/>
      <c r="Y45" s="560"/>
      <c r="Z45" s="442"/>
      <c r="AA45" s="67">
        <f>SUM(AA46:AA48)</f>
        <v>0</v>
      </c>
      <c r="AB45" s="67"/>
      <c r="AC45" s="67"/>
      <c r="AD45" s="560"/>
      <c r="AE45" s="442"/>
      <c r="AF45" s="67">
        <f>SUM(AF46:AF48)</f>
        <v>0</v>
      </c>
      <c r="AG45" s="67"/>
      <c r="AH45" s="67"/>
      <c r="AI45" s="560"/>
      <c r="AJ45" s="442"/>
      <c r="AK45" s="67">
        <f>SUM(AK46:AK48)</f>
        <v>0</v>
      </c>
      <c r="AL45" s="67"/>
      <c r="AM45" s="67"/>
      <c r="AN45" s="560"/>
      <c r="AO45" s="442"/>
      <c r="AP45" s="67">
        <f>SUM(AP46:AP48)</f>
        <v>0</v>
      </c>
      <c r="AQ45" s="67"/>
      <c r="AR45" s="67"/>
      <c r="AS45" s="560"/>
      <c r="AT45" s="442"/>
      <c r="AU45" s="67">
        <f>SUM(AU46:AU48)</f>
        <v>0</v>
      </c>
      <c r="AV45" s="67"/>
      <c r="AW45" s="67"/>
      <c r="AX45" s="560"/>
      <c r="AY45" s="442"/>
      <c r="AZ45" s="67">
        <f>SUM(AZ46:AZ48)</f>
        <v>0</v>
      </c>
      <c r="BA45" s="67"/>
      <c r="BB45" s="67"/>
      <c r="BC45" s="560"/>
      <c r="BD45" s="442"/>
      <c r="BE45" s="67">
        <f>SUM(BE46:BE48)</f>
        <v>0</v>
      </c>
      <c r="BF45" s="67"/>
      <c r="BG45" s="67"/>
      <c r="BH45" s="560"/>
      <c r="BI45" s="442"/>
      <c r="BJ45" s="67">
        <f>SUM(BJ46:BJ48)</f>
        <v>0</v>
      </c>
      <c r="BK45" s="67"/>
      <c r="BL45" s="67"/>
      <c r="BM45" s="560"/>
      <c r="BN45" s="442"/>
      <c r="BO45" s="67">
        <f>SUM(BO46:BO48)</f>
        <v>0</v>
      </c>
      <c r="BP45" s="67"/>
      <c r="BQ45" s="67"/>
      <c r="BR45" s="560"/>
      <c r="BS45" s="67"/>
      <c r="BT45" s="67">
        <f>SUM(BT46:BT48)</f>
        <v>0</v>
      </c>
      <c r="BU45" s="67"/>
      <c r="BV45" s="67"/>
      <c r="BW45" s="560"/>
      <c r="BX45" s="67"/>
      <c r="BY45" s="67">
        <f>SUM(BY46:BY48)</f>
        <v>0</v>
      </c>
      <c r="BZ45" s="67"/>
      <c r="CA45" s="67"/>
      <c r="CB45" s="560"/>
      <c r="CC45" s="67"/>
      <c r="CD45" s="67">
        <f>SUM(CD46:CD48)</f>
        <v>0</v>
      </c>
      <c r="CE45" s="67"/>
      <c r="CF45" s="67"/>
      <c r="CG45" s="560"/>
      <c r="CH45" s="442"/>
      <c r="CI45" s="67">
        <f>SUM(CI46:CI48)</f>
        <v>0</v>
      </c>
      <c r="CJ45" s="67"/>
      <c r="CK45" s="67"/>
      <c r="CL45" s="560"/>
      <c r="CM45" s="442"/>
      <c r="CN45" s="67">
        <f>SUM(CN46:CN48)</f>
        <v>0</v>
      </c>
      <c r="CO45" s="67"/>
      <c r="CP45" s="67"/>
      <c r="CQ45" s="560"/>
      <c r="CR45" s="442"/>
      <c r="CS45" s="67">
        <f>SUM(CS46:CS48)</f>
        <v>0</v>
      </c>
      <c r="CT45" s="67"/>
      <c r="CU45" s="67"/>
      <c r="CV45" s="560"/>
      <c r="CW45" s="442"/>
      <c r="CX45" s="67">
        <f>SUM(CX46:CX48)</f>
        <v>0</v>
      </c>
      <c r="CY45" s="67"/>
      <c r="CZ45" s="67"/>
      <c r="DA45" s="560"/>
      <c r="DB45" s="442"/>
      <c r="DC45" s="67">
        <f>SUM(DC46:DC48)</f>
        <v>0</v>
      </c>
      <c r="DD45" s="67"/>
      <c r="DE45" s="67"/>
      <c r="DF45" s="560"/>
      <c r="DG45" s="442"/>
      <c r="DH45" s="67">
        <f>SUM(DH46:DH48)</f>
        <v>0</v>
      </c>
      <c r="DI45" s="67"/>
      <c r="DJ45" s="67"/>
      <c r="DK45" s="560"/>
      <c r="DL45" s="442"/>
      <c r="DM45" s="67">
        <f>SUM(DM46:DM48)</f>
        <v>0</v>
      </c>
      <c r="DN45" s="67"/>
      <c r="DO45" s="67"/>
      <c r="DP45" s="560"/>
      <c r="DQ45" s="442"/>
      <c r="DR45" s="67">
        <f>SUM(DR46:DR48)</f>
        <v>0</v>
      </c>
      <c r="DS45" s="67"/>
      <c r="DT45" s="67"/>
      <c r="DU45" s="560"/>
      <c r="DV45" s="442"/>
      <c r="DW45" s="67">
        <f>SUM(DW46:DW48)</f>
        <v>0</v>
      </c>
      <c r="DX45" s="67"/>
      <c r="DY45" s="67"/>
      <c r="DZ45" s="560"/>
      <c r="EA45" s="442"/>
      <c r="EB45" s="67">
        <f>SUM(EB46:EB48)</f>
        <v>0</v>
      </c>
      <c r="EC45" s="67"/>
      <c r="ED45" s="67"/>
      <c r="EE45" s="560"/>
      <c r="EF45" s="442"/>
      <c r="EG45" s="67">
        <f>SUM(EG46:EG48)</f>
        <v>0</v>
      </c>
      <c r="EH45" s="67"/>
      <c r="EI45" s="67"/>
      <c r="EJ45" s="560"/>
      <c r="EK45" s="67"/>
      <c r="EL45" s="67">
        <f>SUM(EL46:EL48)</f>
        <v>0</v>
      </c>
      <c r="EM45" s="442"/>
      <c r="EN45" s="442"/>
      <c r="EO45" s="455"/>
      <c r="EP45" s="472"/>
      <c r="EQ45" s="472"/>
    </row>
    <row r="46" spans="1:147" ht="12.75" customHeight="1" x14ac:dyDescent="0.2">
      <c r="A46" s="442"/>
      <c r="B46" s="442"/>
      <c r="D46" s="455" t="s">
        <v>342</v>
      </c>
      <c r="E46" s="465"/>
      <c r="F46" s="473"/>
      <c r="G46" s="558">
        <v>0</v>
      </c>
      <c r="H46" s="559"/>
      <c r="I46" s="67"/>
      <c r="J46" s="560"/>
      <c r="K46" s="561"/>
      <c r="L46" s="558">
        <v>0</v>
      </c>
      <c r="M46" s="559"/>
      <c r="N46" s="67"/>
      <c r="O46" s="560"/>
      <c r="P46" s="473"/>
      <c r="Q46" s="558">
        <v>0</v>
      </c>
      <c r="R46" s="559"/>
      <c r="S46" s="67"/>
      <c r="T46" s="560"/>
      <c r="U46" s="473"/>
      <c r="V46" s="558">
        <v>0</v>
      </c>
      <c r="W46" s="559"/>
      <c r="X46" s="67"/>
      <c r="Y46" s="560"/>
      <c r="Z46" s="473"/>
      <c r="AA46" s="558">
        <v>0</v>
      </c>
      <c r="AB46" s="559"/>
      <c r="AC46" s="67"/>
      <c r="AD46" s="560"/>
      <c r="AE46" s="473"/>
      <c r="AF46" s="558">
        <v>0</v>
      </c>
      <c r="AG46" s="559"/>
      <c r="AH46" s="67"/>
      <c r="AI46" s="560"/>
      <c r="AJ46" s="473"/>
      <c r="AK46" s="558">
        <v>0</v>
      </c>
      <c r="AL46" s="559"/>
      <c r="AM46" s="67"/>
      <c r="AN46" s="560"/>
      <c r="AO46" s="473"/>
      <c r="AP46" s="558">
        <v>0</v>
      </c>
      <c r="AQ46" s="559"/>
      <c r="AR46" s="67"/>
      <c r="AS46" s="560"/>
      <c r="AT46" s="473"/>
      <c r="AU46" s="558">
        <v>0</v>
      </c>
      <c r="AV46" s="559"/>
      <c r="AW46" s="67"/>
      <c r="AX46" s="560"/>
      <c r="AY46" s="473"/>
      <c r="AZ46" s="558">
        <v>0</v>
      </c>
      <c r="BA46" s="559"/>
      <c r="BB46" s="67"/>
      <c r="BC46" s="560"/>
      <c r="BD46" s="473"/>
      <c r="BE46" s="558">
        <v>0</v>
      </c>
      <c r="BF46" s="559"/>
      <c r="BG46" s="67"/>
      <c r="BH46" s="560"/>
      <c r="BI46" s="473"/>
      <c r="BJ46" s="558">
        <v>0</v>
      </c>
      <c r="BK46" s="559"/>
      <c r="BL46" s="67"/>
      <c r="BM46" s="560"/>
      <c r="BN46" s="473"/>
      <c r="BO46" s="558">
        <v>0</v>
      </c>
      <c r="BP46" s="559"/>
      <c r="BQ46" s="67"/>
      <c r="BR46" s="560"/>
      <c r="BS46" s="561"/>
      <c r="BT46" s="558">
        <f>SUM(L46:BO46)</f>
        <v>0</v>
      </c>
      <c r="BU46" s="559"/>
      <c r="BV46" s="67"/>
      <c r="BW46" s="560"/>
      <c r="BX46" s="561"/>
      <c r="BY46" s="558">
        <v>0</v>
      </c>
      <c r="BZ46" s="559"/>
      <c r="CA46" s="67"/>
      <c r="CB46" s="560"/>
      <c r="CC46" s="561"/>
      <c r="CD46" s="558">
        <v>0</v>
      </c>
      <c r="CE46" s="559"/>
      <c r="CF46" s="67"/>
      <c r="CG46" s="560"/>
      <c r="CH46" s="473"/>
      <c r="CI46" s="558">
        <v>0</v>
      </c>
      <c r="CJ46" s="559"/>
      <c r="CK46" s="67"/>
      <c r="CL46" s="560"/>
      <c r="CM46" s="473"/>
      <c r="CN46" s="558">
        <v>0</v>
      </c>
      <c r="CO46" s="559"/>
      <c r="CP46" s="67"/>
      <c r="CQ46" s="560"/>
      <c r="CR46" s="473"/>
      <c r="CS46" s="558">
        <v>0</v>
      </c>
      <c r="CT46" s="559"/>
      <c r="CU46" s="67"/>
      <c r="CV46" s="560"/>
      <c r="CW46" s="473"/>
      <c r="CX46" s="558">
        <v>0</v>
      </c>
      <c r="CY46" s="559"/>
      <c r="CZ46" s="67"/>
      <c r="DA46" s="560"/>
      <c r="DB46" s="473"/>
      <c r="DC46" s="558">
        <v>0</v>
      </c>
      <c r="DD46" s="559"/>
      <c r="DE46" s="67"/>
      <c r="DF46" s="560"/>
      <c r="DG46" s="473"/>
      <c r="DH46" s="558">
        <v>0</v>
      </c>
      <c r="DI46" s="559"/>
      <c r="DJ46" s="67"/>
      <c r="DK46" s="560"/>
      <c r="DL46" s="473"/>
      <c r="DM46" s="558">
        <v>0</v>
      </c>
      <c r="DN46" s="559"/>
      <c r="DO46" s="67"/>
      <c r="DP46" s="560"/>
      <c r="DQ46" s="473"/>
      <c r="DR46" s="558">
        <v>0</v>
      </c>
      <c r="DS46" s="559"/>
      <c r="DT46" s="67"/>
      <c r="DU46" s="560"/>
      <c r="DV46" s="473"/>
      <c r="DW46" s="558">
        <v>0</v>
      </c>
      <c r="DX46" s="559"/>
      <c r="DY46" s="67"/>
      <c r="DZ46" s="560"/>
      <c r="EA46" s="473"/>
      <c r="EB46" s="558">
        <v>0</v>
      </c>
      <c r="EC46" s="559"/>
      <c r="ED46" s="67"/>
      <c r="EE46" s="560"/>
      <c r="EF46" s="473"/>
      <c r="EG46" s="558">
        <v>0</v>
      </c>
      <c r="EH46" s="559"/>
      <c r="EI46" s="67"/>
      <c r="EJ46" s="560"/>
      <c r="EK46" s="561"/>
      <c r="EL46" s="558">
        <f>SUM(CD46:CI46)</f>
        <v>0</v>
      </c>
      <c r="EM46" s="475"/>
      <c r="EN46" s="442"/>
      <c r="EO46" s="455"/>
      <c r="EP46" s="472"/>
      <c r="EQ46" s="472"/>
    </row>
    <row r="47" spans="1:147" ht="12.75" customHeight="1" x14ac:dyDescent="0.2">
      <c r="A47" s="442"/>
      <c r="B47" s="442"/>
      <c r="D47" s="455" t="s">
        <v>424</v>
      </c>
      <c r="E47" s="465"/>
      <c r="F47" s="465"/>
      <c r="G47" s="67">
        <v>0</v>
      </c>
      <c r="H47" s="66"/>
      <c r="I47" s="67"/>
      <c r="J47" s="560"/>
      <c r="K47" s="560"/>
      <c r="L47" s="67">
        <v>0</v>
      </c>
      <c r="M47" s="66"/>
      <c r="N47" s="67"/>
      <c r="O47" s="560"/>
      <c r="P47" s="465"/>
      <c r="Q47" s="67">
        <v>0</v>
      </c>
      <c r="R47" s="66"/>
      <c r="S47" s="67"/>
      <c r="T47" s="560"/>
      <c r="U47" s="465"/>
      <c r="V47" s="67">
        <v>0</v>
      </c>
      <c r="W47" s="66"/>
      <c r="X47" s="67"/>
      <c r="Y47" s="560"/>
      <c r="Z47" s="465"/>
      <c r="AA47" s="67">
        <v>0</v>
      </c>
      <c r="AB47" s="66"/>
      <c r="AC47" s="67"/>
      <c r="AD47" s="560"/>
      <c r="AE47" s="465"/>
      <c r="AF47" s="67">
        <v>0</v>
      </c>
      <c r="AG47" s="66"/>
      <c r="AH47" s="67"/>
      <c r="AI47" s="560"/>
      <c r="AJ47" s="465"/>
      <c r="AK47" s="67">
        <v>0</v>
      </c>
      <c r="AL47" s="66"/>
      <c r="AM47" s="67"/>
      <c r="AN47" s="560"/>
      <c r="AO47" s="465"/>
      <c r="AP47" s="67">
        <v>0</v>
      </c>
      <c r="AQ47" s="66"/>
      <c r="AR47" s="67"/>
      <c r="AS47" s="560"/>
      <c r="AT47" s="465"/>
      <c r="AU47" s="67">
        <v>0</v>
      </c>
      <c r="AV47" s="66"/>
      <c r="AW47" s="67"/>
      <c r="AX47" s="560"/>
      <c r="AY47" s="465"/>
      <c r="AZ47" s="67">
        <v>0</v>
      </c>
      <c r="BA47" s="66"/>
      <c r="BB47" s="67"/>
      <c r="BC47" s="560"/>
      <c r="BD47" s="465"/>
      <c r="BE47" s="67">
        <v>0</v>
      </c>
      <c r="BF47" s="66"/>
      <c r="BG47" s="67"/>
      <c r="BH47" s="560"/>
      <c r="BI47" s="465"/>
      <c r="BJ47" s="67">
        <v>0</v>
      </c>
      <c r="BK47" s="66"/>
      <c r="BL47" s="67"/>
      <c r="BM47" s="560"/>
      <c r="BN47" s="465"/>
      <c r="BO47" s="67">
        <v>0</v>
      </c>
      <c r="BP47" s="66"/>
      <c r="BQ47" s="67"/>
      <c r="BR47" s="560"/>
      <c r="BS47" s="560"/>
      <c r="BT47" s="67">
        <f>SUM(L47:BO47)</f>
        <v>0</v>
      </c>
      <c r="BU47" s="66"/>
      <c r="BV47" s="67"/>
      <c r="BW47" s="560"/>
      <c r="BX47" s="560"/>
      <c r="BY47" s="67">
        <v>0</v>
      </c>
      <c r="BZ47" s="66"/>
      <c r="CA47" s="67"/>
      <c r="CB47" s="560"/>
      <c r="CC47" s="560"/>
      <c r="CD47" s="67">
        <v>0</v>
      </c>
      <c r="CE47" s="66"/>
      <c r="CF47" s="67"/>
      <c r="CG47" s="560"/>
      <c r="CH47" s="465"/>
      <c r="CI47" s="67">
        <v>0</v>
      </c>
      <c r="CJ47" s="66"/>
      <c r="CK47" s="67"/>
      <c r="CL47" s="560"/>
      <c r="CM47" s="465"/>
      <c r="CN47" s="67">
        <v>0</v>
      </c>
      <c r="CO47" s="66"/>
      <c r="CP47" s="67"/>
      <c r="CQ47" s="560"/>
      <c r="CR47" s="465"/>
      <c r="CS47" s="67">
        <v>0</v>
      </c>
      <c r="CT47" s="66"/>
      <c r="CU47" s="67"/>
      <c r="CV47" s="560"/>
      <c r="CW47" s="465"/>
      <c r="CX47" s="67">
        <v>0</v>
      </c>
      <c r="CY47" s="66"/>
      <c r="CZ47" s="67"/>
      <c r="DA47" s="560"/>
      <c r="DB47" s="465"/>
      <c r="DC47" s="67">
        <v>0</v>
      </c>
      <c r="DD47" s="66"/>
      <c r="DE47" s="67"/>
      <c r="DF47" s="560"/>
      <c r="DG47" s="465"/>
      <c r="DH47" s="67">
        <v>0</v>
      </c>
      <c r="DI47" s="66"/>
      <c r="DJ47" s="67"/>
      <c r="DK47" s="560"/>
      <c r="DL47" s="465"/>
      <c r="DM47" s="67">
        <v>0</v>
      </c>
      <c r="DN47" s="66"/>
      <c r="DO47" s="67"/>
      <c r="DP47" s="560"/>
      <c r="DQ47" s="465"/>
      <c r="DR47" s="67">
        <v>0</v>
      </c>
      <c r="DS47" s="66"/>
      <c r="DT47" s="67"/>
      <c r="DU47" s="560"/>
      <c r="DV47" s="465"/>
      <c r="DW47" s="67">
        <v>0</v>
      </c>
      <c r="DX47" s="66"/>
      <c r="DY47" s="67"/>
      <c r="DZ47" s="560"/>
      <c r="EA47" s="465"/>
      <c r="EB47" s="67">
        <v>0</v>
      </c>
      <c r="EC47" s="66"/>
      <c r="ED47" s="67"/>
      <c r="EE47" s="560"/>
      <c r="EF47" s="465"/>
      <c r="EG47" s="67">
        <v>0</v>
      </c>
      <c r="EH47" s="66"/>
      <c r="EI47" s="67"/>
      <c r="EJ47" s="560"/>
      <c r="EK47" s="560"/>
      <c r="EL47" s="67">
        <f>SUM(CD47:CI47)</f>
        <v>0</v>
      </c>
      <c r="EM47" s="480"/>
      <c r="EN47" s="442"/>
      <c r="EO47" s="455"/>
      <c r="EP47" s="472"/>
      <c r="EQ47" s="472"/>
    </row>
    <row r="48" spans="1:147" ht="12.75" customHeight="1" x14ac:dyDescent="0.2">
      <c r="A48" s="442"/>
      <c r="B48" s="442"/>
      <c r="D48" s="455" t="s">
        <v>425</v>
      </c>
      <c r="E48" s="465"/>
      <c r="F48" s="488"/>
      <c r="G48" s="113">
        <v>0</v>
      </c>
      <c r="H48" s="112"/>
      <c r="I48" s="67"/>
      <c r="J48" s="560"/>
      <c r="K48" s="569"/>
      <c r="L48" s="113">
        <v>0</v>
      </c>
      <c r="M48" s="112"/>
      <c r="N48" s="67"/>
      <c r="O48" s="560"/>
      <c r="P48" s="488"/>
      <c r="Q48" s="113">
        <v>0</v>
      </c>
      <c r="R48" s="112"/>
      <c r="S48" s="67"/>
      <c r="T48" s="560"/>
      <c r="U48" s="488"/>
      <c r="V48" s="113">
        <v>0</v>
      </c>
      <c r="W48" s="112"/>
      <c r="X48" s="67"/>
      <c r="Y48" s="560"/>
      <c r="Z48" s="488"/>
      <c r="AA48" s="113">
        <v>0</v>
      </c>
      <c r="AB48" s="112"/>
      <c r="AC48" s="67"/>
      <c r="AD48" s="560"/>
      <c r="AE48" s="488"/>
      <c r="AF48" s="113">
        <v>0</v>
      </c>
      <c r="AG48" s="112"/>
      <c r="AH48" s="67"/>
      <c r="AI48" s="560"/>
      <c r="AJ48" s="488"/>
      <c r="AK48" s="113">
        <v>0</v>
      </c>
      <c r="AL48" s="112"/>
      <c r="AM48" s="67"/>
      <c r="AN48" s="560"/>
      <c r="AO48" s="488"/>
      <c r="AP48" s="113">
        <v>0</v>
      </c>
      <c r="AQ48" s="112"/>
      <c r="AR48" s="67"/>
      <c r="AS48" s="560"/>
      <c r="AT48" s="488"/>
      <c r="AU48" s="113">
        <v>0</v>
      </c>
      <c r="AV48" s="112"/>
      <c r="AW48" s="67"/>
      <c r="AX48" s="560"/>
      <c r="AY48" s="488"/>
      <c r="AZ48" s="113">
        <v>0</v>
      </c>
      <c r="BA48" s="112"/>
      <c r="BB48" s="67"/>
      <c r="BC48" s="560"/>
      <c r="BD48" s="488"/>
      <c r="BE48" s="113">
        <v>0</v>
      </c>
      <c r="BF48" s="112"/>
      <c r="BG48" s="67"/>
      <c r="BH48" s="560"/>
      <c r="BI48" s="488"/>
      <c r="BJ48" s="113">
        <v>0</v>
      </c>
      <c r="BK48" s="112"/>
      <c r="BL48" s="67"/>
      <c r="BM48" s="560"/>
      <c r="BN48" s="488"/>
      <c r="BO48" s="113">
        <v>0</v>
      </c>
      <c r="BP48" s="112"/>
      <c r="BQ48" s="67"/>
      <c r="BR48" s="560"/>
      <c r="BS48" s="569"/>
      <c r="BT48" s="113">
        <f>SUM(L48:BO48)</f>
        <v>0</v>
      </c>
      <c r="BU48" s="112"/>
      <c r="BV48" s="67"/>
      <c r="BW48" s="560"/>
      <c r="BX48" s="569"/>
      <c r="BY48" s="113">
        <v>0</v>
      </c>
      <c r="BZ48" s="112"/>
      <c r="CA48" s="67"/>
      <c r="CB48" s="560"/>
      <c r="CC48" s="569"/>
      <c r="CD48" s="113">
        <v>0</v>
      </c>
      <c r="CE48" s="112"/>
      <c r="CF48" s="67"/>
      <c r="CG48" s="560"/>
      <c r="CH48" s="488"/>
      <c r="CI48" s="113">
        <v>0</v>
      </c>
      <c r="CJ48" s="112"/>
      <c r="CK48" s="67"/>
      <c r="CL48" s="560"/>
      <c r="CM48" s="488"/>
      <c r="CN48" s="113">
        <v>0</v>
      </c>
      <c r="CO48" s="112"/>
      <c r="CP48" s="67"/>
      <c r="CQ48" s="560"/>
      <c r="CR48" s="488"/>
      <c r="CS48" s="113">
        <v>0</v>
      </c>
      <c r="CT48" s="112"/>
      <c r="CU48" s="67"/>
      <c r="CV48" s="560"/>
      <c r="CW48" s="488"/>
      <c r="CX48" s="113">
        <v>0</v>
      </c>
      <c r="CY48" s="112"/>
      <c r="CZ48" s="67"/>
      <c r="DA48" s="560"/>
      <c r="DB48" s="488"/>
      <c r="DC48" s="113">
        <v>0</v>
      </c>
      <c r="DD48" s="112"/>
      <c r="DE48" s="67"/>
      <c r="DF48" s="560"/>
      <c r="DG48" s="488"/>
      <c r="DH48" s="113">
        <v>0</v>
      </c>
      <c r="DI48" s="112"/>
      <c r="DJ48" s="67"/>
      <c r="DK48" s="560"/>
      <c r="DL48" s="488"/>
      <c r="DM48" s="113">
        <v>0</v>
      </c>
      <c r="DN48" s="112"/>
      <c r="DO48" s="67"/>
      <c r="DP48" s="560"/>
      <c r="DQ48" s="488"/>
      <c r="DR48" s="113">
        <v>0</v>
      </c>
      <c r="DS48" s="112"/>
      <c r="DT48" s="67"/>
      <c r="DU48" s="560"/>
      <c r="DV48" s="488"/>
      <c r="DW48" s="113">
        <v>0</v>
      </c>
      <c r="DX48" s="112"/>
      <c r="DY48" s="67"/>
      <c r="DZ48" s="560"/>
      <c r="EA48" s="488"/>
      <c r="EB48" s="113">
        <v>0</v>
      </c>
      <c r="EC48" s="112"/>
      <c r="ED48" s="67"/>
      <c r="EE48" s="560"/>
      <c r="EF48" s="488"/>
      <c r="EG48" s="113">
        <v>0</v>
      </c>
      <c r="EH48" s="112"/>
      <c r="EI48" s="67"/>
      <c r="EJ48" s="560"/>
      <c r="EK48" s="569"/>
      <c r="EL48" s="113">
        <f>SUM(CD48:CI48)</f>
        <v>0</v>
      </c>
      <c r="EM48" s="490"/>
      <c r="EN48" s="442"/>
      <c r="EO48" s="455"/>
      <c r="EP48" s="472"/>
      <c r="EQ48" s="472"/>
    </row>
    <row r="49" spans="1:147" ht="12.75" customHeight="1" x14ac:dyDescent="0.2">
      <c r="A49" s="442"/>
      <c r="B49" s="442"/>
      <c r="D49" s="455"/>
      <c r="E49" s="465"/>
      <c r="F49" s="442"/>
      <c r="G49" s="67"/>
      <c r="H49" s="67"/>
      <c r="I49" s="67"/>
      <c r="J49" s="560"/>
      <c r="K49" s="67"/>
      <c r="L49" s="67"/>
      <c r="M49" s="67"/>
      <c r="N49" s="67"/>
      <c r="O49" s="560"/>
      <c r="P49" s="67"/>
      <c r="Q49" s="67"/>
      <c r="R49" s="67"/>
      <c r="S49" s="67"/>
      <c r="T49" s="560"/>
      <c r="U49" s="67"/>
      <c r="V49" s="67"/>
      <c r="W49" s="67"/>
      <c r="X49" s="67"/>
      <c r="Y49" s="560"/>
      <c r="Z49" s="67"/>
      <c r="AA49" s="67"/>
      <c r="AB49" s="67"/>
      <c r="AC49" s="67"/>
      <c r="AD49" s="560"/>
      <c r="AE49" s="67"/>
      <c r="AF49" s="67"/>
      <c r="AG49" s="67"/>
      <c r="AH49" s="67"/>
      <c r="AI49" s="560"/>
      <c r="AJ49" s="67"/>
      <c r="AK49" s="67"/>
      <c r="AL49" s="67"/>
      <c r="AM49" s="67"/>
      <c r="AN49" s="560"/>
      <c r="AO49" s="67"/>
      <c r="AP49" s="67"/>
      <c r="AQ49" s="67"/>
      <c r="AR49" s="67"/>
      <c r="AS49" s="560"/>
      <c r="AT49" s="67"/>
      <c r="AU49" s="67"/>
      <c r="AV49" s="67"/>
      <c r="AW49" s="67"/>
      <c r="AX49" s="560"/>
      <c r="AY49" s="67"/>
      <c r="AZ49" s="67"/>
      <c r="BA49" s="67"/>
      <c r="BB49" s="67"/>
      <c r="BC49" s="560"/>
      <c r="BD49" s="67"/>
      <c r="BE49" s="67"/>
      <c r="BF49" s="67"/>
      <c r="BG49" s="67"/>
      <c r="BH49" s="560"/>
      <c r="BI49" s="67"/>
      <c r="BJ49" s="67"/>
      <c r="BK49" s="67"/>
      <c r="BL49" s="67"/>
      <c r="BM49" s="560"/>
      <c r="BN49" s="67"/>
      <c r="BO49" s="67"/>
      <c r="BP49" s="67"/>
      <c r="BQ49" s="67"/>
      <c r="BR49" s="560"/>
      <c r="BS49" s="67"/>
      <c r="BT49" s="67"/>
      <c r="BU49" s="67"/>
      <c r="BV49" s="67"/>
      <c r="BW49" s="560"/>
      <c r="BX49" s="67"/>
      <c r="BY49" s="67"/>
      <c r="BZ49" s="67"/>
      <c r="CA49" s="67"/>
      <c r="CB49" s="560"/>
      <c r="CC49" s="67"/>
      <c r="CD49" s="67"/>
      <c r="CE49" s="67"/>
      <c r="CF49" s="67"/>
      <c r="CG49" s="560"/>
      <c r="CH49" s="67"/>
      <c r="CI49" s="67"/>
      <c r="CJ49" s="67"/>
      <c r="CK49" s="67"/>
      <c r="CL49" s="560"/>
      <c r="CM49" s="67"/>
      <c r="CN49" s="67"/>
      <c r="CO49" s="67"/>
      <c r="CP49" s="67"/>
      <c r="CQ49" s="560"/>
      <c r="CR49" s="67"/>
      <c r="CS49" s="67"/>
      <c r="CT49" s="67"/>
      <c r="CU49" s="67"/>
      <c r="CV49" s="560"/>
      <c r="CW49" s="67"/>
      <c r="CX49" s="67"/>
      <c r="CY49" s="67"/>
      <c r="CZ49" s="67"/>
      <c r="DA49" s="560"/>
      <c r="DB49" s="67"/>
      <c r="DC49" s="67"/>
      <c r="DD49" s="67"/>
      <c r="DE49" s="67"/>
      <c r="DF49" s="560"/>
      <c r="DG49" s="67"/>
      <c r="DH49" s="67"/>
      <c r="DI49" s="67"/>
      <c r="DJ49" s="67"/>
      <c r="DK49" s="560"/>
      <c r="DL49" s="67"/>
      <c r="DM49" s="67"/>
      <c r="DN49" s="67"/>
      <c r="DO49" s="67"/>
      <c r="DP49" s="560"/>
      <c r="DQ49" s="67"/>
      <c r="DR49" s="67"/>
      <c r="DS49" s="67"/>
      <c r="DT49" s="67"/>
      <c r="DU49" s="560"/>
      <c r="DV49" s="67"/>
      <c r="DW49" s="67"/>
      <c r="DX49" s="67"/>
      <c r="DY49" s="67"/>
      <c r="DZ49" s="560"/>
      <c r="EA49" s="67"/>
      <c r="EB49" s="67"/>
      <c r="EC49" s="67"/>
      <c r="ED49" s="67"/>
      <c r="EE49" s="560"/>
      <c r="EF49" s="67"/>
      <c r="EG49" s="67"/>
      <c r="EH49" s="67"/>
      <c r="EI49" s="67"/>
      <c r="EJ49" s="560"/>
      <c r="EK49" s="67"/>
      <c r="EL49" s="67"/>
      <c r="EM49" s="442"/>
      <c r="EN49" s="442"/>
      <c r="EO49" s="455"/>
      <c r="EP49" s="472"/>
      <c r="EQ49" s="472"/>
    </row>
    <row r="50" spans="1:147" ht="12.75" hidden="1" customHeight="1" x14ac:dyDescent="0.2">
      <c r="A50" s="442"/>
      <c r="B50" s="442"/>
      <c r="D50" s="455" t="s">
        <v>428</v>
      </c>
      <c r="E50" s="465"/>
      <c r="F50" s="442"/>
      <c r="G50" s="67">
        <v>0</v>
      </c>
      <c r="H50" s="67"/>
      <c r="I50" s="67"/>
      <c r="J50" s="560"/>
      <c r="K50" s="67"/>
      <c r="L50" s="67">
        <f>SUM(L51:L53)</f>
        <v>0</v>
      </c>
      <c r="M50" s="67"/>
      <c r="N50" s="67"/>
      <c r="O50" s="560"/>
      <c r="P50" s="442"/>
      <c r="Q50" s="67">
        <f>SUM(Q51:Q53)</f>
        <v>0</v>
      </c>
      <c r="R50" s="67"/>
      <c r="S50" s="67"/>
      <c r="T50" s="560"/>
      <c r="U50" s="442"/>
      <c r="V50" s="67">
        <f>SUM(V51:V53)</f>
        <v>0</v>
      </c>
      <c r="W50" s="67"/>
      <c r="X50" s="67"/>
      <c r="Y50" s="560"/>
      <c r="Z50" s="442"/>
      <c r="AA50" s="67">
        <f>SUM(AA51:AA53)</f>
        <v>0</v>
      </c>
      <c r="AB50" s="67"/>
      <c r="AC50" s="67"/>
      <c r="AD50" s="560"/>
      <c r="AE50" s="442"/>
      <c r="AF50" s="67">
        <f>SUM(AF51:AF53)</f>
        <v>0</v>
      </c>
      <c r="AG50" s="67"/>
      <c r="AH50" s="67"/>
      <c r="AI50" s="560"/>
      <c r="AJ50" s="442"/>
      <c r="AK50" s="67">
        <f>SUM(AK51:AK53)</f>
        <v>0</v>
      </c>
      <c r="AL50" s="67"/>
      <c r="AM50" s="67"/>
      <c r="AN50" s="560"/>
      <c r="AO50" s="442"/>
      <c r="AP50" s="67">
        <f>SUM(AP51:AP53)</f>
        <v>0</v>
      </c>
      <c r="AQ50" s="67"/>
      <c r="AR50" s="67"/>
      <c r="AS50" s="560"/>
      <c r="AT50" s="442"/>
      <c r="AU50" s="67">
        <f>SUM(AU51:AU53)</f>
        <v>0</v>
      </c>
      <c r="AV50" s="67"/>
      <c r="AW50" s="67"/>
      <c r="AX50" s="560"/>
      <c r="AY50" s="442"/>
      <c r="AZ50" s="67">
        <f>SUM(AZ51:AZ53)</f>
        <v>0</v>
      </c>
      <c r="BA50" s="67"/>
      <c r="BB50" s="67"/>
      <c r="BC50" s="560"/>
      <c r="BD50" s="442"/>
      <c r="BE50" s="67">
        <f>SUM(BE51:BE53)</f>
        <v>0</v>
      </c>
      <c r="BF50" s="67"/>
      <c r="BG50" s="67"/>
      <c r="BH50" s="560"/>
      <c r="BI50" s="442"/>
      <c r="BJ50" s="67">
        <f>SUM(BJ51:BJ53)</f>
        <v>0</v>
      </c>
      <c r="BK50" s="67"/>
      <c r="BL50" s="67"/>
      <c r="BM50" s="560"/>
      <c r="BN50" s="442"/>
      <c r="BO50" s="67">
        <f>SUM(BO51:BO53)</f>
        <v>0</v>
      </c>
      <c r="BP50" s="67"/>
      <c r="BQ50" s="67"/>
      <c r="BR50" s="560"/>
      <c r="BS50" s="67"/>
      <c r="BT50" s="67">
        <f>SUM(BT51:BT53)</f>
        <v>0</v>
      </c>
      <c r="BU50" s="67"/>
      <c r="BV50" s="67"/>
      <c r="BW50" s="560"/>
      <c r="BX50" s="67"/>
      <c r="BY50" s="67">
        <f>SUM(BY51:BY53)</f>
        <v>0</v>
      </c>
      <c r="BZ50" s="67"/>
      <c r="CA50" s="67"/>
      <c r="CB50" s="560"/>
      <c r="CC50" s="67"/>
      <c r="CD50" s="67">
        <f>SUM(CD51:CD53)</f>
        <v>0</v>
      </c>
      <c r="CE50" s="67"/>
      <c r="CF50" s="67"/>
      <c r="CG50" s="560"/>
      <c r="CH50" s="442"/>
      <c r="CI50" s="67">
        <f>SUM(CI51:CI53)</f>
        <v>0</v>
      </c>
      <c r="CJ50" s="67"/>
      <c r="CK50" s="67"/>
      <c r="CL50" s="560"/>
      <c r="CM50" s="442"/>
      <c r="CN50" s="67">
        <f>SUM(CN51:CN53)</f>
        <v>0</v>
      </c>
      <c r="CO50" s="67"/>
      <c r="CP50" s="67"/>
      <c r="CQ50" s="560"/>
      <c r="CR50" s="442"/>
      <c r="CS50" s="67">
        <f>SUM(CS51:CS53)</f>
        <v>0</v>
      </c>
      <c r="CT50" s="67"/>
      <c r="CU50" s="67"/>
      <c r="CV50" s="560"/>
      <c r="CW50" s="442"/>
      <c r="CX50" s="67">
        <f>SUM(CX51:CX53)</f>
        <v>0</v>
      </c>
      <c r="CY50" s="67"/>
      <c r="CZ50" s="67"/>
      <c r="DA50" s="560"/>
      <c r="DB50" s="442"/>
      <c r="DC50" s="67">
        <f>SUM(DC51:DC53)</f>
        <v>0</v>
      </c>
      <c r="DD50" s="67"/>
      <c r="DE50" s="67"/>
      <c r="DF50" s="560"/>
      <c r="DG50" s="442"/>
      <c r="DH50" s="67">
        <f>SUM(DH51:DH53)</f>
        <v>0</v>
      </c>
      <c r="DI50" s="67"/>
      <c r="DJ50" s="67"/>
      <c r="DK50" s="560"/>
      <c r="DL50" s="442"/>
      <c r="DM50" s="67">
        <f>SUM(DM51:DM53)</f>
        <v>0</v>
      </c>
      <c r="DN50" s="67"/>
      <c r="DO50" s="67"/>
      <c r="DP50" s="560"/>
      <c r="DQ50" s="442"/>
      <c r="DR50" s="67">
        <f>SUM(DR51:DR53)</f>
        <v>0</v>
      </c>
      <c r="DS50" s="67"/>
      <c r="DT50" s="67"/>
      <c r="DU50" s="560"/>
      <c r="DV50" s="442"/>
      <c r="DW50" s="67">
        <f>SUM(DW51:DW53)</f>
        <v>0</v>
      </c>
      <c r="DX50" s="67"/>
      <c r="DY50" s="67"/>
      <c r="DZ50" s="560"/>
      <c r="EA50" s="442"/>
      <c r="EB50" s="67">
        <f>SUM(EB51:EB53)</f>
        <v>0</v>
      </c>
      <c r="EC50" s="67"/>
      <c r="ED50" s="67"/>
      <c r="EE50" s="560"/>
      <c r="EF50" s="442"/>
      <c r="EG50" s="67">
        <f>SUM(EG51:EG53)</f>
        <v>0</v>
      </c>
      <c r="EH50" s="67"/>
      <c r="EI50" s="67"/>
      <c r="EJ50" s="560"/>
      <c r="EK50" s="67"/>
      <c r="EL50" s="67">
        <f>SUM(EL51:EL53)</f>
        <v>0</v>
      </c>
      <c r="EM50" s="442"/>
      <c r="EN50" s="442"/>
      <c r="EO50" s="455"/>
      <c r="EP50" s="472"/>
      <c r="EQ50" s="472"/>
    </row>
    <row r="51" spans="1:147" ht="12.75" hidden="1" customHeight="1" x14ac:dyDescent="0.2">
      <c r="A51" s="442"/>
      <c r="B51" s="442"/>
      <c r="D51" s="455" t="s">
        <v>342</v>
      </c>
      <c r="E51" s="465"/>
      <c r="F51" s="473"/>
      <c r="G51" s="558">
        <v>0</v>
      </c>
      <c r="H51" s="559"/>
      <c r="I51" s="67"/>
      <c r="J51" s="560"/>
      <c r="K51" s="561"/>
      <c r="L51" s="558">
        <v>0</v>
      </c>
      <c r="M51" s="559"/>
      <c r="N51" s="67"/>
      <c r="O51" s="560"/>
      <c r="P51" s="473"/>
      <c r="Q51" s="558">
        <v>0</v>
      </c>
      <c r="R51" s="559"/>
      <c r="S51" s="67"/>
      <c r="T51" s="560"/>
      <c r="U51" s="473"/>
      <c r="V51" s="558">
        <v>0</v>
      </c>
      <c r="W51" s="559"/>
      <c r="X51" s="67"/>
      <c r="Y51" s="560"/>
      <c r="Z51" s="473"/>
      <c r="AA51" s="558">
        <v>0</v>
      </c>
      <c r="AB51" s="559"/>
      <c r="AC51" s="67"/>
      <c r="AD51" s="560"/>
      <c r="AE51" s="473"/>
      <c r="AF51" s="558">
        <v>0</v>
      </c>
      <c r="AG51" s="559"/>
      <c r="AH51" s="67"/>
      <c r="AI51" s="560"/>
      <c r="AJ51" s="473"/>
      <c r="AK51" s="558">
        <v>0</v>
      </c>
      <c r="AL51" s="559"/>
      <c r="AM51" s="67"/>
      <c r="AN51" s="560"/>
      <c r="AO51" s="473"/>
      <c r="AP51" s="558">
        <v>0</v>
      </c>
      <c r="AQ51" s="559"/>
      <c r="AR51" s="67"/>
      <c r="AS51" s="560"/>
      <c r="AT51" s="473"/>
      <c r="AU51" s="558">
        <v>0</v>
      </c>
      <c r="AV51" s="559"/>
      <c r="AW51" s="67"/>
      <c r="AX51" s="560"/>
      <c r="AY51" s="473"/>
      <c r="AZ51" s="558">
        <v>0</v>
      </c>
      <c r="BA51" s="559"/>
      <c r="BB51" s="67"/>
      <c r="BC51" s="560"/>
      <c r="BD51" s="473"/>
      <c r="BE51" s="558">
        <v>0</v>
      </c>
      <c r="BF51" s="559"/>
      <c r="BG51" s="67"/>
      <c r="BH51" s="560"/>
      <c r="BI51" s="473"/>
      <c r="BJ51" s="558">
        <v>0</v>
      </c>
      <c r="BK51" s="559"/>
      <c r="BL51" s="67"/>
      <c r="BM51" s="560"/>
      <c r="BN51" s="473"/>
      <c r="BO51" s="558">
        <v>0</v>
      </c>
      <c r="BP51" s="559"/>
      <c r="BQ51" s="67"/>
      <c r="BR51" s="560"/>
      <c r="BS51" s="561"/>
      <c r="BT51" s="558">
        <f>SUM(L51:BO51)</f>
        <v>0</v>
      </c>
      <c r="BU51" s="559"/>
      <c r="BV51" s="67"/>
      <c r="BW51" s="560"/>
      <c r="BX51" s="561"/>
      <c r="BY51" s="558">
        <v>0</v>
      </c>
      <c r="BZ51" s="559"/>
      <c r="CA51" s="67"/>
      <c r="CB51" s="560"/>
      <c r="CC51" s="561"/>
      <c r="CD51" s="558">
        <v>0</v>
      </c>
      <c r="CE51" s="559"/>
      <c r="CF51" s="67"/>
      <c r="CG51" s="560"/>
      <c r="CH51" s="473"/>
      <c r="CI51" s="558">
        <v>0</v>
      </c>
      <c r="CJ51" s="559"/>
      <c r="CK51" s="67"/>
      <c r="CL51" s="560"/>
      <c r="CM51" s="473"/>
      <c r="CN51" s="558">
        <v>0</v>
      </c>
      <c r="CO51" s="559"/>
      <c r="CP51" s="67"/>
      <c r="CQ51" s="560"/>
      <c r="CR51" s="473"/>
      <c r="CS51" s="558">
        <v>0</v>
      </c>
      <c r="CT51" s="559"/>
      <c r="CU51" s="67"/>
      <c r="CV51" s="560"/>
      <c r="CW51" s="473"/>
      <c r="CX51" s="558">
        <v>0</v>
      </c>
      <c r="CY51" s="559"/>
      <c r="CZ51" s="67"/>
      <c r="DA51" s="560"/>
      <c r="DB51" s="473"/>
      <c r="DC51" s="558">
        <v>0</v>
      </c>
      <c r="DD51" s="559"/>
      <c r="DE51" s="67"/>
      <c r="DF51" s="560"/>
      <c r="DG51" s="473"/>
      <c r="DH51" s="558">
        <v>0</v>
      </c>
      <c r="DI51" s="559"/>
      <c r="DJ51" s="67"/>
      <c r="DK51" s="560"/>
      <c r="DL51" s="473"/>
      <c r="DM51" s="558">
        <v>0</v>
      </c>
      <c r="DN51" s="559"/>
      <c r="DO51" s="67"/>
      <c r="DP51" s="560"/>
      <c r="DQ51" s="473"/>
      <c r="DR51" s="558">
        <v>0</v>
      </c>
      <c r="DS51" s="559"/>
      <c r="DT51" s="67"/>
      <c r="DU51" s="560"/>
      <c r="DV51" s="473"/>
      <c r="DW51" s="558">
        <v>0</v>
      </c>
      <c r="DX51" s="559"/>
      <c r="DY51" s="67"/>
      <c r="DZ51" s="560"/>
      <c r="EA51" s="473"/>
      <c r="EB51" s="558">
        <v>0</v>
      </c>
      <c r="EC51" s="559"/>
      <c r="ED51" s="67"/>
      <c r="EE51" s="560"/>
      <c r="EF51" s="473"/>
      <c r="EG51" s="558">
        <v>0</v>
      </c>
      <c r="EH51" s="559"/>
      <c r="EI51" s="67"/>
      <c r="EJ51" s="560"/>
      <c r="EK51" s="561"/>
      <c r="EL51" s="558">
        <f>SUM(CD51:CN51)</f>
        <v>0</v>
      </c>
      <c r="EM51" s="475"/>
      <c r="EN51" s="442"/>
      <c r="EO51" s="455"/>
      <c r="EP51" s="472"/>
      <c r="EQ51" s="472"/>
    </row>
    <row r="52" spans="1:147" ht="12.75" hidden="1" customHeight="1" x14ac:dyDescent="0.2">
      <c r="A52" s="442"/>
      <c r="B52" s="442"/>
      <c r="D52" s="455" t="s">
        <v>424</v>
      </c>
      <c r="E52" s="465"/>
      <c r="F52" s="465"/>
      <c r="G52" s="67">
        <v>0</v>
      </c>
      <c r="H52" s="66"/>
      <c r="I52" s="67"/>
      <c r="J52" s="560"/>
      <c r="K52" s="560"/>
      <c r="L52" s="67">
        <v>0</v>
      </c>
      <c r="M52" s="66"/>
      <c r="N52" s="67"/>
      <c r="O52" s="560"/>
      <c r="P52" s="465"/>
      <c r="Q52" s="67">
        <v>0</v>
      </c>
      <c r="R52" s="66"/>
      <c r="S52" s="67"/>
      <c r="T52" s="560"/>
      <c r="U52" s="465"/>
      <c r="V52" s="67">
        <v>0</v>
      </c>
      <c r="W52" s="66"/>
      <c r="X52" s="67"/>
      <c r="Y52" s="560"/>
      <c r="Z52" s="465"/>
      <c r="AA52" s="67">
        <v>0</v>
      </c>
      <c r="AB52" s="66"/>
      <c r="AC52" s="67"/>
      <c r="AD52" s="560"/>
      <c r="AE52" s="465"/>
      <c r="AF52" s="67">
        <v>0</v>
      </c>
      <c r="AG52" s="66"/>
      <c r="AH52" s="67"/>
      <c r="AI52" s="560"/>
      <c r="AJ52" s="465"/>
      <c r="AK52" s="67">
        <v>0</v>
      </c>
      <c r="AL52" s="66"/>
      <c r="AM52" s="67"/>
      <c r="AN52" s="560"/>
      <c r="AO52" s="465"/>
      <c r="AP52" s="67">
        <v>0</v>
      </c>
      <c r="AQ52" s="66"/>
      <c r="AR52" s="67"/>
      <c r="AS52" s="560"/>
      <c r="AT52" s="465"/>
      <c r="AU52" s="67">
        <v>0</v>
      </c>
      <c r="AV52" s="66"/>
      <c r="AW52" s="67"/>
      <c r="AX52" s="560"/>
      <c r="AY52" s="465"/>
      <c r="AZ52" s="67">
        <v>0</v>
      </c>
      <c r="BA52" s="66"/>
      <c r="BB52" s="67"/>
      <c r="BC52" s="560"/>
      <c r="BD52" s="465"/>
      <c r="BE52" s="67">
        <v>0</v>
      </c>
      <c r="BF52" s="66"/>
      <c r="BG52" s="67"/>
      <c r="BH52" s="560"/>
      <c r="BI52" s="465"/>
      <c r="BJ52" s="67">
        <v>0</v>
      </c>
      <c r="BK52" s="66"/>
      <c r="BL52" s="67"/>
      <c r="BM52" s="560"/>
      <c r="BN52" s="465"/>
      <c r="BO52" s="67">
        <v>0</v>
      </c>
      <c r="BP52" s="66"/>
      <c r="BQ52" s="67"/>
      <c r="BR52" s="560"/>
      <c r="BS52" s="560"/>
      <c r="BT52" s="67">
        <f>SUM(L52:BO52)</f>
        <v>0</v>
      </c>
      <c r="BU52" s="66"/>
      <c r="BV52" s="67"/>
      <c r="BW52" s="560"/>
      <c r="BX52" s="560"/>
      <c r="BY52" s="67">
        <v>0</v>
      </c>
      <c r="BZ52" s="66"/>
      <c r="CA52" s="67"/>
      <c r="CB52" s="560"/>
      <c r="CC52" s="560"/>
      <c r="CD52" s="67">
        <v>0</v>
      </c>
      <c r="CE52" s="66"/>
      <c r="CF52" s="67"/>
      <c r="CG52" s="560"/>
      <c r="CH52" s="465"/>
      <c r="CI52" s="67">
        <v>0</v>
      </c>
      <c r="CJ52" s="66"/>
      <c r="CK52" s="67"/>
      <c r="CL52" s="560"/>
      <c r="CM52" s="465"/>
      <c r="CN52" s="67">
        <v>0</v>
      </c>
      <c r="CO52" s="66"/>
      <c r="CP52" s="67"/>
      <c r="CQ52" s="560"/>
      <c r="CR52" s="465"/>
      <c r="CS52" s="67">
        <v>0</v>
      </c>
      <c r="CT52" s="66"/>
      <c r="CU52" s="67"/>
      <c r="CV52" s="560"/>
      <c r="CW52" s="465"/>
      <c r="CX52" s="67">
        <v>0</v>
      </c>
      <c r="CY52" s="66"/>
      <c r="CZ52" s="67"/>
      <c r="DA52" s="560"/>
      <c r="DB52" s="465"/>
      <c r="DC52" s="67">
        <v>0</v>
      </c>
      <c r="DD52" s="66"/>
      <c r="DE52" s="67"/>
      <c r="DF52" s="560"/>
      <c r="DG52" s="465"/>
      <c r="DH52" s="67">
        <v>0</v>
      </c>
      <c r="DI52" s="66"/>
      <c r="DJ52" s="67"/>
      <c r="DK52" s="560"/>
      <c r="DL52" s="465"/>
      <c r="DM52" s="67">
        <v>0</v>
      </c>
      <c r="DN52" s="66"/>
      <c r="DO52" s="67"/>
      <c r="DP52" s="560"/>
      <c r="DQ52" s="465"/>
      <c r="DR52" s="67">
        <v>0</v>
      </c>
      <c r="DS52" s="66"/>
      <c r="DT52" s="67"/>
      <c r="DU52" s="560"/>
      <c r="DV52" s="465"/>
      <c r="DW52" s="67">
        <v>0</v>
      </c>
      <c r="DX52" s="66"/>
      <c r="DY52" s="67"/>
      <c r="DZ52" s="560"/>
      <c r="EA52" s="465"/>
      <c r="EB52" s="67">
        <v>0</v>
      </c>
      <c r="EC52" s="66"/>
      <c r="ED52" s="67"/>
      <c r="EE52" s="560"/>
      <c r="EF52" s="465"/>
      <c r="EG52" s="67">
        <v>0</v>
      </c>
      <c r="EH52" s="66"/>
      <c r="EI52" s="67"/>
      <c r="EJ52" s="560"/>
      <c r="EK52" s="560"/>
      <c r="EL52" s="67">
        <f>SUM(CD52:CN52)</f>
        <v>0</v>
      </c>
      <c r="EM52" s="480"/>
      <c r="EN52" s="442"/>
      <c r="EO52" s="455"/>
      <c r="EP52" s="472"/>
      <c r="EQ52" s="472"/>
    </row>
    <row r="53" spans="1:147" ht="12.75" hidden="1" customHeight="1" x14ac:dyDescent="0.2">
      <c r="A53" s="442"/>
      <c r="B53" s="442"/>
      <c r="D53" s="455" t="s">
        <v>425</v>
      </c>
      <c r="E53" s="465"/>
      <c r="F53" s="488"/>
      <c r="G53" s="113">
        <v>0</v>
      </c>
      <c r="H53" s="112"/>
      <c r="I53" s="67"/>
      <c r="J53" s="560"/>
      <c r="K53" s="569"/>
      <c r="L53" s="113">
        <v>0</v>
      </c>
      <c r="M53" s="112"/>
      <c r="N53" s="67"/>
      <c r="O53" s="560"/>
      <c r="P53" s="488"/>
      <c r="Q53" s="113">
        <v>0</v>
      </c>
      <c r="R53" s="112"/>
      <c r="S53" s="67"/>
      <c r="T53" s="560"/>
      <c r="U53" s="488"/>
      <c r="V53" s="113">
        <v>0</v>
      </c>
      <c r="W53" s="112"/>
      <c r="X53" s="67"/>
      <c r="Y53" s="560"/>
      <c r="Z53" s="488"/>
      <c r="AA53" s="113">
        <v>0</v>
      </c>
      <c r="AB53" s="112"/>
      <c r="AC53" s="67"/>
      <c r="AD53" s="560"/>
      <c r="AE53" s="488"/>
      <c r="AF53" s="113">
        <v>0</v>
      </c>
      <c r="AG53" s="112"/>
      <c r="AH53" s="67"/>
      <c r="AI53" s="560"/>
      <c r="AJ53" s="488"/>
      <c r="AK53" s="113">
        <v>0</v>
      </c>
      <c r="AL53" s="112"/>
      <c r="AM53" s="67"/>
      <c r="AN53" s="560"/>
      <c r="AO53" s="488"/>
      <c r="AP53" s="113">
        <v>0</v>
      </c>
      <c r="AQ53" s="112"/>
      <c r="AR53" s="67"/>
      <c r="AS53" s="560"/>
      <c r="AT53" s="488"/>
      <c r="AU53" s="113">
        <v>0</v>
      </c>
      <c r="AV53" s="112"/>
      <c r="AW53" s="67"/>
      <c r="AX53" s="560"/>
      <c r="AY53" s="488"/>
      <c r="AZ53" s="113">
        <v>0</v>
      </c>
      <c r="BA53" s="112"/>
      <c r="BB53" s="67"/>
      <c r="BC53" s="560"/>
      <c r="BD53" s="488"/>
      <c r="BE53" s="113">
        <v>0</v>
      </c>
      <c r="BF53" s="112"/>
      <c r="BG53" s="67"/>
      <c r="BH53" s="560"/>
      <c r="BI53" s="488"/>
      <c r="BJ53" s="113">
        <v>0</v>
      </c>
      <c r="BK53" s="112"/>
      <c r="BL53" s="67"/>
      <c r="BM53" s="560"/>
      <c r="BN53" s="488"/>
      <c r="BO53" s="113">
        <v>0</v>
      </c>
      <c r="BP53" s="112"/>
      <c r="BQ53" s="67"/>
      <c r="BR53" s="560"/>
      <c r="BS53" s="569"/>
      <c r="BT53" s="113">
        <f>SUM(L53:BO53)</f>
        <v>0</v>
      </c>
      <c r="BU53" s="112"/>
      <c r="BV53" s="67"/>
      <c r="BW53" s="560"/>
      <c r="BX53" s="569"/>
      <c r="BY53" s="113">
        <v>0</v>
      </c>
      <c r="BZ53" s="112"/>
      <c r="CA53" s="67"/>
      <c r="CB53" s="560"/>
      <c r="CC53" s="569"/>
      <c r="CD53" s="113">
        <v>0</v>
      </c>
      <c r="CE53" s="112"/>
      <c r="CF53" s="67"/>
      <c r="CG53" s="560"/>
      <c r="CH53" s="488"/>
      <c r="CI53" s="113">
        <v>0</v>
      </c>
      <c r="CJ53" s="112"/>
      <c r="CK53" s="67"/>
      <c r="CL53" s="560"/>
      <c r="CM53" s="488"/>
      <c r="CN53" s="113">
        <v>0</v>
      </c>
      <c r="CO53" s="112"/>
      <c r="CP53" s="67"/>
      <c r="CQ53" s="560"/>
      <c r="CR53" s="488"/>
      <c r="CS53" s="113">
        <v>0</v>
      </c>
      <c r="CT53" s="112"/>
      <c r="CU53" s="67"/>
      <c r="CV53" s="560"/>
      <c r="CW53" s="488"/>
      <c r="CX53" s="113">
        <v>0</v>
      </c>
      <c r="CY53" s="112"/>
      <c r="CZ53" s="67"/>
      <c r="DA53" s="560"/>
      <c r="DB53" s="488"/>
      <c r="DC53" s="113">
        <v>0</v>
      </c>
      <c r="DD53" s="112"/>
      <c r="DE53" s="67"/>
      <c r="DF53" s="560"/>
      <c r="DG53" s="488"/>
      <c r="DH53" s="113">
        <v>0</v>
      </c>
      <c r="DI53" s="112"/>
      <c r="DJ53" s="67"/>
      <c r="DK53" s="560"/>
      <c r="DL53" s="488"/>
      <c r="DM53" s="113">
        <v>0</v>
      </c>
      <c r="DN53" s="112"/>
      <c r="DO53" s="67"/>
      <c r="DP53" s="560"/>
      <c r="DQ53" s="488"/>
      <c r="DR53" s="113">
        <v>0</v>
      </c>
      <c r="DS53" s="112"/>
      <c r="DT53" s="67"/>
      <c r="DU53" s="560"/>
      <c r="DV53" s="488"/>
      <c r="DW53" s="113">
        <v>0</v>
      </c>
      <c r="DX53" s="112"/>
      <c r="DY53" s="67"/>
      <c r="DZ53" s="560"/>
      <c r="EA53" s="488"/>
      <c r="EB53" s="113">
        <v>0</v>
      </c>
      <c r="EC53" s="112"/>
      <c r="ED53" s="67"/>
      <c r="EE53" s="560"/>
      <c r="EF53" s="488"/>
      <c r="EG53" s="113">
        <v>0</v>
      </c>
      <c r="EH53" s="112"/>
      <c r="EI53" s="67"/>
      <c r="EJ53" s="560"/>
      <c r="EK53" s="569"/>
      <c r="EL53" s="113">
        <f>SUM(CD53:CN53)</f>
        <v>0</v>
      </c>
      <c r="EM53" s="490"/>
      <c r="EN53" s="442"/>
      <c r="EO53" s="455"/>
      <c r="EP53" s="472"/>
      <c r="EQ53" s="472"/>
    </row>
    <row r="54" spans="1:147" hidden="1" x14ac:dyDescent="0.2">
      <c r="A54" s="442"/>
      <c r="B54" s="442"/>
      <c r="D54" s="455"/>
      <c r="E54" s="465"/>
      <c r="F54" s="442"/>
      <c r="G54" s="67"/>
      <c r="H54" s="67"/>
      <c r="I54" s="67"/>
      <c r="J54" s="560"/>
      <c r="K54" s="67"/>
      <c r="L54" s="67"/>
      <c r="M54" s="67"/>
      <c r="N54" s="67"/>
      <c r="O54" s="560"/>
      <c r="P54" s="67"/>
      <c r="Q54" s="67"/>
      <c r="R54" s="67"/>
      <c r="S54" s="67"/>
      <c r="T54" s="560"/>
      <c r="U54" s="67"/>
      <c r="V54" s="67"/>
      <c r="W54" s="67"/>
      <c r="X54" s="67"/>
      <c r="Y54" s="560"/>
      <c r="Z54" s="67"/>
      <c r="AA54" s="67"/>
      <c r="AB54" s="67"/>
      <c r="AC54" s="67"/>
      <c r="AD54" s="560"/>
      <c r="AE54" s="67"/>
      <c r="AF54" s="67"/>
      <c r="AG54" s="67"/>
      <c r="AH54" s="67"/>
      <c r="AI54" s="560"/>
      <c r="AJ54" s="67"/>
      <c r="AK54" s="67"/>
      <c r="AL54" s="67"/>
      <c r="AM54" s="67"/>
      <c r="AN54" s="560"/>
      <c r="AO54" s="67"/>
      <c r="AP54" s="67"/>
      <c r="AQ54" s="67"/>
      <c r="AR54" s="67"/>
      <c r="AS54" s="560"/>
      <c r="AT54" s="67"/>
      <c r="AU54" s="67"/>
      <c r="AV54" s="67"/>
      <c r="AW54" s="67"/>
      <c r="AX54" s="560"/>
      <c r="AY54" s="67"/>
      <c r="AZ54" s="67"/>
      <c r="BA54" s="67"/>
      <c r="BB54" s="67"/>
      <c r="BC54" s="560"/>
      <c r="BD54" s="67"/>
      <c r="BE54" s="67"/>
      <c r="BF54" s="67"/>
      <c r="BG54" s="67"/>
      <c r="BH54" s="560"/>
      <c r="BI54" s="67"/>
      <c r="BJ54" s="67"/>
      <c r="BK54" s="67"/>
      <c r="BL54" s="67"/>
      <c r="BM54" s="560"/>
      <c r="BN54" s="67"/>
      <c r="BO54" s="67"/>
      <c r="BP54" s="67"/>
      <c r="BQ54" s="67"/>
      <c r="BR54" s="560"/>
      <c r="BS54" s="67"/>
      <c r="BT54" s="67"/>
      <c r="BU54" s="67"/>
      <c r="BV54" s="67"/>
      <c r="BW54" s="560"/>
      <c r="BX54" s="67"/>
      <c r="BY54" s="67"/>
      <c r="BZ54" s="67"/>
      <c r="CA54" s="67"/>
      <c r="CB54" s="560"/>
      <c r="CC54" s="67"/>
      <c r="CD54" s="67"/>
      <c r="CE54" s="67"/>
      <c r="CF54" s="67"/>
      <c r="CG54" s="560"/>
      <c r="CH54" s="67"/>
      <c r="CI54" s="67"/>
      <c r="CJ54" s="67"/>
      <c r="CK54" s="67"/>
      <c r="CL54" s="560"/>
      <c r="CM54" s="67"/>
      <c r="CN54" s="67"/>
      <c r="CO54" s="67"/>
      <c r="CP54" s="67"/>
      <c r="CQ54" s="560"/>
      <c r="CR54" s="67"/>
      <c r="CS54" s="67"/>
      <c r="CT54" s="67"/>
      <c r="CU54" s="67"/>
      <c r="CV54" s="560"/>
      <c r="CW54" s="67"/>
      <c r="CX54" s="67"/>
      <c r="CY54" s="67"/>
      <c r="CZ54" s="67"/>
      <c r="DA54" s="560"/>
      <c r="DB54" s="67"/>
      <c r="DC54" s="67"/>
      <c r="DD54" s="67"/>
      <c r="DE54" s="67"/>
      <c r="DF54" s="560"/>
      <c r="DG54" s="67"/>
      <c r="DH54" s="67"/>
      <c r="DI54" s="67"/>
      <c r="DJ54" s="67"/>
      <c r="DK54" s="560"/>
      <c r="DL54" s="67"/>
      <c r="DM54" s="67"/>
      <c r="DN54" s="67"/>
      <c r="DO54" s="67"/>
      <c r="DP54" s="560"/>
      <c r="DQ54" s="67"/>
      <c r="DR54" s="67"/>
      <c r="DS54" s="67"/>
      <c r="DT54" s="67"/>
      <c r="DU54" s="560"/>
      <c r="DV54" s="67"/>
      <c r="DW54" s="67"/>
      <c r="DX54" s="67"/>
      <c r="DY54" s="67"/>
      <c r="DZ54" s="560"/>
      <c r="EA54" s="67"/>
      <c r="EB54" s="67"/>
      <c r="EC54" s="67"/>
      <c r="ED54" s="67"/>
      <c r="EE54" s="560"/>
      <c r="EF54" s="67"/>
      <c r="EG54" s="67"/>
      <c r="EH54" s="67"/>
      <c r="EI54" s="67"/>
      <c r="EJ54" s="560"/>
      <c r="EK54" s="67"/>
      <c r="EL54" s="67"/>
      <c r="EM54" s="442"/>
      <c r="EN54" s="442"/>
      <c r="EO54" s="455"/>
      <c r="EP54" s="472"/>
      <c r="EQ54" s="472"/>
    </row>
    <row r="55" spans="1:147" x14ac:dyDescent="0.2">
      <c r="A55" s="442"/>
      <c r="B55" s="442"/>
      <c r="D55" s="455" t="s">
        <v>362</v>
      </c>
      <c r="E55" s="465"/>
      <c r="F55" s="442"/>
      <c r="G55" s="67">
        <f>SUM(G56:G58)</f>
        <v>0</v>
      </c>
      <c r="H55" s="67"/>
      <c r="I55" s="67"/>
      <c r="J55" s="560"/>
      <c r="K55" s="67"/>
      <c r="L55" s="67">
        <f>SUM(L56:L58)</f>
        <v>0</v>
      </c>
      <c r="M55" s="67"/>
      <c r="N55" s="67"/>
      <c r="O55" s="560"/>
      <c r="P55" s="442"/>
      <c r="Q55" s="67">
        <f>SUM(Q56:Q58)</f>
        <v>0</v>
      </c>
      <c r="R55" s="67"/>
      <c r="S55" s="67"/>
      <c r="T55" s="560"/>
      <c r="U55" s="442"/>
      <c r="V55" s="67">
        <f>SUM(V56:V58)</f>
        <v>0</v>
      </c>
      <c r="W55" s="67"/>
      <c r="X55" s="67"/>
      <c r="Y55" s="560"/>
      <c r="Z55" s="442"/>
      <c r="AA55" s="67">
        <f>SUM(AA56:AA58)</f>
        <v>0</v>
      </c>
      <c r="AB55" s="67"/>
      <c r="AC55" s="67"/>
      <c r="AD55" s="560"/>
      <c r="AE55" s="442"/>
      <c r="AF55" s="67">
        <f>SUM(AF56:AF58)</f>
        <v>0</v>
      </c>
      <c r="AG55" s="67"/>
      <c r="AH55" s="67"/>
      <c r="AI55" s="560"/>
      <c r="AJ55" s="442"/>
      <c r="AK55" s="67">
        <f>SUM(AK56:AK58)</f>
        <v>0</v>
      </c>
      <c r="AL55" s="67"/>
      <c r="AM55" s="67"/>
      <c r="AN55" s="560"/>
      <c r="AO55" s="442"/>
      <c r="AP55" s="67">
        <f>SUM(AP56:AP58)</f>
        <v>0</v>
      </c>
      <c r="AQ55" s="67"/>
      <c r="AR55" s="67"/>
      <c r="AS55" s="560"/>
      <c r="AT55" s="442"/>
      <c r="AU55" s="67">
        <f>SUM(AU56:AU58)</f>
        <v>0</v>
      </c>
      <c r="AV55" s="67"/>
      <c r="AW55" s="67"/>
      <c r="AX55" s="560"/>
      <c r="AY55" s="442"/>
      <c r="AZ55" s="67">
        <f>SUM(AZ56:AZ58)</f>
        <v>0</v>
      </c>
      <c r="BA55" s="67"/>
      <c r="BB55" s="67"/>
      <c r="BC55" s="560"/>
      <c r="BD55" s="442"/>
      <c r="BE55" s="67">
        <f>SUM(BE56:BE58)</f>
        <v>0</v>
      </c>
      <c r="BF55" s="67"/>
      <c r="BG55" s="67"/>
      <c r="BH55" s="560"/>
      <c r="BI55" s="442"/>
      <c r="BJ55" s="67">
        <f>SUM(BJ56:BJ58)</f>
        <v>0</v>
      </c>
      <c r="BK55" s="67"/>
      <c r="BL55" s="67"/>
      <c r="BM55" s="560"/>
      <c r="BN55" s="442"/>
      <c r="BO55" s="67">
        <f>SUM(BO56:BO58)</f>
        <v>0</v>
      </c>
      <c r="BP55" s="67"/>
      <c r="BQ55" s="67"/>
      <c r="BR55" s="560"/>
      <c r="BS55" s="113"/>
      <c r="BT55" s="113">
        <f>SUM(BT56:BT58)</f>
        <v>0</v>
      </c>
      <c r="BU55" s="67"/>
      <c r="BV55" s="67"/>
      <c r="BW55" s="560"/>
      <c r="BX55" s="67"/>
      <c r="BY55" s="67">
        <f>SUM(BY56:BY58)</f>
        <v>12795000</v>
      </c>
      <c r="BZ55" s="67"/>
      <c r="CA55" s="67"/>
      <c r="CB55" s="560"/>
      <c r="CC55" s="67"/>
      <c r="CD55" s="67">
        <f>SUM(CD56:CD58)</f>
        <v>0</v>
      </c>
      <c r="CE55" s="67"/>
      <c r="CF55" s="67"/>
      <c r="CG55" s="560"/>
      <c r="CH55" s="442"/>
      <c r="CI55" s="67">
        <f>SUM(CI56:CI58)</f>
        <v>12795000</v>
      </c>
      <c r="CJ55" s="67"/>
      <c r="CK55" s="67"/>
      <c r="CL55" s="560"/>
      <c r="CM55" s="442"/>
      <c r="CN55" s="67">
        <f>SUM(CN56:CN58)</f>
        <v>0</v>
      </c>
      <c r="CO55" s="67"/>
      <c r="CP55" s="67"/>
      <c r="CQ55" s="560"/>
      <c r="CR55" s="442"/>
      <c r="CS55" s="67">
        <f>SUM(CS56:CS58)</f>
        <v>0</v>
      </c>
      <c r="CT55" s="67"/>
      <c r="CU55" s="67"/>
      <c r="CV55" s="560"/>
      <c r="CW55" s="442"/>
      <c r="CX55" s="67">
        <f>SUM(CX56:CX58)</f>
        <v>0</v>
      </c>
      <c r="CY55" s="67"/>
      <c r="CZ55" s="67"/>
      <c r="DA55" s="560"/>
      <c r="DB55" s="442"/>
      <c r="DC55" s="67">
        <f>SUM(DC56:DC58)</f>
        <v>0</v>
      </c>
      <c r="DD55" s="67"/>
      <c r="DE55" s="67"/>
      <c r="DF55" s="560"/>
      <c r="DG55" s="442"/>
      <c r="DH55" s="67">
        <f>SUM(DH56:DH58)</f>
        <v>0</v>
      </c>
      <c r="DI55" s="67"/>
      <c r="DJ55" s="67"/>
      <c r="DK55" s="560"/>
      <c r="DL55" s="442"/>
      <c r="DM55" s="67">
        <f>SUM(DM56:DM58)</f>
        <v>0</v>
      </c>
      <c r="DN55" s="67"/>
      <c r="DO55" s="67"/>
      <c r="DP55" s="560"/>
      <c r="DQ55" s="442"/>
      <c r="DR55" s="67">
        <f>SUM(DR56:DR58)</f>
        <v>0</v>
      </c>
      <c r="DS55" s="67"/>
      <c r="DT55" s="67"/>
      <c r="DU55" s="560"/>
      <c r="DV55" s="442"/>
      <c r="DW55" s="67">
        <f>SUM(DW56:DW58)</f>
        <v>0</v>
      </c>
      <c r="DX55" s="67"/>
      <c r="DY55" s="67"/>
      <c r="DZ55" s="560"/>
      <c r="EA55" s="442"/>
      <c r="EB55" s="67">
        <f>SUM(EB56:EB58)</f>
        <v>0</v>
      </c>
      <c r="EC55" s="67"/>
      <c r="ED55" s="67"/>
      <c r="EE55" s="560"/>
      <c r="EF55" s="442"/>
      <c r="EG55" s="67">
        <f>SUM(EG56:EG58)</f>
        <v>0</v>
      </c>
      <c r="EH55" s="67"/>
      <c r="EI55" s="66"/>
      <c r="EJ55" s="560"/>
      <c r="EK55" s="67"/>
      <c r="EL55" s="67">
        <f>SUM(EL56:EL58)</f>
        <v>12795000</v>
      </c>
      <c r="EM55" s="67"/>
      <c r="EN55" s="67"/>
      <c r="EO55" s="455"/>
      <c r="EP55" s="472"/>
      <c r="EQ55" s="472"/>
    </row>
    <row r="56" spans="1:147" x14ac:dyDescent="0.2">
      <c r="A56" s="442"/>
      <c r="B56" s="442"/>
      <c r="D56" s="455" t="s">
        <v>342</v>
      </c>
      <c r="E56" s="465"/>
      <c r="F56" s="473"/>
      <c r="G56" s="558">
        <v>0</v>
      </c>
      <c r="H56" s="559"/>
      <c r="I56" s="67"/>
      <c r="J56" s="560"/>
      <c r="K56" s="561"/>
      <c r="L56" s="558">
        <v>0</v>
      </c>
      <c r="M56" s="559"/>
      <c r="N56" s="67"/>
      <c r="O56" s="560"/>
      <c r="P56" s="473"/>
      <c r="Q56" s="558">
        <v>0</v>
      </c>
      <c r="R56" s="559"/>
      <c r="S56" s="67"/>
      <c r="T56" s="560"/>
      <c r="U56" s="473"/>
      <c r="V56" s="558">
        <v>0</v>
      </c>
      <c r="W56" s="559"/>
      <c r="X56" s="67"/>
      <c r="Y56" s="560"/>
      <c r="Z56" s="473"/>
      <c r="AA56" s="558">
        <v>0</v>
      </c>
      <c r="AB56" s="559"/>
      <c r="AC56" s="67"/>
      <c r="AD56" s="560"/>
      <c r="AE56" s="473"/>
      <c r="AF56" s="558">
        <v>0</v>
      </c>
      <c r="AG56" s="559"/>
      <c r="AH56" s="67"/>
      <c r="AI56" s="560"/>
      <c r="AJ56" s="473"/>
      <c r="AK56" s="558">
        <v>0</v>
      </c>
      <c r="AL56" s="559"/>
      <c r="AM56" s="67"/>
      <c r="AN56" s="560"/>
      <c r="AO56" s="473"/>
      <c r="AP56" s="558">
        <v>0</v>
      </c>
      <c r="AQ56" s="559"/>
      <c r="AR56" s="67"/>
      <c r="AS56" s="560"/>
      <c r="AT56" s="473"/>
      <c r="AU56" s="558">
        <v>0</v>
      </c>
      <c r="AV56" s="559"/>
      <c r="AW56" s="67"/>
      <c r="AX56" s="560"/>
      <c r="AY56" s="473"/>
      <c r="AZ56" s="558">
        <v>0</v>
      </c>
      <c r="BA56" s="559"/>
      <c r="BB56" s="67"/>
      <c r="BC56" s="560"/>
      <c r="BD56" s="473"/>
      <c r="BE56" s="558">
        <v>0</v>
      </c>
      <c r="BF56" s="559"/>
      <c r="BG56" s="67"/>
      <c r="BH56" s="560"/>
      <c r="BI56" s="473"/>
      <c r="BJ56" s="558">
        <v>0</v>
      </c>
      <c r="BK56" s="559"/>
      <c r="BL56" s="67"/>
      <c r="BM56" s="560"/>
      <c r="BN56" s="473"/>
      <c r="BO56" s="558">
        <v>0</v>
      </c>
      <c r="BP56" s="559"/>
      <c r="BQ56" s="67"/>
      <c r="BR56" s="560"/>
      <c r="BS56" s="560"/>
      <c r="BT56" s="67">
        <f>SUM(L56:BO56)</f>
        <v>0</v>
      </c>
      <c r="BU56" s="559"/>
      <c r="BV56" s="67"/>
      <c r="BW56" s="560"/>
      <c r="BX56" s="561"/>
      <c r="BY56" s="558">
        <v>12795000</v>
      </c>
      <c r="BZ56" s="559"/>
      <c r="CA56" s="67"/>
      <c r="CB56" s="560"/>
      <c r="CC56" s="561"/>
      <c r="CD56" s="558">
        <v>0</v>
      </c>
      <c r="CE56" s="559"/>
      <c r="CF56" s="67"/>
      <c r="CG56" s="560"/>
      <c r="CH56" s="473"/>
      <c r="CI56" s="558">
        <v>12795000</v>
      </c>
      <c r="CJ56" s="559"/>
      <c r="CK56" s="67"/>
      <c r="CL56" s="560"/>
      <c r="CM56" s="473"/>
      <c r="CN56" s="558">
        <v>0</v>
      </c>
      <c r="CO56" s="559"/>
      <c r="CP56" s="67"/>
      <c r="CQ56" s="560"/>
      <c r="CR56" s="473"/>
      <c r="CS56" s="558">
        <v>0</v>
      </c>
      <c r="CT56" s="559"/>
      <c r="CU56" s="67"/>
      <c r="CV56" s="560"/>
      <c r="CW56" s="473"/>
      <c r="CX56" s="558">
        <v>0</v>
      </c>
      <c r="CY56" s="559"/>
      <c r="CZ56" s="67"/>
      <c r="DA56" s="560"/>
      <c r="DB56" s="473"/>
      <c r="DC56" s="558">
        <v>0</v>
      </c>
      <c r="DD56" s="559"/>
      <c r="DE56" s="67"/>
      <c r="DF56" s="560"/>
      <c r="DG56" s="473"/>
      <c r="DH56" s="558">
        <v>0</v>
      </c>
      <c r="DI56" s="559"/>
      <c r="DJ56" s="67"/>
      <c r="DK56" s="560"/>
      <c r="DL56" s="473"/>
      <c r="DM56" s="558">
        <v>0</v>
      </c>
      <c r="DN56" s="559"/>
      <c r="DO56" s="67"/>
      <c r="DP56" s="560"/>
      <c r="DQ56" s="473"/>
      <c r="DR56" s="558">
        <v>0</v>
      </c>
      <c r="DS56" s="559"/>
      <c r="DT56" s="67"/>
      <c r="DU56" s="560"/>
      <c r="DV56" s="473"/>
      <c r="DW56" s="558">
        <v>0</v>
      </c>
      <c r="DX56" s="559"/>
      <c r="DY56" s="67"/>
      <c r="DZ56" s="560"/>
      <c r="EA56" s="473"/>
      <c r="EB56" s="558">
        <v>0</v>
      </c>
      <c r="EC56" s="559"/>
      <c r="ED56" s="67"/>
      <c r="EE56" s="560"/>
      <c r="EF56" s="473"/>
      <c r="EG56" s="558">
        <v>0</v>
      </c>
      <c r="EH56" s="559"/>
      <c r="EI56" s="66"/>
      <c r="EJ56" s="63"/>
      <c r="EK56" s="561"/>
      <c r="EL56" s="558">
        <f>SUM(CD56:CI56)</f>
        <v>12795000</v>
      </c>
      <c r="EM56" s="559"/>
      <c r="EN56" s="67"/>
      <c r="EO56" s="455"/>
      <c r="EP56" s="472"/>
      <c r="EQ56" s="472"/>
    </row>
    <row r="57" spans="1:147" x14ac:dyDescent="0.2">
      <c r="A57" s="442"/>
      <c r="B57" s="442"/>
      <c r="D57" s="455" t="s">
        <v>424</v>
      </c>
      <c r="E57" s="465"/>
      <c r="F57" s="465"/>
      <c r="G57" s="67">
        <v>0</v>
      </c>
      <c r="H57" s="66"/>
      <c r="I57" s="67"/>
      <c r="J57" s="560"/>
      <c r="K57" s="560"/>
      <c r="L57" s="67">
        <v>0</v>
      </c>
      <c r="M57" s="66"/>
      <c r="N57" s="67"/>
      <c r="O57" s="560"/>
      <c r="P57" s="465"/>
      <c r="Q57" s="67">
        <v>0</v>
      </c>
      <c r="R57" s="66"/>
      <c r="S57" s="67"/>
      <c r="T57" s="560"/>
      <c r="U57" s="465"/>
      <c r="V57" s="67">
        <v>0</v>
      </c>
      <c r="W57" s="66"/>
      <c r="X57" s="67"/>
      <c r="Y57" s="560"/>
      <c r="Z57" s="465"/>
      <c r="AA57" s="67">
        <v>0</v>
      </c>
      <c r="AB57" s="66"/>
      <c r="AC57" s="67"/>
      <c r="AD57" s="560"/>
      <c r="AE57" s="465"/>
      <c r="AF57" s="67">
        <v>0</v>
      </c>
      <c r="AG57" s="66"/>
      <c r="AH57" s="67"/>
      <c r="AI57" s="560"/>
      <c r="AJ57" s="465"/>
      <c r="AK57" s="67">
        <v>0</v>
      </c>
      <c r="AL57" s="66"/>
      <c r="AM57" s="67"/>
      <c r="AN57" s="560"/>
      <c r="AO57" s="465"/>
      <c r="AP57" s="67">
        <v>0</v>
      </c>
      <c r="AQ57" s="66"/>
      <c r="AR57" s="67"/>
      <c r="AS57" s="560"/>
      <c r="AT57" s="465"/>
      <c r="AU57" s="67">
        <v>0</v>
      </c>
      <c r="AV57" s="66"/>
      <c r="AW57" s="67"/>
      <c r="AX57" s="560"/>
      <c r="AY57" s="465"/>
      <c r="AZ57" s="67">
        <v>0</v>
      </c>
      <c r="BA57" s="66"/>
      <c r="BB57" s="67"/>
      <c r="BC57" s="560"/>
      <c r="BD57" s="465"/>
      <c r="BE57" s="67">
        <v>0</v>
      </c>
      <c r="BF57" s="66"/>
      <c r="BG57" s="67"/>
      <c r="BH57" s="560"/>
      <c r="BI57" s="465"/>
      <c r="BJ57" s="67">
        <v>0</v>
      </c>
      <c r="BK57" s="66"/>
      <c r="BL57" s="67"/>
      <c r="BM57" s="560"/>
      <c r="BN57" s="465"/>
      <c r="BO57" s="67">
        <v>0</v>
      </c>
      <c r="BP57" s="66"/>
      <c r="BQ57" s="67"/>
      <c r="BR57" s="560"/>
      <c r="BS57" s="560"/>
      <c r="BT57" s="67">
        <f>SUM(L57:BO57)</f>
        <v>0</v>
      </c>
      <c r="BU57" s="66"/>
      <c r="BV57" s="67"/>
      <c r="BW57" s="560"/>
      <c r="BX57" s="560"/>
      <c r="BY57" s="67">
        <v>0</v>
      </c>
      <c r="BZ57" s="66"/>
      <c r="CA57" s="67"/>
      <c r="CB57" s="560"/>
      <c r="CC57" s="560"/>
      <c r="CD57" s="67">
        <v>0</v>
      </c>
      <c r="CE57" s="66"/>
      <c r="CF57" s="67"/>
      <c r="CG57" s="560"/>
      <c r="CH57" s="465"/>
      <c r="CI57" s="67">
        <v>0</v>
      </c>
      <c r="CJ57" s="66"/>
      <c r="CK57" s="67"/>
      <c r="CL57" s="560"/>
      <c r="CM57" s="465"/>
      <c r="CN57" s="67">
        <v>0</v>
      </c>
      <c r="CO57" s="66"/>
      <c r="CP57" s="67"/>
      <c r="CQ57" s="560"/>
      <c r="CR57" s="465"/>
      <c r="CS57" s="67">
        <v>0</v>
      </c>
      <c r="CT57" s="66"/>
      <c r="CU57" s="67"/>
      <c r="CV57" s="560"/>
      <c r="CW57" s="465"/>
      <c r="CX57" s="67">
        <v>0</v>
      </c>
      <c r="CY57" s="66"/>
      <c r="CZ57" s="67"/>
      <c r="DA57" s="560"/>
      <c r="DB57" s="465"/>
      <c r="DC57" s="67">
        <v>0</v>
      </c>
      <c r="DD57" s="66"/>
      <c r="DE57" s="67"/>
      <c r="DF57" s="560"/>
      <c r="DG57" s="465"/>
      <c r="DH57" s="67">
        <v>0</v>
      </c>
      <c r="DI57" s="66"/>
      <c r="DJ57" s="67"/>
      <c r="DK57" s="560"/>
      <c r="DL57" s="465"/>
      <c r="DM57" s="67">
        <v>0</v>
      </c>
      <c r="DN57" s="66"/>
      <c r="DO57" s="67"/>
      <c r="DP57" s="560"/>
      <c r="DQ57" s="465"/>
      <c r="DR57" s="67">
        <v>0</v>
      </c>
      <c r="DS57" s="66"/>
      <c r="DT57" s="67"/>
      <c r="DU57" s="560"/>
      <c r="DV57" s="465"/>
      <c r="DW57" s="67">
        <v>0</v>
      </c>
      <c r="DX57" s="66"/>
      <c r="DY57" s="67"/>
      <c r="DZ57" s="560"/>
      <c r="EA57" s="465"/>
      <c r="EB57" s="67">
        <v>0</v>
      </c>
      <c r="EC57" s="66"/>
      <c r="ED57" s="67"/>
      <c r="EE57" s="560"/>
      <c r="EF57" s="465"/>
      <c r="EG57" s="67">
        <v>0</v>
      </c>
      <c r="EH57" s="66"/>
      <c r="EI57" s="67"/>
      <c r="EJ57" s="560"/>
      <c r="EK57" s="560"/>
      <c r="EL57" s="67">
        <f>SUM(CD57:CI57)</f>
        <v>0</v>
      </c>
      <c r="EM57" s="66"/>
      <c r="EN57" s="67"/>
      <c r="EO57" s="455"/>
      <c r="EP57" s="472"/>
      <c r="EQ57" s="472"/>
    </row>
    <row r="58" spans="1:147" x14ac:dyDescent="0.2">
      <c r="A58" s="442"/>
      <c r="B58" s="442"/>
      <c r="D58" s="455" t="s">
        <v>425</v>
      </c>
      <c r="E58" s="465"/>
      <c r="F58" s="488"/>
      <c r="G58" s="113">
        <v>0</v>
      </c>
      <c r="H58" s="112"/>
      <c r="I58" s="67"/>
      <c r="J58" s="560"/>
      <c r="K58" s="569"/>
      <c r="L58" s="113">
        <v>0</v>
      </c>
      <c r="M58" s="112"/>
      <c r="N58" s="67"/>
      <c r="O58" s="560"/>
      <c r="P58" s="488"/>
      <c r="Q58" s="113">
        <v>0</v>
      </c>
      <c r="R58" s="112"/>
      <c r="S58" s="67"/>
      <c r="T58" s="560"/>
      <c r="U58" s="488"/>
      <c r="V58" s="113">
        <v>0</v>
      </c>
      <c r="W58" s="112"/>
      <c r="X58" s="67"/>
      <c r="Y58" s="560"/>
      <c r="Z58" s="488"/>
      <c r="AA58" s="113">
        <v>0</v>
      </c>
      <c r="AB58" s="112"/>
      <c r="AC58" s="67"/>
      <c r="AD58" s="560"/>
      <c r="AE58" s="488"/>
      <c r="AF58" s="113">
        <v>0</v>
      </c>
      <c r="AG58" s="112"/>
      <c r="AH58" s="67"/>
      <c r="AI58" s="560"/>
      <c r="AJ58" s="488"/>
      <c r="AK58" s="113">
        <v>0</v>
      </c>
      <c r="AL58" s="112"/>
      <c r="AM58" s="67"/>
      <c r="AN58" s="560"/>
      <c r="AO58" s="488"/>
      <c r="AP58" s="113">
        <v>0</v>
      </c>
      <c r="AQ58" s="112"/>
      <c r="AR58" s="67"/>
      <c r="AS58" s="560"/>
      <c r="AT58" s="488"/>
      <c r="AU58" s="113">
        <v>0</v>
      </c>
      <c r="AV58" s="112"/>
      <c r="AW58" s="67"/>
      <c r="AX58" s="560"/>
      <c r="AY58" s="488"/>
      <c r="AZ58" s="113">
        <v>0</v>
      </c>
      <c r="BA58" s="112"/>
      <c r="BB58" s="67"/>
      <c r="BC58" s="560"/>
      <c r="BD58" s="488"/>
      <c r="BE58" s="113">
        <v>0</v>
      </c>
      <c r="BF58" s="112"/>
      <c r="BG58" s="67"/>
      <c r="BH58" s="560"/>
      <c r="BI58" s="488"/>
      <c r="BJ58" s="113">
        <v>0</v>
      </c>
      <c r="BK58" s="112"/>
      <c r="BL58" s="67"/>
      <c r="BM58" s="560"/>
      <c r="BN58" s="488"/>
      <c r="BO58" s="113">
        <v>0</v>
      </c>
      <c r="BP58" s="112"/>
      <c r="BQ58" s="67"/>
      <c r="BR58" s="560"/>
      <c r="BS58" s="569"/>
      <c r="BT58" s="113">
        <f>SUM(L58:BO58)</f>
        <v>0</v>
      </c>
      <c r="BU58" s="112"/>
      <c r="BV58" s="67"/>
      <c r="BW58" s="560"/>
      <c r="BX58" s="569"/>
      <c r="BY58" s="113">
        <v>0</v>
      </c>
      <c r="BZ58" s="112"/>
      <c r="CA58" s="67"/>
      <c r="CB58" s="560"/>
      <c r="CC58" s="569"/>
      <c r="CD58" s="113">
        <v>0</v>
      </c>
      <c r="CE58" s="112"/>
      <c r="CF58" s="67"/>
      <c r="CG58" s="560"/>
      <c r="CH58" s="488"/>
      <c r="CI58" s="113">
        <v>0</v>
      </c>
      <c r="CJ58" s="112"/>
      <c r="CK58" s="67"/>
      <c r="CL58" s="560"/>
      <c r="CM58" s="488"/>
      <c r="CN58" s="113">
        <v>0</v>
      </c>
      <c r="CO58" s="112"/>
      <c r="CP58" s="67"/>
      <c r="CQ58" s="560"/>
      <c r="CR58" s="488"/>
      <c r="CS58" s="113">
        <v>0</v>
      </c>
      <c r="CT58" s="112"/>
      <c r="CU58" s="67"/>
      <c r="CV58" s="560"/>
      <c r="CW58" s="488"/>
      <c r="CX58" s="113">
        <v>0</v>
      </c>
      <c r="CY58" s="112"/>
      <c r="CZ58" s="67"/>
      <c r="DA58" s="560"/>
      <c r="DB58" s="488"/>
      <c r="DC58" s="113">
        <v>0</v>
      </c>
      <c r="DD58" s="112"/>
      <c r="DE58" s="67"/>
      <c r="DF58" s="560"/>
      <c r="DG58" s="488"/>
      <c r="DH58" s="113">
        <v>0</v>
      </c>
      <c r="DI58" s="112"/>
      <c r="DJ58" s="67"/>
      <c r="DK58" s="560"/>
      <c r="DL58" s="488"/>
      <c r="DM58" s="113">
        <v>0</v>
      </c>
      <c r="DN58" s="112"/>
      <c r="DO58" s="67"/>
      <c r="DP58" s="560"/>
      <c r="DQ58" s="488"/>
      <c r="DR58" s="113">
        <v>0</v>
      </c>
      <c r="DS58" s="112"/>
      <c r="DT58" s="67"/>
      <c r="DU58" s="560"/>
      <c r="DV58" s="488"/>
      <c r="DW58" s="113">
        <v>0</v>
      </c>
      <c r="DX58" s="112"/>
      <c r="DY58" s="67"/>
      <c r="DZ58" s="560"/>
      <c r="EA58" s="488"/>
      <c r="EB58" s="113">
        <v>0</v>
      </c>
      <c r="EC58" s="112"/>
      <c r="ED58" s="67"/>
      <c r="EE58" s="560"/>
      <c r="EF58" s="488"/>
      <c r="EG58" s="113">
        <v>0</v>
      </c>
      <c r="EH58" s="112"/>
      <c r="EI58" s="67"/>
      <c r="EJ58" s="560"/>
      <c r="EK58" s="569"/>
      <c r="EL58" s="113">
        <f>SUM(CD58:CI58)</f>
        <v>0</v>
      </c>
      <c r="EM58" s="112"/>
      <c r="EN58" s="67"/>
      <c r="EO58" s="455"/>
      <c r="EP58" s="472"/>
      <c r="EQ58" s="472"/>
    </row>
    <row r="59" spans="1:147" x14ac:dyDescent="0.2">
      <c r="A59" s="442"/>
      <c r="B59" s="442"/>
      <c r="D59" s="455"/>
      <c r="E59" s="465"/>
      <c r="F59" s="442"/>
      <c r="G59" s="67"/>
      <c r="H59" s="67"/>
      <c r="I59" s="67"/>
      <c r="J59" s="560"/>
      <c r="K59" s="67"/>
      <c r="L59" s="67"/>
      <c r="M59" s="67"/>
      <c r="N59" s="67"/>
      <c r="O59" s="560"/>
      <c r="P59" s="67"/>
      <c r="Q59" s="67"/>
      <c r="R59" s="67"/>
      <c r="S59" s="67"/>
      <c r="T59" s="560"/>
      <c r="U59" s="67"/>
      <c r="V59" s="67"/>
      <c r="W59" s="67"/>
      <c r="X59" s="67"/>
      <c r="Y59" s="560"/>
      <c r="Z59" s="67"/>
      <c r="AA59" s="67"/>
      <c r="AB59" s="67"/>
      <c r="AC59" s="67"/>
      <c r="AD59" s="560"/>
      <c r="AE59" s="67"/>
      <c r="AF59" s="67"/>
      <c r="AG59" s="67"/>
      <c r="AH59" s="67"/>
      <c r="AI59" s="560"/>
      <c r="AJ59" s="67"/>
      <c r="AK59" s="67"/>
      <c r="AL59" s="67"/>
      <c r="AM59" s="67"/>
      <c r="AN59" s="560"/>
      <c r="AO59" s="67"/>
      <c r="AP59" s="67"/>
      <c r="AQ59" s="67"/>
      <c r="AR59" s="67"/>
      <c r="AS59" s="560"/>
      <c r="AT59" s="67"/>
      <c r="AU59" s="67"/>
      <c r="AV59" s="67"/>
      <c r="AW59" s="67"/>
      <c r="AX59" s="560"/>
      <c r="AY59" s="67"/>
      <c r="AZ59" s="67"/>
      <c r="BA59" s="67"/>
      <c r="BB59" s="67"/>
      <c r="BC59" s="560"/>
      <c r="BD59" s="67"/>
      <c r="BE59" s="67"/>
      <c r="BF59" s="67"/>
      <c r="BG59" s="67"/>
      <c r="BH59" s="560"/>
      <c r="BI59" s="67"/>
      <c r="BJ59" s="67"/>
      <c r="BK59" s="67"/>
      <c r="BL59" s="67"/>
      <c r="BM59" s="560"/>
      <c r="BN59" s="67"/>
      <c r="BO59" s="67"/>
      <c r="BP59" s="67"/>
      <c r="BQ59" s="67"/>
      <c r="BR59" s="560"/>
      <c r="BS59" s="67"/>
      <c r="BT59" s="67"/>
      <c r="BU59" s="67"/>
      <c r="BV59" s="67"/>
      <c r="BW59" s="560"/>
      <c r="BX59" s="67"/>
      <c r="BY59" s="67"/>
      <c r="BZ59" s="67"/>
      <c r="CA59" s="67"/>
      <c r="CB59" s="560"/>
      <c r="CC59" s="67"/>
      <c r="CD59" s="67"/>
      <c r="CE59" s="67"/>
      <c r="CF59" s="67"/>
      <c r="CG59" s="560"/>
      <c r="CH59" s="67"/>
      <c r="CI59" s="67"/>
      <c r="CJ59" s="67"/>
      <c r="CK59" s="67"/>
      <c r="CL59" s="560"/>
      <c r="CM59" s="67"/>
      <c r="CN59" s="67"/>
      <c r="CO59" s="67"/>
      <c r="CP59" s="67"/>
      <c r="CQ59" s="560"/>
      <c r="CR59" s="67"/>
      <c r="CS59" s="67"/>
      <c r="CT59" s="67"/>
      <c r="CU59" s="67"/>
      <c r="CV59" s="560"/>
      <c r="CW59" s="67"/>
      <c r="CX59" s="67"/>
      <c r="CY59" s="67"/>
      <c r="CZ59" s="67"/>
      <c r="DA59" s="560"/>
      <c r="DB59" s="67"/>
      <c r="DC59" s="67"/>
      <c r="DD59" s="67"/>
      <c r="DE59" s="67"/>
      <c r="DF59" s="560"/>
      <c r="DG59" s="67"/>
      <c r="DH59" s="67"/>
      <c r="DI59" s="67"/>
      <c r="DJ59" s="67"/>
      <c r="DK59" s="560"/>
      <c r="DL59" s="67"/>
      <c r="DM59" s="67"/>
      <c r="DN59" s="67"/>
      <c r="DO59" s="67"/>
      <c r="DP59" s="560"/>
      <c r="DQ59" s="67"/>
      <c r="DR59" s="67"/>
      <c r="DS59" s="67"/>
      <c r="DT59" s="67"/>
      <c r="DU59" s="560"/>
      <c r="DV59" s="67"/>
      <c r="DW59" s="67"/>
      <c r="DX59" s="67"/>
      <c r="DY59" s="67"/>
      <c r="DZ59" s="560"/>
      <c r="EA59" s="67"/>
      <c r="EB59" s="67"/>
      <c r="EC59" s="67"/>
      <c r="ED59" s="67"/>
      <c r="EE59" s="560"/>
      <c r="EF59" s="67"/>
      <c r="EG59" s="67"/>
      <c r="EH59" s="67"/>
      <c r="EI59" s="67"/>
      <c r="EJ59" s="560"/>
      <c r="EK59" s="67"/>
      <c r="EL59" s="67"/>
      <c r="EM59" s="442"/>
      <c r="EN59" s="442"/>
      <c r="EO59" s="455"/>
      <c r="EP59" s="472"/>
      <c r="EQ59" s="472"/>
    </row>
    <row r="60" spans="1:147" x14ac:dyDescent="0.2">
      <c r="A60" s="442"/>
      <c r="B60" s="442"/>
      <c r="D60" s="455" t="s">
        <v>359</v>
      </c>
      <c r="E60" s="465"/>
      <c r="F60" s="442"/>
      <c r="G60" s="67">
        <f>SUM(G61:G63)</f>
        <v>0</v>
      </c>
      <c r="H60" s="67"/>
      <c r="I60" s="67"/>
      <c r="J60" s="560"/>
      <c r="K60" s="67"/>
      <c r="L60" s="67">
        <f>SUM(L61:L63)</f>
        <v>0</v>
      </c>
      <c r="M60" s="67"/>
      <c r="N60" s="67"/>
      <c r="O60" s="560"/>
      <c r="P60" s="442"/>
      <c r="Q60" s="67">
        <f>SUM(Q61:Q63)</f>
        <v>0</v>
      </c>
      <c r="R60" s="67"/>
      <c r="S60" s="67"/>
      <c r="T60" s="560"/>
      <c r="U60" s="442"/>
      <c r="V60" s="67">
        <f>SUM(V61:V63)</f>
        <v>0</v>
      </c>
      <c r="W60" s="67"/>
      <c r="X60" s="67"/>
      <c r="Y60" s="560"/>
      <c r="Z60" s="442"/>
      <c r="AA60" s="67">
        <f>SUM(AA61:AA63)</f>
        <v>0</v>
      </c>
      <c r="AB60" s="67"/>
      <c r="AC60" s="67"/>
      <c r="AD60" s="560"/>
      <c r="AE60" s="442"/>
      <c r="AF60" s="67">
        <f>SUM(AF61:AF63)</f>
        <v>0</v>
      </c>
      <c r="AG60" s="67"/>
      <c r="AH60" s="67"/>
      <c r="AI60" s="560"/>
      <c r="AJ60" s="442"/>
      <c r="AK60" s="67">
        <f>SUM(AK61:AK63)</f>
        <v>0</v>
      </c>
      <c r="AL60" s="67"/>
      <c r="AM60" s="67"/>
      <c r="AN60" s="560"/>
      <c r="AO60" s="442"/>
      <c r="AP60" s="67">
        <f>SUM(AP61:AP63)</f>
        <v>0</v>
      </c>
      <c r="AQ60" s="67"/>
      <c r="AR60" s="67"/>
      <c r="AS60" s="560"/>
      <c r="AT60" s="442"/>
      <c r="AU60" s="67">
        <f>SUM(AU61:AU63)</f>
        <v>0</v>
      </c>
      <c r="AV60" s="67"/>
      <c r="AW60" s="67"/>
      <c r="AX60" s="560"/>
      <c r="AY60" s="442"/>
      <c r="AZ60" s="67">
        <f>SUM(AZ61:AZ63)</f>
        <v>0</v>
      </c>
      <c r="BA60" s="67"/>
      <c r="BB60" s="67"/>
      <c r="BC60" s="560"/>
      <c r="BD60" s="442"/>
      <c r="BE60" s="67">
        <f>SUM(BE61:BE63)</f>
        <v>0</v>
      </c>
      <c r="BF60" s="67"/>
      <c r="BG60" s="67"/>
      <c r="BH60" s="560"/>
      <c r="BI60" s="442"/>
      <c r="BJ60" s="67">
        <f>SUM(BJ61:BJ63)</f>
        <v>0</v>
      </c>
      <c r="BK60" s="67"/>
      <c r="BL60" s="67"/>
      <c r="BM60" s="560"/>
      <c r="BN60" s="442"/>
      <c r="BO60" s="67">
        <f>SUM(BO61:BO63)</f>
        <v>0</v>
      </c>
      <c r="BP60" s="67"/>
      <c r="BQ60" s="67"/>
      <c r="BR60" s="560"/>
      <c r="BS60" s="113"/>
      <c r="BT60" s="113">
        <f>SUM(BT61:BT63)</f>
        <v>0</v>
      </c>
      <c r="BU60" s="67"/>
      <c r="BV60" s="67"/>
      <c r="BW60" s="560"/>
      <c r="BX60" s="67"/>
      <c r="BY60" s="67">
        <f>SUM(BY61:BY63)</f>
        <v>0</v>
      </c>
      <c r="BZ60" s="67"/>
      <c r="CA60" s="67"/>
      <c r="CB60" s="560"/>
      <c r="CC60" s="67"/>
      <c r="CD60" s="67">
        <f>SUM(CD61:CD63)</f>
        <v>0</v>
      </c>
      <c r="CE60" s="67"/>
      <c r="CF60" s="67"/>
      <c r="CG60" s="560"/>
      <c r="CH60" s="442"/>
      <c r="CI60" s="67">
        <f>SUM(CI61:CI63)</f>
        <v>0</v>
      </c>
      <c r="CJ60" s="67"/>
      <c r="CK60" s="67"/>
      <c r="CL60" s="560"/>
      <c r="CM60" s="442"/>
      <c r="CN60" s="67">
        <f>SUM(CN61:CN63)</f>
        <v>0</v>
      </c>
      <c r="CO60" s="67"/>
      <c r="CP60" s="67"/>
      <c r="CQ60" s="560"/>
      <c r="CR60" s="442"/>
      <c r="CS60" s="67">
        <f>SUM(CS61:CS63)</f>
        <v>0</v>
      </c>
      <c r="CT60" s="67"/>
      <c r="CU60" s="67"/>
      <c r="CV60" s="560"/>
      <c r="CW60" s="442"/>
      <c r="CX60" s="67">
        <f>SUM(CX61:CX63)</f>
        <v>0</v>
      </c>
      <c r="CY60" s="67"/>
      <c r="CZ60" s="67"/>
      <c r="DA60" s="560"/>
      <c r="DB60" s="442"/>
      <c r="DC60" s="67">
        <f>SUM(DC61:DC63)</f>
        <v>0</v>
      </c>
      <c r="DD60" s="67"/>
      <c r="DE60" s="67"/>
      <c r="DF60" s="560"/>
      <c r="DG60" s="442"/>
      <c r="DH60" s="67">
        <f>SUM(DH61:DH63)</f>
        <v>0</v>
      </c>
      <c r="DI60" s="67"/>
      <c r="DJ60" s="67"/>
      <c r="DK60" s="560"/>
      <c r="DL60" s="442"/>
      <c r="DM60" s="67">
        <f>SUM(DM61:DM63)</f>
        <v>0</v>
      </c>
      <c r="DN60" s="67"/>
      <c r="DO60" s="67"/>
      <c r="DP60" s="560"/>
      <c r="DQ60" s="442"/>
      <c r="DR60" s="67">
        <f>SUM(DR61:DR63)</f>
        <v>0</v>
      </c>
      <c r="DS60" s="67"/>
      <c r="DT60" s="67"/>
      <c r="DU60" s="560"/>
      <c r="DV60" s="442"/>
      <c r="DW60" s="67">
        <f>SUM(DW61:DW63)</f>
        <v>0</v>
      </c>
      <c r="DX60" s="67"/>
      <c r="DY60" s="67"/>
      <c r="DZ60" s="560"/>
      <c r="EA60" s="442"/>
      <c r="EB60" s="67">
        <f>SUM(EB61:EB63)</f>
        <v>0</v>
      </c>
      <c r="EC60" s="67"/>
      <c r="ED60" s="67"/>
      <c r="EE60" s="560"/>
      <c r="EF60" s="442"/>
      <c r="EG60" s="67">
        <f>SUM(EG61:EG63)</f>
        <v>0</v>
      </c>
      <c r="EH60" s="67"/>
      <c r="EI60" s="66"/>
      <c r="EJ60" s="560"/>
      <c r="EK60" s="67"/>
      <c r="EL60" s="67">
        <f>SUM(EL61:EL63)</f>
        <v>0</v>
      </c>
      <c r="EM60" s="67"/>
      <c r="EN60" s="67"/>
      <c r="EO60" s="455"/>
      <c r="EP60" s="472"/>
      <c r="EQ60" s="472"/>
    </row>
    <row r="61" spans="1:147" x14ac:dyDescent="0.2">
      <c r="A61" s="442"/>
      <c r="B61" s="442"/>
      <c r="D61" s="455" t="s">
        <v>342</v>
      </c>
      <c r="E61" s="465"/>
      <c r="F61" s="473"/>
      <c r="G61" s="558">
        <v>0</v>
      </c>
      <c r="H61" s="559"/>
      <c r="I61" s="67"/>
      <c r="J61" s="560"/>
      <c r="K61" s="561"/>
      <c r="L61" s="558">
        <v>0</v>
      </c>
      <c r="M61" s="559"/>
      <c r="N61" s="67"/>
      <c r="O61" s="560"/>
      <c r="P61" s="473"/>
      <c r="Q61" s="558">
        <v>0</v>
      </c>
      <c r="R61" s="559"/>
      <c r="S61" s="67"/>
      <c r="T61" s="560"/>
      <c r="U61" s="473"/>
      <c r="V61" s="558">
        <v>0</v>
      </c>
      <c r="W61" s="559"/>
      <c r="X61" s="67"/>
      <c r="Y61" s="560"/>
      <c r="Z61" s="473"/>
      <c r="AA61" s="558">
        <v>0</v>
      </c>
      <c r="AB61" s="559"/>
      <c r="AC61" s="67"/>
      <c r="AD61" s="560"/>
      <c r="AE61" s="473"/>
      <c r="AF61" s="558">
        <v>0</v>
      </c>
      <c r="AG61" s="559"/>
      <c r="AH61" s="67"/>
      <c r="AI61" s="560"/>
      <c r="AJ61" s="473"/>
      <c r="AK61" s="558">
        <v>0</v>
      </c>
      <c r="AL61" s="559"/>
      <c r="AM61" s="67"/>
      <c r="AN61" s="560"/>
      <c r="AO61" s="473"/>
      <c r="AP61" s="558">
        <v>0</v>
      </c>
      <c r="AQ61" s="559"/>
      <c r="AR61" s="67"/>
      <c r="AS61" s="560"/>
      <c r="AT61" s="473"/>
      <c r="AU61" s="558">
        <v>0</v>
      </c>
      <c r="AV61" s="559"/>
      <c r="AW61" s="67"/>
      <c r="AX61" s="560"/>
      <c r="AY61" s="473"/>
      <c r="AZ61" s="558">
        <v>0</v>
      </c>
      <c r="BA61" s="559"/>
      <c r="BB61" s="67"/>
      <c r="BC61" s="560"/>
      <c r="BD61" s="473"/>
      <c r="BE61" s="558">
        <v>0</v>
      </c>
      <c r="BF61" s="559"/>
      <c r="BG61" s="67"/>
      <c r="BH61" s="560"/>
      <c r="BI61" s="473"/>
      <c r="BJ61" s="558">
        <v>0</v>
      </c>
      <c r="BK61" s="559"/>
      <c r="BL61" s="67"/>
      <c r="BM61" s="560"/>
      <c r="BN61" s="473"/>
      <c r="BO61" s="558">
        <v>0</v>
      </c>
      <c r="BP61" s="559"/>
      <c r="BQ61" s="67"/>
      <c r="BR61" s="560"/>
      <c r="BS61" s="560"/>
      <c r="BT61" s="67">
        <f>SUM(L61:BO61)</f>
        <v>0</v>
      </c>
      <c r="BU61" s="559"/>
      <c r="BV61" s="67"/>
      <c r="BW61" s="560"/>
      <c r="BX61" s="561"/>
      <c r="BY61" s="558">
        <v>0</v>
      </c>
      <c r="BZ61" s="559"/>
      <c r="CA61" s="67"/>
      <c r="CB61" s="560"/>
      <c r="CC61" s="561"/>
      <c r="CD61" s="558">
        <v>0</v>
      </c>
      <c r="CE61" s="559"/>
      <c r="CF61" s="67"/>
      <c r="CG61" s="560"/>
      <c r="CH61" s="473"/>
      <c r="CI61" s="558">
        <v>0</v>
      </c>
      <c r="CJ61" s="559"/>
      <c r="CK61" s="67"/>
      <c r="CL61" s="560"/>
      <c r="CM61" s="473"/>
      <c r="CN61" s="558">
        <v>0</v>
      </c>
      <c r="CO61" s="559"/>
      <c r="CP61" s="67"/>
      <c r="CQ61" s="560"/>
      <c r="CR61" s="473"/>
      <c r="CS61" s="558">
        <v>0</v>
      </c>
      <c r="CT61" s="559"/>
      <c r="CU61" s="67"/>
      <c r="CV61" s="560"/>
      <c r="CW61" s="473"/>
      <c r="CX61" s="558">
        <v>0</v>
      </c>
      <c r="CY61" s="559"/>
      <c r="CZ61" s="67"/>
      <c r="DA61" s="560"/>
      <c r="DB61" s="473"/>
      <c r="DC61" s="558">
        <v>0</v>
      </c>
      <c r="DD61" s="559"/>
      <c r="DE61" s="67"/>
      <c r="DF61" s="560"/>
      <c r="DG61" s="473"/>
      <c r="DH61" s="558">
        <v>0</v>
      </c>
      <c r="DI61" s="559"/>
      <c r="DJ61" s="67"/>
      <c r="DK61" s="560"/>
      <c r="DL61" s="473"/>
      <c r="DM61" s="558">
        <v>0</v>
      </c>
      <c r="DN61" s="559"/>
      <c r="DO61" s="67"/>
      <c r="DP61" s="560"/>
      <c r="DQ61" s="473"/>
      <c r="DR61" s="558">
        <v>0</v>
      </c>
      <c r="DS61" s="559"/>
      <c r="DT61" s="67"/>
      <c r="DU61" s="560"/>
      <c r="DV61" s="473"/>
      <c r="DW61" s="558">
        <v>0</v>
      </c>
      <c r="DX61" s="559"/>
      <c r="DY61" s="67"/>
      <c r="DZ61" s="560"/>
      <c r="EA61" s="473"/>
      <c r="EB61" s="558">
        <v>0</v>
      </c>
      <c r="EC61" s="559"/>
      <c r="ED61" s="67"/>
      <c r="EE61" s="560"/>
      <c r="EF61" s="473"/>
      <c r="EG61" s="558">
        <v>0</v>
      </c>
      <c r="EH61" s="559"/>
      <c r="EI61" s="66"/>
      <c r="EJ61" s="63"/>
      <c r="EK61" s="561"/>
      <c r="EL61" s="558">
        <f>SUM(CD61:CI61)</f>
        <v>0</v>
      </c>
      <c r="EM61" s="559"/>
      <c r="EN61" s="67"/>
      <c r="EO61" s="455"/>
      <c r="EP61" s="472"/>
      <c r="EQ61" s="472"/>
    </row>
    <row r="62" spans="1:147" x14ac:dyDescent="0.2">
      <c r="A62" s="442"/>
      <c r="B62" s="442"/>
      <c r="D62" s="455" t="s">
        <v>424</v>
      </c>
      <c r="E62" s="465"/>
      <c r="F62" s="465"/>
      <c r="G62" s="67">
        <v>0</v>
      </c>
      <c r="H62" s="66"/>
      <c r="I62" s="67"/>
      <c r="J62" s="560"/>
      <c r="K62" s="560"/>
      <c r="L62" s="67">
        <v>0</v>
      </c>
      <c r="M62" s="66"/>
      <c r="N62" s="67"/>
      <c r="O62" s="560"/>
      <c r="P62" s="465"/>
      <c r="Q62" s="67">
        <v>0</v>
      </c>
      <c r="R62" s="66"/>
      <c r="S62" s="67"/>
      <c r="T62" s="560"/>
      <c r="U62" s="465"/>
      <c r="V62" s="67">
        <v>0</v>
      </c>
      <c r="W62" s="66"/>
      <c r="X62" s="67"/>
      <c r="Y62" s="560"/>
      <c r="Z62" s="465"/>
      <c r="AA62" s="67">
        <v>0</v>
      </c>
      <c r="AB62" s="66"/>
      <c r="AC62" s="67"/>
      <c r="AD62" s="560"/>
      <c r="AE62" s="465"/>
      <c r="AF62" s="67">
        <v>0</v>
      </c>
      <c r="AG62" s="66"/>
      <c r="AH62" s="67"/>
      <c r="AI62" s="560"/>
      <c r="AJ62" s="465"/>
      <c r="AK62" s="67">
        <v>0</v>
      </c>
      <c r="AL62" s="66"/>
      <c r="AM62" s="67"/>
      <c r="AN62" s="560"/>
      <c r="AO62" s="465"/>
      <c r="AP62" s="67">
        <v>0</v>
      </c>
      <c r="AQ62" s="66"/>
      <c r="AR62" s="67"/>
      <c r="AS62" s="560"/>
      <c r="AT62" s="465"/>
      <c r="AU62" s="67">
        <v>0</v>
      </c>
      <c r="AV62" s="66"/>
      <c r="AW62" s="67"/>
      <c r="AX62" s="560"/>
      <c r="AY62" s="465"/>
      <c r="AZ62" s="67">
        <v>0</v>
      </c>
      <c r="BA62" s="66"/>
      <c r="BB62" s="67"/>
      <c r="BC62" s="560"/>
      <c r="BD62" s="465"/>
      <c r="BE62" s="67">
        <v>0</v>
      </c>
      <c r="BF62" s="66"/>
      <c r="BG62" s="67"/>
      <c r="BH62" s="560"/>
      <c r="BI62" s="465"/>
      <c r="BJ62" s="67">
        <v>0</v>
      </c>
      <c r="BK62" s="66"/>
      <c r="BL62" s="67"/>
      <c r="BM62" s="560"/>
      <c r="BN62" s="465"/>
      <c r="BO62" s="67">
        <v>0</v>
      </c>
      <c r="BP62" s="66"/>
      <c r="BQ62" s="67"/>
      <c r="BR62" s="560"/>
      <c r="BS62" s="560"/>
      <c r="BT62" s="67">
        <f>SUM(L62:BO62)</f>
        <v>0</v>
      </c>
      <c r="BU62" s="66"/>
      <c r="BV62" s="67"/>
      <c r="BW62" s="560"/>
      <c r="BX62" s="560"/>
      <c r="BY62" s="67">
        <v>0</v>
      </c>
      <c r="BZ62" s="66"/>
      <c r="CA62" s="67"/>
      <c r="CB62" s="560"/>
      <c r="CC62" s="560"/>
      <c r="CD62" s="67">
        <v>0</v>
      </c>
      <c r="CE62" s="66"/>
      <c r="CF62" s="67"/>
      <c r="CG62" s="560"/>
      <c r="CH62" s="465"/>
      <c r="CI62" s="67">
        <v>0</v>
      </c>
      <c r="CJ62" s="66"/>
      <c r="CK62" s="67"/>
      <c r="CL62" s="560"/>
      <c r="CM62" s="465"/>
      <c r="CN62" s="67">
        <v>0</v>
      </c>
      <c r="CO62" s="66"/>
      <c r="CP62" s="67"/>
      <c r="CQ62" s="560"/>
      <c r="CR62" s="465"/>
      <c r="CS62" s="67">
        <v>0</v>
      </c>
      <c r="CT62" s="66"/>
      <c r="CU62" s="67"/>
      <c r="CV62" s="560"/>
      <c r="CW62" s="465"/>
      <c r="CX62" s="67">
        <v>0</v>
      </c>
      <c r="CY62" s="66"/>
      <c r="CZ62" s="67"/>
      <c r="DA62" s="560"/>
      <c r="DB62" s="465"/>
      <c r="DC62" s="67">
        <v>0</v>
      </c>
      <c r="DD62" s="66"/>
      <c r="DE62" s="67"/>
      <c r="DF62" s="560"/>
      <c r="DG62" s="465"/>
      <c r="DH62" s="67">
        <v>0</v>
      </c>
      <c r="DI62" s="66"/>
      <c r="DJ62" s="67"/>
      <c r="DK62" s="560"/>
      <c r="DL62" s="465"/>
      <c r="DM62" s="67">
        <v>0</v>
      </c>
      <c r="DN62" s="66"/>
      <c r="DO62" s="67"/>
      <c r="DP62" s="560"/>
      <c r="DQ62" s="465"/>
      <c r="DR62" s="67">
        <v>0</v>
      </c>
      <c r="DS62" s="66"/>
      <c r="DT62" s="67"/>
      <c r="DU62" s="560"/>
      <c r="DV62" s="465"/>
      <c r="DW62" s="67">
        <v>0</v>
      </c>
      <c r="DX62" s="66"/>
      <c r="DY62" s="67"/>
      <c r="DZ62" s="560"/>
      <c r="EA62" s="465"/>
      <c r="EB62" s="67">
        <v>0</v>
      </c>
      <c r="EC62" s="66"/>
      <c r="ED62" s="67"/>
      <c r="EE62" s="560"/>
      <c r="EF62" s="465"/>
      <c r="EG62" s="67">
        <v>0</v>
      </c>
      <c r="EH62" s="66"/>
      <c r="EI62" s="67"/>
      <c r="EJ62" s="560"/>
      <c r="EK62" s="560"/>
      <c r="EL62" s="67">
        <f>SUM(CD62:CI62)</f>
        <v>0</v>
      </c>
      <c r="EM62" s="66"/>
      <c r="EN62" s="67"/>
      <c r="EO62" s="455"/>
      <c r="EP62" s="472"/>
      <c r="EQ62" s="472"/>
    </row>
    <row r="63" spans="1:147" x14ac:dyDescent="0.2">
      <c r="A63" s="442"/>
      <c r="B63" s="442"/>
      <c r="D63" s="455" t="s">
        <v>425</v>
      </c>
      <c r="E63" s="465"/>
      <c r="F63" s="488"/>
      <c r="G63" s="113">
        <v>0</v>
      </c>
      <c r="H63" s="112"/>
      <c r="I63" s="67"/>
      <c r="J63" s="560"/>
      <c r="K63" s="569"/>
      <c r="L63" s="113">
        <v>0</v>
      </c>
      <c r="M63" s="112"/>
      <c r="N63" s="67"/>
      <c r="O63" s="560"/>
      <c r="P63" s="488"/>
      <c r="Q63" s="113">
        <v>0</v>
      </c>
      <c r="R63" s="112"/>
      <c r="S63" s="67"/>
      <c r="T63" s="560"/>
      <c r="U63" s="488"/>
      <c r="V63" s="113">
        <v>0</v>
      </c>
      <c r="W63" s="112"/>
      <c r="X63" s="67"/>
      <c r="Y63" s="560"/>
      <c r="Z63" s="488"/>
      <c r="AA63" s="113">
        <v>0</v>
      </c>
      <c r="AB63" s="112"/>
      <c r="AC63" s="67"/>
      <c r="AD63" s="560"/>
      <c r="AE63" s="488"/>
      <c r="AF63" s="113">
        <v>0</v>
      </c>
      <c r="AG63" s="112"/>
      <c r="AH63" s="67"/>
      <c r="AI63" s="560"/>
      <c r="AJ63" s="488"/>
      <c r="AK63" s="113">
        <v>0</v>
      </c>
      <c r="AL63" s="112"/>
      <c r="AM63" s="67"/>
      <c r="AN63" s="560"/>
      <c r="AO63" s="488"/>
      <c r="AP63" s="113">
        <v>0</v>
      </c>
      <c r="AQ63" s="112"/>
      <c r="AR63" s="67"/>
      <c r="AS63" s="560"/>
      <c r="AT63" s="488"/>
      <c r="AU63" s="113">
        <v>0</v>
      </c>
      <c r="AV63" s="112"/>
      <c r="AW63" s="67"/>
      <c r="AX63" s="560"/>
      <c r="AY63" s="488"/>
      <c r="AZ63" s="113">
        <v>0</v>
      </c>
      <c r="BA63" s="112"/>
      <c r="BB63" s="67"/>
      <c r="BC63" s="560"/>
      <c r="BD63" s="488"/>
      <c r="BE63" s="113">
        <v>0</v>
      </c>
      <c r="BF63" s="112"/>
      <c r="BG63" s="67"/>
      <c r="BH63" s="560"/>
      <c r="BI63" s="488"/>
      <c r="BJ63" s="113">
        <v>0</v>
      </c>
      <c r="BK63" s="112"/>
      <c r="BL63" s="67"/>
      <c r="BM63" s="560"/>
      <c r="BN63" s="488"/>
      <c r="BO63" s="113">
        <v>0</v>
      </c>
      <c r="BP63" s="112"/>
      <c r="BQ63" s="67"/>
      <c r="BR63" s="560"/>
      <c r="BS63" s="569"/>
      <c r="BT63" s="113">
        <f>SUM(L63:BO63)</f>
        <v>0</v>
      </c>
      <c r="BU63" s="112"/>
      <c r="BV63" s="67"/>
      <c r="BW63" s="560"/>
      <c r="BX63" s="569"/>
      <c r="BY63" s="113">
        <v>0</v>
      </c>
      <c r="BZ63" s="112"/>
      <c r="CA63" s="67"/>
      <c r="CB63" s="560"/>
      <c r="CC63" s="569"/>
      <c r="CD63" s="113">
        <v>0</v>
      </c>
      <c r="CE63" s="112"/>
      <c r="CF63" s="67"/>
      <c r="CG63" s="560"/>
      <c r="CH63" s="488"/>
      <c r="CI63" s="113">
        <v>0</v>
      </c>
      <c r="CJ63" s="112"/>
      <c r="CK63" s="67"/>
      <c r="CL63" s="560"/>
      <c r="CM63" s="488"/>
      <c r="CN63" s="113">
        <v>0</v>
      </c>
      <c r="CO63" s="112"/>
      <c r="CP63" s="67"/>
      <c r="CQ63" s="560"/>
      <c r="CR63" s="488"/>
      <c r="CS63" s="113">
        <v>0</v>
      </c>
      <c r="CT63" s="112"/>
      <c r="CU63" s="67"/>
      <c r="CV63" s="560"/>
      <c r="CW63" s="488"/>
      <c r="CX63" s="113">
        <v>0</v>
      </c>
      <c r="CY63" s="112"/>
      <c r="CZ63" s="67"/>
      <c r="DA63" s="560"/>
      <c r="DB63" s="488"/>
      <c r="DC63" s="113">
        <v>0</v>
      </c>
      <c r="DD63" s="112"/>
      <c r="DE63" s="67"/>
      <c r="DF63" s="560"/>
      <c r="DG63" s="488"/>
      <c r="DH63" s="113">
        <v>0</v>
      </c>
      <c r="DI63" s="112"/>
      <c r="DJ63" s="67"/>
      <c r="DK63" s="560"/>
      <c r="DL63" s="488"/>
      <c r="DM63" s="113">
        <v>0</v>
      </c>
      <c r="DN63" s="112"/>
      <c r="DO63" s="67"/>
      <c r="DP63" s="560"/>
      <c r="DQ63" s="488"/>
      <c r="DR63" s="113">
        <v>0</v>
      </c>
      <c r="DS63" s="112"/>
      <c r="DT63" s="67"/>
      <c r="DU63" s="560"/>
      <c r="DV63" s="488"/>
      <c r="DW63" s="113">
        <v>0</v>
      </c>
      <c r="DX63" s="112"/>
      <c r="DY63" s="67"/>
      <c r="DZ63" s="560"/>
      <c r="EA63" s="488"/>
      <c r="EB63" s="113">
        <v>0</v>
      </c>
      <c r="EC63" s="112"/>
      <c r="ED63" s="67"/>
      <c r="EE63" s="560"/>
      <c r="EF63" s="488"/>
      <c r="EG63" s="113">
        <v>0</v>
      </c>
      <c r="EH63" s="112"/>
      <c r="EI63" s="67"/>
      <c r="EJ63" s="560"/>
      <c r="EK63" s="569"/>
      <c r="EL63" s="113">
        <f>SUM(CD63:CI63)</f>
        <v>0</v>
      </c>
      <c r="EM63" s="112"/>
      <c r="EN63" s="67"/>
      <c r="EO63" s="455"/>
      <c r="EP63" s="472"/>
      <c r="EQ63" s="472"/>
    </row>
    <row r="64" spans="1:147" x14ac:dyDescent="0.2">
      <c r="A64" s="442"/>
      <c r="B64" s="442"/>
      <c r="D64" s="455"/>
      <c r="E64" s="465"/>
      <c r="F64" s="442"/>
      <c r="G64" s="67"/>
      <c r="H64" s="67"/>
      <c r="I64" s="67"/>
      <c r="J64" s="560"/>
      <c r="K64" s="67"/>
      <c r="L64" s="67"/>
      <c r="M64" s="67"/>
      <c r="N64" s="67"/>
      <c r="O64" s="560"/>
      <c r="P64" s="67"/>
      <c r="Q64" s="67"/>
      <c r="R64" s="67"/>
      <c r="S64" s="67"/>
      <c r="T64" s="560"/>
      <c r="U64" s="67"/>
      <c r="V64" s="67"/>
      <c r="W64" s="67"/>
      <c r="X64" s="67"/>
      <c r="Y64" s="560"/>
      <c r="Z64" s="67"/>
      <c r="AA64" s="67"/>
      <c r="AB64" s="67"/>
      <c r="AC64" s="67"/>
      <c r="AD64" s="560"/>
      <c r="AE64" s="67"/>
      <c r="AF64" s="67"/>
      <c r="AG64" s="67"/>
      <c r="AH64" s="67"/>
      <c r="AI64" s="560"/>
      <c r="AJ64" s="67"/>
      <c r="AK64" s="67"/>
      <c r="AL64" s="67"/>
      <c r="AM64" s="67"/>
      <c r="AN64" s="560"/>
      <c r="AO64" s="67"/>
      <c r="AP64" s="67"/>
      <c r="AQ64" s="67"/>
      <c r="AR64" s="67"/>
      <c r="AS64" s="560"/>
      <c r="AT64" s="67"/>
      <c r="AU64" s="67"/>
      <c r="AV64" s="67"/>
      <c r="AW64" s="67"/>
      <c r="AX64" s="560"/>
      <c r="AY64" s="67"/>
      <c r="AZ64" s="67"/>
      <c r="BA64" s="67"/>
      <c r="BB64" s="67"/>
      <c r="BC64" s="560"/>
      <c r="BD64" s="67"/>
      <c r="BE64" s="67"/>
      <c r="BF64" s="67"/>
      <c r="BG64" s="67"/>
      <c r="BH64" s="560"/>
      <c r="BI64" s="67"/>
      <c r="BJ64" s="67"/>
      <c r="BK64" s="67"/>
      <c r="BL64" s="67"/>
      <c r="BM64" s="560"/>
      <c r="BN64" s="67"/>
      <c r="BO64" s="67"/>
      <c r="BP64" s="67"/>
      <c r="BQ64" s="67"/>
      <c r="BR64" s="560"/>
      <c r="BS64" s="67"/>
      <c r="BT64" s="67"/>
      <c r="BU64" s="67"/>
      <c r="BV64" s="67"/>
      <c r="BW64" s="560"/>
      <c r="BX64" s="67"/>
      <c r="BY64" s="67"/>
      <c r="BZ64" s="67"/>
      <c r="CA64" s="67"/>
      <c r="CB64" s="560"/>
      <c r="CC64" s="67"/>
      <c r="CD64" s="67"/>
      <c r="CE64" s="67"/>
      <c r="CF64" s="67"/>
      <c r="CG64" s="560"/>
      <c r="CH64" s="67"/>
      <c r="CI64" s="67"/>
      <c r="CJ64" s="67"/>
      <c r="CK64" s="67"/>
      <c r="CL64" s="560"/>
      <c r="CM64" s="67"/>
      <c r="CN64" s="67"/>
      <c r="CO64" s="67"/>
      <c r="CP64" s="67"/>
      <c r="CQ64" s="560"/>
      <c r="CR64" s="67"/>
      <c r="CS64" s="67"/>
      <c r="CT64" s="67"/>
      <c r="CU64" s="67"/>
      <c r="CV64" s="560"/>
      <c r="CW64" s="67"/>
      <c r="CX64" s="67"/>
      <c r="CY64" s="67"/>
      <c r="CZ64" s="67"/>
      <c r="DA64" s="560"/>
      <c r="DB64" s="67"/>
      <c r="DC64" s="67"/>
      <c r="DD64" s="67"/>
      <c r="DE64" s="67"/>
      <c r="DF64" s="560"/>
      <c r="DG64" s="67"/>
      <c r="DH64" s="67"/>
      <c r="DI64" s="67"/>
      <c r="DJ64" s="67"/>
      <c r="DK64" s="560"/>
      <c r="DL64" s="67"/>
      <c r="DM64" s="67"/>
      <c r="DN64" s="67"/>
      <c r="DO64" s="67"/>
      <c r="DP64" s="560"/>
      <c r="DQ64" s="67"/>
      <c r="DR64" s="67"/>
      <c r="DS64" s="67"/>
      <c r="DT64" s="67"/>
      <c r="DU64" s="560"/>
      <c r="DV64" s="67"/>
      <c r="DW64" s="67"/>
      <c r="DX64" s="67"/>
      <c r="DY64" s="67"/>
      <c r="DZ64" s="560"/>
      <c r="EA64" s="67"/>
      <c r="EB64" s="67"/>
      <c r="EC64" s="67"/>
      <c r="ED64" s="67"/>
      <c r="EE64" s="560"/>
      <c r="EF64" s="67"/>
      <c r="EG64" s="67"/>
      <c r="EH64" s="67"/>
      <c r="EI64" s="67"/>
      <c r="EJ64" s="560"/>
      <c r="EK64" s="67"/>
      <c r="EL64" s="67"/>
      <c r="EM64" s="442"/>
      <c r="EN64" s="442"/>
      <c r="EO64" s="455"/>
      <c r="EP64" s="472"/>
      <c r="EQ64" s="472"/>
    </row>
    <row r="65" spans="1:147" s="472" customFormat="1" x14ac:dyDescent="0.2">
      <c r="A65" s="443"/>
      <c r="B65" s="443"/>
      <c r="D65" s="466" t="s">
        <v>429</v>
      </c>
      <c r="E65" s="468"/>
      <c r="F65" s="443"/>
      <c r="G65" s="58">
        <f>SUM(G66:G66)</f>
        <v>0</v>
      </c>
      <c r="H65" s="58"/>
      <c r="I65" s="58"/>
      <c r="J65" s="556"/>
      <c r="K65" s="58"/>
      <c r="L65" s="58">
        <f>SUM(L66:L66)</f>
        <v>487336</v>
      </c>
      <c r="M65" s="58"/>
      <c r="N65" s="58"/>
      <c r="O65" s="556"/>
      <c r="P65" s="58"/>
      <c r="Q65" s="58">
        <f>SUM(Q66:Q66)</f>
        <v>29682</v>
      </c>
      <c r="R65" s="58"/>
      <c r="S65" s="58"/>
      <c r="T65" s="556"/>
      <c r="U65" s="58"/>
      <c r="V65" s="58">
        <f>SUM(V66:V66)</f>
        <v>0</v>
      </c>
      <c r="W65" s="58"/>
      <c r="X65" s="58"/>
      <c r="Y65" s="556"/>
      <c r="Z65" s="58"/>
      <c r="AA65" s="58">
        <f>SUM(AA66:AA66)</f>
        <v>0</v>
      </c>
      <c r="AB65" s="58"/>
      <c r="AC65" s="58"/>
      <c r="AD65" s="556"/>
      <c r="AE65" s="58"/>
      <c r="AF65" s="58">
        <f>SUM(AF66:AF66)</f>
        <v>0</v>
      </c>
      <c r="AG65" s="58"/>
      <c r="AH65" s="58"/>
      <c r="AI65" s="556"/>
      <c r="AJ65" s="58"/>
      <c r="AK65" s="58">
        <f>SUM(AK66:AK66)</f>
        <v>0</v>
      </c>
      <c r="AL65" s="58"/>
      <c r="AM65" s="58"/>
      <c r="AN65" s="556"/>
      <c r="AO65" s="58"/>
      <c r="AP65" s="58">
        <f>SUM(AP66:AP66)</f>
        <v>0</v>
      </c>
      <c r="AQ65" s="58"/>
      <c r="AR65" s="58"/>
      <c r="AS65" s="556"/>
      <c r="AT65" s="58"/>
      <c r="AU65" s="58">
        <f>SUM(AU66:AU66)</f>
        <v>0</v>
      </c>
      <c r="AV65" s="58"/>
      <c r="AW65" s="58"/>
      <c r="AX65" s="556"/>
      <c r="AY65" s="58"/>
      <c r="AZ65" s="58">
        <f>SUM(AZ66:AZ66)</f>
        <v>0</v>
      </c>
      <c r="BA65" s="58"/>
      <c r="BB65" s="58"/>
      <c r="BC65" s="556"/>
      <c r="BD65" s="58"/>
      <c r="BE65" s="58">
        <f>SUM(BE66:BE66)</f>
        <v>0</v>
      </c>
      <c r="BF65" s="58"/>
      <c r="BG65" s="58"/>
      <c r="BH65" s="556"/>
      <c r="BI65" s="58"/>
      <c r="BJ65" s="58">
        <f>SUM(BJ66:BJ66)</f>
        <v>0</v>
      </c>
      <c r="BK65" s="58"/>
      <c r="BL65" s="58"/>
      <c r="BM65" s="556"/>
      <c r="BN65" s="58"/>
      <c r="BO65" s="58">
        <f>SUM(BO66:BO66)</f>
        <v>0</v>
      </c>
      <c r="BP65" s="58"/>
      <c r="BQ65" s="58"/>
      <c r="BR65" s="556"/>
      <c r="BS65" s="58"/>
      <c r="BT65" s="58">
        <f>SUM(BT66:BT66)</f>
        <v>517018</v>
      </c>
      <c r="BU65" s="58"/>
      <c r="BV65" s="58"/>
      <c r="BW65" s="556"/>
      <c r="BX65" s="58"/>
      <c r="BY65" s="58">
        <f>SUM(BY66:BY66)</f>
        <v>4361282</v>
      </c>
      <c r="BZ65" s="58"/>
      <c r="CA65" s="58"/>
      <c r="CB65" s="556"/>
      <c r="CC65" s="58"/>
      <c r="CD65" s="58">
        <f>SUM(CD66:CD66)</f>
        <v>3109689</v>
      </c>
      <c r="CE65" s="58"/>
      <c r="CF65" s="58"/>
      <c r="CG65" s="556"/>
      <c r="CH65" s="58"/>
      <c r="CI65" s="58">
        <f>SUM(CI66:CI66)</f>
        <v>0</v>
      </c>
      <c r="CJ65" s="58"/>
      <c r="CK65" s="58"/>
      <c r="CL65" s="556"/>
      <c r="CM65" s="58"/>
      <c r="CN65" s="58">
        <f>SUM(CN66:CN66)</f>
        <v>0</v>
      </c>
      <c r="CO65" s="58"/>
      <c r="CP65" s="58"/>
      <c r="CQ65" s="556"/>
      <c r="CR65" s="58"/>
      <c r="CS65" s="58">
        <f>SUM(CS66:CS66)</f>
        <v>0</v>
      </c>
      <c r="CT65" s="58"/>
      <c r="CU65" s="58"/>
      <c r="CV65" s="556"/>
      <c r="CW65" s="58"/>
      <c r="CX65" s="58">
        <f>SUM(CX66:CX66)</f>
        <v>289217</v>
      </c>
      <c r="CY65" s="58"/>
      <c r="CZ65" s="58"/>
      <c r="DA65" s="556"/>
      <c r="DB65" s="58"/>
      <c r="DC65" s="58">
        <f>SUM(DC66:DC66)</f>
        <v>235010</v>
      </c>
      <c r="DD65" s="58"/>
      <c r="DE65" s="58"/>
      <c r="DF65" s="556"/>
      <c r="DG65" s="58"/>
      <c r="DH65" s="58">
        <f>SUM(DH66:DH66)</f>
        <v>0</v>
      </c>
      <c r="DI65" s="58"/>
      <c r="DJ65" s="58"/>
      <c r="DK65" s="556"/>
      <c r="DL65" s="58"/>
      <c r="DM65" s="58">
        <f>SUM(DM66:DM66)</f>
        <v>64127</v>
      </c>
      <c r="DN65" s="58"/>
      <c r="DO65" s="58"/>
      <c r="DP65" s="556"/>
      <c r="DQ65" s="58"/>
      <c r="DR65" s="58">
        <f>SUM(DR66:DR66)</f>
        <v>0</v>
      </c>
      <c r="DS65" s="58"/>
      <c r="DT65" s="58"/>
      <c r="DU65" s="556"/>
      <c r="DV65" s="58"/>
      <c r="DW65" s="58">
        <f>SUM(DW66:DW66)</f>
        <v>0</v>
      </c>
      <c r="DX65" s="58"/>
      <c r="DY65" s="58"/>
      <c r="DZ65" s="556"/>
      <c r="EA65" s="58"/>
      <c r="EB65" s="58">
        <f>SUM(EB66:EB66)</f>
        <v>0</v>
      </c>
      <c r="EC65" s="58"/>
      <c r="ED65" s="58"/>
      <c r="EE65" s="556"/>
      <c r="EF65" s="58"/>
      <c r="EG65" s="58">
        <f>SUM(EG66:EG66)</f>
        <v>663239</v>
      </c>
      <c r="EH65" s="58"/>
      <c r="EI65" s="58"/>
      <c r="EJ65" s="556"/>
      <c r="EK65" s="58"/>
      <c r="EL65" s="58">
        <f>SUM(EL66:EL66)</f>
        <v>3109689</v>
      </c>
      <c r="EM65" s="443"/>
      <c r="EN65" s="443"/>
      <c r="EO65" s="466"/>
    </row>
    <row r="66" spans="1:147" x14ac:dyDescent="0.2">
      <c r="A66" s="442"/>
      <c r="B66" s="442"/>
      <c r="D66" s="455" t="s">
        <v>342</v>
      </c>
      <c r="E66" s="465"/>
      <c r="F66" s="563"/>
      <c r="G66" s="564">
        <f>G69+G75+G78+G81+G84+G87+G90+G93+G96+G102+G105+G108+G111+G99+G117+G120+G72+G114</f>
        <v>0</v>
      </c>
      <c r="H66" s="565"/>
      <c r="I66" s="67"/>
      <c r="J66" s="560"/>
      <c r="K66" s="566"/>
      <c r="L66" s="564">
        <f>L69+L75+L78+L81+L84+L87+L90+L93+L96+L102+L105+L108+L111+L99+L117+L120+L72+L114</f>
        <v>487336</v>
      </c>
      <c r="M66" s="565"/>
      <c r="N66" s="67"/>
      <c r="O66" s="560"/>
      <c r="P66" s="566"/>
      <c r="Q66" s="564">
        <f>Q69+Q75+Q78+Q81+Q84+Q87+Q90+Q93+Q96+Q102+Q105+Q108+Q111+Q99+Q117+Q120+Q72+Q114</f>
        <v>29682</v>
      </c>
      <c r="R66" s="565"/>
      <c r="S66" s="67"/>
      <c r="T66" s="560"/>
      <c r="U66" s="566"/>
      <c r="V66" s="564">
        <v>0</v>
      </c>
      <c r="W66" s="565"/>
      <c r="X66" s="67"/>
      <c r="Y66" s="560"/>
      <c r="Z66" s="566"/>
      <c r="AA66" s="564">
        <v>0</v>
      </c>
      <c r="AB66" s="565"/>
      <c r="AC66" s="67"/>
      <c r="AD66" s="560"/>
      <c r="AE66" s="566"/>
      <c r="AF66" s="564">
        <f>AF69+AF75+AF78+AF81+AF84+AF87+AF90+AF93+AF96+AF102+AF105+AF108+AF111+AF99+AF117+AF120+AF72+AF114</f>
        <v>0</v>
      </c>
      <c r="AG66" s="565"/>
      <c r="AH66" s="67"/>
      <c r="AI66" s="560"/>
      <c r="AJ66" s="566"/>
      <c r="AK66" s="564">
        <f>AK69+AK75+AK78+AK81+AK84+AK87+AK90+AK93+AK96+AK102+AK105+AK108+AK111+AK99+AK117+AK120+AK72+AK114</f>
        <v>0</v>
      </c>
      <c r="AL66" s="565"/>
      <c r="AM66" s="67"/>
      <c r="AN66" s="560"/>
      <c r="AO66" s="566"/>
      <c r="AP66" s="564">
        <f>AP69+AP75+AP78+AP81+AP84+AP87+AP90+AP93+AP96+AP102+AP105+AP108+AP111+AP99+AP117+AP120+AP72+AP114</f>
        <v>0</v>
      </c>
      <c r="AQ66" s="565"/>
      <c r="AR66" s="67"/>
      <c r="AS66" s="560"/>
      <c r="AT66" s="566"/>
      <c r="AU66" s="564">
        <f>AU69+AU75+AU78+AU81+AU84+AU87+AU90+AU93+AU96+AU102+AU105+AU108+AU111+AU99+AU117+AU120+AU72+AU114</f>
        <v>0</v>
      </c>
      <c r="AV66" s="565"/>
      <c r="AW66" s="67"/>
      <c r="AX66" s="560"/>
      <c r="AY66" s="566"/>
      <c r="AZ66" s="564">
        <v>0</v>
      </c>
      <c r="BA66" s="565"/>
      <c r="BB66" s="67"/>
      <c r="BC66" s="560"/>
      <c r="BD66" s="566"/>
      <c r="BE66" s="564">
        <v>0</v>
      </c>
      <c r="BF66" s="565"/>
      <c r="BG66" s="67"/>
      <c r="BH66" s="560"/>
      <c r="BI66" s="566"/>
      <c r="BJ66" s="564">
        <v>0</v>
      </c>
      <c r="BK66" s="565"/>
      <c r="BL66" s="67"/>
      <c r="BM66" s="560"/>
      <c r="BN66" s="566"/>
      <c r="BO66" s="564">
        <f>BO69+BO75+BO78+BO81+BO84+BO87+BO90+BO93+BO96+BO102+BO105+BO108+BO111+BO99+BO117+BO120+BO72+BO114</f>
        <v>0</v>
      </c>
      <c r="BP66" s="565"/>
      <c r="BQ66" s="67"/>
      <c r="BR66" s="560"/>
      <c r="BS66" s="566"/>
      <c r="BT66" s="564">
        <f>BT69+BT75+BT78+BT81+BT84+BT87+BT90+BT93+BT96+BT102+BT105+BT108+BT111+BT99+BT117+BT120+BT72+BT114</f>
        <v>517018</v>
      </c>
      <c r="BU66" s="565"/>
      <c r="BV66" s="67"/>
      <c r="BW66" s="560"/>
      <c r="BX66" s="566"/>
      <c r="BY66" s="564">
        <f>BY69+BY75+BY78+BY81+BY84+BY87+BY90+BY93+BY96+BY102+BY105+BY108+BY111+BY99+BY117+BY120+BY72+BY114</f>
        <v>4361282</v>
      </c>
      <c r="BZ66" s="565"/>
      <c r="CA66" s="67"/>
      <c r="CB66" s="560"/>
      <c r="CC66" s="566"/>
      <c r="CD66" s="564">
        <f>CD69+CD75+CD78+CD81+CD84+CD87+CD90+CD93+CD96+CD102+CD105+CD108+CD111+CD99+CD117+CD120+CD72+CD114</f>
        <v>3109689</v>
      </c>
      <c r="CE66" s="565"/>
      <c r="CF66" s="67"/>
      <c r="CG66" s="560"/>
      <c r="CH66" s="566"/>
      <c r="CI66" s="564">
        <v>0</v>
      </c>
      <c r="CJ66" s="565"/>
      <c r="CK66" s="67"/>
      <c r="CL66" s="560"/>
      <c r="CM66" s="566"/>
      <c r="CN66" s="564">
        <v>0</v>
      </c>
      <c r="CO66" s="565"/>
      <c r="CP66" s="67"/>
      <c r="CQ66" s="560"/>
      <c r="CR66" s="566"/>
      <c r="CS66" s="564">
        <v>0</v>
      </c>
      <c r="CT66" s="565"/>
      <c r="CU66" s="67"/>
      <c r="CV66" s="560"/>
      <c r="CW66" s="566"/>
      <c r="CX66" s="564">
        <f>CX69+CX75+CX78+CX81+CX84+CX87+CX90+CX93+CX96+CX102+CX105+CX108+CX111+CX99+CX117+CX120+CX72+CX114</f>
        <v>289217</v>
      </c>
      <c r="CY66" s="565"/>
      <c r="CZ66" s="67"/>
      <c r="DA66" s="560"/>
      <c r="DB66" s="566"/>
      <c r="DC66" s="564">
        <f>DC69+DC75+DC78+DC81+DC84+DC87+DC90+DC93+DC96+DC102+DC105+DC108+DC111+DC99+DC117+DC120+DC72+DC114</f>
        <v>235010</v>
      </c>
      <c r="DD66" s="565"/>
      <c r="DE66" s="67"/>
      <c r="DF66" s="560"/>
      <c r="DG66" s="566"/>
      <c r="DH66" s="564">
        <f>DH69+DH75+DH78+DH81+DH84+DH87+DH90+DH93+DH96+DH102+DH105+DH108+DH111+DH99+DH117+DH120+DH72+DH114</f>
        <v>0</v>
      </c>
      <c r="DI66" s="565"/>
      <c r="DJ66" s="67"/>
      <c r="DK66" s="560"/>
      <c r="DL66" s="566"/>
      <c r="DM66" s="564">
        <f>DM69+DM75+DM78+DM81+DM84+DM87+DM90+DM93+DM96+DM102+DM105+DM108+DM111+DM99+DM117+DM120+DM72+DM114</f>
        <v>64127</v>
      </c>
      <c r="DN66" s="565"/>
      <c r="DO66" s="67"/>
      <c r="DP66" s="560"/>
      <c r="DQ66" s="566"/>
      <c r="DR66" s="564">
        <v>0</v>
      </c>
      <c r="DS66" s="565"/>
      <c r="DT66" s="67"/>
      <c r="DU66" s="560"/>
      <c r="DV66" s="566"/>
      <c r="DW66" s="564">
        <v>0</v>
      </c>
      <c r="DX66" s="565"/>
      <c r="DY66" s="67"/>
      <c r="DZ66" s="560"/>
      <c r="EA66" s="566"/>
      <c r="EB66" s="564">
        <v>0</v>
      </c>
      <c r="EC66" s="565"/>
      <c r="ED66" s="67"/>
      <c r="EE66" s="560"/>
      <c r="EF66" s="566"/>
      <c r="EG66" s="564">
        <f>EG69+EG75+EG78+EG81+EG84+EG87+EG90+EG93+EG96+EG102+EG105+EG108+EG111+EG99+EG117+EG120+EG72+EG114</f>
        <v>663239</v>
      </c>
      <c r="EH66" s="565"/>
      <c r="EI66" s="67"/>
      <c r="EJ66" s="560"/>
      <c r="EK66" s="566"/>
      <c r="EL66" s="564">
        <f>EL69+EL75+EL78+EL81+EL84+EL87+EL90+EL93+EL96+EL102+EL105+EL108+EL111+EL99+EL117+EL120+EL72+EL114</f>
        <v>3109689</v>
      </c>
      <c r="EM66" s="596"/>
      <c r="EN66" s="442"/>
      <c r="EO66" s="455"/>
      <c r="EP66" s="472"/>
      <c r="EQ66" s="472"/>
    </row>
    <row r="67" spans="1:147" x14ac:dyDescent="0.2">
      <c r="A67" s="442"/>
      <c r="B67" s="442"/>
      <c r="D67" s="455"/>
      <c r="E67" s="465"/>
      <c r="F67" s="442"/>
      <c r="G67" s="67"/>
      <c r="H67" s="67"/>
      <c r="I67" s="67"/>
      <c r="J67" s="560"/>
      <c r="K67" s="67"/>
      <c r="L67" s="67"/>
      <c r="M67" s="67"/>
      <c r="N67" s="67"/>
      <c r="O67" s="560"/>
      <c r="P67" s="67"/>
      <c r="Q67" s="67"/>
      <c r="R67" s="67"/>
      <c r="S67" s="67"/>
      <c r="T67" s="560"/>
      <c r="U67" s="67"/>
      <c r="V67" s="67"/>
      <c r="W67" s="67"/>
      <c r="X67" s="67"/>
      <c r="Y67" s="560"/>
      <c r="Z67" s="67"/>
      <c r="AA67" s="67"/>
      <c r="AB67" s="67"/>
      <c r="AC67" s="67"/>
      <c r="AD67" s="560"/>
      <c r="AE67" s="67"/>
      <c r="AF67" s="67"/>
      <c r="AG67" s="67"/>
      <c r="AH67" s="67"/>
      <c r="AI67" s="560"/>
      <c r="AJ67" s="67"/>
      <c r="AK67" s="67"/>
      <c r="AL67" s="67"/>
      <c r="AM67" s="67"/>
      <c r="AN67" s="560"/>
      <c r="AO67" s="67"/>
      <c r="AP67" s="67"/>
      <c r="AQ67" s="67"/>
      <c r="AR67" s="67"/>
      <c r="AS67" s="560"/>
      <c r="AT67" s="67"/>
      <c r="AU67" s="67"/>
      <c r="AV67" s="67"/>
      <c r="AW67" s="67"/>
      <c r="AX67" s="560"/>
      <c r="AY67" s="67"/>
      <c r="AZ67" s="67"/>
      <c r="BA67" s="67"/>
      <c r="BB67" s="67"/>
      <c r="BC67" s="560"/>
      <c r="BD67" s="67"/>
      <c r="BE67" s="67"/>
      <c r="BF67" s="67"/>
      <c r="BG67" s="67"/>
      <c r="BH67" s="560"/>
      <c r="BI67" s="67"/>
      <c r="BJ67" s="67"/>
      <c r="BK67" s="67"/>
      <c r="BL67" s="67"/>
      <c r="BM67" s="560"/>
      <c r="BN67" s="67"/>
      <c r="BO67" s="67"/>
      <c r="BP67" s="67"/>
      <c r="BQ67" s="67"/>
      <c r="BR67" s="560"/>
      <c r="BS67" s="67"/>
      <c r="BT67" s="67"/>
      <c r="BU67" s="67"/>
      <c r="BV67" s="67"/>
      <c r="BW67" s="560"/>
      <c r="BX67" s="67"/>
      <c r="BY67" s="67"/>
      <c r="BZ67" s="67"/>
      <c r="CA67" s="67"/>
      <c r="CB67" s="560"/>
      <c r="CC67" s="67"/>
      <c r="CD67" s="67"/>
      <c r="CE67" s="67"/>
      <c r="CF67" s="67"/>
      <c r="CG67" s="560"/>
      <c r="CH67" s="67"/>
      <c r="CI67" s="67"/>
      <c r="CJ67" s="67"/>
      <c r="CK67" s="67"/>
      <c r="CL67" s="560"/>
      <c r="CM67" s="67"/>
      <c r="CN67" s="67"/>
      <c r="CO67" s="67"/>
      <c r="CP67" s="67"/>
      <c r="CQ67" s="560"/>
      <c r="CR67" s="67"/>
      <c r="CS67" s="67"/>
      <c r="CT67" s="67"/>
      <c r="CU67" s="67"/>
      <c r="CV67" s="560"/>
      <c r="CW67" s="67"/>
      <c r="CX67" s="67"/>
      <c r="CY67" s="67"/>
      <c r="CZ67" s="67"/>
      <c r="DA67" s="560"/>
      <c r="DB67" s="67"/>
      <c r="DC67" s="67"/>
      <c r="DD67" s="67"/>
      <c r="DE67" s="67"/>
      <c r="DF67" s="560"/>
      <c r="DG67" s="67"/>
      <c r="DH67" s="67"/>
      <c r="DI67" s="67"/>
      <c r="DJ67" s="67"/>
      <c r="DK67" s="560"/>
      <c r="DL67" s="67"/>
      <c r="DM67" s="67"/>
      <c r="DN67" s="67"/>
      <c r="DO67" s="67"/>
      <c r="DP67" s="560"/>
      <c r="DQ67" s="67"/>
      <c r="DR67" s="67"/>
      <c r="DS67" s="67"/>
      <c r="DT67" s="67"/>
      <c r="DU67" s="560"/>
      <c r="DV67" s="67"/>
      <c r="DW67" s="67"/>
      <c r="DX67" s="67"/>
      <c r="DY67" s="67"/>
      <c r="DZ67" s="560"/>
      <c r="EA67" s="67"/>
      <c r="EB67" s="67"/>
      <c r="EC67" s="67"/>
      <c r="ED67" s="67"/>
      <c r="EE67" s="560"/>
      <c r="EF67" s="67"/>
      <c r="EG67" s="67"/>
      <c r="EH67" s="67"/>
      <c r="EI67" s="67"/>
      <c r="EJ67" s="560"/>
      <c r="EK67" s="67"/>
      <c r="EL67" s="67"/>
      <c r="EM67" s="442"/>
      <c r="EN67" s="442"/>
      <c r="EO67" s="455"/>
      <c r="EP67" s="472"/>
      <c r="EQ67" s="472"/>
    </row>
    <row r="68" spans="1:147" hidden="1" x14ac:dyDescent="0.2">
      <c r="A68" s="442"/>
      <c r="B68" s="442"/>
      <c r="D68" s="455" t="s">
        <v>368</v>
      </c>
      <c r="E68" s="465"/>
      <c r="F68" s="442"/>
      <c r="G68" s="67">
        <v>0</v>
      </c>
      <c r="H68" s="67"/>
      <c r="I68" s="67"/>
      <c r="J68" s="560"/>
      <c r="K68" s="67"/>
      <c r="L68" s="67">
        <f>SUM(L69:L69)</f>
        <v>0</v>
      </c>
      <c r="M68" s="67"/>
      <c r="N68" s="67"/>
      <c r="O68" s="560"/>
      <c r="P68" s="67"/>
      <c r="Q68" s="67">
        <f>SUM(Q69:Q69)</f>
        <v>0</v>
      </c>
      <c r="R68" s="67"/>
      <c r="S68" s="67"/>
      <c r="T68" s="560"/>
      <c r="U68" s="67"/>
      <c r="V68" s="67">
        <f>SUM(V69:V69)</f>
        <v>0</v>
      </c>
      <c r="W68" s="67"/>
      <c r="X68" s="67"/>
      <c r="Y68" s="560"/>
      <c r="Z68" s="67"/>
      <c r="AA68" s="67">
        <f>SUM(AA69:AA69)</f>
        <v>0</v>
      </c>
      <c r="AB68" s="67"/>
      <c r="AC68" s="67"/>
      <c r="AD68" s="560"/>
      <c r="AE68" s="67"/>
      <c r="AF68" s="67">
        <f>SUM(AF69:AF69)</f>
        <v>0</v>
      </c>
      <c r="AG68" s="67"/>
      <c r="AH68" s="67"/>
      <c r="AI68" s="560"/>
      <c r="AJ68" s="67"/>
      <c r="AK68" s="67">
        <f>SUM(AK69:AK69)</f>
        <v>0</v>
      </c>
      <c r="AL68" s="67"/>
      <c r="AM68" s="67"/>
      <c r="AN68" s="560"/>
      <c r="AO68" s="67"/>
      <c r="AP68" s="67">
        <f>SUM(AP69:AP69)</f>
        <v>0</v>
      </c>
      <c r="AQ68" s="67"/>
      <c r="AR68" s="67"/>
      <c r="AS68" s="560"/>
      <c r="AT68" s="67"/>
      <c r="AU68" s="67">
        <f>SUM(AU69:AU69)</f>
        <v>0</v>
      </c>
      <c r="AV68" s="67"/>
      <c r="AW68" s="67"/>
      <c r="AX68" s="560"/>
      <c r="AY68" s="67"/>
      <c r="AZ68" s="67">
        <f>SUM(AZ69:AZ69)</f>
        <v>0</v>
      </c>
      <c r="BA68" s="67"/>
      <c r="BB68" s="67"/>
      <c r="BC68" s="560"/>
      <c r="BD68" s="67"/>
      <c r="BE68" s="67">
        <f>SUM(BE69:BE69)</f>
        <v>0</v>
      </c>
      <c r="BF68" s="67"/>
      <c r="BG68" s="67"/>
      <c r="BH68" s="560"/>
      <c r="BI68" s="67"/>
      <c r="BJ68" s="67">
        <f>SUM(BJ69:BJ69)</f>
        <v>0</v>
      </c>
      <c r="BK68" s="67"/>
      <c r="BL68" s="67"/>
      <c r="BM68" s="560"/>
      <c r="BN68" s="67"/>
      <c r="BO68" s="67">
        <f>SUM(BO69:BO69)</f>
        <v>0</v>
      </c>
      <c r="BP68" s="67"/>
      <c r="BQ68" s="67"/>
      <c r="BR68" s="560"/>
      <c r="BS68" s="67"/>
      <c r="BT68" s="67">
        <f>SUM(BT69:BT69)</f>
        <v>0</v>
      </c>
      <c r="BU68" s="67"/>
      <c r="BV68" s="67"/>
      <c r="BW68" s="560"/>
      <c r="BX68" s="67"/>
      <c r="BY68" s="67">
        <f>SUM(BY69:BY69)</f>
        <v>0</v>
      </c>
      <c r="BZ68" s="67"/>
      <c r="CA68" s="67"/>
      <c r="CB68" s="560"/>
      <c r="CC68" s="67"/>
      <c r="CD68" s="67">
        <f>SUM(CD69:CD69)</f>
        <v>0</v>
      </c>
      <c r="CE68" s="67"/>
      <c r="CF68" s="67"/>
      <c r="CG68" s="560"/>
      <c r="CH68" s="67"/>
      <c r="CI68" s="67">
        <f>SUM(CI69:CI69)</f>
        <v>0</v>
      </c>
      <c r="CJ68" s="67"/>
      <c r="CK68" s="67"/>
      <c r="CL68" s="560"/>
      <c r="CM68" s="67"/>
      <c r="CN68" s="67">
        <f>SUM(CN69:CN69)</f>
        <v>0</v>
      </c>
      <c r="CO68" s="67"/>
      <c r="CP68" s="67"/>
      <c r="CQ68" s="560"/>
      <c r="CR68" s="67"/>
      <c r="CS68" s="67">
        <f>SUM(CS69:CS69)</f>
        <v>0</v>
      </c>
      <c r="CT68" s="67"/>
      <c r="CU68" s="67"/>
      <c r="CV68" s="560"/>
      <c r="CW68" s="67"/>
      <c r="CX68" s="67">
        <f>SUM(CX69:CX69)</f>
        <v>0</v>
      </c>
      <c r="CY68" s="67"/>
      <c r="CZ68" s="67"/>
      <c r="DA68" s="560"/>
      <c r="DB68" s="67"/>
      <c r="DC68" s="67">
        <f>SUM(DC69:DC69)</f>
        <v>0</v>
      </c>
      <c r="DD68" s="67"/>
      <c r="DE68" s="67"/>
      <c r="DF68" s="560"/>
      <c r="DG68" s="67"/>
      <c r="DH68" s="67">
        <f>SUM(DH69:DH69)</f>
        <v>0</v>
      </c>
      <c r="DI68" s="67"/>
      <c r="DJ68" s="67"/>
      <c r="DK68" s="560"/>
      <c r="DL68" s="67"/>
      <c r="DM68" s="67">
        <f>SUM(DM69:DM69)</f>
        <v>0</v>
      </c>
      <c r="DN68" s="67"/>
      <c r="DO68" s="67"/>
      <c r="DP68" s="560"/>
      <c r="DQ68" s="67"/>
      <c r="DR68" s="67">
        <f>SUM(DR69:DR69)</f>
        <v>0</v>
      </c>
      <c r="DS68" s="67"/>
      <c r="DT68" s="67"/>
      <c r="DU68" s="560"/>
      <c r="DV68" s="67"/>
      <c r="DW68" s="67">
        <f>SUM(DW69:DW69)</f>
        <v>0</v>
      </c>
      <c r="DX68" s="67"/>
      <c r="DY68" s="67"/>
      <c r="DZ68" s="560"/>
      <c r="EA68" s="67"/>
      <c r="EB68" s="67">
        <f>SUM(EB69:EB69)</f>
        <v>0</v>
      </c>
      <c r="EC68" s="67"/>
      <c r="ED68" s="67"/>
      <c r="EE68" s="560"/>
      <c r="EF68" s="67"/>
      <c r="EG68" s="67">
        <f>SUM(EG69:EG69)</f>
        <v>0</v>
      </c>
      <c r="EH68" s="67"/>
      <c r="EI68" s="67"/>
      <c r="EJ68" s="560"/>
      <c r="EK68" s="67"/>
      <c r="EL68" s="67">
        <f>SUM(EL69:EL69)</f>
        <v>0</v>
      </c>
      <c r="EM68" s="442"/>
      <c r="EN68" s="442"/>
      <c r="EO68" s="455"/>
      <c r="EP68" s="472"/>
      <c r="EQ68" s="472"/>
    </row>
    <row r="69" spans="1:147" hidden="1" x14ac:dyDescent="0.2">
      <c r="A69" s="442"/>
      <c r="B69" s="442"/>
      <c r="D69" s="455" t="s">
        <v>342</v>
      </c>
      <c r="E69" s="465"/>
      <c r="F69" s="563"/>
      <c r="G69" s="564">
        <v>0</v>
      </c>
      <c r="H69" s="565"/>
      <c r="I69" s="67"/>
      <c r="J69" s="560"/>
      <c r="K69" s="566"/>
      <c r="L69" s="564">
        <v>0</v>
      </c>
      <c r="M69" s="565"/>
      <c r="N69" s="67"/>
      <c r="O69" s="560"/>
      <c r="P69" s="566"/>
      <c r="Q69" s="564">
        <v>0</v>
      </c>
      <c r="R69" s="565"/>
      <c r="S69" s="67"/>
      <c r="T69" s="560"/>
      <c r="U69" s="566"/>
      <c r="V69" s="564">
        <v>0</v>
      </c>
      <c r="W69" s="565"/>
      <c r="X69" s="67"/>
      <c r="Y69" s="560"/>
      <c r="Z69" s="566"/>
      <c r="AA69" s="564">
        <v>0</v>
      </c>
      <c r="AB69" s="565"/>
      <c r="AC69" s="67"/>
      <c r="AD69" s="560"/>
      <c r="AE69" s="566"/>
      <c r="AF69" s="564">
        <v>0</v>
      </c>
      <c r="AG69" s="565"/>
      <c r="AH69" s="67"/>
      <c r="AI69" s="560"/>
      <c r="AJ69" s="566"/>
      <c r="AK69" s="564">
        <v>0</v>
      </c>
      <c r="AL69" s="565"/>
      <c r="AM69" s="67"/>
      <c r="AN69" s="560"/>
      <c r="AO69" s="566"/>
      <c r="AP69" s="564">
        <v>0</v>
      </c>
      <c r="AQ69" s="565"/>
      <c r="AR69" s="67"/>
      <c r="AS69" s="560"/>
      <c r="AT69" s="566"/>
      <c r="AU69" s="564">
        <v>0</v>
      </c>
      <c r="AV69" s="565"/>
      <c r="AW69" s="67"/>
      <c r="AX69" s="560"/>
      <c r="AY69" s="566"/>
      <c r="AZ69" s="564">
        <v>0</v>
      </c>
      <c r="BA69" s="565"/>
      <c r="BB69" s="67"/>
      <c r="BC69" s="560"/>
      <c r="BD69" s="566"/>
      <c r="BE69" s="564">
        <v>0</v>
      </c>
      <c r="BF69" s="565"/>
      <c r="BG69" s="67"/>
      <c r="BH69" s="560"/>
      <c r="BI69" s="566"/>
      <c r="BJ69" s="564">
        <v>0</v>
      </c>
      <c r="BK69" s="565"/>
      <c r="BL69" s="67"/>
      <c r="BM69" s="560"/>
      <c r="BN69" s="566"/>
      <c r="BO69" s="564">
        <v>0</v>
      </c>
      <c r="BP69" s="565"/>
      <c r="BQ69" s="67"/>
      <c r="BR69" s="560"/>
      <c r="BS69" s="566"/>
      <c r="BT69" s="564">
        <f>SUM(L69:BO69)</f>
        <v>0</v>
      </c>
      <c r="BU69" s="565"/>
      <c r="BV69" s="67"/>
      <c r="BW69" s="560"/>
      <c r="BX69" s="566"/>
      <c r="BY69" s="564">
        <v>0</v>
      </c>
      <c r="BZ69" s="565"/>
      <c r="CA69" s="67"/>
      <c r="CB69" s="560"/>
      <c r="CC69" s="566"/>
      <c r="CD69" s="564">
        <v>0</v>
      </c>
      <c r="CE69" s="565"/>
      <c r="CF69" s="67"/>
      <c r="CG69" s="560"/>
      <c r="CH69" s="566"/>
      <c r="CI69" s="564">
        <v>0</v>
      </c>
      <c r="CJ69" s="565"/>
      <c r="CK69" s="67"/>
      <c r="CL69" s="560"/>
      <c r="CM69" s="566"/>
      <c r="CN69" s="564">
        <v>0</v>
      </c>
      <c r="CO69" s="565"/>
      <c r="CP69" s="67"/>
      <c r="CQ69" s="560"/>
      <c r="CR69" s="566"/>
      <c r="CS69" s="564">
        <v>0</v>
      </c>
      <c r="CT69" s="565"/>
      <c r="CU69" s="67"/>
      <c r="CV69" s="560"/>
      <c r="CW69" s="566"/>
      <c r="CX69" s="564">
        <v>0</v>
      </c>
      <c r="CY69" s="565"/>
      <c r="CZ69" s="67"/>
      <c r="DA69" s="560"/>
      <c r="DB69" s="566"/>
      <c r="DC69" s="564">
        <v>0</v>
      </c>
      <c r="DD69" s="565"/>
      <c r="DE69" s="67"/>
      <c r="DF69" s="560"/>
      <c r="DG69" s="566"/>
      <c r="DH69" s="564">
        <v>0</v>
      </c>
      <c r="DI69" s="565"/>
      <c r="DJ69" s="67"/>
      <c r="DK69" s="560"/>
      <c r="DL69" s="566"/>
      <c r="DM69" s="564">
        <v>0</v>
      </c>
      <c r="DN69" s="565"/>
      <c r="DO69" s="67"/>
      <c r="DP69" s="560"/>
      <c r="DQ69" s="566"/>
      <c r="DR69" s="564">
        <v>0</v>
      </c>
      <c r="DS69" s="565"/>
      <c r="DT69" s="67"/>
      <c r="DU69" s="560"/>
      <c r="DV69" s="566"/>
      <c r="DW69" s="564">
        <v>0</v>
      </c>
      <c r="DX69" s="565"/>
      <c r="DY69" s="67"/>
      <c r="DZ69" s="560"/>
      <c r="EA69" s="566"/>
      <c r="EB69" s="564">
        <v>0</v>
      </c>
      <c r="EC69" s="565"/>
      <c r="ED69" s="67"/>
      <c r="EE69" s="560"/>
      <c r="EF69" s="566"/>
      <c r="EG69" s="564">
        <v>0</v>
      </c>
      <c r="EH69" s="565"/>
      <c r="EI69" s="67"/>
      <c r="EJ69" s="560"/>
      <c r="EK69" s="566"/>
      <c r="EL69" s="564">
        <f>SUM(CD69:EG69)</f>
        <v>0</v>
      </c>
      <c r="EM69" s="596"/>
      <c r="EN69" s="442"/>
      <c r="EO69" s="455"/>
      <c r="EP69" s="472"/>
      <c r="EQ69" s="472"/>
    </row>
    <row r="70" spans="1:147" hidden="1" x14ac:dyDescent="0.2">
      <c r="A70" s="442"/>
      <c r="B70" s="442"/>
      <c r="D70" s="455"/>
      <c r="E70" s="465"/>
      <c r="F70" s="442"/>
      <c r="G70" s="597"/>
      <c r="H70" s="597"/>
      <c r="I70" s="597"/>
      <c r="J70" s="598"/>
      <c r="K70" s="597"/>
      <c r="L70" s="597"/>
      <c r="M70" s="597"/>
      <c r="N70" s="597"/>
      <c r="O70" s="598"/>
      <c r="P70" s="597"/>
      <c r="Q70" s="597"/>
      <c r="R70" s="597"/>
      <c r="S70" s="597"/>
      <c r="T70" s="598"/>
      <c r="U70" s="597"/>
      <c r="V70" s="597"/>
      <c r="W70" s="597"/>
      <c r="X70" s="597"/>
      <c r="Y70" s="598"/>
      <c r="Z70" s="597"/>
      <c r="AA70" s="597"/>
      <c r="AB70" s="597"/>
      <c r="AC70" s="597"/>
      <c r="AD70" s="598"/>
      <c r="AE70" s="597"/>
      <c r="AF70" s="597"/>
      <c r="AG70" s="597"/>
      <c r="AH70" s="597"/>
      <c r="AI70" s="598"/>
      <c r="AJ70" s="597"/>
      <c r="AK70" s="597"/>
      <c r="AL70" s="597"/>
      <c r="AM70" s="597"/>
      <c r="AN70" s="598"/>
      <c r="AO70" s="597"/>
      <c r="AP70" s="597"/>
      <c r="AQ70" s="597"/>
      <c r="AR70" s="597"/>
      <c r="AS70" s="598"/>
      <c r="AT70" s="597"/>
      <c r="AU70" s="597"/>
      <c r="AV70" s="597"/>
      <c r="AW70" s="597"/>
      <c r="AX70" s="598"/>
      <c r="AY70" s="597"/>
      <c r="AZ70" s="597"/>
      <c r="BA70" s="597"/>
      <c r="BB70" s="597"/>
      <c r="BC70" s="598"/>
      <c r="BD70" s="597"/>
      <c r="BE70" s="597"/>
      <c r="BF70" s="597"/>
      <c r="BG70" s="597"/>
      <c r="BH70" s="598"/>
      <c r="BI70" s="597"/>
      <c r="BJ70" s="597"/>
      <c r="BK70" s="597"/>
      <c r="BL70" s="597"/>
      <c r="BM70" s="598"/>
      <c r="BN70" s="597"/>
      <c r="BO70" s="597"/>
      <c r="BP70" s="597"/>
      <c r="BQ70" s="597"/>
      <c r="BR70" s="598"/>
      <c r="BS70" s="597"/>
      <c r="BT70" s="67"/>
      <c r="BU70" s="67"/>
      <c r="BV70" s="67"/>
      <c r="BW70" s="560"/>
      <c r="BX70" s="67"/>
      <c r="BY70" s="67"/>
      <c r="BZ70" s="597"/>
      <c r="CA70" s="597"/>
      <c r="CB70" s="598"/>
      <c r="CC70" s="597"/>
      <c r="CD70" s="597"/>
      <c r="CE70" s="597"/>
      <c r="CF70" s="597"/>
      <c r="CG70" s="598"/>
      <c r="CH70" s="597"/>
      <c r="CI70" s="597"/>
      <c r="CJ70" s="597"/>
      <c r="CK70" s="597"/>
      <c r="CL70" s="598"/>
      <c r="CM70" s="597"/>
      <c r="CN70" s="597"/>
      <c r="CO70" s="597"/>
      <c r="CP70" s="597"/>
      <c r="CQ70" s="598"/>
      <c r="CR70" s="597"/>
      <c r="CS70" s="597"/>
      <c r="CT70" s="597"/>
      <c r="CU70" s="597"/>
      <c r="CV70" s="598"/>
      <c r="CW70" s="597"/>
      <c r="CX70" s="597"/>
      <c r="CY70" s="597"/>
      <c r="CZ70" s="597"/>
      <c r="DA70" s="598"/>
      <c r="DB70" s="597"/>
      <c r="DC70" s="597"/>
      <c r="DD70" s="597"/>
      <c r="DE70" s="597"/>
      <c r="DF70" s="598"/>
      <c r="DG70" s="597"/>
      <c r="DH70" s="597"/>
      <c r="DI70" s="597"/>
      <c r="DJ70" s="597"/>
      <c r="DK70" s="598"/>
      <c r="DL70" s="597"/>
      <c r="DM70" s="597"/>
      <c r="DN70" s="597"/>
      <c r="DO70" s="597"/>
      <c r="DP70" s="598"/>
      <c r="DQ70" s="597"/>
      <c r="DR70" s="597"/>
      <c r="DS70" s="597"/>
      <c r="DT70" s="597"/>
      <c r="DU70" s="598"/>
      <c r="DV70" s="597"/>
      <c r="DW70" s="597"/>
      <c r="DX70" s="597"/>
      <c r="DY70" s="597"/>
      <c r="DZ70" s="598"/>
      <c r="EA70" s="597"/>
      <c r="EB70" s="597"/>
      <c r="EC70" s="597"/>
      <c r="ED70" s="597"/>
      <c r="EE70" s="598"/>
      <c r="EF70" s="597"/>
      <c r="EG70" s="597"/>
      <c r="EH70" s="597"/>
      <c r="EI70" s="597"/>
      <c r="EJ70" s="598"/>
      <c r="EK70" s="597"/>
      <c r="EL70" s="67"/>
      <c r="EM70" s="442"/>
      <c r="EN70" s="442"/>
      <c r="EO70" s="455"/>
      <c r="EP70" s="472"/>
      <c r="EQ70" s="472"/>
    </row>
    <row r="71" spans="1:147" x14ac:dyDescent="0.2">
      <c r="A71" s="442"/>
      <c r="B71" s="442"/>
      <c r="D71" s="455" t="s">
        <v>369</v>
      </c>
      <c r="E71" s="465"/>
      <c r="F71" s="442"/>
      <c r="G71" s="67">
        <v>0</v>
      </c>
      <c r="H71" s="67"/>
      <c r="I71" s="67"/>
      <c r="J71" s="560"/>
      <c r="K71" s="67"/>
      <c r="L71" s="67">
        <f>SUM(L72:L72)</f>
        <v>487336</v>
      </c>
      <c r="M71" s="67"/>
      <c r="N71" s="67"/>
      <c r="O71" s="560"/>
      <c r="P71" s="67"/>
      <c r="Q71" s="67">
        <f>SUM(Q72:Q72)</f>
        <v>0</v>
      </c>
      <c r="R71" s="67"/>
      <c r="S71" s="67"/>
      <c r="T71" s="560"/>
      <c r="U71" s="67"/>
      <c r="V71" s="67">
        <f>SUM(V72:V72)</f>
        <v>0</v>
      </c>
      <c r="W71" s="67"/>
      <c r="X71" s="67"/>
      <c r="Y71" s="560"/>
      <c r="Z71" s="67"/>
      <c r="AA71" s="67">
        <f>SUM(AA72:AA72)</f>
        <v>0</v>
      </c>
      <c r="AB71" s="67"/>
      <c r="AC71" s="67"/>
      <c r="AD71" s="560"/>
      <c r="AE71" s="67"/>
      <c r="AF71" s="67">
        <f>SUM(AF72:AF72)</f>
        <v>0</v>
      </c>
      <c r="AG71" s="67"/>
      <c r="AH71" s="67"/>
      <c r="AI71" s="560"/>
      <c r="AJ71" s="67"/>
      <c r="AK71" s="67">
        <f>SUM(AK72:AK72)</f>
        <v>0</v>
      </c>
      <c r="AL71" s="67"/>
      <c r="AM71" s="67"/>
      <c r="AN71" s="560"/>
      <c r="AO71" s="67"/>
      <c r="AP71" s="67">
        <f>SUM(AP72:AP72)</f>
        <v>0</v>
      </c>
      <c r="AQ71" s="67"/>
      <c r="AR71" s="67"/>
      <c r="AS71" s="560"/>
      <c r="AT71" s="67"/>
      <c r="AU71" s="67">
        <f>SUM(AU72:AU72)</f>
        <v>0</v>
      </c>
      <c r="AV71" s="67"/>
      <c r="AW71" s="67"/>
      <c r="AX71" s="560"/>
      <c r="AY71" s="67"/>
      <c r="AZ71" s="67">
        <f>SUM(AZ72:AZ72)</f>
        <v>0</v>
      </c>
      <c r="BA71" s="67"/>
      <c r="BB71" s="67"/>
      <c r="BC71" s="560"/>
      <c r="BD71" s="67"/>
      <c r="BE71" s="67">
        <f>SUM(BE72:BE72)</f>
        <v>0</v>
      </c>
      <c r="BF71" s="67"/>
      <c r="BG71" s="67"/>
      <c r="BH71" s="560"/>
      <c r="BI71" s="67"/>
      <c r="BJ71" s="67">
        <f>SUM(BJ72:BJ72)</f>
        <v>0</v>
      </c>
      <c r="BK71" s="67"/>
      <c r="BL71" s="67"/>
      <c r="BM71" s="560"/>
      <c r="BN71" s="67"/>
      <c r="BO71" s="67">
        <f>SUM(BO72:BO72)</f>
        <v>0</v>
      </c>
      <c r="BP71" s="67"/>
      <c r="BQ71" s="67"/>
      <c r="BR71" s="560"/>
      <c r="BS71" s="67"/>
      <c r="BT71" s="67">
        <f>SUM(BT72:BT72)</f>
        <v>487336</v>
      </c>
      <c r="BU71" s="67"/>
      <c r="BV71" s="67"/>
      <c r="BW71" s="560"/>
      <c r="BX71" s="67"/>
      <c r="BY71" s="67">
        <f>SUM(BY72:BY72)</f>
        <v>89569</v>
      </c>
      <c r="BZ71" s="67"/>
      <c r="CA71" s="67"/>
      <c r="CB71" s="560"/>
      <c r="CC71" s="67"/>
      <c r="CD71" s="67">
        <f>SUM(CD72:CD72)</f>
        <v>0</v>
      </c>
      <c r="CE71" s="67"/>
      <c r="CF71" s="67"/>
      <c r="CG71" s="560"/>
      <c r="CH71" s="67"/>
      <c r="CI71" s="67">
        <f>SUM(CI72:CI72)</f>
        <v>0</v>
      </c>
      <c r="CJ71" s="67"/>
      <c r="CK71" s="67"/>
      <c r="CL71" s="560"/>
      <c r="CM71" s="67"/>
      <c r="CN71" s="67">
        <f>SUM(CN72:CN72)</f>
        <v>0</v>
      </c>
      <c r="CO71" s="67"/>
      <c r="CP71" s="67"/>
      <c r="CQ71" s="560"/>
      <c r="CR71" s="67"/>
      <c r="CS71" s="67">
        <f>SUM(CS72:CS72)</f>
        <v>0</v>
      </c>
      <c r="CT71" s="67"/>
      <c r="CU71" s="67"/>
      <c r="CV71" s="560"/>
      <c r="CW71" s="67"/>
      <c r="CX71" s="67">
        <f>SUM(CX72:CX72)</f>
        <v>0</v>
      </c>
      <c r="CY71" s="67"/>
      <c r="CZ71" s="67"/>
      <c r="DA71" s="560"/>
      <c r="DB71" s="67"/>
      <c r="DC71" s="67">
        <f>SUM(DC72:DC72)</f>
        <v>0</v>
      </c>
      <c r="DD71" s="67"/>
      <c r="DE71" s="67"/>
      <c r="DF71" s="560"/>
      <c r="DG71" s="67"/>
      <c r="DH71" s="67">
        <f>SUM(DH72:DH72)</f>
        <v>0</v>
      </c>
      <c r="DI71" s="67"/>
      <c r="DJ71" s="67"/>
      <c r="DK71" s="560"/>
      <c r="DL71" s="67"/>
      <c r="DM71" s="67">
        <f>SUM(DM72:DM72)</f>
        <v>0</v>
      </c>
      <c r="DN71" s="67"/>
      <c r="DO71" s="67"/>
      <c r="DP71" s="560"/>
      <c r="DQ71" s="67"/>
      <c r="DR71" s="67">
        <f>SUM(DR72:DR72)</f>
        <v>0</v>
      </c>
      <c r="DS71" s="67"/>
      <c r="DT71" s="67"/>
      <c r="DU71" s="560"/>
      <c r="DV71" s="67"/>
      <c r="DW71" s="67">
        <f>SUM(DW72:DW72)</f>
        <v>0</v>
      </c>
      <c r="DX71" s="67"/>
      <c r="DY71" s="67"/>
      <c r="DZ71" s="560"/>
      <c r="EA71" s="67"/>
      <c r="EB71" s="67">
        <f>SUM(EB72:EB72)</f>
        <v>0</v>
      </c>
      <c r="EC71" s="67"/>
      <c r="ED71" s="67"/>
      <c r="EE71" s="560"/>
      <c r="EF71" s="67"/>
      <c r="EG71" s="67">
        <f>SUM(EG72:EG72)</f>
        <v>89569</v>
      </c>
      <c r="EH71" s="67"/>
      <c r="EI71" s="67"/>
      <c r="EJ71" s="560"/>
      <c r="EK71" s="67"/>
      <c r="EL71" s="67">
        <f>SUM(EL72:EL72)</f>
        <v>0</v>
      </c>
      <c r="EM71" s="442"/>
      <c r="EN71" s="442"/>
      <c r="EO71" s="455"/>
      <c r="EP71" s="472"/>
      <c r="EQ71" s="472"/>
    </row>
    <row r="72" spans="1:147" x14ac:dyDescent="0.2">
      <c r="A72" s="442"/>
      <c r="B72" s="442"/>
      <c r="D72" s="455" t="s">
        <v>342</v>
      </c>
      <c r="E72" s="465"/>
      <c r="F72" s="563"/>
      <c r="G72" s="564">
        <v>0</v>
      </c>
      <c r="H72" s="565"/>
      <c r="I72" s="67"/>
      <c r="J72" s="560"/>
      <c r="K72" s="566"/>
      <c r="L72" s="564">
        <v>487336</v>
      </c>
      <c r="M72" s="565"/>
      <c r="N72" s="67"/>
      <c r="O72" s="560"/>
      <c r="P72" s="566"/>
      <c r="Q72" s="564">
        <v>0</v>
      </c>
      <c r="R72" s="565"/>
      <c r="S72" s="67"/>
      <c r="T72" s="560"/>
      <c r="U72" s="566"/>
      <c r="V72" s="564">
        <v>0</v>
      </c>
      <c r="W72" s="565"/>
      <c r="X72" s="67"/>
      <c r="Y72" s="560"/>
      <c r="Z72" s="566"/>
      <c r="AA72" s="564">
        <v>0</v>
      </c>
      <c r="AB72" s="565"/>
      <c r="AC72" s="67"/>
      <c r="AD72" s="560"/>
      <c r="AE72" s="566"/>
      <c r="AF72" s="564">
        <v>0</v>
      </c>
      <c r="AG72" s="565"/>
      <c r="AH72" s="67"/>
      <c r="AI72" s="560"/>
      <c r="AJ72" s="566"/>
      <c r="AK72" s="564">
        <v>0</v>
      </c>
      <c r="AL72" s="565"/>
      <c r="AM72" s="67"/>
      <c r="AN72" s="560"/>
      <c r="AO72" s="566"/>
      <c r="AP72" s="564">
        <v>0</v>
      </c>
      <c r="AQ72" s="565"/>
      <c r="AR72" s="67"/>
      <c r="AS72" s="560"/>
      <c r="AT72" s="566"/>
      <c r="AU72" s="564">
        <v>0</v>
      </c>
      <c r="AV72" s="565"/>
      <c r="AW72" s="67"/>
      <c r="AX72" s="560"/>
      <c r="AY72" s="566"/>
      <c r="AZ72" s="564">
        <v>0</v>
      </c>
      <c r="BA72" s="565"/>
      <c r="BB72" s="67"/>
      <c r="BC72" s="560"/>
      <c r="BD72" s="566"/>
      <c r="BE72" s="564">
        <v>0</v>
      </c>
      <c r="BF72" s="565"/>
      <c r="BG72" s="67"/>
      <c r="BH72" s="560"/>
      <c r="BI72" s="566"/>
      <c r="BJ72" s="564">
        <v>0</v>
      </c>
      <c r="BK72" s="565"/>
      <c r="BL72" s="67"/>
      <c r="BM72" s="560"/>
      <c r="BN72" s="566"/>
      <c r="BO72" s="564">
        <v>0</v>
      </c>
      <c r="BP72" s="565"/>
      <c r="BQ72" s="67"/>
      <c r="BR72" s="560"/>
      <c r="BS72" s="566"/>
      <c r="BT72" s="564">
        <f>SUM(L72:BO72)</f>
        <v>487336</v>
      </c>
      <c r="BU72" s="565"/>
      <c r="BV72" s="67"/>
      <c r="BW72" s="560"/>
      <c r="BX72" s="566"/>
      <c r="BY72" s="564">
        <v>89569</v>
      </c>
      <c r="BZ72" s="565"/>
      <c r="CA72" s="67"/>
      <c r="CB72" s="560"/>
      <c r="CC72" s="566"/>
      <c r="CD72" s="564">
        <v>0</v>
      </c>
      <c r="CE72" s="565"/>
      <c r="CF72" s="67"/>
      <c r="CG72" s="560"/>
      <c r="CH72" s="566"/>
      <c r="CI72" s="564">
        <v>0</v>
      </c>
      <c r="CJ72" s="565"/>
      <c r="CK72" s="67"/>
      <c r="CL72" s="560"/>
      <c r="CM72" s="566"/>
      <c r="CN72" s="564">
        <v>0</v>
      </c>
      <c r="CO72" s="565"/>
      <c r="CP72" s="67"/>
      <c r="CQ72" s="560"/>
      <c r="CR72" s="566"/>
      <c r="CS72" s="564">
        <v>0</v>
      </c>
      <c r="CT72" s="565"/>
      <c r="CU72" s="67"/>
      <c r="CV72" s="560"/>
      <c r="CW72" s="566"/>
      <c r="CX72" s="564">
        <v>0</v>
      </c>
      <c r="CY72" s="565"/>
      <c r="CZ72" s="67"/>
      <c r="DA72" s="560"/>
      <c r="DB72" s="566"/>
      <c r="DC72" s="564">
        <v>0</v>
      </c>
      <c r="DD72" s="565"/>
      <c r="DE72" s="67"/>
      <c r="DF72" s="560"/>
      <c r="DG72" s="566"/>
      <c r="DH72" s="564">
        <v>0</v>
      </c>
      <c r="DI72" s="565"/>
      <c r="DJ72" s="67"/>
      <c r="DK72" s="560"/>
      <c r="DL72" s="566"/>
      <c r="DM72" s="564">
        <v>0</v>
      </c>
      <c r="DN72" s="565"/>
      <c r="DO72" s="67"/>
      <c r="DP72" s="560"/>
      <c r="DQ72" s="566"/>
      <c r="DR72" s="564">
        <v>0</v>
      </c>
      <c r="DS72" s="565"/>
      <c r="DT72" s="67"/>
      <c r="DU72" s="560"/>
      <c r="DV72" s="566"/>
      <c r="DW72" s="564">
        <v>0</v>
      </c>
      <c r="DX72" s="565"/>
      <c r="DY72" s="67"/>
      <c r="DZ72" s="560"/>
      <c r="EA72" s="566"/>
      <c r="EB72" s="564">
        <v>0</v>
      </c>
      <c r="EC72" s="565"/>
      <c r="ED72" s="67"/>
      <c r="EE72" s="560"/>
      <c r="EF72" s="566"/>
      <c r="EG72" s="564">
        <v>89569</v>
      </c>
      <c r="EH72" s="565"/>
      <c r="EI72" s="67"/>
      <c r="EJ72" s="560"/>
      <c r="EK72" s="566"/>
      <c r="EL72" s="564">
        <f>SUM(CD72:CI72)</f>
        <v>0</v>
      </c>
      <c r="EM72" s="596"/>
      <c r="EN72" s="442"/>
      <c r="EO72" s="455"/>
      <c r="EP72" s="472"/>
      <c r="EQ72" s="472"/>
    </row>
    <row r="73" spans="1:147" x14ac:dyDescent="0.2">
      <c r="A73" s="442"/>
      <c r="B73" s="442"/>
      <c r="D73" s="455"/>
      <c r="E73" s="465"/>
      <c r="F73" s="442"/>
      <c r="G73" s="597"/>
      <c r="H73" s="597"/>
      <c r="I73" s="597"/>
      <c r="J73" s="598"/>
      <c r="K73" s="597"/>
      <c r="L73" s="597"/>
      <c r="M73" s="597"/>
      <c r="N73" s="597"/>
      <c r="O73" s="598"/>
      <c r="P73" s="597"/>
      <c r="Q73" s="597"/>
      <c r="R73" s="597"/>
      <c r="S73" s="597"/>
      <c r="T73" s="598"/>
      <c r="U73" s="597"/>
      <c r="V73" s="597"/>
      <c r="W73" s="597"/>
      <c r="X73" s="597"/>
      <c r="Y73" s="598"/>
      <c r="Z73" s="597"/>
      <c r="AA73" s="597"/>
      <c r="AB73" s="597"/>
      <c r="AC73" s="597"/>
      <c r="AD73" s="598"/>
      <c r="AE73" s="597"/>
      <c r="AF73" s="597"/>
      <c r="AG73" s="597"/>
      <c r="AH73" s="597"/>
      <c r="AI73" s="598"/>
      <c r="AJ73" s="597"/>
      <c r="AK73" s="597"/>
      <c r="AL73" s="597"/>
      <c r="AM73" s="597"/>
      <c r="AN73" s="598"/>
      <c r="AO73" s="597"/>
      <c r="AP73" s="597"/>
      <c r="AQ73" s="597"/>
      <c r="AR73" s="597"/>
      <c r="AS73" s="598"/>
      <c r="AT73" s="597"/>
      <c r="AU73" s="597"/>
      <c r="AV73" s="597"/>
      <c r="AW73" s="597"/>
      <c r="AX73" s="598"/>
      <c r="AY73" s="597"/>
      <c r="AZ73" s="597"/>
      <c r="BA73" s="597"/>
      <c r="BB73" s="597"/>
      <c r="BC73" s="598"/>
      <c r="BD73" s="597"/>
      <c r="BE73" s="597"/>
      <c r="BF73" s="597"/>
      <c r="BG73" s="597"/>
      <c r="BH73" s="598"/>
      <c r="BI73" s="597"/>
      <c r="BJ73" s="597"/>
      <c r="BK73" s="597"/>
      <c r="BL73" s="597"/>
      <c r="BM73" s="598"/>
      <c r="BN73" s="597"/>
      <c r="BO73" s="597"/>
      <c r="BP73" s="597"/>
      <c r="BQ73" s="597"/>
      <c r="BR73" s="598"/>
      <c r="BS73" s="597"/>
      <c r="BT73" s="67"/>
      <c r="BU73" s="67"/>
      <c r="BV73" s="67"/>
      <c r="BW73" s="560"/>
      <c r="BX73" s="67"/>
      <c r="BY73" s="67"/>
      <c r="BZ73" s="597"/>
      <c r="CA73" s="597"/>
      <c r="CB73" s="598"/>
      <c r="CC73" s="597"/>
      <c r="CD73" s="597"/>
      <c r="CE73" s="597"/>
      <c r="CF73" s="597"/>
      <c r="CG73" s="598"/>
      <c r="CH73" s="597"/>
      <c r="CI73" s="597"/>
      <c r="CJ73" s="597"/>
      <c r="CK73" s="597"/>
      <c r="CL73" s="598"/>
      <c r="CM73" s="597"/>
      <c r="CN73" s="597"/>
      <c r="CO73" s="597"/>
      <c r="CP73" s="597"/>
      <c r="CQ73" s="598"/>
      <c r="CR73" s="597"/>
      <c r="CS73" s="597"/>
      <c r="CT73" s="597"/>
      <c r="CU73" s="597"/>
      <c r="CV73" s="598"/>
      <c r="CW73" s="597"/>
      <c r="CX73" s="597"/>
      <c r="CY73" s="597"/>
      <c r="CZ73" s="597"/>
      <c r="DA73" s="598"/>
      <c r="DB73" s="597"/>
      <c r="DC73" s="597"/>
      <c r="DD73" s="597"/>
      <c r="DE73" s="597"/>
      <c r="DF73" s="598"/>
      <c r="DG73" s="597"/>
      <c r="DH73" s="597"/>
      <c r="DI73" s="597"/>
      <c r="DJ73" s="597"/>
      <c r="DK73" s="598"/>
      <c r="DL73" s="597"/>
      <c r="DM73" s="597"/>
      <c r="DN73" s="597"/>
      <c r="DO73" s="597"/>
      <c r="DP73" s="598"/>
      <c r="DQ73" s="597"/>
      <c r="DR73" s="597"/>
      <c r="DS73" s="597"/>
      <c r="DT73" s="597"/>
      <c r="DU73" s="598"/>
      <c r="DV73" s="597"/>
      <c r="DW73" s="597"/>
      <c r="DX73" s="597"/>
      <c r="DY73" s="597"/>
      <c r="DZ73" s="598"/>
      <c r="EA73" s="597"/>
      <c r="EB73" s="597"/>
      <c r="EC73" s="597"/>
      <c r="ED73" s="597"/>
      <c r="EE73" s="598"/>
      <c r="EF73" s="597"/>
      <c r="EG73" s="597"/>
      <c r="EH73" s="597"/>
      <c r="EI73" s="597"/>
      <c r="EJ73" s="598"/>
      <c r="EK73" s="597"/>
      <c r="EL73" s="67"/>
      <c r="EM73" s="442"/>
      <c r="EN73" s="442"/>
      <c r="EO73" s="455"/>
      <c r="EP73" s="472"/>
      <c r="EQ73" s="472"/>
    </row>
    <row r="74" spans="1:147" x14ac:dyDescent="0.2">
      <c r="A74" s="442"/>
      <c r="B74" s="442"/>
      <c r="D74" s="455" t="str">
        <f>[12]domlongtermissues!D294</f>
        <v xml:space="preserve">  R2044 (8.75%  2044-45-46/01/31)</v>
      </c>
      <c r="E74" s="465"/>
      <c r="F74" s="442"/>
      <c r="G74" s="67">
        <f>SUM(G75:G75)</f>
        <v>0</v>
      </c>
      <c r="H74" s="67"/>
      <c r="I74" s="67"/>
      <c r="J74" s="560"/>
      <c r="K74" s="67"/>
      <c r="L74" s="67">
        <f>SUM(L75:L75)</f>
        <v>0</v>
      </c>
      <c r="M74" s="67"/>
      <c r="N74" s="67"/>
      <c r="O74" s="560"/>
      <c r="P74" s="67"/>
      <c r="Q74" s="67">
        <f>SUM(Q75:Q75)</f>
        <v>0</v>
      </c>
      <c r="R74" s="67"/>
      <c r="S74" s="67"/>
      <c r="T74" s="560"/>
      <c r="U74" s="67"/>
      <c r="V74" s="67">
        <f>SUM(V75:V75)</f>
        <v>0</v>
      </c>
      <c r="W74" s="67"/>
      <c r="X74" s="67"/>
      <c r="Y74" s="560"/>
      <c r="Z74" s="67"/>
      <c r="AA74" s="67">
        <f>SUM(AA75:AA75)</f>
        <v>0</v>
      </c>
      <c r="AB74" s="67"/>
      <c r="AC74" s="67"/>
      <c r="AD74" s="560"/>
      <c r="AE74" s="67"/>
      <c r="AF74" s="67">
        <f>SUM(AF75:AF75)</f>
        <v>0</v>
      </c>
      <c r="AG74" s="67"/>
      <c r="AH74" s="67"/>
      <c r="AI74" s="560"/>
      <c r="AJ74" s="67"/>
      <c r="AK74" s="67">
        <f>SUM(AK75:AK75)</f>
        <v>0</v>
      </c>
      <c r="AL74" s="67"/>
      <c r="AM74" s="67"/>
      <c r="AN74" s="560"/>
      <c r="AO74" s="67"/>
      <c r="AP74" s="67">
        <f>SUM(AP75:AP75)</f>
        <v>0</v>
      </c>
      <c r="AQ74" s="67"/>
      <c r="AR74" s="67"/>
      <c r="AS74" s="560"/>
      <c r="AT74" s="67"/>
      <c r="AU74" s="67">
        <f>SUM(AU75:AU75)</f>
        <v>0</v>
      </c>
      <c r="AV74" s="67"/>
      <c r="AW74" s="67"/>
      <c r="AX74" s="560"/>
      <c r="AY74" s="67"/>
      <c r="AZ74" s="67">
        <f>SUM(AZ75:AZ75)</f>
        <v>0</v>
      </c>
      <c r="BA74" s="67"/>
      <c r="BB74" s="67"/>
      <c r="BC74" s="560"/>
      <c r="BD74" s="67"/>
      <c r="BE74" s="67">
        <f>SUM(BE75:BE75)</f>
        <v>0</v>
      </c>
      <c r="BF74" s="67"/>
      <c r="BG74" s="67"/>
      <c r="BH74" s="560"/>
      <c r="BI74" s="67"/>
      <c r="BJ74" s="67">
        <f>SUM(BJ75:BJ75)</f>
        <v>0</v>
      </c>
      <c r="BK74" s="67"/>
      <c r="BL74" s="67"/>
      <c r="BM74" s="560"/>
      <c r="BN74" s="67"/>
      <c r="BO74" s="67">
        <f>SUM(BO75:BO75)</f>
        <v>0</v>
      </c>
      <c r="BP74" s="67"/>
      <c r="BQ74" s="67"/>
      <c r="BR74" s="560"/>
      <c r="BS74" s="67"/>
      <c r="BT74" s="67">
        <f>SUM(BT75:BT75)</f>
        <v>0</v>
      </c>
      <c r="BU74" s="67"/>
      <c r="BV74" s="67"/>
      <c r="BW74" s="560"/>
      <c r="BX74" s="67"/>
      <c r="BY74" s="67">
        <f>SUM(BY75:BY75)</f>
        <v>0</v>
      </c>
      <c r="BZ74" s="67"/>
      <c r="CA74" s="67"/>
      <c r="CB74" s="560"/>
      <c r="CC74" s="67"/>
      <c r="CD74" s="67">
        <f>SUM(CD75:CD75)</f>
        <v>0</v>
      </c>
      <c r="CE74" s="67"/>
      <c r="CF74" s="67"/>
      <c r="CG74" s="560"/>
      <c r="CH74" s="67"/>
      <c r="CI74" s="67">
        <f>SUM(CI75:CI75)</f>
        <v>0</v>
      </c>
      <c r="CJ74" s="67"/>
      <c r="CK74" s="67"/>
      <c r="CL74" s="560"/>
      <c r="CM74" s="67"/>
      <c r="CN74" s="67">
        <f>SUM(CN75:CN75)</f>
        <v>0</v>
      </c>
      <c r="CO74" s="67"/>
      <c r="CP74" s="67"/>
      <c r="CQ74" s="560"/>
      <c r="CR74" s="67"/>
      <c r="CS74" s="67">
        <f>SUM(CS75:CS75)</f>
        <v>0</v>
      </c>
      <c r="CT74" s="67"/>
      <c r="CU74" s="67"/>
      <c r="CV74" s="560"/>
      <c r="CW74" s="67"/>
      <c r="CX74" s="67">
        <f>SUM(CX75:CX75)</f>
        <v>0</v>
      </c>
      <c r="CY74" s="67"/>
      <c r="CZ74" s="67"/>
      <c r="DA74" s="560"/>
      <c r="DB74" s="67"/>
      <c r="DC74" s="67">
        <f>SUM(DC75:DC75)</f>
        <v>0</v>
      </c>
      <c r="DD74" s="67"/>
      <c r="DE74" s="67"/>
      <c r="DF74" s="560"/>
      <c r="DG74" s="67"/>
      <c r="DH74" s="67">
        <f>SUM(DH75:DH75)</f>
        <v>0</v>
      </c>
      <c r="DI74" s="67"/>
      <c r="DJ74" s="67"/>
      <c r="DK74" s="560"/>
      <c r="DL74" s="67"/>
      <c r="DM74" s="67">
        <f>SUM(DM75:DM75)</f>
        <v>0</v>
      </c>
      <c r="DN74" s="67"/>
      <c r="DO74" s="67"/>
      <c r="DP74" s="560"/>
      <c r="DQ74" s="67"/>
      <c r="DR74" s="67">
        <f>SUM(DR75:DR75)</f>
        <v>0</v>
      </c>
      <c r="DS74" s="67"/>
      <c r="DT74" s="67"/>
      <c r="DU74" s="560"/>
      <c r="DV74" s="67"/>
      <c r="DW74" s="67">
        <f>SUM(DW75:DW75)</f>
        <v>0</v>
      </c>
      <c r="DX74" s="67"/>
      <c r="DY74" s="67"/>
      <c r="DZ74" s="560"/>
      <c r="EA74" s="67"/>
      <c r="EB74" s="67">
        <f>SUM(EB75:EB75)</f>
        <v>0</v>
      </c>
      <c r="EC74" s="67"/>
      <c r="ED74" s="67"/>
      <c r="EE74" s="560"/>
      <c r="EF74" s="67"/>
      <c r="EG74" s="67">
        <f>SUM(EG75:EG75)</f>
        <v>0</v>
      </c>
      <c r="EH74" s="67"/>
      <c r="EI74" s="67"/>
      <c r="EJ74" s="560"/>
      <c r="EK74" s="67"/>
      <c r="EL74" s="67">
        <f>SUM(EL75:EL75)</f>
        <v>0</v>
      </c>
      <c r="EM74" s="442"/>
      <c r="EN74" s="442"/>
      <c r="EO74" s="455"/>
      <c r="EP74" s="472"/>
      <c r="EQ74" s="472"/>
    </row>
    <row r="75" spans="1:147" x14ac:dyDescent="0.2">
      <c r="A75" s="442"/>
      <c r="B75" s="442"/>
      <c r="D75" s="455" t="s">
        <v>342</v>
      </c>
      <c r="E75" s="465"/>
      <c r="F75" s="563"/>
      <c r="G75" s="564">
        <v>0</v>
      </c>
      <c r="H75" s="565"/>
      <c r="I75" s="67"/>
      <c r="J75" s="560"/>
      <c r="K75" s="566"/>
      <c r="L75" s="564">
        <v>0</v>
      </c>
      <c r="M75" s="565"/>
      <c r="N75" s="67"/>
      <c r="O75" s="560"/>
      <c r="P75" s="566"/>
      <c r="Q75" s="564">
        <v>0</v>
      </c>
      <c r="R75" s="565"/>
      <c r="S75" s="67"/>
      <c r="T75" s="560"/>
      <c r="U75" s="566"/>
      <c r="V75" s="564">
        <v>0</v>
      </c>
      <c r="W75" s="565"/>
      <c r="X75" s="67"/>
      <c r="Y75" s="560"/>
      <c r="Z75" s="566"/>
      <c r="AA75" s="564">
        <v>0</v>
      </c>
      <c r="AB75" s="565"/>
      <c r="AC75" s="67"/>
      <c r="AD75" s="560"/>
      <c r="AE75" s="566"/>
      <c r="AF75" s="564">
        <v>0</v>
      </c>
      <c r="AG75" s="565"/>
      <c r="AH75" s="67"/>
      <c r="AI75" s="560"/>
      <c r="AJ75" s="566"/>
      <c r="AK75" s="564">
        <v>0</v>
      </c>
      <c r="AL75" s="565"/>
      <c r="AM75" s="67"/>
      <c r="AN75" s="560"/>
      <c r="AO75" s="566"/>
      <c r="AP75" s="564">
        <v>0</v>
      </c>
      <c r="AQ75" s="565"/>
      <c r="AR75" s="67"/>
      <c r="AS75" s="560"/>
      <c r="AT75" s="566"/>
      <c r="AU75" s="564">
        <v>0</v>
      </c>
      <c r="AV75" s="565"/>
      <c r="AW75" s="67"/>
      <c r="AX75" s="560"/>
      <c r="AY75" s="566"/>
      <c r="AZ75" s="564">
        <v>0</v>
      </c>
      <c r="BA75" s="565"/>
      <c r="BB75" s="67"/>
      <c r="BC75" s="560"/>
      <c r="BD75" s="566"/>
      <c r="BE75" s="564">
        <v>0</v>
      </c>
      <c r="BF75" s="565"/>
      <c r="BG75" s="67"/>
      <c r="BH75" s="560"/>
      <c r="BI75" s="566"/>
      <c r="BJ75" s="564">
        <v>0</v>
      </c>
      <c r="BK75" s="565"/>
      <c r="BL75" s="67"/>
      <c r="BM75" s="560"/>
      <c r="BN75" s="566"/>
      <c r="BO75" s="564">
        <v>0</v>
      </c>
      <c r="BP75" s="565"/>
      <c r="BQ75" s="67"/>
      <c r="BR75" s="560"/>
      <c r="BS75" s="566"/>
      <c r="BT75" s="564">
        <f>SUM(L75:BO75)</f>
        <v>0</v>
      </c>
      <c r="BU75" s="565"/>
      <c r="BV75" s="67"/>
      <c r="BW75" s="560"/>
      <c r="BX75" s="566"/>
      <c r="BY75" s="564">
        <v>0</v>
      </c>
      <c r="BZ75" s="565"/>
      <c r="CA75" s="67"/>
      <c r="CB75" s="560"/>
      <c r="CC75" s="566"/>
      <c r="CD75" s="564">
        <v>0</v>
      </c>
      <c r="CE75" s="565"/>
      <c r="CF75" s="67"/>
      <c r="CG75" s="560"/>
      <c r="CH75" s="566"/>
      <c r="CI75" s="564">
        <v>0</v>
      </c>
      <c r="CJ75" s="565"/>
      <c r="CK75" s="67"/>
      <c r="CL75" s="560"/>
      <c r="CM75" s="566"/>
      <c r="CN75" s="564">
        <v>0</v>
      </c>
      <c r="CO75" s="565"/>
      <c r="CP75" s="67"/>
      <c r="CQ75" s="560"/>
      <c r="CR75" s="566"/>
      <c r="CS75" s="564">
        <v>0</v>
      </c>
      <c r="CT75" s="565"/>
      <c r="CU75" s="67"/>
      <c r="CV75" s="560"/>
      <c r="CW75" s="566"/>
      <c r="CX75" s="564">
        <v>0</v>
      </c>
      <c r="CY75" s="565"/>
      <c r="CZ75" s="67"/>
      <c r="DA75" s="560"/>
      <c r="DB75" s="566"/>
      <c r="DC75" s="564">
        <v>0</v>
      </c>
      <c r="DD75" s="565"/>
      <c r="DE75" s="67"/>
      <c r="DF75" s="560"/>
      <c r="DG75" s="566"/>
      <c r="DH75" s="564">
        <v>0</v>
      </c>
      <c r="DI75" s="565"/>
      <c r="DJ75" s="67"/>
      <c r="DK75" s="560"/>
      <c r="DL75" s="566"/>
      <c r="DM75" s="564">
        <v>0</v>
      </c>
      <c r="DN75" s="565"/>
      <c r="DO75" s="67"/>
      <c r="DP75" s="560"/>
      <c r="DQ75" s="566"/>
      <c r="DR75" s="564">
        <v>0</v>
      </c>
      <c r="DS75" s="565"/>
      <c r="DT75" s="67"/>
      <c r="DU75" s="560"/>
      <c r="DV75" s="566"/>
      <c r="DW75" s="564">
        <v>0</v>
      </c>
      <c r="DX75" s="565"/>
      <c r="DY75" s="67"/>
      <c r="DZ75" s="560"/>
      <c r="EA75" s="566"/>
      <c r="EB75" s="564">
        <v>0</v>
      </c>
      <c r="EC75" s="565"/>
      <c r="ED75" s="67"/>
      <c r="EE75" s="560"/>
      <c r="EF75" s="566"/>
      <c r="EG75" s="564">
        <v>0</v>
      </c>
      <c r="EH75" s="565"/>
      <c r="EI75" s="67"/>
      <c r="EJ75" s="560"/>
      <c r="EK75" s="566"/>
      <c r="EL75" s="564">
        <f>SUM(CD75:CI75)</f>
        <v>0</v>
      </c>
      <c r="EM75" s="596"/>
      <c r="EN75" s="442"/>
      <c r="EO75" s="455"/>
      <c r="EP75" s="472"/>
      <c r="EQ75" s="472"/>
    </row>
    <row r="76" spans="1:147" x14ac:dyDescent="0.2">
      <c r="A76" s="442"/>
      <c r="B76" s="442"/>
      <c r="D76" s="455"/>
      <c r="E76" s="465"/>
      <c r="F76" s="442"/>
      <c r="G76" s="597"/>
      <c r="H76" s="597"/>
      <c r="I76" s="597"/>
      <c r="J76" s="598"/>
      <c r="K76" s="597"/>
      <c r="L76" s="597"/>
      <c r="M76" s="597"/>
      <c r="N76" s="597"/>
      <c r="O76" s="598"/>
      <c r="P76" s="597"/>
      <c r="Q76" s="597"/>
      <c r="R76" s="597"/>
      <c r="S76" s="597"/>
      <c r="T76" s="598"/>
      <c r="U76" s="597"/>
      <c r="V76" s="597"/>
      <c r="W76" s="597"/>
      <c r="X76" s="597"/>
      <c r="Y76" s="598"/>
      <c r="Z76" s="597"/>
      <c r="AA76" s="597"/>
      <c r="AB76" s="597"/>
      <c r="AC76" s="597"/>
      <c r="AD76" s="598"/>
      <c r="AE76" s="597"/>
      <c r="AF76" s="597"/>
      <c r="AG76" s="597"/>
      <c r="AH76" s="597"/>
      <c r="AI76" s="598"/>
      <c r="AJ76" s="597"/>
      <c r="AK76" s="597"/>
      <c r="AL76" s="597"/>
      <c r="AM76" s="597"/>
      <c r="AN76" s="598"/>
      <c r="AO76" s="597"/>
      <c r="AP76" s="597"/>
      <c r="AQ76" s="597"/>
      <c r="AR76" s="597"/>
      <c r="AS76" s="598"/>
      <c r="AT76" s="597"/>
      <c r="AU76" s="597"/>
      <c r="AV76" s="597"/>
      <c r="AW76" s="597"/>
      <c r="AX76" s="598"/>
      <c r="AY76" s="597"/>
      <c r="AZ76" s="597"/>
      <c r="BA76" s="597"/>
      <c r="BB76" s="597"/>
      <c r="BC76" s="598"/>
      <c r="BD76" s="597"/>
      <c r="BE76" s="597"/>
      <c r="BF76" s="597"/>
      <c r="BG76" s="597"/>
      <c r="BH76" s="598"/>
      <c r="BI76" s="597"/>
      <c r="BJ76" s="597"/>
      <c r="BK76" s="597"/>
      <c r="BL76" s="597"/>
      <c r="BM76" s="598"/>
      <c r="BN76" s="597"/>
      <c r="BO76" s="597"/>
      <c r="BP76" s="597"/>
      <c r="BQ76" s="597"/>
      <c r="BR76" s="598"/>
      <c r="BS76" s="597"/>
      <c r="BT76" s="67"/>
      <c r="BU76" s="67"/>
      <c r="BV76" s="67"/>
      <c r="BW76" s="560"/>
      <c r="BX76" s="67"/>
      <c r="BY76" s="67"/>
      <c r="BZ76" s="597"/>
      <c r="CA76" s="597"/>
      <c r="CB76" s="598"/>
      <c r="CC76" s="597"/>
      <c r="CD76" s="597"/>
      <c r="CE76" s="597"/>
      <c r="CF76" s="597"/>
      <c r="CG76" s="598"/>
      <c r="CH76" s="597"/>
      <c r="CI76" s="597"/>
      <c r="CJ76" s="597"/>
      <c r="CK76" s="597"/>
      <c r="CL76" s="598"/>
      <c r="CM76" s="597"/>
      <c r="CN76" s="597"/>
      <c r="CO76" s="597"/>
      <c r="CP76" s="597"/>
      <c r="CQ76" s="598"/>
      <c r="CR76" s="597"/>
      <c r="CS76" s="597"/>
      <c r="CT76" s="597"/>
      <c r="CU76" s="597"/>
      <c r="CV76" s="598"/>
      <c r="CW76" s="597"/>
      <c r="CX76" s="597"/>
      <c r="CY76" s="597"/>
      <c r="CZ76" s="597"/>
      <c r="DA76" s="598"/>
      <c r="DB76" s="597"/>
      <c r="DC76" s="597"/>
      <c r="DD76" s="597"/>
      <c r="DE76" s="597"/>
      <c r="DF76" s="598"/>
      <c r="DG76" s="597"/>
      <c r="DH76" s="597"/>
      <c r="DI76" s="597"/>
      <c r="DJ76" s="597"/>
      <c r="DK76" s="598"/>
      <c r="DL76" s="597"/>
      <c r="DM76" s="597"/>
      <c r="DN76" s="597"/>
      <c r="DO76" s="597"/>
      <c r="DP76" s="598"/>
      <c r="DQ76" s="597"/>
      <c r="DR76" s="597"/>
      <c r="DS76" s="597"/>
      <c r="DT76" s="597"/>
      <c r="DU76" s="598"/>
      <c r="DV76" s="597"/>
      <c r="DW76" s="597"/>
      <c r="DX76" s="597"/>
      <c r="DY76" s="597"/>
      <c r="DZ76" s="598"/>
      <c r="EA76" s="597"/>
      <c r="EB76" s="597"/>
      <c r="EC76" s="597"/>
      <c r="ED76" s="597"/>
      <c r="EE76" s="598"/>
      <c r="EF76" s="597"/>
      <c r="EG76" s="597"/>
      <c r="EH76" s="597"/>
      <c r="EI76" s="597"/>
      <c r="EJ76" s="598"/>
      <c r="EK76" s="597"/>
      <c r="EL76" s="67"/>
      <c r="EM76" s="442"/>
      <c r="EN76" s="442"/>
      <c r="EO76" s="455"/>
      <c r="EP76" s="472"/>
      <c r="EQ76" s="472"/>
    </row>
    <row r="77" spans="1:147" x14ac:dyDescent="0.2">
      <c r="A77" s="442"/>
      <c r="B77" s="442"/>
      <c r="D77" s="455" t="s">
        <v>353</v>
      </c>
      <c r="E77" s="465"/>
      <c r="F77" s="442"/>
      <c r="G77" s="67">
        <f>SUM(G78:G78)</f>
        <v>0</v>
      </c>
      <c r="H77" s="67"/>
      <c r="I77" s="67"/>
      <c r="J77" s="560"/>
      <c r="K77" s="67"/>
      <c r="L77" s="67">
        <f>SUM(L78:L78)</f>
        <v>0</v>
      </c>
      <c r="M77" s="67"/>
      <c r="N77" s="67"/>
      <c r="O77" s="560"/>
      <c r="P77" s="67"/>
      <c r="Q77" s="67">
        <f>SUM(Q78:Q78)</f>
        <v>29682</v>
      </c>
      <c r="R77" s="67"/>
      <c r="S77" s="67"/>
      <c r="T77" s="560"/>
      <c r="U77" s="67"/>
      <c r="V77" s="67">
        <f>SUM(V78:V78)</f>
        <v>0</v>
      </c>
      <c r="W77" s="67"/>
      <c r="X77" s="67"/>
      <c r="Y77" s="560"/>
      <c r="Z77" s="67"/>
      <c r="AA77" s="67">
        <f>SUM(AA78:AA78)</f>
        <v>0</v>
      </c>
      <c r="AB77" s="67"/>
      <c r="AC77" s="67"/>
      <c r="AD77" s="560"/>
      <c r="AE77" s="67"/>
      <c r="AF77" s="67">
        <f>SUM(AF78:AF78)</f>
        <v>0</v>
      </c>
      <c r="AG77" s="67"/>
      <c r="AH77" s="67"/>
      <c r="AI77" s="560"/>
      <c r="AJ77" s="67"/>
      <c r="AK77" s="67">
        <f>SUM(AK78:AK78)</f>
        <v>0</v>
      </c>
      <c r="AL77" s="67"/>
      <c r="AM77" s="67"/>
      <c r="AN77" s="560"/>
      <c r="AO77" s="67"/>
      <c r="AP77" s="67">
        <f>SUM(AP78:AP78)</f>
        <v>0</v>
      </c>
      <c r="AQ77" s="67"/>
      <c r="AR77" s="67"/>
      <c r="AS77" s="560"/>
      <c r="AT77" s="67"/>
      <c r="AU77" s="67">
        <f>SUM(AU78:AU78)</f>
        <v>0</v>
      </c>
      <c r="AV77" s="67"/>
      <c r="AW77" s="67"/>
      <c r="AX77" s="560"/>
      <c r="AY77" s="67"/>
      <c r="AZ77" s="67">
        <f>SUM(AZ78:AZ78)</f>
        <v>0</v>
      </c>
      <c r="BA77" s="67"/>
      <c r="BB77" s="67"/>
      <c r="BC77" s="560"/>
      <c r="BD77" s="67"/>
      <c r="BE77" s="67">
        <f>SUM(BE78:BE78)</f>
        <v>0</v>
      </c>
      <c r="BF77" s="67"/>
      <c r="BG77" s="67"/>
      <c r="BH77" s="560"/>
      <c r="BI77" s="67"/>
      <c r="BJ77" s="67">
        <f>SUM(BJ78:BJ78)</f>
        <v>0</v>
      </c>
      <c r="BK77" s="67"/>
      <c r="BL77" s="67"/>
      <c r="BM77" s="560"/>
      <c r="BN77" s="67"/>
      <c r="BO77" s="67">
        <f>SUM(BO78:BO78)</f>
        <v>0</v>
      </c>
      <c r="BP77" s="67"/>
      <c r="BQ77" s="67"/>
      <c r="BR77" s="560"/>
      <c r="BS77" s="67"/>
      <c r="BT77" s="67">
        <f>SUM(BT78:BT78)</f>
        <v>29682</v>
      </c>
      <c r="BU77" s="67"/>
      <c r="BV77" s="67"/>
      <c r="BW77" s="560"/>
      <c r="BX77" s="67"/>
      <c r="BY77" s="67">
        <f>SUM(BY78:BY78)</f>
        <v>3225244</v>
      </c>
      <c r="BZ77" s="67"/>
      <c r="CA77" s="67"/>
      <c r="CB77" s="560"/>
      <c r="CC77" s="67"/>
      <c r="CD77" s="67">
        <f>SUM(CD78:CD78)</f>
        <v>3109689</v>
      </c>
      <c r="CE77" s="67"/>
      <c r="CF77" s="67"/>
      <c r="CG77" s="560"/>
      <c r="CH77" s="67"/>
      <c r="CI77" s="67">
        <f>SUM(CI78:CI78)</f>
        <v>0</v>
      </c>
      <c r="CJ77" s="67"/>
      <c r="CK77" s="67"/>
      <c r="CL77" s="560"/>
      <c r="CM77" s="67"/>
      <c r="CN77" s="67">
        <f>SUM(CN78:CN78)</f>
        <v>0</v>
      </c>
      <c r="CO77" s="67"/>
      <c r="CP77" s="67"/>
      <c r="CQ77" s="560"/>
      <c r="CR77" s="67"/>
      <c r="CS77" s="67">
        <f>SUM(CS78:CS78)</f>
        <v>0</v>
      </c>
      <c r="CT77" s="67"/>
      <c r="CU77" s="67"/>
      <c r="CV77" s="560"/>
      <c r="CW77" s="67"/>
      <c r="CX77" s="67">
        <f>SUM(CX78:CX78)</f>
        <v>0</v>
      </c>
      <c r="CY77" s="67"/>
      <c r="CZ77" s="67"/>
      <c r="DA77" s="560"/>
      <c r="DB77" s="67"/>
      <c r="DC77" s="67">
        <f>SUM(DC78:DC78)</f>
        <v>115555</v>
      </c>
      <c r="DD77" s="67"/>
      <c r="DE77" s="67"/>
      <c r="DF77" s="560"/>
      <c r="DG77" s="67"/>
      <c r="DH77" s="67">
        <f>SUM(DH78:DH78)</f>
        <v>0</v>
      </c>
      <c r="DI77" s="67"/>
      <c r="DJ77" s="67"/>
      <c r="DK77" s="560"/>
      <c r="DL77" s="67"/>
      <c r="DM77" s="67">
        <f>SUM(DM78:DM78)</f>
        <v>0</v>
      </c>
      <c r="DN77" s="67"/>
      <c r="DO77" s="67"/>
      <c r="DP77" s="560"/>
      <c r="DQ77" s="67"/>
      <c r="DR77" s="67">
        <f>SUM(DR78:DR78)</f>
        <v>0</v>
      </c>
      <c r="DS77" s="67"/>
      <c r="DT77" s="67"/>
      <c r="DU77" s="560"/>
      <c r="DV77" s="67"/>
      <c r="DW77" s="67">
        <f>SUM(DW78:DW78)</f>
        <v>0</v>
      </c>
      <c r="DX77" s="67"/>
      <c r="DY77" s="67"/>
      <c r="DZ77" s="560"/>
      <c r="EA77" s="67"/>
      <c r="EB77" s="67">
        <f>SUM(EB78:EB78)</f>
        <v>0</v>
      </c>
      <c r="EC77" s="67"/>
      <c r="ED77" s="67"/>
      <c r="EE77" s="560"/>
      <c r="EF77" s="67"/>
      <c r="EG77" s="67">
        <f>SUM(EG78:EG78)</f>
        <v>0</v>
      </c>
      <c r="EH77" s="67"/>
      <c r="EI77" s="67"/>
      <c r="EJ77" s="560"/>
      <c r="EK77" s="67"/>
      <c r="EL77" s="67">
        <f>SUM(EL78:EL78)</f>
        <v>3109689</v>
      </c>
      <c r="EM77" s="442"/>
      <c r="EN77" s="442"/>
      <c r="EO77" s="455"/>
      <c r="EP77" s="472"/>
      <c r="EQ77" s="472"/>
    </row>
    <row r="78" spans="1:147" x14ac:dyDescent="0.2">
      <c r="A78" s="442"/>
      <c r="B78" s="442"/>
      <c r="D78" s="455" t="s">
        <v>342</v>
      </c>
      <c r="E78" s="465"/>
      <c r="F78" s="563"/>
      <c r="G78" s="564">
        <v>0</v>
      </c>
      <c r="H78" s="565"/>
      <c r="I78" s="67"/>
      <c r="J78" s="560"/>
      <c r="K78" s="566"/>
      <c r="L78" s="564">
        <v>0</v>
      </c>
      <c r="M78" s="565"/>
      <c r="N78" s="67"/>
      <c r="O78" s="560"/>
      <c r="P78" s="566"/>
      <c r="Q78" s="564">
        <v>29682</v>
      </c>
      <c r="R78" s="565"/>
      <c r="S78" s="67"/>
      <c r="T78" s="560"/>
      <c r="U78" s="566"/>
      <c r="V78" s="564">
        <v>0</v>
      </c>
      <c r="W78" s="565"/>
      <c r="X78" s="67"/>
      <c r="Y78" s="560"/>
      <c r="Z78" s="566"/>
      <c r="AA78" s="564">
        <v>0</v>
      </c>
      <c r="AB78" s="565"/>
      <c r="AC78" s="67"/>
      <c r="AD78" s="560"/>
      <c r="AE78" s="566"/>
      <c r="AF78" s="564">
        <v>0</v>
      </c>
      <c r="AG78" s="565"/>
      <c r="AH78" s="67"/>
      <c r="AI78" s="560"/>
      <c r="AJ78" s="566"/>
      <c r="AK78" s="564">
        <v>0</v>
      </c>
      <c r="AL78" s="565"/>
      <c r="AM78" s="67"/>
      <c r="AN78" s="560"/>
      <c r="AO78" s="566"/>
      <c r="AP78" s="564">
        <v>0</v>
      </c>
      <c r="AQ78" s="565"/>
      <c r="AR78" s="67"/>
      <c r="AS78" s="560"/>
      <c r="AT78" s="566"/>
      <c r="AU78" s="564">
        <v>0</v>
      </c>
      <c r="AV78" s="565"/>
      <c r="AW78" s="67"/>
      <c r="AX78" s="560"/>
      <c r="AY78" s="566"/>
      <c r="AZ78" s="564">
        <v>0</v>
      </c>
      <c r="BA78" s="565"/>
      <c r="BB78" s="67"/>
      <c r="BC78" s="560"/>
      <c r="BD78" s="566"/>
      <c r="BE78" s="564">
        <v>0</v>
      </c>
      <c r="BF78" s="565"/>
      <c r="BG78" s="67"/>
      <c r="BH78" s="560"/>
      <c r="BI78" s="566"/>
      <c r="BJ78" s="564">
        <v>0</v>
      </c>
      <c r="BK78" s="565"/>
      <c r="BL78" s="67"/>
      <c r="BM78" s="560"/>
      <c r="BN78" s="566"/>
      <c r="BO78" s="564">
        <v>0</v>
      </c>
      <c r="BP78" s="565"/>
      <c r="BQ78" s="67"/>
      <c r="BR78" s="560"/>
      <c r="BS78" s="566"/>
      <c r="BT78" s="564">
        <f>SUM(L78:BO78)</f>
        <v>29682</v>
      </c>
      <c r="BU78" s="565"/>
      <c r="BV78" s="67"/>
      <c r="BW78" s="560"/>
      <c r="BX78" s="566"/>
      <c r="BY78" s="564">
        <v>3225244</v>
      </c>
      <c r="BZ78" s="565"/>
      <c r="CA78" s="67"/>
      <c r="CB78" s="560"/>
      <c r="CC78" s="566"/>
      <c r="CD78" s="564">
        <v>3109689</v>
      </c>
      <c r="CE78" s="565"/>
      <c r="CF78" s="67"/>
      <c r="CG78" s="560"/>
      <c r="CH78" s="566"/>
      <c r="CI78" s="564">
        <v>0</v>
      </c>
      <c r="CJ78" s="565"/>
      <c r="CK78" s="67"/>
      <c r="CL78" s="560"/>
      <c r="CM78" s="566"/>
      <c r="CN78" s="564">
        <v>0</v>
      </c>
      <c r="CO78" s="565"/>
      <c r="CP78" s="67"/>
      <c r="CQ78" s="560"/>
      <c r="CR78" s="566"/>
      <c r="CS78" s="564">
        <v>0</v>
      </c>
      <c r="CT78" s="565"/>
      <c r="CU78" s="67"/>
      <c r="CV78" s="560"/>
      <c r="CW78" s="566"/>
      <c r="CX78" s="564">
        <v>0</v>
      </c>
      <c r="CY78" s="565"/>
      <c r="CZ78" s="67"/>
      <c r="DA78" s="560"/>
      <c r="DB78" s="566"/>
      <c r="DC78" s="564">
        <v>115555</v>
      </c>
      <c r="DD78" s="565"/>
      <c r="DE78" s="67"/>
      <c r="DF78" s="560"/>
      <c r="DG78" s="566"/>
      <c r="DH78" s="564">
        <v>0</v>
      </c>
      <c r="DI78" s="565"/>
      <c r="DJ78" s="67"/>
      <c r="DK78" s="560"/>
      <c r="DL78" s="566"/>
      <c r="DM78" s="564">
        <v>0</v>
      </c>
      <c r="DN78" s="565"/>
      <c r="DO78" s="67"/>
      <c r="DP78" s="560"/>
      <c r="DQ78" s="566"/>
      <c r="DR78" s="564">
        <v>0</v>
      </c>
      <c r="DS78" s="565"/>
      <c r="DT78" s="67"/>
      <c r="DU78" s="560"/>
      <c r="DV78" s="566"/>
      <c r="DW78" s="564">
        <v>0</v>
      </c>
      <c r="DX78" s="565"/>
      <c r="DY78" s="67"/>
      <c r="DZ78" s="560"/>
      <c r="EA78" s="566"/>
      <c r="EB78" s="564">
        <v>0</v>
      </c>
      <c r="EC78" s="565"/>
      <c r="ED78" s="67"/>
      <c r="EE78" s="560"/>
      <c r="EF78" s="566"/>
      <c r="EG78" s="564">
        <v>0</v>
      </c>
      <c r="EH78" s="565"/>
      <c r="EI78" s="67"/>
      <c r="EJ78" s="560"/>
      <c r="EK78" s="566"/>
      <c r="EL78" s="564">
        <f>SUM(CD78:CI78)</f>
        <v>3109689</v>
      </c>
      <c r="EM78" s="596"/>
      <c r="EN78" s="442"/>
      <c r="EO78" s="455"/>
      <c r="EP78" s="472"/>
      <c r="EQ78" s="472"/>
    </row>
    <row r="79" spans="1:147" ht="12.75" customHeight="1" x14ac:dyDescent="0.2">
      <c r="A79" s="442"/>
      <c r="B79" s="442"/>
      <c r="D79" s="455"/>
      <c r="E79" s="465"/>
      <c r="F79" s="442"/>
      <c r="G79" s="67"/>
      <c r="H79" s="67"/>
      <c r="I79" s="67"/>
      <c r="J79" s="560"/>
      <c r="K79" s="67"/>
      <c r="L79" s="67"/>
      <c r="M79" s="67"/>
      <c r="N79" s="67"/>
      <c r="O79" s="560"/>
      <c r="P79" s="67"/>
      <c r="Q79" s="67"/>
      <c r="R79" s="67"/>
      <c r="S79" s="67"/>
      <c r="T79" s="560"/>
      <c r="U79" s="67"/>
      <c r="V79" s="67"/>
      <c r="W79" s="67"/>
      <c r="X79" s="67"/>
      <c r="Y79" s="560"/>
      <c r="Z79" s="67"/>
      <c r="AA79" s="67"/>
      <c r="AB79" s="67"/>
      <c r="AC79" s="67"/>
      <c r="AD79" s="560"/>
      <c r="AE79" s="67"/>
      <c r="AF79" s="67"/>
      <c r="AG79" s="67"/>
      <c r="AH79" s="67"/>
      <c r="AI79" s="560"/>
      <c r="AJ79" s="67"/>
      <c r="AK79" s="67"/>
      <c r="AL79" s="67"/>
      <c r="AM79" s="67"/>
      <c r="AN79" s="560"/>
      <c r="AO79" s="67"/>
      <c r="AP79" s="67"/>
      <c r="AQ79" s="67"/>
      <c r="AR79" s="67"/>
      <c r="AS79" s="560"/>
      <c r="AT79" s="67"/>
      <c r="AU79" s="67"/>
      <c r="AV79" s="67"/>
      <c r="AW79" s="67"/>
      <c r="AX79" s="560"/>
      <c r="AY79" s="67"/>
      <c r="AZ79" s="67"/>
      <c r="BA79" s="67"/>
      <c r="BB79" s="67"/>
      <c r="BC79" s="560"/>
      <c r="BD79" s="67"/>
      <c r="BE79" s="67"/>
      <c r="BF79" s="67"/>
      <c r="BG79" s="67"/>
      <c r="BH79" s="560"/>
      <c r="BI79" s="67"/>
      <c r="BJ79" s="67"/>
      <c r="BK79" s="67"/>
      <c r="BL79" s="67"/>
      <c r="BM79" s="560"/>
      <c r="BN79" s="67"/>
      <c r="BO79" s="67"/>
      <c r="BP79" s="67"/>
      <c r="BQ79" s="67"/>
      <c r="BR79" s="560"/>
      <c r="BS79" s="67"/>
      <c r="BT79" s="67"/>
      <c r="BU79" s="67"/>
      <c r="BV79" s="67"/>
      <c r="BW79" s="560"/>
      <c r="BX79" s="67"/>
      <c r="BY79" s="67"/>
      <c r="BZ79" s="67"/>
      <c r="CA79" s="67"/>
      <c r="CB79" s="560"/>
      <c r="CC79" s="67"/>
      <c r="CD79" s="67"/>
      <c r="CE79" s="67"/>
      <c r="CF79" s="67"/>
      <c r="CG79" s="560"/>
      <c r="CH79" s="67"/>
      <c r="CI79" s="67"/>
      <c r="CJ79" s="67"/>
      <c r="CK79" s="67"/>
      <c r="CL79" s="560"/>
      <c r="CM79" s="67"/>
      <c r="CN79" s="67"/>
      <c r="CO79" s="67"/>
      <c r="CP79" s="67"/>
      <c r="CQ79" s="560"/>
      <c r="CR79" s="67"/>
      <c r="CS79" s="67"/>
      <c r="CT79" s="67"/>
      <c r="CU79" s="67"/>
      <c r="CV79" s="560"/>
      <c r="CW79" s="67"/>
      <c r="CX79" s="67"/>
      <c r="CY79" s="67"/>
      <c r="CZ79" s="67"/>
      <c r="DA79" s="560"/>
      <c r="DB79" s="67"/>
      <c r="DC79" s="67"/>
      <c r="DD79" s="67"/>
      <c r="DE79" s="67"/>
      <c r="DF79" s="560"/>
      <c r="DG79" s="67"/>
      <c r="DH79" s="67"/>
      <c r="DI79" s="67"/>
      <c r="DJ79" s="67"/>
      <c r="DK79" s="560"/>
      <c r="DL79" s="67"/>
      <c r="DM79" s="67"/>
      <c r="DN79" s="67"/>
      <c r="DO79" s="67"/>
      <c r="DP79" s="560"/>
      <c r="DQ79" s="67"/>
      <c r="DR79" s="67"/>
      <c r="DS79" s="67"/>
      <c r="DT79" s="67"/>
      <c r="DU79" s="560"/>
      <c r="DV79" s="67"/>
      <c r="DW79" s="67"/>
      <c r="DX79" s="67"/>
      <c r="DY79" s="67"/>
      <c r="DZ79" s="560"/>
      <c r="EA79" s="67"/>
      <c r="EB79" s="67"/>
      <c r="EC79" s="67"/>
      <c r="ED79" s="67"/>
      <c r="EE79" s="560"/>
      <c r="EF79" s="67"/>
      <c r="EG79" s="67"/>
      <c r="EH79" s="67"/>
      <c r="EI79" s="67"/>
      <c r="EJ79" s="560"/>
      <c r="EK79" s="67"/>
      <c r="EL79" s="67"/>
      <c r="EM79" s="442"/>
      <c r="EN79" s="442"/>
      <c r="EO79" s="455"/>
      <c r="EP79" s="472"/>
      <c r="EQ79" s="472"/>
    </row>
    <row r="80" spans="1:147" ht="12.75" customHeight="1" x14ac:dyDescent="0.2">
      <c r="A80" s="442"/>
      <c r="B80" s="442"/>
      <c r="D80" s="455" t="s">
        <v>375</v>
      </c>
      <c r="E80" s="465"/>
      <c r="F80" s="442"/>
      <c r="G80" s="67">
        <f>SUM(G81:G81)</f>
        <v>0</v>
      </c>
      <c r="H80" s="67"/>
      <c r="I80" s="67"/>
      <c r="J80" s="560"/>
      <c r="K80" s="67"/>
      <c r="L80" s="442">
        <f>SUM(L81:L81)</f>
        <v>0</v>
      </c>
      <c r="M80" s="67">
        <f>SUM(M81:M81)</f>
        <v>0</v>
      </c>
      <c r="N80" s="67"/>
      <c r="O80" s="560"/>
      <c r="P80" s="442"/>
      <c r="Q80" s="442">
        <f>SUM(Q81:Q81)</f>
        <v>0</v>
      </c>
      <c r="R80" s="67"/>
      <c r="S80" s="67"/>
      <c r="T80" s="560"/>
      <c r="U80" s="442"/>
      <c r="V80" s="442">
        <f>SUM(V81:V81)</f>
        <v>0</v>
      </c>
      <c r="W80" s="67"/>
      <c r="X80" s="67"/>
      <c r="Y80" s="560"/>
      <c r="Z80" s="442"/>
      <c r="AA80" s="442">
        <f>SUM(AA81:AA81)</f>
        <v>0</v>
      </c>
      <c r="AB80" s="67"/>
      <c r="AC80" s="67"/>
      <c r="AD80" s="560"/>
      <c r="AE80" s="442"/>
      <c r="AF80" s="442">
        <f>SUM(AF81:AF81)</f>
        <v>0</v>
      </c>
      <c r="AG80" s="67"/>
      <c r="AH80" s="67"/>
      <c r="AI80" s="560"/>
      <c r="AJ80" s="442"/>
      <c r="AK80" s="442">
        <f>SUM(AK81:AK81)</f>
        <v>0</v>
      </c>
      <c r="AL80" s="67"/>
      <c r="AM80" s="67"/>
      <c r="AN80" s="560"/>
      <c r="AO80" s="442"/>
      <c r="AP80" s="442">
        <f>SUM(AP81:AP81)</f>
        <v>0</v>
      </c>
      <c r="AQ80" s="67"/>
      <c r="AR80" s="67"/>
      <c r="AS80" s="560"/>
      <c r="AT80" s="442"/>
      <c r="AU80" s="442">
        <f>SUM(AU81:AU81)</f>
        <v>0</v>
      </c>
      <c r="AV80" s="67"/>
      <c r="AW80" s="67"/>
      <c r="AX80" s="560"/>
      <c r="AY80" s="442"/>
      <c r="AZ80" s="442">
        <f>SUM(AZ81:AZ81)</f>
        <v>0</v>
      </c>
      <c r="BA80" s="67"/>
      <c r="BB80" s="67"/>
      <c r="BC80" s="560"/>
      <c r="BD80" s="442"/>
      <c r="BE80" s="442">
        <f>SUM(BE81:BE81)</f>
        <v>0</v>
      </c>
      <c r="BF80" s="67"/>
      <c r="BG80" s="67"/>
      <c r="BH80" s="560"/>
      <c r="BI80" s="442"/>
      <c r="BJ80" s="442">
        <f>SUM(BJ81:BJ81)</f>
        <v>0</v>
      </c>
      <c r="BK80" s="67"/>
      <c r="BL80" s="67"/>
      <c r="BM80" s="560"/>
      <c r="BN80" s="442"/>
      <c r="BO80" s="442">
        <f>SUM(BO81:BO81)</f>
        <v>0</v>
      </c>
      <c r="BP80" s="67"/>
      <c r="BQ80" s="67"/>
      <c r="BR80" s="560"/>
      <c r="BS80" s="442"/>
      <c r="BT80" s="67">
        <f>SUM(BT81:BT81)</f>
        <v>0</v>
      </c>
      <c r="BU80" s="67"/>
      <c r="BV80" s="67"/>
      <c r="BW80" s="560"/>
      <c r="BX80" s="442"/>
      <c r="BY80" s="67">
        <f>SUM(BY81:BY81)</f>
        <v>54098</v>
      </c>
      <c r="BZ80" s="67"/>
      <c r="CA80" s="67"/>
      <c r="CB80" s="560"/>
      <c r="CC80" s="67"/>
      <c r="CD80" s="442">
        <f>SUM(CD81:CD81)</f>
        <v>0</v>
      </c>
      <c r="CE80" s="67">
        <f>SUM(CE81:CE81)</f>
        <v>0</v>
      </c>
      <c r="CF80" s="67"/>
      <c r="CG80" s="560"/>
      <c r="CH80" s="442"/>
      <c r="CI80" s="442">
        <f>SUM(CI81:CI81)</f>
        <v>0</v>
      </c>
      <c r="CJ80" s="67"/>
      <c r="CK80" s="67"/>
      <c r="CL80" s="560"/>
      <c r="CM80" s="442"/>
      <c r="CN80" s="442">
        <f>SUM(CN81:CN81)</f>
        <v>0</v>
      </c>
      <c r="CO80" s="67"/>
      <c r="CP80" s="67"/>
      <c r="CQ80" s="560"/>
      <c r="CR80" s="442"/>
      <c r="CS80" s="442">
        <f>SUM(CS81:CS81)</f>
        <v>0</v>
      </c>
      <c r="CT80" s="67"/>
      <c r="CU80" s="67"/>
      <c r="CV80" s="560"/>
      <c r="CW80" s="442"/>
      <c r="CX80" s="442">
        <f>SUM(CX81:CX81)</f>
        <v>0</v>
      </c>
      <c r="CY80" s="67"/>
      <c r="CZ80" s="67"/>
      <c r="DA80" s="560"/>
      <c r="DB80" s="442"/>
      <c r="DC80" s="442">
        <f>SUM(DC81:DC81)</f>
        <v>0</v>
      </c>
      <c r="DD80" s="67"/>
      <c r="DE80" s="67"/>
      <c r="DF80" s="560"/>
      <c r="DG80" s="442"/>
      <c r="DH80" s="442">
        <f>SUM(DH81:DH81)</f>
        <v>0</v>
      </c>
      <c r="DI80" s="67"/>
      <c r="DJ80" s="67"/>
      <c r="DK80" s="560"/>
      <c r="DL80" s="442"/>
      <c r="DM80" s="442">
        <f>SUM(DM81:DM81)</f>
        <v>0</v>
      </c>
      <c r="DN80" s="67"/>
      <c r="DO80" s="67"/>
      <c r="DP80" s="560"/>
      <c r="DQ80" s="442"/>
      <c r="DR80" s="442">
        <f>SUM(DR81:DR81)</f>
        <v>0</v>
      </c>
      <c r="DS80" s="67"/>
      <c r="DT80" s="67"/>
      <c r="DU80" s="560"/>
      <c r="DV80" s="442"/>
      <c r="DW80" s="442">
        <f>SUM(DW81:DW81)</f>
        <v>0</v>
      </c>
      <c r="DX80" s="67"/>
      <c r="DY80" s="67"/>
      <c r="DZ80" s="560"/>
      <c r="EA80" s="442"/>
      <c r="EB80" s="442">
        <f>SUM(EB81:EB81)</f>
        <v>0</v>
      </c>
      <c r="EC80" s="67"/>
      <c r="ED80" s="67"/>
      <c r="EE80" s="560"/>
      <c r="EF80" s="442"/>
      <c r="EG80" s="442">
        <f>SUM(EG81:EG81)</f>
        <v>54098</v>
      </c>
      <c r="EH80" s="67"/>
      <c r="EI80" s="67"/>
      <c r="EJ80" s="560"/>
      <c r="EK80" s="442"/>
      <c r="EL80" s="67">
        <f>SUM(EL81:EL81)</f>
        <v>0</v>
      </c>
      <c r="EM80" s="67"/>
      <c r="EN80" s="442"/>
      <c r="EO80" s="455"/>
      <c r="EP80" s="472"/>
      <c r="EQ80" s="472"/>
    </row>
    <row r="81" spans="1:147" ht="12.75" customHeight="1" x14ac:dyDescent="0.2">
      <c r="A81" s="442"/>
      <c r="B81" s="442"/>
      <c r="D81" s="455" t="s">
        <v>342</v>
      </c>
      <c r="E81" s="465"/>
      <c r="F81" s="563"/>
      <c r="G81" s="564">
        <v>0</v>
      </c>
      <c r="H81" s="565"/>
      <c r="I81" s="67"/>
      <c r="J81" s="560"/>
      <c r="K81" s="566"/>
      <c r="L81" s="564">
        <v>0</v>
      </c>
      <c r="M81" s="565"/>
      <c r="N81" s="63"/>
      <c r="O81" s="560"/>
      <c r="P81" s="563"/>
      <c r="Q81" s="564">
        <v>0</v>
      </c>
      <c r="R81" s="565"/>
      <c r="S81" s="67"/>
      <c r="T81" s="560"/>
      <c r="U81" s="563"/>
      <c r="V81" s="564">
        <v>0</v>
      </c>
      <c r="W81" s="565"/>
      <c r="X81" s="67"/>
      <c r="Y81" s="560"/>
      <c r="Z81" s="563"/>
      <c r="AA81" s="564">
        <v>0</v>
      </c>
      <c r="AB81" s="565"/>
      <c r="AC81" s="67"/>
      <c r="AD81" s="560"/>
      <c r="AE81" s="563"/>
      <c r="AF81" s="564">
        <v>0</v>
      </c>
      <c r="AG81" s="565"/>
      <c r="AH81" s="67"/>
      <c r="AI81" s="560"/>
      <c r="AJ81" s="563"/>
      <c r="AK81" s="564">
        <v>0</v>
      </c>
      <c r="AL81" s="565"/>
      <c r="AM81" s="67"/>
      <c r="AN81" s="560"/>
      <c r="AO81" s="563"/>
      <c r="AP81" s="564">
        <v>0</v>
      </c>
      <c r="AQ81" s="565"/>
      <c r="AR81" s="67"/>
      <c r="AS81" s="560"/>
      <c r="AT81" s="563"/>
      <c r="AU81" s="564">
        <v>0</v>
      </c>
      <c r="AV81" s="565"/>
      <c r="AW81" s="67"/>
      <c r="AX81" s="560"/>
      <c r="AY81" s="563"/>
      <c r="AZ81" s="564">
        <v>0</v>
      </c>
      <c r="BA81" s="565"/>
      <c r="BB81" s="67"/>
      <c r="BC81" s="560"/>
      <c r="BD81" s="563"/>
      <c r="BE81" s="564">
        <v>0</v>
      </c>
      <c r="BF81" s="565"/>
      <c r="BG81" s="67"/>
      <c r="BH81" s="560"/>
      <c r="BI81" s="563"/>
      <c r="BJ81" s="564">
        <v>0</v>
      </c>
      <c r="BK81" s="565"/>
      <c r="BL81" s="67"/>
      <c r="BM81" s="560"/>
      <c r="BN81" s="563"/>
      <c r="BO81" s="564">
        <v>0</v>
      </c>
      <c r="BP81" s="565"/>
      <c r="BQ81" s="67"/>
      <c r="BR81" s="560"/>
      <c r="BS81" s="563"/>
      <c r="BT81" s="564">
        <f>SUM(L81:BO81)</f>
        <v>0</v>
      </c>
      <c r="BU81" s="565"/>
      <c r="BV81" s="67"/>
      <c r="BW81" s="560"/>
      <c r="BX81" s="563"/>
      <c r="BY81" s="564">
        <v>54098</v>
      </c>
      <c r="BZ81" s="565"/>
      <c r="CA81" s="67"/>
      <c r="CB81" s="560"/>
      <c r="CC81" s="566"/>
      <c r="CD81" s="564">
        <v>0</v>
      </c>
      <c r="CE81" s="565"/>
      <c r="CF81" s="63"/>
      <c r="CG81" s="560"/>
      <c r="CH81" s="563"/>
      <c r="CI81" s="564">
        <v>0</v>
      </c>
      <c r="CJ81" s="565"/>
      <c r="CK81" s="67"/>
      <c r="CL81" s="560"/>
      <c r="CM81" s="563"/>
      <c r="CN81" s="564">
        <v>0</v>
      </c>
      <c r="CO81" s="565"/>
      <c r="CP81" s="67"/>
      <c r="CQ81" s="560"/>
      <c r="CR81" s="563"/>
      <c r="CS81" s="564">
        <v>0</v>
      </c>
      <c r="CT81" s="565"/>
      <c r="CU81" s="67"/>
      <c r="CV81" s="560"/>
      <c r="CW81" s="563"/>
      <c r="CX81" s="564">
        <v>0</v>
      </c>
      <c r="CY81" s="565"/>
      <c r="CZ81" s="67"/>
      <c r="DA81" s="560"/>
      <c r="DB81" s="563"/>
      <c r="DC81" s="564">
        <v>0</v>
      </c>
      <c r="DD81" s="565"/>
      <c r="DE81" s="67"/>
      <c r="DF81" s="560"/>
      <c r="DG81" s="563"/>
      <c r="DH81" s="564">
        <v>0</v>
      </c>
      <c r="DI81" s="565"/>
      <c r="DJ81" s="67"/>
      <c r="DK81" s="560"/>
      <c r="DL81" s="563"/>
      <c r="DM81" s="564">
        <v>0</v>
      </c>
      <c r="DN81" s="565"/>
      <c r="DO81" s="67"/>
      <c r="DP81" s="560"/>
      <c r="DQ81" s="563"/>
      <c r="DR81" s="564">
        <v>0</v>
      </c>
      <c r="DS81" s="565"/>
      <c r="DT81" s="67"/>
      <c r="DU81" s="560"/>
      <c r="DV81" s="563"/>
      <c r="DW81" s="564">
        <v>0</v>
      </c>
      <c r="DX81" s="565"/>
      <c r="DY81" s="67"/>
      <c r="DZ81" s="560"/>
      <c r="EA81" s="563"/>
      <c r="EB81" s="564">
        <v>0</v>
      </c>
      <c r="EC81" s="565"/>
      <c r="ED81" s="67"/>
      <c r="EE81" s="560"/>
      <c r="EF81" s="563"/>
      <c r="EG81" s="564">
        <v>54098</v>
      </c>
      <c r="EH81" s="565"/>
      <c r="EI81" s="67"/>
      <c r="EJ81" s="560"/>
      <c r="EK81" s="563"/>
      <c r="EL81" s="564">
        <f>SUM(CD81:CI81)</f>
        <v>0</v>
      </c>
      <c r="EM81" s="565"/>
      <c r="EN81" s="442"/>
      <c r="EO81" s="455"/>
      <c r="EP81" s="472"/>
      <c r="EQ81" s="472"/>
    </row>
    <row r="82" spans="1:147" ht="12.75" customHeight="1" x14ac:dyDescent="0.2">
      <c r="A82" s="442"/>
      <c r="B82" s="442"/>
      <c r="D82" s="455"/>
      <c r="E82" s="465"/>
      <c r="F82" s="442"/>
      <c r="G82" s="597"/>
      <c r="H82" s="597"/>
      <c r="I82" s="597"/>
      <c r="J82" s="598"/>
      <c r="K82" s="597"/>
      <c r="L82" s="597"/>
      <c r="M82" s="597"/>
      <c r="N82" s="597"/>
      <c r="O82" s="598"/>
      <c r="P82" s="597"/>
      <c r="Q82" s="597"/>
      <c r="R82" s="597"/>
      <c r="S82" s="597"/>
      <c r="T82" s="598"/>
      <c r="U82" s="597"/>
      <c r="V82" s="597"/>
      <c r="W82" s="597"/>
      <c r="X82" s="597"/>
      <c r="Y82" s="598"/>
      <c r="Z82" s="597"/>
      <c r="AA82" s="597"/>
      <c r="AB82" s="597"/>
      <c r="AC82" s="597"/>
      <c r="AD82" s="598"/>
      <c r="AE82" s="597"/>
      <c r="AF82" s="597"/>
      <c r="AG82" s="597"/>
      <c r="AH82" s="597"/>
      <c r="AI82" s="598"/>
      <c r="AJ82" s="597"/>
      <c r="AK82" s="597"/>
      <c r="AL82" s="597"/>
      <c r="AM82" s="597"/>
      <c r="AN82" s="598"/>
      <c r="AO82" s="597"/>
      <c r="AP82" s="597"/>
      <c r="AQ82" s="597"/>
      <c r="AR82" s="597"/>
      <c r="AS82" s="598"/>
      <c r="AT82" s="597"/>
      <c r="AU82" s="597"/>
      <c r="AV82" s="597"/>
      <c r="AW82" s="597"/>
      <c r="AX82" s="598"/>
      <c r="AY82" s="597"/>
      <c r="AZ82" s="597"/>
      <c r="BA82" s="597"/>
      <c r="BB82" s="597"/>
      <c r="BC82" s="598"/>
      <c r="BD82" s="597"/>
      <c r="BE82" s="597"/>
      <c r="BF82" s="597"/>
      <c r="BG82" s="597"/>
      <c r="BH82" s="598"/>
      <c r="BI82" s="597"/>
      <c r="BJ82" s="597"/>
      <c r="BK82" s="597"/>
      <c r="BL82" s="597"/>
      <c r="BM82" s="598"/>
      <c r="BN82" s="597"/>
      <c r="BO82" s="597"/>
      <c r="BP82" s="597"/>
      <c r="BQ82" s="597"/>
      <c r="BR82" s="598"/>
      <c r="BS82" s="597"/>
      <c r="BT82" s="67"/>
      <c r="BU82" s="67"/>
      <c r="BV82" s="67"/>
      <c r="BW82" s="560"/>
      <c r="BX82" s="67"/>
      <c r="BY82" s="67"/>
      <c r="BZ82" s="597"/>
      <c r="CA82" s="597"/>
      <c r="CB82" s="598"/>
      <c r="CC82" s="597"/>
      <c r="CD82" s="597"/>
      <c r="CE82" s="597"/>
      <c r="CF82" s="597"/>
      <c r="CG82" s="598"/>
      <c r="CH82" s="597"/>
      <c r="CI82" s="597"/>
      <c r="CJ82" s="597"/>
      <c r="CK82" s="597"/>
      <c r="CL82" s="598"/>
      <c r="CM82" s="597"/>
      <c r="CN82" s="597"/>
      <c r="CO82" s="597"/>
      <c r="CP82" s="597"/>
      <c r="CQ82" s="598"/>
      <c r="CR82" s="597"/>
      <c r="CS82" s="597"/>
      <c r="CT82" s="597"/>
      <c r="CU82" s="597"/>
      <c r="CV82" s="598"/>
      <c r="CW82" s="597"/>
      <c r="CX82" s="597"/>
      <c r="CY82" s="597"/>
      <c r="CZ82" s="597"/>
      <c r="DA82" s="598"/>
      <c r="DB82" s="597"/>
      <c r="DC82" s="597"/>
      <c r="DD82" s="597"/>
      <c r="DE82" s="597"/>
      <c r="DF82" s="598"/>
      <c r="DG82" s="597"/>
      <c r="DH82" s="597"/>
      <c r="DI82" s="597"/>
      <c r="DJ82" s="597"/>
      <c r="DK82" s="598"/>
      <c r="DL82" s="597"/>
      <c r="DM82" s="597"/>
      <c r="DN82" s="597"/>
      <c r="DO82" s="597"/>
      <c r="DP82" s="598"/>
      <c r="DQ82" s="597"/>
      <c r="DR82" s="597"/>
      <c r="DS82" s="597"/>
      <c r="DT82" s="597"/>
      <c r="DU82" s="598"/>
      <c r="DV82" s="597"/>
      <c r="DW82" s="597"/>
      <c r="DX82" s="597"/>
      <c r="DY82" s="597"/>
      <c r="DZ82" s="598"/>
      <c r="EA82" s="597"/>
      <c r="EB82" s="597"/>
      <c r="EC82" s="597"/>
      <c r="ED82" s="597"/>
      <c r="EE82" s="598"/>
      <c r="EF82" s="597"/>
      <c r="EG82" s="597"/>
      <c r="EH82" s="597"/>
      <c r="EI82" s="597"/>
      <c r="EJ82" s="598"/>
      <c r="EK82" s="597"/>
      <c r="EL82" s="67"/>
      <c r="EM82" s="442"/>
      <c r="EN82" s="442"/>
      <c r="EO82" s="455"/>
      <c r="EP82" s="472"/>
      <c r="EQ82" s="472"/>
    </row>
    <row r="83" spans="1:147" ht="12.75" customHeight="1" x14ac:dyDescent="0.2">
      <c r="A83" s="442"/>
      <c r="B83" s="442"/>
      <c r="D83" s="455" t="s">
        <v>351</v>
      </c>
      <c r="E83" s="465"/>
      <c r="F83" s="442"/>
      <c r="G83" s="67">
        <f>SUM(G84:G84)</f>
        <v>0</v>
      </c>
      <c r="H83" s="67"/>
      <c r="I83" s="67"/>
      <c r="J83" s="560"/>
      <c r="K83" s="67"/>
      <c r="L83" s="67">
        <f>SUM(L84:L84)</f>
        <v>0</v>
      </c>
      <c r="M83" s="67"/>
      <c r="N83" s="67"/>
      <c r="O83" s="560"/>
      <c r="P83" s="67"/>
      <c r="Q83" s="67">
        <f>SUM(Q84:Q84)</f>
        <v>0</v>
      </c>
      <c r="R83" s="67"/>
      <c r="S83" s="67"/>
      <c r="T83" s="560"/>
      <c r="U83" s="67"/>
      <c r="V83" s="67">
        <f>SUM(V84:V84)</f>
        <v>0</v>
      </c>
      <c r="W83" s="67"/>
      <c r="X83" s="67"/>
      <c r="Y83" s="560"/>
      <c r="Z83" s="67"/>
      <c r="AA83" s="67">
        <f>SUM(AA84:AA84)</f>
        <v>0</v>
      </c>
      <c r="AB83" s="67"/>
      <c r="AC83" s="67"/>
      <c r="AD83" s="560"/>
      <c r="AE83" s="67"/>
      <c r="AF83" s="67">
        <f>SUM(AF84:AF84)</f>
        <v>0</v>
      </c>
      <c r="AG83" s="67"/>
      <c r="AH83" s="67"/>
      <c r="AI83" s="560"/>
      <c r="AJ83" s="67"/>
      <c r="AK83" s="67">
        <f>SUM(AK84:AK84)</f>
        <v>0</v>
      </c>
      <c r="AL83" s="67"/>
      <c r="AM83" s="67"/>
      <c r="AN83" s="560"/>
      <c r="AO83" s="67"/>
      <c r="AP83" s="67">
        <f>SUM(AP84:AP84)</f>
        <v>0</v>
      </c>
      <c r="AQ83" s="67"/>
      <c r="AR83" s="67"/>
      <c r="AS83" s="560"/>
      <c r="AT83" s="67"/>
      <c r="AU83" s="67">
        <f>SUM(AU84:AU84)</f>
        <v>0</v>
      </c>
      <c r="AV83" s="67"/>
      <c r="AW83" s="67"/>
      <c r="AX83" s="560"/>
      <c r="AY83" s="67"/>
      <c r="AZ83" s="67">
        <f>SUM(AZ84:AZ84)</f>
        <v>0</v>
      </c>
      <c r="BA83" s="67"/>
      <c r="BB83" s="67"/>
      <c r="BC83" s="560"/>
      <c r="BD83" s="67"/>
      <c r="BE83" s="67">
        <f>SUM(BE84:BE84)</f>
        <v>0</v>
      </c>
      <c r="BF83" s="67"/>
      <c r="BG83" s="67"/>
      <c r="BH83" s="560"/>
      <c r="BI83" s="67"/>
      <c r="BJ83" s="67">
        <f>SUM(BJ84:BJ84)</f>
        <v>0</v>
      </c>
      <c r="BK83" s="67"/>
      <c r="BL83" s="67"/>
      <c r="BM83" s="560"/>
      <c r="BN83" s="67"/>
      <c r="BO83" s="67">
        <f>SUM(BO84:BO84)</f>
        <v>0</v>
      </c>
      <c r="BP83" s="67"/>
      <c r="BQ83" s="67"/>
      <c r="BR83" s="560"/>
      <c r="BS83" s="67"/>
      <c r="BT83" s="67">
        <f>SUM(BT84:BT84)</f>
        <v>0</v>
      </c>
      <c r="BU83" s="67"/>
      <c r="BV83" s="67"/>
      <c r="BW83" s="560"/>
      <c r="BX83" s="67"/>
      <c r="BY83" s="67">
        <f>SUM(BY84:BY84)</f>
        <v>41033</v>
      </c>
      <c r="BZ83" s="67"/>
      <c r="CA83" s="67"/>
      <c r="CB83" s="560"/>
      <c r="CC83" s="67"/>
      <c r="CD83" s="67">
        <f>SUM(CD84:CD84)</f>
        <v>0</v>
      </c>
      <c r="CE83" s="67"/>
      <c r="CF83" s="67"/>
      <c r="CG83" s="560"/>
      <c r="CH83" s="67"/>
      <c r="CI83" s="67">
        <f>SUM(CI84:CI84)</f>
        <v>0</v>
      </c>
      <c r="CJ83" s="67"/>
      <c r="CK83" s="67"/>
      <c r="CL83" s="560"/>
      <c r="CM83" s="67"/>
      <c r="CN83" s="67">
        <f>SUM(CN84:CN84)</f>
        <v>0</v>
      </c>
      <c r="CO83" s="67"/>
      <c r="CP83" s="67"/>
      <c r="CQ83" s="560"/>
      <c r="CR83" s="67"/>
      <c r="CS83" s="67">
        <f>SUM(CS84:CS84)</f>
        <v>0</v>
      </c>
      <c r="CT83" s="67"/>
      <c r="CU83" s="67"/>
      <c r="CV83" s="560"/>
      <c r="CW83" s="67"/>
      <c r="CX83" s="67">
        <f>SUM(CX84:CX84)</f>
        <v>0</v>
      </c>
      <c r="CY83" s="67"/>
      <c r="CZ83" s="67"/>
      <c r="DA83" s="560"/>
      <c r="DB83" s="67"/>
      <c r="DC83" s="67">
        <f>SUM(DC84:DC84)</f>
        <v>0</v>
      </c>
      <c r="DD83" s="67"/>
      <c r="DE83" s="67"/>
      <c r="DF83" s="560"/>
      <c r="DG83" s="67"/>
      <c r="DH83" s="67">
        <f>SUM(DH84:DH84)</f>
        <v>0</v>
      </c>
      <c r="DI83" s="67"/>
      <c r="DJ83" s="67"/>
      <c r="DK83" s="560"/>
      <c r="DL83" s="67"/>
      <c r="DM83" s="67">
        <f>SUM(DM84:DM84)</f>
        <v>0</v>
      </c>
      <c r="DN83" s="67"/>
      <c r="DO83" s="67"/>
      <c r="DP83" s="560"/>
      <c r="DQ83" s="67"/>
      <c r="DR83" s="67">
        <f>SUM(DR84:DR84)</f>
        <v>0</v>
      </c>
      <c r="DS83" s="67"/>
      <c r="DT83" s="67"/>
      <c r="DU83" s="560"/>
      <c r="DV83" s="67"/>
      <c r="DW83" s="67">
        <f>SUM(DW84:DW84)</f>
        <v>0</v>
      </c>
      <c r="DX83" s="67"/>
      <c r="DY83" s="67"/>
      <c r="DZ83" s="560"/>
      <c r="EA83" s="67"/>
      <c r="EB83" s="67">
        <f>SUM(EB84:EB84)</f>
        <v>0</v>
      </c>
      <c r="EC83" s="67"/>
      <c r="ED83" s="67"/>
      <c r="EE83" s="560"/>
      <c r="EF83" s="67"/>
      <c r="EG83" s="67">
        <f>SUM(EG84:EG84)</f>
        <v>41033</v>
      </c>
      <c r="EH83" s="67"/>
      <c r="EI83" s="67"/>
      <c r="EJ83" s="560"/>
      <c r="EK83" s="67"/>
      <c r="EL83" s="67">
        <f>SUM(EL84:EL84)</f>
        <v>0</v>
      </c>
      <c r="EM83" s="442"/>
      <c r="EN83" s="573"/>
      <c r="EO83" s="455"/>
      <c r="EP83" s="472"/>
      <c r="EQ83" s="472"/>
    </row>
    <row r="84" spans="1:147" ht="12.75" customHeight="1" x14ac:dyDescent="0.2">
      <c r="A84" s="442"/>
      <c r="B84" s="442"/>
      <c r="D84" s="455" t="s">
        <v>342</v>
      </c>
      <c r="E84" s="465"/>
      <c r="F84" s="563"/>
      <c r="G84" s="564">
        <v>0</v>
      </c>
      <c r="H84" s="565"/>
      <c r="I84" s="67"/>
      <c r="J84" s="560"/>
      <c r="K84" s="566"/>
      <c r="L84" s="564">
        <v>0</v>
      </c>
      <c r="M84" s="565"/>
      <c r="N84" s="67"/>
      <c r="O84" s="560"/>
      <c r="P84" s="566"/>
      <c r="Q84" s="564">
        <v>0</v>
      </c>
      <c r="R84" s="565"/>
      <c r="S84" s="67"/>
      <c r="T84" s="560"/>
      <c r="U84" s="566"/>
      <c r="V84" s="564">
        <v>0</v>
      </c>
      <c r="W84" s="565"/>
      <c r="X84" s="67"/>
      <c r="Y84" s="560"/>
      <c r="Z84" s="566"/>
      <c r="AA84" s="564">
        <v>0</v>
      </c>
      <c r="AB84" s="565"/>
      <c r="AC84" s="67"/>
      <c r="AD84" s="560"/>
      <c r="AE84" s="566"/>
      <c r="AF84" s="564">
        <v>0</v>
      </c>
      <c r="AG84" s="565"/>
      <c r="AH84" s="67"/>
      <c r="AI84" s="560"/>
      <c r="AJ84" s="566"/>
      <c r="AK84" s="564">
        <v>0</v>
      </c>
      <c r="AL84" s="565"/>
      <c r="AM84" s="67"/>
      <c r="AN84" s="560"/>
      <c r="AO84" s="566"/>
      <c r="AP84" s="564">
        <v>0</v>
      </c>
      <c r="AQ84" s="565"/>
      <c r="AR84" s="67"/>
      <c r="AS84" s="560"/>
      <c r="AT84" s="566"/>
      <c r="AU84" s="564">
        <v>0</v>
      </c>
      <c r="AV84" s="565"/>
      <c r="AW84" s="67"/>
      <c r="AX84" s="560"/>
      <c r="AY84" s="566"/>
      <c r="AZ84" s="564">
        <v>0</v>
      </c>
      <c r="BA84" s="565"/>
      <c r="BB84" s="67"/>
      <c r="BC84" s="560"/>
      <c r="BD84" s="566"/>
      <c r="BE84" s="564">
        <v>0</v>
      </c>
      <c r="BF84" s="565"/>
      <c r="BG84" s="67"/>
      <c r="BH84" s="560"/>
      <c r="BI84" s="566"/>
      <c r="BJ84" s="564">
        <v>0</v>
      </c>
      <c r="BK84" s="565"/>
      <c r="BL84" s="67"/>
      <c r="BM84" s="560"/>
      <c r="BN84" s="566"/>
      <c r="BO84" s="564">
        <v>0</v>
      </c>
      <c r="BP84" s="565"/>
      <c r="BQ84" s="67"/>
      <c r="BR84" s="560"/>
      <c r="BS84" s="566"/>
      <c r="BT84" s="564">
        <f>SUM(L84:BO84)</f>
        <v>0</v>
      </c>
      <c r="BU84" s="565"/>
      <c r="BV84" s="67"/>
      <c r="BW84" s="560"/>
      <c r="BX84" s="566"/>
      <c r="BY84" s="564">
        <v>41033</v>
      </c>
      <c r="BZ84" s="565"/>
      <c r="CA84" s="67"/>
      <c r="CB84" s="560"/>
      <c r="CC84" s="566"/>
      <c r="CD84" s="564">
        <v>0</v>
      </c>
      <c r="CE84" s="565"/>
      <c r="CF84" s="67"/>
      <c r="CG84" s="560"/>
      <c r="CH84" s="566"/>
      <c r="CI84" s="564">
        <v>0</v>
      </c>
      <c r="CJ84" s="565"/>
      <c r="CK84" s="67"/>
      <c r="CL84" s="560"/>
      <c r="CM84" s="566"/>
      <c r="CN84" s="564">
        <v>0</v>
      </c>
      <c r="CO84" s="565"/>
      <c r="CP84" s="67"/>
      <c r="CQ84" s="560"/>
      <c r="CR84" s="566"/>
      <c r="CS84" s="564">
        <v>0</v>
      </c>
      <c r="CT84" s="565"/>
      <c r="CU84" s="67"/>
      <c r="CV84" s="560"/>
      <c r="CW84" s="566"/>
      <c r="CX84" s="564">
        <v>0</v>
      </c>
      <c r="CY84" s="565"/>
      <c r="CZ84" s="67"/>
      <c r="DA84" s="560"/>
      <c r="DB84" s="566"/>
      <c r="DC84" s="564">
        <v>0</v>
      </c>
      <c r="DD84" s="565"/>
      <c r="DE84" s="67"/>
      <c r="DF84" s="560"/>
      <c r="DG84" s="566"/>
      <c r="DH84" s="564">
        <v>0</v>
      </c>
      <c r="DI84" s="565"/>
      <c r="DJ84" s="67"/>
      <c r="DK84" s="560"/>
      <c r="DL84" s="566"/>
      <c r="DM84" s="564">
        <v>0</v>
      </c>
      <c r="DN84" s="565"/>
      <c r="DO84" s="67"/>
      <c r="DP84" s="560"/>
      <c r="DQ84" s="566"/>
      <c r="DR84" s="564">
        <v>0</v>
      </c>
      <c r="DS84" s="565"/>
      <c r="DT84" s="67"/>
      <c r="DU84" s="560"/>
      <c r="DV84" s="566"/>
      <c r="DW84" s="564">
        <v>0</v>
      </c>
      <c r="DX84" s="565"/>
      <c r="DY84" s="67"/>
      <c r="DZ84" s="560"/>
      <c r="EA84" s="566"/>
      <c r="EB84" s="564">
        <v>0</v>
      </c>
      <c r="EC84" s="565"/>
      <c r="ED84" s="67"/>
      <c r="EE84" s="560"/>
      <c r="EF84" s="566"/>
      <c r="EG84" s="564">
        <v>41033</v>
      </c>
      <c r="EH84" s="565"/>
      <c r="EI84" s="67"/>
      <c r="EJ84" s="560"/>
      <c r="EK84" s="566"/>
      <c r="EL84" s="564">
        <f>SUM(CD84:CI84)</f>
        <v>0</v>
      </c>
      <c r="EM84" s="596"/>
      <c r="EN84" s="442"/>
      <c r="EO84" s="455"/>
      <c r="EP84" s="472"/>
      <c r="EQ84" s="472"/>
    </row>
    <row r="85" spans="1:147" x14ac:dyDescent="0.2">
      <c r="A85" s="442"/>
      <c r="B85" s="442"/>
      <c r="D85" s="455"/>
      <c r="E85" s="465"/>
      <c r="F85" s="442"/>
      <c r="G85" s="67"/>
      <c r="H85" s="67"/>
      <c r="I85" s="67"/>
      <c r="J85" s="560"/>
      <c r="K85" s="67"/>
      <c r="L85" s="67"/>
      <c r="M85" s="67"/>
      <c r="N85" s="67"/>
      <c r="O85" s="560"/>
      <c r="P85" s="67"/>
      <c r="Q85" s="67"/>
      <c r="R85" s="67"/>
      <c r="S85" s="67"/>
      <c r="T85" s="560"/>
      <c r="U85" s="67"/>
      <c r="V85" s="67"/>
      <c r="W85" s="67"/>
      <c r="X85" s="67"/>
      <c r="Y85" s="560"/>
      <c r="Z85" s="67"/>
      <c r="AA85" s="67"/>
      <c r="AB85" s="67"/>
      <c r="AC85" s="67"/>
      <c r="AD85" s="560"/>
      <c r="AE85" s="67"/>
      <c r="AF85" s="67"/>
      <c r="AG85" s="67"/>
      <c r="AH85" s="67"/>
      <c r="AI85" s="560"/>
      <c r="AJ85" s="67"/>
      <c r="AK85" s="67"/>
      <c r="AL85" s="67"/>
      <c r="AM85" s="67"/>
      <c r="AN85" s="560"/>
      <c r="AO85" s="67"/>
      <c r="AP85" s="67"/>
      <c r="AQ85" s="67"/>
      <c r="AR85" s="67"/>
      <c r="AS85" s="560"/>
      <c r="AT85" s="67"/>
      <c r="AU85" s="67"/>
      <c r="AV85" s="67"/>
      <c r="AW85" s="67"/>
      <c r="AX85" s="560"/>
      <c r="AY85" s="67"/>
      <c r="AZ85" s="67"/>
      <c r="BA85" s="67"/>
      <c r="BB85" s="67"/>
      <c r="BC85" s="560"/>
      <c r="BD85" s="67"/>
      <c r="BE85" s="67"/>
      <c r="BF85" s="67"/>
      <c r="BG85" s="67"/>
      <c r="BH85" s="560"/>
      <c r="BI85" s="67"/>
      <c r="BJ85" s="67"/>
      <c r="BK85" s="67"/>
      <c r="BL85" s="67"/>
      <c r="BM85" s="560"/>
      <c r="BN85" s="67"/>
      <c r="BO85" s="67"/>
      <c r="BP85" s="67"/>
      <c r="BQ85" s="67"/>
      <c r="BR85" s="560"/>
      <c r="BS85" s="67"/>
      <c r="BT85" s="67"/>
      <c r="BU85" s="67"/>
      <c r="BV85" s="67"/>
      <c r="BW85" s="560"/>
      <c r="BX85" s="67"/>
      <c r="BY85" s="67"/>
      <c r="BZ85" s="67"/>
      <c r="CA85" s="67"/>
      <c r="CB85" s="560"/>
      <c r="CC85" s="67"/>
      <c r="CD85" s="67"/>
      <c r="CE85" s="67"/>
      <c r="CF85" s="67"/>
      <c r="CG85" s="560"/>
      <c r="CH85" s="67"/>
      <c r="CI85" s="67"/>
      <c r="CJ85" s="67"/>
      <c r="CK85" s="67"/>
      <c r="CL85" s="560"/>
      <c r="CM85" s="67"/>
      <c r="CN85" s="67"/>
      <c r="CO85" s="67"/>
      <c r="CP85" s="67"/>
      <c r="CQ85" s="560"/>
      <c r="CR85" s="67"/>
      <c r="CS85" s="67"/>
      <c r="CT85" s="67"/>
      <c r="CU85" s="67"/>
      <c r="CV85" s="560"/>
      <c r="CW85" s="67"/>
      <c r="CX85" s="67"/>
      <c r="CY85" s="67"/>
      <c r="CZ85" s="67"/>
      <c r="DA85" s="560"/>
      <c r="DB85" s="67"/>
      <c r="DC85" s="67"/>
      <c r="DD85" s="67"/>
      <c r="DE85" s="67"/>
      <c r="DF85" s="560"/>
      <c r="DG85" s="67"/>
      <c r="DH85" s="67"/>
      <c r="DI85" s="67"/>
      <c r="DJ85" s="67"/>
      <c r="DK85" s="560"/>
      <c r="DL85" s="67"/>
      <c r="DM85" s="67"/>
      <c r="DN85" s="67"/>
      <c r="DO85" s="67"/>
      <c r="DP85" s="560"/>
      <c r="DQ85" s="67"/>
      <c r="DR85" s="67"/>
      <c r="DS85" s="67"/>
      <c r="DT85" s="67"/>
      <c r="DU85" s="560"/>
      <c r="DV85" s="67"/>
      <c r="DW85" s="67"/>
      <c r="DX85" s="67"/>
      <c r="DY85" s="67"/>
      <c r="DZ85" s="560"/>
      <c r="EA85" s="67"/>
      <c r="EB85" s="67"/>
      <c r="EC85" s="67"/>
      <c r="ED85" s="67"/>
      <c r="EE85" s="560"/>
      <c r="EF85" s="67"/>
      <c r="EG85" s="67"/>
      <c r="EH85" s="67"/>
      <c r="EI85" s="67"/>
      <c r="EJ85" s="560"/>
      <c r="EK85" s="67"/>
      <c r="EL85" s="67"/>
      <c r="EM85" s="442"/>
      <c r="EN85" s="442"/>
      <c r="EO85" s="455"/>
      <c r="EP85" s="472"/>
      <c r="EQ85" s="472"/>
    </row>
    <row r="86" spans="1:147" x14ac:dyDescent="0.2">
      <c r="A86" s="442"/>
      <c r="B86" s="442"/>
      <c r="D86" s="455" t="s">
        <v>355</v>
      </c>
      <c r="E86" s="465"/>
      <c r="F86" s="442"/>
      <c r="G86" s="67">
        <f>SUM(G87:G87)</f>
        <v>0</v>
      </c>
      <c r="H86" s="67"/>
      <c r="I86" s="67"/>
      <c r="J86" s="560"/>
      <c r="K86" s="442"/>
      <c r="L86" s="67">
        <f>SUM(L87:L87)</f>
        <v>0</v>
      </c>
      <c r="M86" s="67"/>
      <c r="N86" s="67"/>
      <c r="O86" s="560"/>
      <c r="P86" s="67"/>
      <c r="Q86" s="67">
        <f>SUM(Q87:Q87)</f>
        <v>0</v>
      </c>
      <c r="R86" s="67"/>
      <c r="S86" s="67"/>
      <c r="T86" s="560"/>
      <c r="U86" s="67"/>
      <c r="V86" s="67">
        <f>SUM(V87:V87)</f>
        <v>0</v>
      </c>
      <c r="W86" s="67"/>
      <c r="X86" s="67"/>
      <c r="Y86" s="560"/>
      <c r="Z86" s="67"/>
      <c r="AA86" s="67">
        <f>SUM(AA87:AA87)</f>
        <v>0</v>
      </c>
      <c r="AB86" s="67"/>
      <c r="AC86" s="67"/>
      <c r="AD86" s="560"/>
      <c r="AE86" s="67"/>
      <c r="AF86" s="67">
        <f>SUM(AF87:AF87)</f>
        <v>0</v>
      </c>
      <c r="AG86" s="67"/>
      <c r="AH86" s="67"/>
      <c r="AI86" s="560"/>
      <c r="AJ86" s="67"/>
      <c r="AK86" s="67">
        <f>SUM(AK87:AK87)</f>
        <v>0</v>
      </c>
      <c r="AL86" s="67"/>
      <c r="AM86" s="67"/>
      <c r="AN86" s="560"/>
      <c r="AO86" s="67"/>
      <c r="AP86" s="67">
        <f>SUM(AP87:AP87)</f>
        <v>0</v>
      </c>
      <c r="AQ86" s="67"/>
      <c r="AR86" s="67"/>
      <c r="AS86" s="560"/>
      <c r="AT86" s="67"/>
      <c r="AU86" s="67">
        <f>SUM(AU87:AU87)</f>
        <v>0</v>
      </c>
      <c r="AV86" s="67"/>
      <c r="AW86" s="67"/>
      <c r="AX86" s="560"/>
      <c r="AY86" s="67"/>
      <c r="AZ86" s="67">
        <f>SUM(AZ87:AZ87)</f>
        <v>0</v>
      </c>
      <c r="BA86" s="67"/>
      <c r="BB86" s="67"/>
      <c r="BC86" s="560"/>
      <c r="BD86" s="67"/>
      <c r="BE86" s="67">
        <f>SUM(BE87:BE87)</f>
        <v>0</v>
      </c>
      <c r="BF86" s="67"/>
      <c r="BG86" s="67"/>
      <c r="BH86" s="560"/>
      <c r="BI86" s="67"/>
      <c r="BJ86" s="67">
        <f>SUM(BJ87:BJ87)</f>
        <v>0</v>
      </c>
      <c r="BK86" s="67"/>
      <c r="BL86" s="67"/>
      <c r="BM86" s="560"/>
      <c r="BN86" s="67"/>
      <c r="BO86" s="67">
        <f>SUM(BO87:BO87)</f>
        <v>0</v>
      </c>
      <c r="BP86" s="67"/>
      <c r="BQ86" s="67"/>
      <c r="BR86" s="560"/>
      <c r="BS86" s="442"/>
      <c r="BT86" s="67">
        <f>SUM(BT87:BT87)</f>
        <v>0</v>
      </c>
      <c r="BU86" s="67"/>
      <c r="BV86" s="67"/>
      <c r="BW86" s="560"/>
      <c r="BX86" s="442"/>
      <c r="BY86" s="67">
        <f>SUM(BY87:BY87)</f>
        <v>183582</v>
      </c>
      <c r="BZ86" s="67"/>
      <c r="CA86" s="67"/>
      <c r="CB86" s="560"/>
      <c r="CC86" s="442"/>
      <c r="CD86" s="67">
        <f>SUM(CD87:CD87)</f>
        <v>0</v>
      </c>
      <c r="CE86" s="67"/>
      <c r="CF86" s="67"/>
      <c r="CG86" s="560"/>
      <c r="CH86" s="67"/>
      <c r="CI86" s="67">
        <f>SUM(CI87:CI87)</f>
        <v>0</v>
      </c>
      <c r="CJ86" s="67"/>
      <c r="CK86" s="67"/>
      <c r="CL86" s="560"/>
      <c r="CM86" s="67"/>
      <c r="CN86" s="67">
        <f>SUM(CN87:CN87)</f>
        <v>0</v>
      </c>
      <c r="CO86" s="67"/>
      <c r="CP86" s="67"/>
      <c r="CQ86" s="560"/>
      <c r="CR86" s="67"/>
      <c r="CS86" s="67">
        <f>SUM(CS87:CS87)</f>
        <v>0</v>
      </c>
      <c r="CT86" s="67"/>
      <c r="CU86" s="67"/>
      <c r="CV86" s="560"/>
      <c r="CW86" s="67"/>
      <c r="CX86" s="67">
        <f>SUM(CX87:CX87)</f>
        <v>0</v>
      </c>
      <c r="CY86" s="67"/>
      <c r="CZ86" s="67"/>
      <c r="DA86" s="560"/>
      <c r="DB86" s="67"/>
      <c r="DC86" s="67">
        <f>SUM(DC87:DC87)</f>
        <v>119455</v>
      </c>
      <c r="DD86" s="67"/>
      <c r="DE86" s="67"/>
      <c r="DF86" s="560"/>
      <c r="DG86" s="67"/>
      <c r="DH86" s="67">
        <f>SUM(DH87:DH87)</f>
        <v>0</v>
      </c>
      <c r="DI86" s="67"/>
      <c r="DJ86" s="67"/>
      <c r="DK86" s="560"/>
      <c r="DL86" s="67"/>
      <c r="DM86" s="67">
        <f>SUM(DM87:DM87)</f>
        <v>64127</v>
      </c>
      <c r="DN86" s="67"/>
      <c r="DO86" s="67"/>
      <c r="DP86" s="560"/>
      <c r="DQ86" s="67"/>
      <c r="DR86" s="67">
        <f>SUM(DR87:DR87)</f>
        <v>0</v>
      </c>
      <c r="DS86" s="67"/>
      <c r="DT86" s="67"/>
      <c r="DU86" s="560"/>
      <c r="DV86" s="67"/>
      <c r="DW86" s="67">
        <f>SUM(DW87:DW87)</f>
        <v>0</v>
      </c>
      <c r="DX86" s="67"/>
      <c r="DY86" s="67"/>
      <c r="DZ86" s="560"/>
      <c r="EA86" s="67"/>
      <c r="EB86" s="67">
        <f>SUM(EB87:EB87)</f>
        <v>0</v>
      </c>
      <c r="EC86" s="67"/>
      <c r="ED86" s="67"/>
      <c r="EE86" s="560"/>
      <c r="EF86" s="67"/>
      <c r="EG86" s="67">
        <f>SUM(EG87:EG87)</f>
        <v>0</v>
      </c>
      <c r="EH86" s="67"/>
      <c r="EI86" s="67"/>
      <c r="EJ86" s="560"/>
      <c r="EK86" s="442"/>
      <c r="EL86" s="67">
        <f>SUM(EL87:EL87)</f>
        <v>0</v>
      </c>
      <c r="EM86" s="67"/>
      <c r="EN86" s="442"/>
      <c r="EO86" s="455"/>
      <c r="EP86" s="472"/>
      <c r="EQ86" s="472"/>
    </row>
    <row r="87" spans="1:147" x14ac:dyDescent="0.2">
      <c r="A87" s="442"/>
      <c r="B87" s="442"/>
      <c r="D87" s="455" t="s">
        <v>342</v>
      </c>
      <c r="E87" s="465"/>
      <c r="F87" s="563"/>
      <c r="G87" s="564">
        <v>0</v>
      </c>
      <c r="H87" s="565"/>
      <c r="I87" s="67"/>
      <c r="J87" s="560"/>
      <c r="K87" s="563"/>
      <c r="L87" s="564">
        <v>0</v>
      </c>
      <c r="M87" s="565"/>
      <c r="N87" s="67"/>
      <c r="O87" s="560"/>
      <c r="P87" s="566"/>
      <c r="Q87" s="564">
        <v>0</v>
      </c>
      <c r="R87" s="565"/>
      <c r="S87" s="67"/>
      <c r="T87" s="560"/>
      <c r="U87" s="566"/>
      <c r="V87" s="564">
        <v>0</v>
      </c>
      <c r="W87" s="565"/>
      <c r="X87" s="67"/>
      <c r="Y87" s="560"/>
      <c r="Z87" s="566"/>
      <c r="AA87" s="564">
        <v>0</v>
      </c>
      <c r="AB87" s="565"/>
      <c r="AC87" s="67"/>
      <c r="AD87" s="560"/>
      <c r="AE87" s="566"/>
      <c r="AF87" s="564">
        <v>0</v>
      </c>
      <c r="AG87" s="565"/>
      <c r="AH87" s="67"/>
      <c r="AI87" s="560"/>
      <c r="AJ87" s="566"/>
      <c r="AK87" s="564">
        <v>0</v>
      </c>
      <c r="AL87" s="565"/>
      <c r="AM87" s="67"/>
      <c r="AN87" s="560"/>
      <c r="AO87" s="566"/>
      <c r="AP87" s="564">
        <v>0</v>
      </c>
      <c r="AQ87" s="565"/>
      <c r="AR87" s="67"/>
      <c r="AS87" s="560"/>
      <c r="AT87" s="566"/>
      <c r="AU87" s="564">
        <v>0</v>
      </c>
      <c r="AV87" s="565"/>
      <c r="AW87" s="67"/>
      <c r="AX87" s="560"/>
      <c r="AY87" s="566"/>
      <c r="AZ87" s="564">
        <v>0</v>
      </c>
      <c r="BA87" s="565"/>
      <c r="BB87" s="67"/>
      <c r="BC87" s="560"/>
      <c r="BD87" s="566"/>
      <c r="BE87" s="564">
        <v>0</v>
      </c>
      <c r="BF87" s="565"/>
      <c r="BG87" s="67"/>
      <c r="BH87" s="560"/>
      <c r="BI87" s="566"/>
      <c r="BJ87" s="564">
        <v>0</v>
      </c>
      <c r="BK87" s="565"/>
      <c r="BL87" s="67"/>
      <c r="BM87" s="560"/>
      <c r="BN87" s="566"/>
      <c r="BO87" s="564">
        <v>0</v>
      </c>
      <c r="BP87" s="565"/>
      <c r="BQ87" s="67"/>
      <c r="BR87" s="560"/>
      <c r="BS87" s="566"/>
      <c r="BT87" s="564">
        <f>SUM(L87:BO87)</f>
        <v>0</v>
      </c>
      <c r="BU87" s="565"/>
      <c r="BV87" s="67"/>
      <c r="BW87" s="560"/>
      <c r="BX87" s="563"/>
      <c r="BY87" s="564">
        <v>183582</v>
      </c>
      <c r="BZ87" s="565"/>
      <c r="CA87" s="67"/>
      <c r="CB87" s="560"/>
      <c r="CC87" s="563"/>
      <c r="CD87" s="564">
        <v>0</v>
      </c>
      <c r="CE87" s="565"/>
      <c r="CF87" s="67"/>
      <c r="CG87" s="560"/>
      <c r="CH87" s="566"/>
      <c r="CI87" s="564">
        <v>0</v>
      </c>
      <c r="CJ87" s="565"/>
      <c r="CK87" s="67"/>
      <c r="CL87" s="560"/>
      <c r="CM87" s="566"/>
      <c r="CN87" s="564">
        <v>0</v>
      </c>
      <c r="CO87" s="565"/>
      <c r="CP87" s="67"/>
      <c r="CQ87" s="560"/>
      <c r="CR87" s="566"/>
      <c r="CS87" s="564">
        <v>0</v>
      </c>
      <c r="CT87" s="565"/>
      <c r="CU87" s="67"/>
      <c r="CV87" s="560"/>
      <c r="CW87" s="566"/>
      <c r="CX87" s="564">
        <v>0</v>
      </c>
      <c r="CY87" s="565"/>
      <c r="CZ87" s="67"/>
      <c r="DA87" s="560"/>
      <c r="DB87" s="566"/>
      <c r="DC87" s="564">
        <v>119455</v>
      </c>
      <c r="DD87" s="565"/>
      <c r="DE87" s="67"/>
      <c r="DF87" s="560"/>
      <c r="DG87" s="566"/>
      <c r="DH87" s="564">
        <v>0</v>
      </c>
      <c r="DI87" s="565"/>
      <c r="DJ87" s="67"/>
      <c r="DK87" s="560"/>
      <c r="DL87" s="566"/>
      <c r="DM87" s="564">
        <v>64127</v>
      </c>
      <c r="DN87" s="565"/>
      <c r="DO87" s="67"/>
      <c r="DP87" s="560"/>
      <c r="DQ87" s="566"/>
      <c r="DR87" s="564">
        <v>0</v>
      </c>
      <c r="DS87" s="565"/>
      <c r="DT87" s="67"/>
      <c r="DU87" s="560"/>
      <c r="DV87" s="566"/>
      <c r="DW87" s="564">
        <v>0</v>
      </c>
      <c r="DX87" s="565"/>
      <c r="DY87" s="67"/>
      <c r="DZ87" s="560"/>
      <c r="EA87" s="566"/>
      <c r="EB87" s="564">
        <v>0</v>
      </c>
      <c r="EC87" s="565"/>
      <c r="ED87" s="67"/>
      <c r="EE87" s="560"/>
      <c r="EF87" s="566"/>
      <c r="EG87" s="564">
        <v>0</v>
      </c>
      <c r="EH87" s="565"/>
      <c r="EI87" s="67"/>
      <c r="EJ87" s="560"/>
      <c r="EK87" s="563"/>
      <c r="EL87" s="564">
        <f>SUM(CD87:CI87)</f>
        <v>0</v>
      </c>
      <c r="EM87" s="565"/>
      <c r="EN87" s="442"/>
      <c r="EO87" s="455"/>
      <c r="EP87" s="472"/>
      <c r="EQ87" s="472"/>
    </row>
    <row r="88" spans="1:147" x14ac:dyDescent="0.2">
      <c r="A88" s="442"/>
      <c r="B88" s="442"/>
      <c r="D88" s="455"/>
      <c r="E88" s="465"/>
      <c r="F88" s="442"/>
      <c r="G88" s="67"/>
      <c r="H88" s="67"/>
      <c r="I88" s="67"/>
      <c r="J88" s="560"/>
      <c r="K88" s="67"/>
      <c r="L88" s="67"/>
      <c r="M88" s="67"/>
      <c r="N88" s="67"/>
      <c r="O88" s="560"/>
      <c r="P88" s="67"/>
      <c r="Q88" s="67"/>
      <c r="R88" s="67"/>
      <c r="S88" s="67"/>
      <c r="T88" s="560"/>
      <c r="U88" s="67"/>
      <c r="V88" s="67"/>
      <c r="W88" s="67"/>
      <c r="X88" s="67"/>
      <c r="Y88" s="560"/>
      <c r="Z88" s="67"/>
      <c r="AA88" s="67"/>
      <c r="AB88" s="67"/>
      <c r="AC88" s="67"/>
      <c r="AD88" s="560"/>
      <c r="AE88" s="67"/>
      <c r="AF88" s="67"/>
      <c r="AG88" s="67"/>
      <c r="AH88" s="67"/>
      <c r="AI88" s="560"/>
      <c r="AJ88" s="67"/>
      <c r="AK88" s="67"/>
      <c r="AL88" s="67"/>
      <c r="AM88" s="67"/>
      <c r="AN88" s="560"/>
      <c r="AO88" s="67"/>
      <c r="AP88" s="67"/>
      <c r="AQ88" s="67"/>
      <c r="AR88" s="67"/>
      <c r="AS88" s="560"/>
      <c r="AT88" s="67"/>
      <c r="AU88" s="67"/>
      <c r="AV88" s="67"/>
      <c r="AW88" s="67"/>
      <c r="AX88" s="560"/>
      <c r="AY88" s="67"/>
      <c r="AZ88" s="67"/>
      <c r="BA88" s="67"/>
      <c r="BB88" s="67"/>
      <c r="BC88" s="560"/>
      <c r="BD88" s="67"/>
      <c r="BE88" s="67"/>
      <c r="BF88" s="67"/>
      <c r="BG88" s="67"/>
      <c r="BH88" s="560"/>
      <c r="BI88" s="67"/>
      <c r="BJ88" s="67"/>
      <c r="BK88" s="67"/>
      <c r="BL88" s="67"/>
      <c r="BM88" s="560"/>
      <c r="BN88" s="67"/>
      <c r="BO88" s="67"/>
      <c r="BP88" s="67"/>
      <c r="BQ88" s="67"/>
      <c r="BR88" s="560"/>
      <c r="BS88" s="67"/>
      <c r="BT88" s="67"/>
      <c r="BU88" s="67"/>
      <c r="BV88" s="67"/>
      <c r="BW88" s="560"/>
      <c r="BX88" s="67"/>
      <c r="BY88" s="67"/>
      <c r="BZ88" s="67"/>
      <c r="CA88" s="67"/>
      <c r="CB88" s="560"/>
      <c r="CC88" s="67"/>
      <c r="CD88" s="67"/>
      <c r="CE88" s="67"/>
      <c r="CF88" s="67"/>
      <c r="CG88" s="560"/>
      <c r="CH88" s="67"/>
      <c r="CI88" s="67"/>
      <c r="CJ88" s="67"/>
      <c r="CK88" s="67"/>
      <c r="CL88" s="560"/>
      <c r="CM88" s="67"/>
      <c r="CN88" s="67"/>
      <c r="CO88" s="67"/>
      <c r="CP88" s="67"/>
      <c r="CQ88" s="560"/>
      <c r="CR88" s="67"/>
      <c r="CS88" s="67"/>
      <c r="CT88" s="67"/>
      <c r="CU88" s="67"/>
      <c r="CV88" s="560"/>
      <c r="CW88" s="67"/>
      <c r="CX88" s="67"/>
      <c r="CY88" s="67"/>
      <c r="CZ88" s="67"/>
      <c r="DA88" s="560"/>
      <c r="DB88" s="67"/>
      <c r="DC88" s="67"/>
      <c r="DD88" s="67"/>
      <c r="DE88" s="67"/>
      <c r="DF88" s="560"/>
      <c r="DG88" s="67"/>
      <c r="DH88" s="67"/>
      <c r="DI88" s="67"/>
      <c r="DJ88" s="67"/>
      <c r="DK88" s="560"/>
      <c r="DL88" s="67"/>
      <c r="DM88" s="67"/>
      <c r="DN88" s="67"/>
      <c r="DO88" s="67"/>
      <c r="DP88" s="560"/>
      <c r="DQ88" s="67"/>
      <c r="DR88" s="67"/>
      <c r="DS88" s="67"/>
      <c r="DT88" s="67"/>
      <c r="DU88" s="560"/>
      <c r="DV88" s="67"/>
      <c r="DW88" s="67"/>
      <c r="DX88" s="67"/>
      <c r="DY88" s="67"/>
      <c r="DZ88" s="560"/>
      <c r="EA88" s="67"/>
      <c r="EB88" s="67"/>
      <c r="EC88" s="67"/>
      <c r="ED88" s="67"/>
      <c r="EE88" s="560"/>
      <c r="EF88" s="67"/>
      <c r="EG88" s="67"/>
      <c r="EH88" s="67"/>
      <c r="EI88" s="67"/>
      <c r="EJ88" s="560"/>
      <c r="EK88" s="67"/>
      <c r="EL88" s="67"/>
      <c r="EM88" s="442"/>
      <c r="EN88" s="442"/>
      <c r="EO88" s="455"/>
      <c r="EP88" s="472"/>
      <c r="EQ88" s="472"/>
    </row>
    <row r="89" spans="1:147" x14ac:dyDescent="0.2">
      <c r="A89" s="442"/>
      <c r="B89" s="442"/>
      <c r="D89" s="455" t="str">
        <f>[12]domlongtermissues!D312:D312</f>
        <v xml:space="preserve">  R2037  (8.50%  2037/01/31)</v>
      </c>
      <c r="E89" s="465"/>
      <c r="F89" s="442"/>
      <c r="G89" s="67">
        <f>SUM(G90:G90)</f>
        <v>0</v>
      </c>
      <c r="H89" s="67"/>
      <c r="I89" s="67"/>
      <c r="J89" s="560"/>
      <c r="K89" s="67"/>
      <c r="L89" s="67">
        <f>SUM(L90:L90)</f>
        <v>0</v>
      </c>
      <c r="M89" s="67"/>
      <c r="N89" s="67"/>
      <c r="O89" s="560"/>
      <c r="P89" s="67"/>
      <c r="Q89" s="67">
        <f>SUM(Q90:Q90)</f>
        <v>0</v>
      </c>
      <c r="R89" s="67"/>
      <c r="S89" s="67"/>
      <c r="T89" s="560"/>
      <c r="U89" s="67"/>
      <c r="V89" s="67">
        <f>SUM(V90:V90)</f>
        <v>0</v>
      </c>
      <c r="W89" s="67"/>
      <c r="X89" s="67"/>
      <c r="Y89" s="560"/>
      <c r="Z89" s="67"/>
      <c r="AA89" s="67">
        <f>SUM(AA90:AA90)</f>
        <v>0</v>
      </c>
      <c r="AB89" s="67"/>
      <c r="AC89" s="67"/>
      <c r="AD89" s="560"/>
      <c r="AE89" s="67"/>
      <c r="AF89" s="67">
        <f>SUM(AF90:AF90)</f>
        <v>0</v>
      </c>
      <c r="AG89" s="67"/>
      <c r="AH89" s="67"/>
      <c r="AI89" s="560"/>
      <c r="AJ89" s="67"/>
      <c r="AK89" s="67">
        <f>SUM(AK90:AK90)</f>
        <v>0</v>
      </c>
      <c r="AL89" s="67"/>
      <c r="AM89" s="67"/>
      <c r="AN89" s="560"/>
      <c r="AO89" s="67"/>
      <c r="AP89" s="67">
        <f>SUM(AP90:AP90)</f>
        <v>0</v>
      </c>
      <c r="AQ89" s="67"/>
      <c r="AR89" s="67"/>
      <c r="AS89" s="560"/>
      <c r="AT89" s="67"/>
      <c r="AU89" s="67">
        <f>SUM(AU90:AU90)</f>
        <v>0</v>
      </c>
      <c r="AV89" s="67"/>
      <c r="AW89" s="67"/>
      <c r="AX89" s="560"/>
      <c r="AY89" s="67"/>
      <c r="AZ89" s="67">
        <f>SUM(AZ90:AZ90)</f>
        <v>0</v>
      </c>
      <c r="BA89" s="67"/>
      <c r="BB89" s="67"/>
      <c r="BC89" s="560"/>
      <c r="BD89" s="67"/>
      <c r="BE89" s="67">
        <f>SUM(BE90:BE90)</f>
        <v>0</v>
      </c>
      <c r="BF89" s="67"/>
      <c r="BG89" s="67"/>
      <c r="BH89" s="560"/>
      <c r="BI89" s="67"/>
      <c r="BJ89" s="67">
        <f>SUM(BJ90:BJ90)</f>
        <v>0</v>
      </c>
      <c r="BK89" s="67"/>
      <c r="BL89" s="67"/>
      <c r="BM89" s="560"/>
      <c r="BN89" s="67"/>
      <c r="BO89" s="67">
        <f>SUM(BO90:BO90)</f>
        <v>0</v>
      </c>
      <c r="BP89" s="67"/>
      <c r="BQ89" s="67"/>
      <c r="BR89" s="560"/>
      <c r="BS89" s="67"/>
      <c r="BT89" s="67">
        <f>SUM(BT90:BT90)</f>
        <v>0</v>
      </c>
      <c r="BU89" s="67"/>
      <c r="BV89" s="67"/>
      <c r="BW89" s="560"/>
      <c r="BX89" s="67"/>
      <c r="BY89" s="67">
        <f>SUM(BY90:BY90)</f>
        <v>0</v>
      </c>
      <c r="BZ89" s="67"/>
      <c r="CA89" s="67"/>
      <c r="CB89" s="560"/>
      <c r="CC89" s="67"/>
      <c r="CD89" s="67">
        <f>SUM(CD90:CD90)</f>
        <v>0</v>
      </c>
      <c r="CE89" s="67"/>
      <c r="CF89" s="67"/>
      <c r="CG89" s="560"/>
      <c r="CH89" s="67"/>
      <c r="CI89" s="67">
        <f>SUM(CI90:CI90)</f>
        <v>0</v>
      </c>
      <c r="CJ89" s="67"/>
      <c r="CK89" s="67"/>
      <c r="CL89" s="560"/>
      <c r="CM89" s="67"/>
      <c r="CN89" s="67">
        <f>SUM(CN90:CN90)</f>
        <v>0</v>
      </c>
      <c r="CO89" s="67"/>
      <c r="CP89" s="67"/>
      <c r="CQ89" s="560"/>
      <c r="CR89" s="67"/>
      <c r="CS89" s="67">
        <f>SUM(CS90:CS90)</f>
        <v>0</v>
      </c>
      <c r="CT89" s="67"/>
      <c r="CU89" s="67"/>
      <c r="CV89" s="560"/>
      <c r="CW89" s="67"/>
      <c r="CX89" s="67">
        <f>SUM(CX90:CX90)</f>
        <v>0</v>
      </c>
      <c r="CY89" s="67"/>
      <c r="CZ89" s="67"/>
      <c r="DA89" s="560"/>
      <c r="DB89" s="67"/>
      <c r="DC89" s="67">
        <f>SUM(DC90:DC90)</f>
        <v>0</v>
      </c>
      <c r="DD89" s="67"/>
      <c r="DE89" s="67"/>
      <c r="DF89" s="560"/>
      <c r="DG89" s="67"/>
      <c r="DH89" s="67">
        <f>SUM(DH90:DH90)</f>
        <v>0</v>
      </c>
      <c r="DI89" s="67"/>
      <c r="DJ89" s="67"/>
      <c r="DK89" s="560"/>
      <c r="DL89" s="67"/>
      <c r="DM89" s="67">
        <f>SUM(DM90:DM90)</f>
        <v>0</v>
      </c>
      <c r="DN89" s="67"/>
      <c r="DO89" s="67"/>
      <c r="DP89" s="560"/>
      <c r="DQ89" s="67"/>
      <c r="DR89" s="67">
        <f>SUM(DR90:DR90)</f>
        <v>0</v>
      </c>
      <c r="DS89" s="67"/>
      <c r="DT89" s="67"/>
      <c r="DU89" s="560"/>
      <c r="DV89" s="67"/>
      <c r="DW89" s="67">
        <f>SUM(DW90:DW90)</f>
        <v>0</v>
      </c>
      <c r="DX89" s="67"/>
      <c r="DY89" s="67"/>
      <c r="DZ89" s="560"/>
      <c r="EA89" s="67"/>
      <c r="EB89" s="67">
        <f>SUM(EB90:EB90)</f>
        <v>0</v>
      </c>
      <c r="EC89" s="67"/>
      <c r="ED89" s="67"/>
      <c r="EE89" s="560"/>
      <c r="EF89" s="67"/>
      <c r="EG89" s="67">
        <f>SUM(EG90:EG90)</f>
        <v>0</v>
      </c>
      <c r="EH89" s="67"/>
      <c r="EI89" s="67"/>
      <c r="EJ89" s="560"/>
      <c r="EK89" s="67"/>
      <c r="EL89" s="67">
        <f>SUM(EL90:EL90)</f>
        <v>0</v>
      </c>
      <c r="EM89" s="442"/>
      <c r="EN89" s="442"/>
      <c r="EO89" s="455"/>
      <c r="EP89" s="472"/>
      <c r="EQ89" s="472"/>
    </row>
    <row r="90" spans="1:147" x14ac:dyDescent="0.2">
      <c r="A90" s="442"/>
      <c r="B90" s="442"/>
      <c r="D90" s="455" t="s">
        <v>342</v>
      </c>
      <c r="E90" s="465"/>
      <c r="F90" s="563"/>
      <c r="G90" s="564">
        <v>0</v>
      </c>
      <c r="H90" s="565"/>
      <c r="I90" s="67"/>
      <c r="J90" s="560"/>
      <c r="K90" s="566"/>
      <c r="L90" s="564">
        <v>0</v>
      </c>
      <c r="M90" s="565"/>
      <c r="N90" s="67"/>
      <c r="O90" s="560"/>
      <c r="P90" s="566"/>
      <c r="Q90" s="564">
        <v>0</v>
      </c>
      <c r="R90" s="565"/>
      <c r="S90" s="67"/>
      <c r="T90" s="560"/>
      <c r="U90" s="566"/>
      <c r="V90" s="564">
        <v>0</v>
      </c>
      <c r="W90" s="565"/>
      <c r="X90" s="67"/>
      <c r="Y90" s="560"/>
      <c r="Z90" s="566"/>
      <c r="AA90" s="564">
        <v>0</v>
      </c>
      <c r="AB90" s="565"/>
      <c r="AC90" s="67"/>
      <c r="AD90" s="560"/>
      <c r="AE90" s="566"/>
      <c r="AF90" s="564">
        <v>0</v>
      </c>
      <c r="AG90" s="565"/>
      <c r="AH90" s="67"/>
      <c r="AI90" s="560"/>
      <c r="AJ90" s="566"/>
      <c r="AK90" s="564">
        <v>0</v>
      </c>
      <c r="AL90" s="565"/>
      <c r="AM90" s="67"/>
      <c r="AN90" s="560"/>
      <c r="AO90" s="566"/>
      <c r="AP90" s="564">
        <v>0</v>
      </c>
      <c r="AQ90" s="565"/>
      <c r="AR90" s="67"/>
      <c r="AS90" s="560"/>
      <c r="AT90" s="566"/>
      <c r="AU90" s="564">
        <v>0</v>
      </c>
      <c r="AV90" s="565"/>
      <c r="AW90" s="67"/>
      <c r="AX90" s="560"/>
      <c r="AY90" s="566"/>
      <c r="AZ90" s="564">
        <v>0</v>
      </c>
      <c r="BA90" s="565"/>
      <c r="BB90" s="67"/>
      <c r="BC90" s="560"/>
      <c r="BD90" s="566"/>
      <c r="BE90" s="564">
        <v>0</v>
      </c>
      <c r="BF90" s="565"/>
      <c r="BG90" s="67"/>
      <c r="BH90" s="560"/>
      <c r="BI90" s="566"/>
      <c r="BJ90" s="564">
        <v>0</v>
      </c>
      <c r="BK90" s="565"/>
      <c r="BL90" s="67"/>
      <c r="BM90" s="560"/>
      <c r="BN90" s="566"/>
      <c r="BO90" s="564">
        <v>0</v>
      </c>
      <c r="BP90" s="565"/>
      <c r="BQ90" s="67"/>
      <c r="BR90" s="560"/>
      <c r="BS90" s="566"/>
      <c r="BT90" s="564">
        <f>SUM(L90:BO90)</f>
        <v>0</v>
      </c>
      <c r="BU90" s="565"/>
      <c r="BV90" s="67"/>
      <c r="BW90" s="560"/>
      <c r="BX90" s="566"/>
      <c r="BY90" s="564">
        <v>0</v>
      </c>
      <c r="BZ90" s="565"/>
      <c r="CA90" s="67"/>
      <c r="CB90" s="560"/>
      <c r="CC90" s="566"/>
      <c r="CD90" s="564">
        <v>0</v>
      </c>
      <c r="CE90" s="565"/>
      <c r="CF90" s="67"/>
      <c r="CG90" s="560"/>
      <c r="CH90" s="566"/>
      <c r="CI90" s="564">
        <v>0</v>
      </c>
      <c r="CJ90" s="565"/>
      <c r="CK90" s="67"/>
      <c r="CL90" s="560"/>
      <c r="CM90" s="566"/>
      <c r="CN90" s="564">
        <v>0</v>
      </c>
      <c r="CO90" s="565"/>
      <c r="CP90" s="67"/>
      <c r="CQ90" s="560"/>
      <c r="CR90" s="566"/>
      <c r="CS90" s="564">
        <v>0</v>
      </c>
      <c r="CT90" s="565"/>
      <c r="CU90" s="67"/>
      <c r="CV90" s="560"/>
      <c r="CW90" s="566"/>
      <c r="CX90" s="564">
        <v>0</v>
      </c>
      <c r="CY90" s="565"/>
      <c r="CZ90" s="67"/>
      <c r="DA90" s="560"/>
      <c r="DB90" s="566"/>
      <c r="DC90" s="564">
        <v>0</v>
      </c>
      <c r="DD90" s="565"/>
      <c r="DE90" s="67"/>
      <c r="DF90" s="560"/>
      <c r="DG90" s="566"/>
      <c r="DH90" s="564">
        <v>0</v>
      </c>
      <c r="DI90" s="565"/>
      <c r="DJ90" s="67"/>
      <c r="DK90" s="560"/>
      <c r="DL90" s="566"/>
      <c r="DM90" s="564">
        <v>0</v>
      </c>
      <c r="DN90" s="565"/>
      <c r="DO90" s="67"/>
      <c r="DP90" s="560"/>
      <c r="DQ90" s="566"/>
      <c r="DR90" s="564">
        <v>0</v>
      </c>
      <c r="DS90" s="565"/>
      <c r="DT90" s="67"/>
      <c r="DU90" s="560"/>
      <c r="DV90" s="566"/>
      <c r="DW90" s="564">
        <v>0</v>
      </c>
      <c r="DX90" s="565"/>
      <c r="DY90" s="67"/>
      <c r="DZ90" s="560"/>
      <c r="EA90" s="566"/>
      <c r="EB90" s="564">
        <v>0</v>
      </c>
      <c r="EC90" s="565"/>
      <c r="ED90" s="67"/>
      <c r="EE90" s="560"/>
      <c r="EF90" s="566"/>
      <c r="EG90" s="564">
        <v>0</v>
      </c>
      <c r="EH90" s="565"/>
      <c r="EI90" s="67"/>
      <c r="EJ90" s="560"/>
      <c r="EK90" s="566"/>
      <c r="EL90" s="564">
        <f>SUM(CD90:CI90)</f>
        <v>0</v>
      </c>
      <c r="EM90" s="596"/>
      <c r="EN90" s="442"/>
      <c r="EO90" s="455"/>
      <c r="EP90" s="472"/>
      <c r="EQ90" s="472"/>
    </row>
    <row r="91" spans="1:147" x14ac:dyDescent="0.2">
      <c r="A91" s="442"/>
      <c r="B91" s="442"/>
      <c r="D91" s="455"/>
      <c r="E91" s="465"/>
      <c r="F91" s="442"/>
      <c r="G91" s="67"/>
      <c r="H91" s="67"/>
      <c r="I91" s="67"/>
      <c r="J91" s="560"/>
      <c r="K91" s="67"/>
      <c r="L91" s="67"/>
      <c r="M91" s="67"/>
      <c r="N91" s="67"/>
      <c r="O91" s="560"/>
      <c r="P91" s="67"/>
      <c r="Q91" s="67"/>
      <c r="R91" s="67"/>
      <c r="S91" s="67"/>
      <c r="T91" s="560"/>
      <c r="U91" s="67"/>
      <c r="V91" s="67"/>
      <c r="W91" s="67"/>
      <c r="X91" s="67"/>
      <c r="Y91" s="560"/>
      <c r="Z91" s="67"/>
      <c r="AA91" s="67"/>
      <c r="AB91" s="67"/>
      <c r="AC91" s="67"/>
      <c r="AD91" s="560"/>
      <c r="AE91" s="67"/>
      <c r="AF91" s="67"/>
      <c r="AG91" s="67"/>
      <c r="AH91" s="67"/>
      <c r="AI91" s="560"/>
      <c r="AJ91" s="67"/>
      <c r="AK91" s="67"/>
      <c r="AL91" s="67"/>
      <c r="AM91" s="67"/>
      <c r="AN91" s="560"/>
      <c r="AO91" s="67"/>
      <c r="AP91" s="67"/>
      <c r="AQ91" s="67"/>
      <c r="AR91" s="67"/>
      <c r="AS91" s="560"/>
      <c r="AT91" s="67"/>
      <c r="AU91" s="67"/>
      <c r="AV91" s="67"/>
      <c r="AW91" s="67"/>
      <c r="AX91" s="560"/>
      <c r="AY91" s="67"/>
      <c r="AZ91" s="67"/>
      <c r="BA91" s="67"/>
      <c r="BB91" s="67"/>
      <c r="BC91" s="560"/>
      <c r="BD91" s="67"/>
      <c r="BE91" s="67"/>
      <c r="BF91" s="67"/>
      <c r="BG91" s="67"/>
      <c r="BH91" s="560"/>
      <c r="BI91" s="67"/>
      <c r="BJ91" s="67"/>
      <c r="BK91" s="67"/>
      <c r="BL91" s="67"/>
      <c r="BM91" s="560"/>
      <c r="BN91" s="67"/>
      <c r="BO91" s="67"/>
      <c r="BP91" s="67"/>
      <c r="BQ91" s="67"/>
      <c r="BR91" s="560"/>
      <c r="BS91" s="67"/>
      <c r="BT91" s="67"/>
      <c r="BU91" s="67"/>
      <c r="BV91" s="67"/>
      <c r="BW91" s="560"/>
      <c r="BX91" s="67"/>
      <c r="BY91" s="67"/>
      <c r="BZ91" s="67"/>
      <c r="CA91" s="67"/>
      <c r="CB91" s="560"/>
      <c r="CC91" s="67"/>
      <c r="CD91" s="67"/>
      <c r="CE91" s="67"/>
      <c r="CF91" s="67"/>
      <c r="CG91" s="560"/>
      <c r="CH91" s="67"/>
      <c r="CI91" s="67"/>
      <c r="CJ91" s="67"/>
      <c r="CK91" s="67"/>
      <c r="CL91" s="560"/>
      <c r="CM91" s="67"/>
      <c r="CN91" s="67"/>
      <c r="CO91" s="67"/>
      <c r="CP91" s="67"/>
      <c r="CQ91" s="560"/>
      <c r="CR91" s="67"/>
      <c r="CS91" s="67"/>
      <c r="CT91" s="67"/>
      <c r="CU91" s="67"/>
      <c r="CV91" s="560"/>
      <c r="CW91" s="67"/>
      <c r="CX91" s="67"/>
      <c r="CY91" s="67"/>
      <c r="CZ91" s="67"/>
      <c r="DA91" s="560"/>
      <c r="DB91" s="67"/>
      <c r="DC91" s="67"/>
      <c r="DD91" s="67"/>
      <c r="DE91" s="67"/>
      <c r="DF91" s="560"/>
      <c r="DG91" s="67"/>
      <c r="DH91" s="67"/>
      <c r="DI91" s="67"/>
      <c r="DJ91" s="67"/>
      <c r="DK91" s="560"/>
      <c r="DL91" s="67"/>
      <c r="DM91" s="67"/>
      <c r="DN91" s="67"/>
      <c r="DO91" s="67"/>
      <c r="DP91" s="560"/>
      <c r="DQ91" s="67"/>
      <c r="DR91" s="67"/>
      <c r="DS91" s="67"/>
      <c r="DT91" s="67"/>
      <c r="DU91" s="560"/>
      <c r="DV91" s="67"/>
      <c r="DW91" s="67"/>
      <c r="DX91" s="67"/>
      <c r="DY91" s="67"/>
      <c r="DZ91" s="560"/>
      <c r="EA91" s="67"/>
      <c r="EB91" s="67"/>
      <c r="EC91" s="67"/>
      <c r="ED91" s="67"/>
      <c r="EE91" s="560"/>
      <c r="EF91" s="67"/>
      <c r="EG91" s="67"/>
      <c r="EH91" s="67"/>
      <c r="EI91" s="67"/>
      <c r="EJ91" s="560"/>
      <c r="EK91" s="67"/>
      <c r="EL91" s="67"/>
      <c r="EM91" s="442"/>
      <c r="EN91" s="442"/>
      <c r="EO91" s="455"/>
      <c r="EP91" s="472"/>
      <c r="EQ91" s="472"/>
    </row>
    <row r="92" spans="1:147" x14ac:dyDescent="0.2">
      <c r="A92" s="442"/>
      <c r="B92" s="442"/>
      <c r="D92" s="455" t="str">
        <f>[12]domlongtermissues!D309</f>
        <v xml:space="preserve">  R210 (2.60%  2028/03/31)</v>
      </c>
      <c r="E92" s="465"/>
      <c r="F92" s="442"/>
      <c r="G92" s="67">
        <f>SUM(G93:G93)</f>
        <v>0</v>
      </c>
      <c r="H92" s="67"/>
      <c r="I92" s="67"/>
      <c r="J92" s="560"/>
      <c r="K92" s="67"/>
      <c r="L92" s="67">
        <f>SUM(L93:L93)</f>
        <v>0</v>
      </c>
      <c r="M92" s="67"/>
      <c r="N92" s="67"/>
      <c r="O92" s="560"/>
      <c r="P92" s="67"/>
      <c r="Q92" s="67">
        <f>SUM(Q93:Q93)</f>
        <v>0</v>
      </c>
      <c r="R92" s="67"/>
      <c r="S92" s="67"/>
      <c r="T92" s="560"/>
      <c r="U92" s="67"/>
      <c r="V92" s="67">
        <f>SUM(V93:V93)</f>
        <v>0</v>
      </c>
      <c r="W92" s="67"/>
      <c r="X92" s="67"/>
      <c r="Y92" s="560"/>
      <c r="Z92" s="67"/>
      <c r="AA92" s="67">
        <f>SUM(AA93:AA93)</f>
        <v>0</v>
      </c>
      <c r="AB92" s="67"/>
      <c r="AC92" s="67"/>
      <c r="AD92" s="560"/>
      <c r="AE92" s="67"/>
      <c r="AF92" s="67">
        <f>SUM(AF93:AF93)</f>
        <v>0</v>
      </c>
      <c r="AG92" s="67"/>
      <c r="AH92" s="67"/>
      <c r="AI92" s="560"/>
      <c r="AJ92" s="67"/>
      <c r="AK92" s="67">
        <f>SUM(AK93:AK93)</f>
        <v>0</v>
      </c>
      <c r="AL92" s="67"/>
      <c r="AM92" s="67"/>
      <c r="AN92" s="560"/>
      <c r="AO92" s="67"/>
      <c r="AP92" s="67">
        <f>SUM(AP93:AP93)</f>
        <v>0</v>
      </c>
      <c r="AQ92" s="67"/>
      <c r="AR92" s="67"/>
      <c r="AS92" s="560"/>
      <c r="AT92" s="67"/>
      <c r="AU92" s="67">
        <f>SUM(AU93:AU93)</f>
        <v>0</v>
      </c>
      <c r="AV92" s="67"/>
      <c r="AW92" s="67"/>
      <c r="AX92" s="560"/>
      <c r="AY92" s="67"/>
      <c r="AZ92" s="67">
        <f>SUM(AZ93:AZ93)</f>
        <v>0</v>
      </c>
      <c r="BA92" s="67"/>
      <c r="BB92" s="67"/>
      <c r="BC92" s="560"/>
      <c r="BD92" s="67"/>
      <c r="BE92" s="67">
        <f>SUM(BE93:BE93)</f>
        <v>0</v>
      </c>
      <c r="BF92" s="67"/>
      <c r="BG92" s="67"/>
      <c r="BH92" s="560"/>
      <c r="BI92" s="67"/>
      <c r="BJ92" s="67">
        <f>SUM(BJ93:BJ93)</f>
        <v>0</v>
      </c>
      <c r="BK92" s="67"/>
      <c r="BL92" s="67"/>
      <c r="BM92" s="560"/>
      <c r="BN92" s="67"/>
      <c r="BO92" s="67">
        <f>SUM(BO93:BO93)</f>
        <v>0</v>
      </c>
      <c r="BP92" s="67"/>
      <c r="BQ92" s="67"/>
      <c r="BR92" s="560"/>
      <c r="BS92" s="67"/>
      <c r="BT92" s="67">
        <f>SUM(BT93:BT93)</f>
        <v>0</v>
      </c>
      <c r="BU92" s="67"/>
      <c r="BV92" s="67"/>
      <c r="BW92" s="560"/>
      <c r="BX92" s="67"/>
      <c r="BY92" s="67">
        <f>SUM(BY93:BY93)</f>
        <v>0</v>
      </c>
      <c r="BZ92" s="67"/>
      <c r="CA92" s="67"/>
      <c r="CB92" s="560"/>
      <c r="CC92" s="67"/>
      <c r="CD92" s="67">
        <f>SUM(CD93:CD93)</f>
        <v>0</v>
      </c>
      <c r="CE92" s="67"/>
      <c r="CF92" s="67"/>
      <c r="CG92" s="560"/>
      <c r="CH92" s="67"/>
      <c r="CI92" s="67">
        <f>SUM(CI93:CI93)</f>
        <v>0</v>
      </c>
      <c r="CJ92" s="67"/>
      <c r="CK92" s="67"/>
      <c r="CL92" s="560"/>
      <c r="CM92" s="67"/>
      <c r="CN92" s="67">
        <f>SUM(CN93:CN93)</f>
        <v>0</v>
      </c>
      <c r="CO92" s="67"/>
      <c r="CP92" s="67"/>
      <c r="CQ92" s="560"/>
      <c r="CR92" s="67"/>
      <c r="CS92" s="67">
        <f>SUM(CS93:CS93)</f>
        <v>0</v>
      </c>
      <c r="CT92" s="67"/>
      <c r="CU92" s="67"/>
      <c r="CV92" s="560"/>
      <c r="CW92" s="67"/>
      <c r="CX92" s="67">
        <f>SUM(CX93:CX93)</f>
        <v>0</v>
      </c>
      <c r="CY92" s="67"/>
      <c r="CZ92" s="67"/>
      <c r="DA92" s="560"/>
      <c r="DB92" s="67"/>
      <c r="DC92" s="67">
        <f>SUM(DC93:DC93)</f>
        <v>0</v>
      </c>
      <c r="DD92" s="67"/>
      <c r="DE92" s="67"/>
      <c r="DF92" s="560"/>
      <c r="DG92" s="67"/>
      <c r="DH92" s="67">
        <f>SUM(DH93:DH93)</f>
        <v>0</v>
      </c>
      <c r="DI92" s="67"/>
      <c r="DJ92" s="67"/>
      <c r="DK92" s="560"/>
      <c r="DL92" s="67"/>
      <c r="DM92" s="67">
        <f>SUM(DM93:DM93)</f>
        <v>0</v>
      </c>
      <c r="DN92" s="67"/>
      <c r="DO92" s="67"/>
      <c r="DP92" s="560"/>
      <c r="DQ92" s="67"/>
      <c r="DR92" s="67">
        <f>SUM(DR93:DR93)</f>
        <v>0</v>
      </c>
      <c r="DS92" s="67"/>
      <c r="DT92" s="67"/>
      <c r="DU92" s="560"/>
      <c r="DV92" s="67"/>
      <c r="DW92" s="67">
        <f>SUM(DW93:DW93)</f>
        <v>0</v>
      </c>
      <c r="DX92" s="67"/>
      <c r="DY92" s="67"/>
      <c r="DZ92" s="560"/>
      <c r="EA92" s="67"/>
      <c r="EB92" s="67">
        <f>SUM(EB93:EB93)</f>
        <v>0</v>
      </c>
      <c r="EC92" s="67"/>
      <c r="ED92" s="67"/>
      <c r="EE92" s="560"/>
      <c r="EF92" s="67"/>
      <c r="EG92" s="67">
        <f>SUM(EG93:EG93)</f>
        <v>0</v>
      </c>
      <c r="EH92" s="67"/>
      <c r="EI92" s="67"/>
      <c r="EJ92" s="560"/>
      <c r="EK92" s="67"/>
      <c r="EL92" s="67">
        <f>SUM(EL93:EL93)</f>
        <v>0</v>
      </c>
      <c r="EM92" s="442"/>
      <c r="EN92" s="442"/>
      <c r="EO92" s="455"/>
      <c r="EP92" s="472"/>
      <c r="EQ92" s="472"/>
    </row>
    <row r="93" spans="1:147" x14ac:dyDescent="0.2">
      <c r="A93" s="442"/>
      <c r="B93" s="442"/>
      <c r="D93" s="455" t="s">
        <v>342</v>
      </c>
      <c r="E93" s="465"/>
      <c r="F93" s="563"/>
      <c r="G93" s="564">
        <v>0</v>
      </c>
      <c r="H93" s="565"/>
      <c r="I93" s="67"/>
      <c r="J93" s="560"/>
      <c r="K93" s="566"/>
      <c r="L93" s="564">
        <v>0</v>
      </c>
      <c r="M93" s="565"/>
      <c r="N93" s="67"/>
      <c r="O93" s="560"/>
      <c r="P93" s="566"/>
      <c r="Q93" s="564">
        <v>0</v>
      </c>
      <c r="R93" s="565"/>
      <c r="S93" s="67"/>
      <c r="T93" s="560"/>
      <c r="U93" s="566"/>
      <c r="V93" s="564">
        <v>0</v>
      </c>
      <c r="W93" s="565"/>
      <c r="X93" s="67"/>
      <c r="Y93" s="560"/>
      <c r="Z93" s="566"/>
      <c r="AA93" s="564">
        <v>0</v>
      </c>
      <c r="AB93" s="565"/>
      <c r="AC93" s="67"/>
      <c r="AD93" s="560"/>
      <c r="AE93" s="566"/>
      <c r="AF93" s="564">
        <v>0</v>
      </c>
      <c r="AG93" s="565"/>
      <c r="AH93" s="67"/>
      <c r="AI93" s="560"/>
      <c r="AJ93" s="566"/>
      <c r="AK93" s="564">
        <v>0</v>
      </c>
      <c r="AL93" s="565"/>
      <c r="AM93" s="67"/>
      <c r="AN93" s="560"/>
      <c r="AO93" s="566"/>
      <c r="AP93" s="564">
        <v>0</v>
      </c>
      <c r="AQ93" s="565"/>
      <c r="AR93" s="67"/>
      <c r="AS93" s="560"/>
      <c r="AT93" s="566"/>
      <c r="AU93" s="564">
        <v>0</v>
      </c>
      <c r="AV93" s="565"/>
      <c r="AW93" s="67"/>
      <c r="AX93" s="560"/>
      <c r="AY93" s="566"/>
      <c r="AZ93" s="564">
        <v>0</v>
      </c>
      <c r="BA93" s="565"/>
      <c r="BB93" s="67"/>
      <c r="BC93" s="560"/>
      <c r="BD93" s="566"/>
      <c r="BE93" s="564">
        <v>0</v>
      </c>
      <c r="BF93" s="565"/>
      <c r="BG93" s="67"/>
      <c r="BH93" s="560"/>
      <c r="BI93" s="566"/>
      <c r="BJ93" s="564">
        <v>0</v>
      </c>
      <c r="BK93" s="565"/>
      <c r="BL93" s="67"/>
      <c r="BM93" s="560"/>
      <c r="BN93" s="566"/>
      <c r="BO93" s="564">
        <v>0</v>
      </c>
      <c r="BP93" s="565"/>
      <c r="BQ93" s="67"/>
      <c r="BR93" s="560"/>
      <c r="BS93" s="566"/>
      <c r="BT93" s="564">
        <f>SUM(L93:BO93)</f>
        <v>0</v>
      </c>
      <c r="BU93" s="565"/>
      <c r="BV93" s="67"/>
      <c r="BW93" s="560"/>
      <c r="BX93" s="566"/>
      <c r="BY93" s="564">
        <v>0</v>
      </c>
      <c r="BZ93" s="565"/>
      <c r="CA93" s="67"/>
      <c r="CB93" s="560"/>
      <c r="CC93" s="566"/>
      <c r="CD93" s="564">
        <v>0</v>
      </c>
      <c r="CE93" s="565"/>
      <c r="CF93" s="67"/>
      <c r="CG93" s="560"/>
      <c r="CH93" s="566"/>
      <c r="CI93" s="564">
        <v>0</v>
      </c>
      <c r="CJ93" s="565"/>
      <c r="CK93" s="67"/>
      <c r="CL93" s="560"/>
      <c r="CM93" s="566"/>
      <c r="CN93" s="564">
        <v>0</v>
      </c>
      <c r="CO93" s="565"/>
      <c r="CP93" s="67"/>
      <c r="CQ93" s="560"/>
      <c r="CR93" s="566"/>
      <c r="CS93" s="564">
        <v>0</v>
      </c>
      <c r="CT93" s="565"/>
      <c r="CU93" s="67"/>
      <c r="CV93" s="560"/>
      <c r="CW93" s="566"/>
      <c r="CX93" s="564">
        <v>0</v>
      </c>
      <c r="CY93" s="565"/>
      <c r="CZ93" s="67"/>
      <c r="DA93" s="560"/>
      <c r="DB93" s="566"/>
      <c r="DC93" s="564">
        <v>0</v>
      </c>
      <c r="DD93" s="565"/>
      <c r="DE93" s="67"/>
      <c r="DF93" s="560"/>
      <c r="DG93" s="566"/>
      <c r="DH93" s="564">
        <v>0</v>
      </c>
      <c r="DI93" s="565"/>
      <c r="DJ93" s="67"/>
      <c r="DK93" s="560"/>
      <c r="DL93" s="566"/>
      <c r="DM93" s="564">
        <v>0</v>
      </c>
      <c r="DN93" s="565"/>
      <c r="DO93" s="67"/>
      <c r="DP93" s="560"/>
      <c r="DQ93" s="566"/>
      <c r="DR93" s="564">
        <v>0</v>
      </c>
      <c r="DS93" s="565"/>
      <c r="DT93" s="67"/>
      <c r="DU93" s="560"/>
      <c r="DV93" s="566"/>
      <c r="DW93" s="564">
        <v>0</v>
      </c>
      <c r="DX93" s="565"/>
      <c r="DY93" s="67"/>
      <c r="DZ93" s="560"/>
      <c r="EA93" s="566"/>
      <c r="EB93" s="564">
        <v>0</v>
      </c>
      <c r="EC93" s="565"/>
      <c r="ED93" s="67"/>
      <c r="EE93" s="560"/>
      <c r="EF93" s="566"/>
      <c r="EG93" s="564">
        <v>0</v>
      </c>
      <c r="EH93" s="565"/>
      <c r="EI93" s="67"/>
      <c r="EJ93" s="560"/>
      <c r="EK93" s="566"/>
      <c r="EL93" s="564">
        <f>SUM(CD93:CI93)</f>
        <v>0</v>
      </c>
      <c r="EM93" s="596"/>
      <c r="EN93" s="442"/>
      <c r="EO93" s="455"/>
      <c r="EP93" s="472"/>
      <c r="EQ93" s="472"/>
    </row>
    <row r="94" spans="1:147" x14ac:dyDescent="0.2">
      <c r="A94" s="442"/>
      <c r="B94" s="442"/>
      <c r="D94" s="455"/>
      <c r="E94" s="465"/>
      <c r="F94" s="442"/>
      <c r="G94" s="67"/>
      <c r="H94" s="67"/>
      <c r="I94" s="67"/>
      <c r="J94" s="560"/>
      <c r="K94" s="67"/>
      <c r="L94" s="67"/>
      <c r="M94" s="67"/>
      <c r="N94" s="67"/>
      <c r="O94" s="560"/>
      <c r="P94" s="67"/>
      <c r="Q94" s="67"/>
      <c r="R94" s="67"/>
      <c r="S94" s="67"/>
      <c r="T94" s="560"/>
      <c r="U94" s="67"/>
      <c r="V94" s="67"/>
      <c r="W94" s="67"/>
      <c r="X94" s="67"/>
      <c r="Y94" s="560"/>
      <c r="Z94" s="67"/>
      <c r="AA94" s="67"/>
      <c r="AB94" s="67"/>
      <c r="AC94" s="67"/>
      <c r="AD94" s="560"/>
      <c r="AE94" s="67"/>
      <c r="AF94" s="67"/>
      <c r="AG94" s="67"/>
      <c r="AH94" s="67"/>
      <c r="AI94" s="560"/>
      <c r="AJ94" s="67"/>
      <c r="AK94" s="67"/>
      <c r="AL94" s="67"/>
      <c r="AM94" s="67"/>
      <c r="AN94" s="560"/>
      <c r="AO94" s="67"/>
      <c r="AP94" s="67"/>
      <c r="AQ94" s="67"/>
      <c r="AR94" s="67"/>
      <c r="AS94" s="560"/>
      <c r="AT94" s="67"/>
      <c r="AU94" s="67"/>
      <c r="AV94" s="67"/>
      <c r="AW94" s="67"/>
      <c r="AX94" s="560"/>
      <c r="AY94" s="67"/>
      <c r="AZ94" s="67"/>
      <c r="BA94" s="67"/>
      <c r="BB94" s="67"/>
      <c r="BC94" s="560"/>
      <c r="BD94" s="67"/>
      <c r="BE94" s="67"/>
      <c r="BF94" s="67"/>
      <c r="BG94" s="67"/>
      <c r="BH94" s="560"/>
      <c r="BI94" s="67"/>
      <c r="BJ94" s="67"/>
      <c r="BK94" s="67"/>
      <c r="BL94" s="67"/>
      <c r="BM94" s="560"/>
      <c r="BN94" s="67"/>
      <c r="BO94" s="67"/>
      <c r="BP94" s="67"/>
      <c r="BQ94" s="67"/>
      <c r="BR94" s="560"/>
      <c r="BS94" s="67"/>
      <c r="BT94" s="67"/>
      <c r="BU94" s="67"/>
      <c r="BV94" s="67"/>
      <c r="BW94" s="560"/>
      <c r="BX94" s="67"/>
      <c r="BY94" s="67"/>
      <c r="BZ94" s="67"/>
      <c r="CA94" s="67"/>
      <c r="CB94" s="560"/>
      <c r="CC94" s="67"/>
      <c r="CD94" s="67"/>
      <c r="CE94" s="67"/>
      <c r="CF94" s="67"/>
      <c r="CG94" s="560"/>
      <c r="CH94" s="67"/>
      <c r="CI94" s="67"/>
      <c r="CJ94" s="67"/>
      <c r="CK94" s="67"/>
      <c r="CL94" s="560"/>
      <c r="CM94" s="67"/>
      <c r="CN94" s="67"/>
      <c r="CO94" s="67"/>
      <c r="CP94" s="67"/>
      <c r="CQ94" s="560"/>
      <c r="CR94" s="67"/>
      <c r="CS94" s="67"/>
      <c r="CT94" s="67"/>
      <c r="CU94" s="67"/>
      <c r="CV94" s="560"/>
      <c r="CW94" s="67"/>
      <c r="CX94" s="67"/>
      <c r="CY94" s="67"/>
      <c r="CZ94" s="67"/>
      <c r="DA94" s="560"/>
      <c r="DB94" s="67"/>
      <c r="DC94" s="67"/>
      <c r="DD94" s="67"/>
      <c r="DE94" s="67"/>
      <c r="DF94" s="560"/>
      <c r="DG94" s="67"/>
      <c r="DH94" s="67"/>
      <c r="DI94" s="67"/>
      <c r="DJ94" s="67"/>
      <c r="DK94" s="560"/>
      <c r="DL94" s="67"/>
      <c r="DM94" s="67"/>
      <c r="DN94" s="67"/>
      <c r="DO94" s="67"/>
      <c r="DP94" s="560"/>
      <c r="DQ94" s="67"/>
      <c r="DR94" s="67"/>
      <c r="DS94" s="67"/>
      <c r="DT94" s="67"/>
      <c r="DU94" s="560"/>
      <c r="DV94" s="67"/>
      <c r="DW94" s="67"/>
      <c r="DX94" s="67"/>
      <c r="DY94" s="67"/>
      <c r="DZ94" s="560"/>
      <c r="EA94" s="67"/>
      <c r="EB94" s="67"/>
      <c r="EC94" s="67"/>
      <c r="ED94" s="67"/>
      <c r="EE94" s="560"/>
      <c r="EF94" s="67"/>
      <c r="EG94" s="67"/>
      <c r="EH94" s="67"/>
      <c r="EI94" s="67"/>
      <c r="EJ94" s="560"/>
      <c r="EK94" s="67"/>
      <c r="EL94" s="67"/>
      <c r="EM94" s="442"/>
      <c r="EN94" s="442"/>
      <c r="EO94" s="455"/>
      <c r="EP94" s="472"/>
      <c r="EQ94" s="472"/>
    </row>
    <row r="95" spans="1:147" ht="12.75" customHeight="1" x14ac:dyDescent="0.2">
      <c r="A95" s="442"/>
      <c r="B95" s="442"/>
      <c r="D95" s="568" t="s">
        <v>407</v>
      </c>
      <c r="E95" s="465"/>
      <c r="F95" s="442"/>
      <c r="G95" s="67">
        <f>SUM(G96:G96)</f>
        <v>0</v>
      </c>
      <c r="H95" s="58"/>
      <c r="I95" s="58"/>
      <c r="J95" s="556"/>
      <c r="K95" s="58"/>
      <c r="L95" s="67">
        <f>SUM(L96:L96)</f>
        <v>0</v>
      </c>
      <c r="M95" s="67"/>
      <c r="N95" s="67"/>
      <c r="O95" s="560"/>
      <c r="P95" s="67"/>
      <c r="Q95" s="67">
        <f>SUM(Q96:Q96)</f>
        <v>0</v>
      </c>
      <c r="R95" s="67"/>
      <c r="S95" s="67"/>
      <c r="T95" s="560"/>
      <c r="U95" s="67"/>
      <c r="V95" s="67">
        <f>SUM(V96:V96)</f>
        <v>0</v>
      </c>
      <c r="W95" s="67"/>
      <c r="X95" s="67"/>
      <c r="Y95" s="560"/>
      <c r="Z95" s="67"/>
      <c r="AA95" s="67">
        <f>SUM(AA96:AA96)</f>
        <v>0</v>
      </c>
      <c r="AB95" s="67"/>
      <c r="AC95" s="67"/>
      <c r="AD95" s="560"/>
      <c r="AE95" s="67"/>
      <c r="AF95" s="67">
        <f>SUM(AF96:AF96)</f>
        <v>0</v>
      </c>
      <c r="AG95" s="67"/>
      <c r="AH95" s="67"/>
      <c r="AI95" s="560"/>
      <c r="AJ95" s="67"/>
      <c r="AK95" s="67">
        <f>SUM(AK96:AK96)</f>
        <v>0</v>
      </c>
      <c r="AL95" s="67"/>
      <c r="AM95" s="67"/>
      <c r="AN95" s="560"/>
      <c r="AO95" s="67"/>
      <c r="AP95" s="67">
        <f>SUM(AP96:AP96)</f>
        <v>0</v>
      </c>
      <c r="AQ95" s="67"/>
      <c r="AR95" s="67"/>
      <c r="AS95" s="560"/>
      <c r="AT95" s="67"/>
      <c r="AU95" s="67">
        <f>SUM(AU96:AU96)</f>
        <v>0</v>
      </c>
      <c r="AV95" s="67"/>
      <c r="AW95" s="67"/>
      <c r="AX95" s="560"/>
      <c r="AY95" s="67"/>
      <c r="AZ95" s="67">
        <f>SUM(AZ96:AZ96)</f>
        <v>0</v>
      </c>
      <c r="BA95" s="67"/>
      <c r="BB95" s="67"/>
      <c r="BC95" s="560"/>
      <c r="BD95" s="67"/>
      <c r="BE95" s="67">
        <f>SUM(BE96:BE96)</f>
        <v>0</v>
      </c>
      <c r="BF95" s="67"/>
      <c r="BG95" s="67"/>
      <c r="BH95" s="560"/>
      <c r="BI95" s="67"/>
      <c r="BJ95" s="67">
        <f>SUM(BJ96:BJ96)</f>
        <v>0</v>
      </c>
      <c r="BK95" s="67"/>
      <c r="BL95" s="67"/>
      <c r="BM95" s="560"/>
      <c r="BN95" s="67"/>
      <c r="BO95" s="67">
        <f>SUM(BO96:BO96)</f>
        <v>0</v>
      </c>
      <c r="BP95" s="67"/>
      <c r="BQ95" s="67"/>
      <c r="BR95" s="560"/>
      <c r="BS95" s="67"/>
      <c r="BT95" s="67">
        <f>SUM(BT96:BT96)</f>
        <v>0</v>
      </c>
      <c r="BU95" s="67"/>
      <c r="BV95" s="67"/>
      <c r="BW95" s="560"/>
      <c r="BX95" s="67"/>
      <c r="BY95" s="67">
        <f>SUM(BY96:BY96)</f>
        <v>0</v>
      </c>
      <c r="BZ95" s="58"/>
      <c r="CA95" s="58"/>
      <c r="CB95" s="556"/>
      <c r="CC95" s="58"/>
      <c r="CD95" s="67">
        <f>SUM(CD96:CD96)</f>
        <v>0</v>
      </c>
      <c r="CE95" s="67"/>
      <c r="CF95" s="67"/>
      <c r="CG95" s="560"/>
      <c r="CH95" s="67"/>
      <c r="CI95" s="67">
        <f>SUM(CI96:CI96)</f>
        <v>0</v>
      </c>
      <c r="CJ95" s="67"/>
      <c r="CK95" s="67"/>
      <c r="CL95" s="560"/>
      <c r="CM95" s="67"/>
      <c r="CN95" s="67">
        <f>SUM(CN96:CN96)</f>
        <v>0</v>
      </c>
      <c r="CO95" s="67"/>
      <c r="CP95" s="67"/>
      <c r="CQ95" s="560"/>
      <c r="CR95" s="67"/>
      <c r="CS95" s="67">
        <f>SUM(CS96:CS96)</f>
        <v>0</v>
      </c>
      <c r="CT95" s="67"/>
      <c r="CU95" s="67"/>
      <c r="CV95" s="560"/>
      <c r="CW95" s="67"/>
      <c r="CX95" s="67">
        <f>SUM(CX96:CX96)</f>
        <v>0</v>
      </c>
      <c r="CY95" s="67"/>
      <c r="CZ95" s="67"/>
      <c r="DA95" s="560"/>
      <c r="DB95" s="67"/>
      <c r="DC95" s="67">
        <f>SUM(DC96:DC96)</f>
        <v>0</v>
      </c>
      <c r="DD95" s="67"/>
      <c r="DE95" s="67"/>
      <c r="DF95" s="560"/>
      <c r="DG95" s="67"/>
      <c r="DH95" s="67">
        <f>SUM(DH96:DH96)</f>
        <v>0</v>
      </c>
      <c r="DI95" s="67"/>
      <c r="DJ95" s="67"/>
      <c r="DK95" s="560"/>
      <c r="DL95" s="67"/>
      <c r="DM95" s="67">
        <f>SUM(DM96:DM96)</f>
        <v>0</v>
      </c>
      <c r="DN95" s="67"/>
      <c r="DO95" s="67"/>
      <c r="DP95" s="560"/>
      <c r="DQ95" s="67"/>
      <c r="DR95" s="67">
        <f>SUM(DR96:DR96)</f>
        <v>0</v>
      </c>
      <c r="DS95" s="67"/>
      <c r="DT95" s="67"/>
      <c r="DU95" s="560"/>
      <c r="DV95" s="67"/>
      <c r="DW95" s="67">
        <f>SUM(DW96:DW96)</f>
        <v>0</v>
      </c>
      <c r="DX95" s="67"/>
      <c r="DY95" s="67"/>
      <c r="DZ95" s="560"/>
      <c r="EA95" s="67"/>
      <c r="EB95" s="67">
        <f>SUM(EB96:EB96)</f>
        <v>0</v>
      </c>
      <c r="EC95" s="67"/>
      <c r="ED95" s="67"/>
      <c r="EE95" s="560"/>
      <c r="EF95" s="67"/>
      <c r="EG95" s="67">
        <f>SUM(EG96:EG96)</f>
        <v>0</v>
      </c>
      <c r="EH95" s="67"/>
      <c r="EI95" s="67"/>
      <c r="EJ95" s="560"/>
      <c r="EK95" s="67"/>
      <c r="EL95" s="67">
        <f>SUM(EL96:EL96)</f>
        <v>0</v>
      </c>
      <c r="EM95" s="67"/>
      <c r="EN95" s="67"/>
      <c r="EO95" s="455"/>
      <c r="EP95" s="472"/>
      <c r="EQ95" s="472"/>
    </row>
    <row r="96" spans="1:147" ht="12.75" customHeight="1" x14ac:dyDescent="0.2">
      <c r="A96" s="442"/>
      <c r="B96" s="442"/>
      <c r="D96" s="455" t="s">
        <v>342</v>
      </c>
      <c r="E96" s="465"/>
      <c r="F96" s="563"/>
      <c r="G96" s="564">
        <v>0</v>
      </c>
      <c r="H96" s="565"/>
      <c r="I96" s="67"/>
      <c r="J96" s="560"/>
      <c r="K96" s="566"/>
      <c r="L96" s="564">
        <v>0</v>
      </c>
      <c r="M96" s="565"/>
      <c r="N96" s="67"/>
      <c r="O96" s="560"/>
      <c r="P96" s="566"/>
      <c r="Q96" s="564">
        <v>0</v>
      </c>
      <c r="R96" s="565"/>
      <c r="S96" s="67"/>
      <c r="T96" s="560"/>
      <c r="U96" s="566"/>
      <c r="V96" s="564">
        <v>0</v>
      </c>
      <c r="W96" s="565"/>
      <c r="X96" s="67"/>
      <c r="Y96" s="560"/>
      <c r="Z96" s="566"/>
      <c r="AA96" s="564">
        <v>0</v>
      </c>
      <c r="AB96" s="565"/>
      <c r="AC96" s="67"/>
      <c r="AD96" s="560"/>
      <c r="AE96" s="566"/>
      <c r="AF96" s="564">
        <v>0</v>
      </c>
      <c r="AG96" s="565"/>
      <c r="AH96" s="67"/>
      <c r="AI96" s="560"/>
      <c r="AJ96" s="566"/>
      <c r="AK96" s="564">
        <v>0</v>
      </c>
      <c r="AL96" s="565"/>
      <c r="AM96" s="67"/>
      <c r="AN96" s="560"/>
      <c r="AO96" s="566"/>
      <c r="AP96" s="564">
        <v>0</v>
      </c>
      <c r="AQ96" s="565"/>
      <c r="AR96" s="67"/>
      <c r="AS96" s="560"/>
      <c r="AT96" s="566"/>
      <c r="AU96" s="564">
        <v>0</v>
      </c>
      <c r="AV96" s="565"/>
      <c r="AW96" s="67"/>
      <c r="AX96" s="560"/>
      <c r="AY96" s="566"/>
      <c r="AZ96" s="564">
        <v>0</v>
      </c>
      <c r="BA96" s="565"/>
      <c r="BB96" s="67"/>
      <c r="BC96" s="560"/>
      <c r="BD96" s="566"/>
      <c r="BE96" s="564">
        <v>0</v>
      </c>
      <c r="BF96" s="565"/>
      <c r="BG96" s="67"/>
      <c r="BH96" s="560"/>
      <c r="BI96" s="566"/>
      <c r="BJ96" s="564">
        <v>0</v>
      </c>
      <c r="BK96" s="565"/>
      <c r="BL96" s="67"/>
      <c r="BM96" s="560"/>
      <c r="BN96" s="566"/>
      <c r="BO96" s="564">
        <v>0</v>
      </c>
      <c r="BP96" s="565"/>
      <c r="BQ96" s="67"/>
      <c r="BR96" s="560"/>
      <c r="BS96" s="566"/>
      <c r="BT96" s="564">
        <f>SUM(L96:BO96)</f>
        <v>0</v>
      </c>
      <c r="BU96" s="565"/>
      <c r="BV96" s="67"/>
      <c r="BW96" s="560"/>
      <c r="BX96" s="566"/>
      <c r="BY96" s="564">
        <v>0</v>
      </c>
      <c r="BZ96" s="565"/>
      <c r="CA96" s="67"/>
      <c r="CB96" s="560"/>
      <c r="CC96" s="566"/>
      <c r="CD96" s="564">
        <v>0</v>
      </c>
      <c r="CE96" s="565"/>
      <c r="CF96" s="67"/>
      <c r="CG96" s="560"/>
      <c r="CH96" s="566"/>
      <c r="CI96" s="564">
        <v>0</v>
      </c>
      <c r="CJ96" s="565"/>
      <c r="CK96" s="67"/>
      <c r="CL96" s="560"/>
      <c r="CM96" s="566"/>
      <c r="CN96" s="564">
        <v>0</v>
      </c>
      <c r="CO96" s="565"/>
      <c r="CP96" s="67"/>
      <c r="CQ96" s="560"/>
      <c r="CR96" s="566"/>
      <c r="CS96" s="564">
        <v>0</v>
      </c>
      <c r="CT96" s="565"/>
      <c r="CU96" s="67"/>
      <c r="CV96" s="560"/>
      <c r="CW96" s="566"/>
      <c r="CX96" s="564">
        <v>0</v>
      </c>
      <c r="CY96" s="565"/>
      <c r="CZ96" s="67"/>
      <c r="DA96" s="560"/>
      <c r="DB96" s="566"/>
      <c r="DC96" s="564">
        <v>0</v>
      </c>
      <c r="DD96" s="565"/>
      <c r="DE96" s="67"/>
      <c r="DF96" s="560"/>
      <c r="DG96" s="566"/>
      <c r="DH96" s="564">
        <v>0</v>
      </c>
      <c r="DI96" s="565"/>
      <c r="DJ96" s="67"/>
      <c r="DK96" s="560"/>
      <c r="DL96" s="566"/>
      <c r="DM96" s="564">
        <v>0</v>
      </c>
      <c r="DN96" s="565"/>
      <c r="DO96" s="67"/>
      <c r="DP96" s="560"/>
      <c r="DQ96" s="566"/>
      <c r="DR96" s="564">
        <v>0</v>
      </c>
      <c r="DS96" s="565"/>
      <c r="DT96" s="67"/>
      <c r="DU96" s="560"/>
      <c r="DV96" s="566"/>
      <c r="DW96" s="564">
        <v>0</v>
      </c>
      <c r="DX96" s="565"/>
      <c r="DY96" s="67"/>
      <c r="DZ96" s="560"/>
      <c r="EA96" s="566"/>
      <c r="EB96" s="564">
        <v>0</v>
      </c>
      <c r="EC96" s="565"/>
      <c r="ED96" s="67"/>
      <c r="EE96" s="560"/>
      <c r="EF96" s="566"/>
      <c r="EG96" s="564">
        <v>0</v>
      </c>
      <c r="EH96" s="565"/>
      <c r="EI96" s="67"/>
      <c r="EJ96" s="560"/>
      <c r="EK96" s="566"/>
      <c r="EL96" s="564">
        <f>SUM(CD96:CI96)</f>
        <v>0</v>
      </c>
      <c r="EM96" s="565"/>
      <c r="EN96" s="67"/>
      <c r="EO96" s="455"/>
      <c r="EP96" s="472"/>
      <c r="EQ96" s="472"/>
    </row>
    <row r="97" spans="1:147" ht="12.75" customHeight="1" x14ac:dyDescent="0.2">
      <c r="A97" s="442"/>
      <c r="B97" s="442"/>
      <c r="D97" s="455"/>
      <c r="E97" s="465"/>
      <c r="F97" s="442"/>
      <c r="G97" s="67"/>
      <c r="H97" s="67"/>
      <c r="I97" s="67"/>
      <c r="J97" s="560"/>
      <c r="K97" s="67"/>
      <c r="L97" s="67"/>
      <c r="M97" s="67"/>
      <c r="N97" s="67"/>
      <c r="O97" s="560"/>
      <c r="P97" s="67"/>
      <c r="Q97" s="67"/>
      <c r="R97" s="67"/>
      <c r="S97" s="67"/>
      <c r="T97" s="560"/>
      <c r="U97" s="67"/>
      <c r="V97" s="67"/>
      <c r="W97" s="67"/>
      <c r="X97" s="67"/>
      <c r="Y97" s="560"/>
      <c r="Z97" s="67"/>
      <c r="AA97" s="67"/>
      <c r="AB97" s="67"/>
      <c r="AC97" s="67"/>
      <c r="AD97" s="560"/>
      <c r="AE97" s="67"/>
      <c r="AF97" s="67"/>
      <c r="AG97" s="67"/>
      <c r="AH97" s="67"/>
      <c r="AI97" s="560"/>
      <c r="AJ97" s="67"/>
      <c r="AK97" s="67"/>
      <c r="AL97" s="67"/>
      <c r="AM97" s="67"/>
      <c r="AN97" s="560"/>
      <c r="AO97" s="67"/>
      <c r="AP97" s="67"/>
      <c r="AQ97" s="67"/>
      <c r="AR97" s="67"/>
      <c r="AS97" s="560"/>
      <c r="AT97" s="67"/>
      <c r="AU97" s="67"/>
      <c r="AV97" s="67"/>
      <c r="AW97" s="67"/>
      <c r="AX97" s="560"/>
      <c r="AY97" s="67"/>
      <c r="AZ97" s="67"/>
      <c r="BA97" s="67"/>
      <c r="BB97" s="67"/>
      <c r="BC97" s="560"/>
      <c r="BD97" s="67"/>
      <c r="BE97" s="67"/>
      <c r="BF97" s="67"/>
      <c r="BG97" s="67"/>
      <c r="BH97" s="560"/>
      <c r="BI97" s="67"/>
      <c r="BJ97" s="67"/>
      <c r="BK97" s="67"/>
      <c r="BL97" s="67"/>
      <c r="BM97" s="560"/>
      <c r="BN97" s="67"/>
      <c r="BO97" s="67"/>
      <c r="BP97" s="67"/>
      <c r="BQ97" s="67"/>
      <c r="BR97" s="560"/>
      <c r="BS97" s="67"/>
      <c r="BT97" s="67"/>
      <c r="BU97" s="67"/>
      <c r="BV97" s="67"/>
      <c r="BW97" s="560"/>
      <c r="BX97" s="67"/>
      <c r="BY97" s="67"/>
      <c r="BZ97" s="67"/>
      <c r="CA97" s="67"/>
      <c r="CB97" s="560"/>
      <c r="CC97" s="67"/>
      <c r="CD97" s="67"/>
      <c r="CE97" s="67"/>
      <c r="CF97" s="67"/>
      <c r="CG97" s="560"/>
      <c r="CH97" s="67"/>
      <c r="CI97" s="67"/>
      <c r="CJ97" s="67"/>
      <c r="CK97" s="67"/>
      <c r="CL97" s="560"/>
      <c r="CM97" s="67"/>
      <c r="CN97" s="67"/>
      <c r="CO97" s="67"/>
      <c r="CP97" s="67"/>
      <c r="CQ97" s="560"/>
      <c r="CR97" s="67"/>
      <c r="CS97" s="67"/>
      <c r="CT97" s="67"/>
      <c r="CU97" s="67"/>
      <c r="CV97" s="560"/>
      <c r="CW97" s="67"/>
      <c r="CX97" s="67"/>
      <c r="CY97" s="67"/>
      <c r="CZ97" s="67"/>
      <c r="DA97" s="560"/>
      <c r="DB97" s="67"/>
      <c r="DC97" s="67"/>
      <c r="DD97" s="67"/>
      <c r="DE97" s="67"/>
      <c r="DF97" s="560"/>
      <c r="DG97" s="67"/>
      <c r="DH97" s="67"/>
      <c r="DI97" s="67"/>
      <c r="DJ97" s="67"/>
      <c r="DK97" s="560"/>
      <c r="DL97" s="67"/>
      <c r="DM97" s="67"/>
      <c r="DN97" s="67"/>
      <c r="DO97" s="67"/>
      <c r="DP97" s="560"/>
      <c r="DQ97" s="67"/>
      <c r="DR97" s="67"/>
      <c r="DS97" s="67"/>
      <c r="DT97" s="67"/>
      <c r="DU97" s="560"/>
      <c r="DV97" s="67"/>
      <c r="DW97" s="67"/>
      <c r="DX97" s="67"/>
      <c r="DY97" s="67"/>
      <c r="DZ97" s="560"/>
      <c r="EA97" s="67"/>
      <c r="EB97" s="67"/>
      <c r="EC97" s="67"/>
      <c r="ED97" s="67"/>
      <c r="EE97" s="560"/>
      <c r="EF97" s="67"/>
      <c r="EG97" s="67"/>
      <c r="EH97" s="67"/>
      <c r="EI97" s="67"/>
      <c r="EJ97" s="560"/>
      <c r="EK97" s="67"/>
      <c r="EL97" s="67"/>
      <c r="EM97" s="67"/>
      <c r="EN97" s="67"/>
      <c r="EO97" s="455"/>
      <c r="EP97" s="472"/>
      <c r="EQ97" s="472"/>
    </row>
    <row r="98" spans="1:147" ht="12.75" customHeight="1" x14ac:dyDescent="0.2">
      <c r="A98" s="442"/>
      <c r="B98" s="442"/>
      <c r="D98" s="568" t="s">
        <v>406</v>
      </c>
      <c r="E98" s="465"/>
      <c r="F98" s="442"/>
      <c r="G98" s="67">
        <f>SUM(G99:G99)</f>
        <v>0</v>
      </c>
      <c r="H98" s="67"/>
      <c r="I98" s="67"/>
      <c r="J98" s="560"/>
      <c r="K98" s="67"/>
      <c r="L98" s="67">
        <f>SUM(L99:L99)</f>
        <v>0</v>
      </c>
      <c r="M98" s="67"/>
      <c r="N98" s="67"/>
      <c r="O98" s="560"/>
      <c r="P98" s="67"/>
      <c r="Q98" s="67">
        <f>SUM(Q99:Q99)</f>
        <v>0</v>
      </c>
      <c r="R98" s="67"/>
      <c r="S98" s="67"/>
      <c r="T98" s="560"/>
      <c r="U98" s="67"/>
      <c r="V98" s="67">
        <f>SUM(V99:V99)</f>
        <v>0</v>
      </c>
      <c r="W98" s="67"/>
      <c r="X98" s="67"/>
      <c r="Y98" s="560"/>
      <c r="Z98" s="67"/>
      <c r="AA98" s="67">
        <f>SUM(AA99:AA99)</f>
        <v>0</v>
      </c>
      <c r="AB98" s="67"/>
      <c r="AC98" s="67"/>
      <c r="AD98" s="560"/>
      <c r="AE98" s="67"/>
      <c r="AF98" s="67">
        <f>SUM(AF99:AF99)</f>
        <v>0</v>
      </c>
      <c r="AG98" s="67"/>
      <c r="AH98" s="67"/>
      <c r="AI98" s="560"/>
      <c r="AJ98" s="67"/>
      <c r="AK98" s="67">
        <f>SUM(AK99:AK99)</f>
        <v>0</v>
      </c>
      <c r="AL98" s="67"/>
      <c r="AM98" s="67"/>
      <c r="AN98" s="560"/>
      <c r="AO98" s="67"/>
      <c r="AP98" s="67">
        <f>SUM(AP99:AP99)</f>
        <v>0</v>
      </c>
      <c r="AQ98" s="67"/>
      <c r="AR98" s="67"/>
      <c r="AS98" s="560"/>
      <c r="AT98" s="67"/>
      <c r="AU98" s="67">
        <f>SUM(AU99:AU99)</f>
        <v>0</v>
      </c>
      <c r="AV98" s="67"/>
      <c r="AW98" s="67"/>
      <c r="AX98" s="560"/>
      <c r="AY98" s="67"/>
      <c r="AZ98" s="67">
        <f>SUM(AZ99:AZ99)</f>
        <v>0</v>
      </c>
      <c r="BA98" s="67"/>
      <c r="BB98" s="67"/>
      <c r="BC98" s="560"/>
      <c r="BD98" s="67"/>
      <c r="BE98" s="67">
        <f>SUM(BE99:BE99)</f>
        <v>0</v>
      </c>
      <c r="BF98" s="67"/>
      <c r="BG98" s="67"/>
      <c r="BH98" s="560"/>
      <c r="BI98" s="67"/>
      <c r="BJ98" s="67">
        <f>SUM(BJ99:BJ99)</f>
        <v>0</v>
      </c>
      <c r="BK98" s="67"/>
      <c r="BL98" s="67"/>
      <c r="BM98" s="560"/>
      <c r="BN98" s="67"/>
      <c r="BO98" s="67">
        <f>SUM(BO99:BO99)</f>
        <v>0</v>
      </c>
      <c r="BP98" s="67"/>
      <c r="BQ98" s="67"/>
      <c r="BR98" s="560"/>
      <c r="BS98" s="67"/>
      <c r="BT98" s="67">
        <f>SUM(BT99:BT99)</f>
        <v>0</v>
      </c>
      <c r="BU98" s="67"/>
      <c r="BV98" s="67"/>
      <c r="BW98" s="560"/>
      <c r="BX98" s="67"/>
      <c r="BY98" s="67">
        <f>SUM(BY99:BY99)</f>
        <v>0</v>
      </c>
      <c r="BZ98" s="67"/>
      <c r="CA98" s="67"/>
      <c r="CB98" s="560"/>
      <c r="CC98" s="67"/>
      <c r="CD98" s="67">
        <f>SUM(CD99:CD99)</f>
        <v>0</v>
      </c>
      <c r="CE98" s="67"/>
      <c r="CF98" s="67"/>
      <c r="CG98" s="560"/>
      <c r="CH98" s="67"/>
      <c r="CI98" s="67">
        <f>SUM(CI99:CI99)</f>
        <v>0</v>
      </c>
      <c r="CJ98" s="67"/>
      <c r="CK98" s="67"/>
      <c r="CL98" s="560"/>
      <c r="CM98" s="67"/>
      <c r="CN98" s="67">
        <f>SUM(CN99:CN99)</f>
        <v>0</v>
      </c>
      <c r="CO98" s="67"/>
      <c r="CP98" s="67"/>
      <c r="CQ98" s="560"/>
      <c r="CR98" s="67"/>
      <c r="CS98" s="67">
        <f>SUM(CS99:CS99)</f>
        <v>0</v>
      </c>
      <c r="CT98" s="67"/>
      <c r="CU98" s="67"/>
      <c r="CV98" s="560"/>
      <c r="CW98" s="67"/>
      <c r="CX98" s="67">
        <f>SUM(CX99:CX99)</f>
        <v>0</v>
      </c>
      <c r="CY98" s="67"/>
      <c r="CZ98" s="67"/>
      <c r="DA98" s="560"/>
      <c r="DB98" s="67"/>
      <c r="DC98" s="67">
        <f>SUM(DC99:DC99)</f>
        <v>0</v>
      </c>
      <c r="DD98" s="67"/>
      <c r="DE98" s="67"/>
      <c r="DF98" s="560"/>
      <c r="DG98" s="67"/>
      <c r="DH98" s="67">
        <f>SUM(DH99:DH99)</f>
        <v>0</v>
      </c>
      <c r="DI98" s="67"/>
      <c r="DJ98" s="67"/>
      <c r="DK98" s="560"/>
      <c r="DL98" s="67"/>
      <c r="DM98" s="67">
        <f>SUM(DM99:DM99)</f>
        <v>0</v>
      </c>
      <c r="DN98" s="67"/>
      <c r="DO98" s="67"/>
      <c r="DP98" s="560"/>
      <c r="DQ98" s="67"/>
      <c r="DR98" s="67">
        <f>SUM(DR99:DR99)</f>
        <v>0</v>
      </c>
      <c r="DS98" s="67"/>
      <c r="DT98" s="67"/>
      <c r="DU98" s="560"/>
      <c r="DV98" s="67"/>
      <c r="DW98" s="67">
        <f>SUM(DW99:DW99)</f>
        <v>0</v>
      </c>
      <c r="DX98" s="67"/>
      <c r="DY98" s="67"/>
      <c r="DZ98" s="560"/>
      <c r="EA98" s="67"/>
      <c r="EB98" s="67">
        <f>SUM(EB99:EB99)</f>
        <v>0</v>
      </c>
      <c r="EC98" s="67"/>
      <c r="ED98" s="67"/>
      <c r="EE98" s="560"/>
      <c r="EF98" s="67"/>
      <c r="EG98" s="67">
        <f>SUM(EG99:EG99)</f>
        <v>0</v>
      </c>
      <c r="EH98" s="67"/>
      <c r="EI98" s="67"/>
      <c r="EJ98" s="560"/>
      <c r="EK98" s="67"/>
      <c r="EL98" s="67">
        <f>SUM(EL99:EL99)</f>
        <v>0</v>
      </c>
      <c r="EM98" s="67"/>
      <c r="EN98" s="67"/>
      <c r="EO98" s="455"/>
      <c r="EP98" s="472"/>
      <c r="EQ98" s="472"/>
    </row>
    <row r="99" spans="1:147" ht="12.75" customHeight="1" x14ac:dyDescent="0.2">
      <c r="A99" s="442"/>
      <c r="B99" s="442"/>
      <c r="D99" s="455" t="s">
        <v>342</v>
      </c>
      <c r="E99" s="465"/>
      <c r="F99" s="563"/>
      <c r="G99" s="564">
        <v>0</v>
      </c>
      <c r="H99" s="565"/>
      <c r="I99" s="67"/>
      <c r="J99" s="560"/>
      <c r="K99" s="566"/>
      <c r="L99" s="564">
        <v>0</v>
      </c>
      <c r="M99" s="565"/>
      <c r="N99" s="67"/>
      <c r="O99" s="560"/>
      <c r="P99" s="566"/>
      <c r="Q99" s="564">
        <v>0</v>
      </c>
      <c r="R99" s="565"/>
      <c r="S99" s="67"/>
      <c r="T99" s="560"/>
      <c r="U99" s="566"/>
      <c r="V99" s="564">
        <v>0</v>
      </c>
      <c r="W99" s="565"/>
      <c r="X99" s="67"/>
      <c r="Y99" s="560"/>
      <c r="Z99" s="566"/>
      <c r="AA99" s="564">
        <v>0</v>
      </c>
      <c r="AB99" s="565"/>
      <c r="AC99" s="67"/>
      <c r="AD99" s="560"/>
      <c r="AE99" s="566"/>
      <c r="AF99" s="564">
        <v>0</v>
      </c>
      <c r="AG99" s="565"/>
      <c r="AH99" s="67"/>
      <c r="AI99" s="560"/>
      <c r="AJ99" s="566"/>
      <c r="AK99" s="564">
        <v>0</v>
      </c>
      <c r="AL99" s="565"/>
      <c r="AM99" s="67"/>
      <c r="AN99" s="560"/>
      <c r="AO99" s="566"/>
      <c r="AP99" s="564">
        <v>0</v>
      </c>
      <c r="AQ99" s="565"/>
      <c r="AR99" s="67"/>
      <c r="AS99" s="560"/>
      <c r="AT99" s="566"/>
      <c r="AU99" s="564">
        <v>0</v>
      </c>
      <c r="AV99" s="565"/>
      <c r="AW99" s="67"/>
      <c r="AX99" s="560"/>
      <c r="AY99" s="566"/>
      <c r="AZ99" s="564">
        <v>0</v>
      </c>
      <c r="BA99" s="565"/>
      <c r="BB99" s="67"/>
      <c r="BC99" s="560"/>
      <c r="BD99" s="566"/>
      <c r="BE99" s="564">
        <v>0</v>
      </c>
      <c r="BF99" s="565"/>
      <c r="BG99" s="67"/>
      <c r="BH99" s="560"/>
      <c r="BI99" s="566"/>
      <c r="BJ99" s="564">
        <v>0</v>
      </c>
      <c r="BK99" s="565"/>
      <c r="BL99" s="67"/>
      <c r="BM99" s="560"/>
      <c r="BN99" s="566"/>
      <c r="BO99" s="564">
        <v>0</v>
      </c>
      <c r="BP99" s="565"/>
      <c r="BQ99" s="67"/>
      <c r="BR99" s="560"/>
      <c r="BS99" s="566"/>
      <c r="BT99" s="564">
        <f>SUM(L99:BO99)</f>
        <v>0</v>
      </c>
      <c r="BU99" s="565"/>
      <c r="BV99" s="67"/>
      <c r="BW99" s="560"/>
      <c r="BX99" s="566"/>
      <c r="BY99" s="564">
        <v>0</v>
      </c>
      <c r="BZ99" s="565"/>
      <c r="CA99" s="67"/>
      <c r="CB99" s="560"/>
      <c r="CC99" s="566"/>
      <c r="CD99" s="564">
        <v>0</v>
      </c>
      <c r="CE99" s="565"/>
      <c r="CF99" s="67"/>
      <c r="CG99" s="560"/>
      <c r="CH99" s="566"/>
      <c r="CI99" s="564">
        <v>0</v>
      </c>
      <c r="CJ99" s="565"/>
      <c r="CK99" s="67"/>
      <c r="CL99" s="560"/>
      <c r="CM99" s="566"/>
      <c r="CN99" s="564">
        <v>0</v>
      </c>
      <c r="CO99" s="565"/>
      <c r="CP99" s="67"/>
      <c r="CQ99" s="560"/>
      <c r="CR99" s="566"/>
      <c r="CS99" s="564">
        <v>0</v>
      </c>
      <c r="CT99" s="565"/>
      <c r="CU99" s="67"/>
      <c r="CV99" s="560"/>
      <c r="CW99" s="566"/>
      <c r="CX99" s="564">
        <v>0</v>
      </c>
      <c r="CY99" s="565"/>
      <c r="CZ99" s="67"/>
      <c r="DA99" s="560"/>
      <c r="DB99" s="566"/>
      <c r="DC99" s="564">
        <v>0</v>
      </c>
      <c r="DD99" s="565"/>
      <c r="DE99" s="67"/>
      <c r="DF99" s="560"/>
      <c r="DG99" s="566"/>
      <c r="DH99" s="564">
        <v>0</v>
      </c>
      <c r="DI99" s="565"/>
      <c r="DJ99" s="67"/>
      <c r="DK99" s="560"/>
      <c r="DL99" s="566"/>
      <c r="DM99" s="564">
        <v>0</v>
      </c>
      <c r="DN99" s="565"/>
      <c r="DO99" s="67"/>
      <c r="DP99" s="560"/>
      <c r="DQ99" s="566"/>
      <c r="DR99" s="564">
        <v>0</v>
      </c>
      <c r="DS99" s="565"/>
      <c r="DT99" s="67"/>
      <c r="DU99" s="560"/>
      <c r="DV99" s="566"/>
      <c r="DW99" s="564">
        <v>0</v>
      </c>
      <c r="DX99" s="565"/>
      <c r="DY99" s="67"/>
      <c r="DZ99" s="560"/>
      <c r="EA99" s="566"/>
      <c r="EB99" s="564">
        <v>0</v>
      </c>
      <c r="EC99" s="565"/>
      <c r="ED99" s="67"/>
      <c r="EE99" s="560"/>
      <c r="EF99" s="566"/>
      <c r="EG99" s="564">
        <v>0</v>
      </c>
      <c r="EH99" s="565"/>
      <c r="EI99" s="67"/>
      <c r="EJ99" s="560"/>
      <c r="EK99" s="566"/>
      <c r="EL99" s="564">
        <f>SUM(CD99:CI99)</f>
        <v>0</v>
      </c>
      <c r="EM99" s="565"/>
      <c r="EN99" s="67"/>
      <c r="EO99" s="455"/>
      <c r="EP99" s="472"/>
      <c r="EQ99" s="472"/>
    </row>
    <row r="100" spans="1:147" ht="12.75" customHeight="1" x14ac:dyDescent="0.2">
      <c r="A100" s="442"/>
      <c r="B100" s="442"/>
      <c r="D100" s="455"/>
      <c r="E100" s="465"/>
      <c r="F100" s="442"/>
      <c r="G100" s="67"/>
      <c r="H100" s="67"/>
      <c r="I100" s="67"/>
      <c r="J100" s="560"/>
      <c r="K100" s="67"/>
      <c r="L100" s="67"/>
      <c r="M100" s="67"/>
      <c r="N100" s="67"/>
      <c r="O100" s="560"/>
      <c r="P100" s="67"/>
      <c r="Q100" s="67"/>
      <c r="R100" s="67"/>
      <c r="S100" s="67"/>
      <c r="T100" s="560"/>
      <c r="U100" s="67"/>
      <c r="V100" s="67"/>
      <c r="W100" s="67"/>
      <c r="X100" s="67"/>
      <c r="Y100" s="560"/>
      <c r="Z100" s="67"/>
      <c r="AA100" s="67"/>
      <c r="AB100" s="67"/>
      <c r="AC100" s="67"/>
      <c r="AD100" s="560"/>
      <c r="AE100" s="67"/>
      <c r="AF100" s="67"/>
      <c r="AG100" s="67"/>
      <c r="AH100" s="67"/>
      <c r="AI100" s="560"/>
      <c r="AJ100" s="67"/>
      <c r="AK100" s="67"/>
      <c r="AL100" s="67"/>
      <c r="AM100" s="67"/>
      <c r="AN100" s="560"/>
      <c r="AO100" s="67"/>
      <c r="AP100" s="67"/>
      <c r="AQ100" s="67"/>
      <c r="AR100" s="67"/>
      <c r="AS100" s="560"/>
      <c r="AT100" s="67"/>
      <c r="AU100" s="67"/>
      <c r="AV100" s="67"/>
      <c r="AW100" s="67"/>
      <c r="AX100" s="560"/>
      <c r="AY100" s="67"/>
      <c r="AZ100" s="67"/>
      <c r="BA100" s="67"/>
      <c r="BB100" s="67"/>
      <c r="BC100" s="560"/>
      <c r="BD100" s="67"/>
      <c r="BE100" s="67"/>
      <c r="BF100" s="67"/>
      <c r="BG100" s="67"/>
      <c r="BH100" s="560"/>
      <c r="BI100" s="67"/>
      <c r="BJ100" s="67"/>
      <c r="BK100" s="67"/>
      <c r="BL100" s="67"/>
      <c r="BM100" s="560"/>
      <c r="BN100" s="67"/>
      <c r="BO100" s="67"/>
      <c r="BP100" s="67"/>
      <c r="BQ100" s="67"/>
      <c r="BR100" s="560"/>
      <c r="BS100" s="67"/>
      <c r="BT100" s="67"/>
      <c r="BU100" s="67"/>
      <c r="BV100" s="67"/>
      <c r="BW100" s="560"/>
      <c r="BX100" s="67"/>
      <c r="BY100" s="67"/>
      <c r="BZ100" s="67"/>
      <c r="CA100" s="67"/>
      <c r="CB100" s="560"/>
      <c r="CC100" s="67"/>
      <c r="CD100" s="67"/>
      <c r="CE100" s="67"/>
      <c r="CF100" s="67"/>
      <c r="CG100" s="560"/>
      <c r="CH100" s="67"/>
      <c r="CI100" s="67"/>
      <c r="CJ100" s="67"/>
      <c r="CK100" s="67"/>
      <c r="CL100" s="560"/>
      <c r="CM100" s="67"/>
      <c r="CN100" s="67"/>
      <c r="CO100" s="67"/>
      <c r="CP100" s="67"/>
      <c r="CQ100" s="560"/>
      <c r="CR100" s="67"/>
      <c r="CS100" s="67"/>
      <c r="CT100" s="67"/>
      <c r="CU100" s="67"/>
      <c r="CV100" s="560"/>
      <c r="CW100" s="67"/>
      <c r="CX100" s="67"/>
      <c r="CY100" s="67"/>
      <c r="CZ100" s="67"/>
      <c r="DA100" s="560"/>
      <c r="DB100" s="67"/>
      <c r="DC100" s="67"/>
      <c r="DD100" s="67"/>
      <c r="DE100" s="67"/>
      <c r="DF100" s="560"/>
      <c r="DG100" s="67"/>
      <c r="DH100" s="67"/>
      <c r="DI100" s="67"/>
      <c r="DJ100" s="67"/>
      <c r="DK100" s="560"/>
      <c r="DL100" s="67"/>
      <c r="DM100" s="67"/>
      <c r="DN100" s="67"/>
      <c r="DO100" s="67"/>
      <c r="DP100" s="560"/>
      <c r="DQ100" s="67"/>
      <c r="DR100" s="67"/>
      <c r="DS100" s="67"/>
      <c r="DT100" s="67"/>
      <c r="DU100" s="560"/>
      <c r="DV100" s="67"/>
      <c r="DW100" s="67"/>
      <c r="DX100" s="67"/>
      <c r="DY100" s="67"/>
      <c r="DZ100" s="560"/>
      <c r="EA100" s="67"/>
      <c r="EB100" s="67"/>
      <c r="EC100" s="67"/>
      <c r="ED100" s="67"/>
      <c r="EE100" s="560"/>
      <c r="EF100" s="67"/>
      <c r="EG100" s="67"/>
      <c r="EH100" s="67"/>
      <c r="EI100" s="67"/>
      <c r="EJ100" s="560"/>
      <c r="EK100" s="67"/>
      <c r="EL100" s="67"/>
      <c r="EM100" s="67"/>
      <c r="EN100" s="67"/>
      <c r="EO100" s="455"/>
      <c r="EP100" s="472"/>
      <c r="EQ100" s="472"/>
    </row>
    <row r="101" spans="1:147" ht="12.75" customHeight="1" x14ac:dyDescent="0.2">
      <c r="A101" s="442"/>
      <c r="B101" s="442"/>
      <c r="D101" s="568" t="s">
        <v>362</v>
      </c>
      <c r="E101" s="465"/>
      <c r="F101" s="442"/>
      <c r="G101" s="67">
        <f>SUM(G102:G102)</f>
        <v>0</v>
      </c>
      <c r="H101" s="67"/>
      <c r="I101" s="67"/>
      <c r="J101" s="560"/>
      <c r="K101" s="67"/>
      <c r="L101" s="67">
        <f>SUM(L102:L102)</f>
        <v>0</v>
      </c>
      <c r="M101" s="67"/>
      <c r="N101" s="67"/>
      <c r="O101" s="560"/>
      <c r="P101" s="67"/>
      <c r="Q101" s="67">
        <f>SUM(Q102:Q102)</f>
        <v>0</v>
      </c>
      <c r="R101" s="67"/>
      <c r="S101" s="67"/>
      <c r="T101" s="560"/>
      <c r="U101" s="67"/>
      <c r="V101" s="67">
        <f>SUM(V102:V102)</f>
        <v>0</v>
      </c>
      <c r="W101" s="67"/>
      <c r="X101" s="67"/>
      <c r="Y101" s="560"/>
      <c r="Z101" s="67"/>
      <c r="AA101" s="67">
        <f>SUM(AA102:AA102)</f>
        <v>0</v>
      </c>
      <c r="AB101" s="67"/>
      <c r="AC101" s="67"/>
      <c r="AD101" s="560"/>
      <c r="AE101" s="67"/>
      <c r="AF101" s="67">
        <f>SUM(AF102:AF102)</f>
        <v>0</v>
      </c>
      <c r="AG101" s="67"/>
      <c r="AH101" s="67"/>
      <c r="AI101" s="560"/>
      <c r="AJ101" s="67"/>
      <c r="AK101" s="67">
        <f>SUM(AK102:AK102)</f>
        <v>0</v>
      </c>
      <c r="AL101" s="67"/>
      <c r="AM101" s="67"/>
      <c r="AN101" s="560"/>
      <c r="AO101" s="67"/>
      <c r="AP101" s="67">
        <f>SUM(AP102:AP102)</f>
        <v>0</v>
      </c>
      <c r="AQ101" s="67"/>
      <c r="AR101" s="67"/>
      <c r="AS101" s="560"/>
      <c r="AT101" s="67"/>
      <c r="AU101" s="67">
        <f>SUM(AU102:AU102)</f>
        <v>0</v>
      </c>
      <c r="AV101" s="67"/>
      <c r="AW101" s="67"/>
      <c r="AX101" s="560"/>
      <c r="AY101" s="67"/>
      <c r="AZ101" s="67">
        <f>SUM(AZ102:AZ102)</f>
        <v>0</v>
      </c>
      <c r="BA101" s="67"/>
      <c r="BB101" s="67"/>
      <c r="BC101" s="560"/>
      <c r="BD101" s="67"/>
      <c r="BE101" s="67">
        <f>SUM(BE102:BE102)</f>
        <v>0</v>
      </c>
      <c r="BF101" s="67"/>
      <c r="BG101" s="67"/>
      <c r="BH101" s="560"/>
      <c r="BI101" s="67"/>
      <c r="BJ101" s="67">
        <f>SUM(BJ102:BJ102)</f>
        <v>0</v>
      </c>
      <c r="BK101" s="67"/>
      <c r="BL101" s="67"/>
      <c r="BM101" s="560"/>
      <c r="BN101" s="67"/>
      <c r="BO101" s="67">
        <f>SUM(BO102:BO102)</f>
        <v>0</v>
      </c>
      <c r="BP101" s="67"/>
      <c r="BQ101" s="67"/>
      <c r="BR101" s="560"/>
      <c r="BS101" s="67"/>
      <c r="BT101" s="67">
        <f>SUM(BT102:BT102)</f>
        <v>0</v>
      </c>
      <c r="BU101" s="67"/>
      <c r="BV101" s="67"/>
      <c r="BW101" s="560"/>
      <c r="BX101" s="67"/>
      <c r="BY101" s="67">
        <f>SUM(BY102:BY102)</f>
        <v>0</v>
      </c>
      <c r="BZ101" s="67"/>
      <c r="CA101" s="67"/>
      <c r="CB101" s="560"/>
      <c r="CC101" s="67"/>
      <c r="CD101" s="67">
        <f>SUM(CD102:CD102)</f>
        <v>0</v>
      </c>
      <c r="CE101" s="67"/>
      <c r="CF101" s="67"/>
      <c r="CG101" s="560"/>
      <c r="CH101" s="67"/>
      <c r="CI101" s="67">
        <f>SUM(CI102:CI102)</f>
        <v>0</v>
      </c>
      <c r="CJ101" s="67"/>
      <c r="CK101" s="67"/>
      <c r="CL101" s="560"/>
      <c r="CM101" s="67"/>
      <c r="CN101" s="67">
        <f>SUM(CN102:CN102)</f>
        <v>0</v>
      </c>
      <c r="CO101" s="67"/>
      <c r="CP101" s="67"/>
      <c r="CQ101" s="560"/>
      <c r="CR101" s="67"/>
      <c r="CS101" s="67">
        <f>SUM(CS102:CS102)</f>
        <v>0</v>
      </c>
      <c r="CT101" s="67"/>
      <c r="CU101" s="67"/>
      <c r="CV101" s="560"/>
      <c r="CW101" s="67"/>
      <c r="CX101" s="67">
        <f>SUM(CX102:CX102)</f>
        <v>0</v>
      </c>
      <c r="CY101" s="67"/>
      <c r="CZ101" s="67"/>
      <c r="DA101" s="560"/>
      <c r="DB101" s="67"/>
      <c r="DC101" s="67">
        <f>SUM(DC102:DC102)</f>
        <v>0</v>
      </c>
      <c r="DD101" s="67"/>
      <c r="DE101" s="67"/>
      <c r="DF101" s="560"/>
      <c r="DG101" s="67"/>
      <c r="DH101" s="67">
        <f>SUM(DH102:DH102)</f>
        <v>0</v>
      </c>
      <c r="DI101" s="67"/>
      <c r="DJ101" s="67"/>
      <c r="DK101" s="560"/>
      <c r="DL101" s="67"/>
      <c r="DM101" s="67">
        <f>SUM(DM102:DM102)</f>
        <v>0</v>
      </c>
      <c r="DN101" s="67"/>
      <c r="DO101" s="67"/>
      <c r="DP101" s="560"/>
      <c r="DQ101" s="67"/>
      <c r="DR101" s="67">
        <f>SUM(DR102:DR102)</f>
        <v>0</v>
      </c>
      <c r="DS101" s="67"/>
      <c r="DT101" s="67"/>
      <c r="DU101" s="560"/>
      <c r="DV101" s="67"/>
      <c r="DW101" s="67">
        <f>SUM(DW102:DW102)</f>
        <v>0</v>
      </c>
      <c r="DX101" s="67"/>
      <c r="DY101" s="67"/>
      <c r="DZ101" s="560"/>
      <c r="EA101" s="67"/>
      <c r="EB101" s="67">
        <f>SUM(EB102:EB102)</f>
        <v>0</v>
      </c>
      <c r="EC101" s="67"/>
      <c r="ED101" s="67"/>
      <c r="EE101" s="560"/>
      <c r="EF101" s="67"/>
      <c r="EG101" s="67">
        <f>SUM(EG102:EG102)</f>
        <v>0</v>
      </c>
      <c r="EH101" s="67"/>
      <c r="EI101" s="67"/>
      <c r="EJ101" s="560"/>
      <c r="EK101" s="67"/>
      <c r="EL101" s="67">
        <f>SUM(EL102:EL102)</f>
        <v>0</v>
      </c>
      <c r="EM101" s="67"/>
      <c r="EN101" s="67"/>
      <c r="EO101" s="455"/>
      <c r="EP101" s="472"/>
      <c r="EQ101" s="472"/>
    </row>
    <row r="102" spans="1:147" ht="12.75" customHeight="1" x14ac:dyDescent="0.2">
      <c r="A102" s="442"/>
      <c r="B102" s="442"/>
      <c r="D102" s="455" t="s">
        <v>342</v>
      </c>
      <c r="E102" s="465"/>
      <c r="F102" s="563"/>
      <c r="G102" s="564">
        <v>0</v>
      </c>
      <c r="H102" s="565"/>
      <c r="I102" s="67"/>
      <c r="J102" s="560"/>
      <c r="K102" s="566"/>
      <c r="L102" s="564">
        <v>0</v>
      </c>
      <c r="M102" s="565"/>
      <c r="N102" s="67"/>
      <c r="O102" s="560"/>
      <c r="P102" s="566"/>
      <c r="Q102" s="564">
        <v>0</v>
      </c>
      <c r="R102" s="565"/>
      <c r="S102" s="67"/>
      <c r="T102" s="560"/>
      <c r="U102" s="566"/>
      <c r="V102" s="564">
        <v>0</v>
      </c>
      <c r="W102" s="565"/>
      <c r="X102" s="67"/>
      <c r="Y102" s="560"/>
      <c r="Z102" s="566"/>
      <c r="AA102" s="564">
        <v>0</v>
      </c>
      <c r="AB102" s="565"/>
      <c r="AC102" s="67"/>
      <c r="AD102" s="560"/>
      <c r="AE102" s="566"/>
      <c r="AF102" s="564">
        <v>0</v>
      </c>
      <c r="AG102" s="565"/>
      <c r="AH102" s="67"/>
      <c r="AI102" s="560"/>
      <c r="AJ102" s="566"/>
      <c r="AK102" s="564">
        <v>0</v>
      </c>
      <c r="AL102" s="565"/>
      <c r="AM102" s="67"/>
      <c r="AN102" s="560"/>
      <c r="AO102" s="566"/>
      <c r="AP102" s="564">
        <v>0</v>
      </c>
      <c r="AQ102" s="565"/>
      <c r="AR102" s="67"/>
      <c r="AS102" s="560"/>
      <c r="AT102" s="566"/>
      <c r="AU102" s="564">
        <v>0</v>
      </c>
      <c r="AV102" s="565"/>
      <c r="AW102" s="67"/>
      <c r="AX102" s="560"/>
      <c r="AY102" s="566"/>
      <c r="AZ102" s="564">
        <v>0</v>
      </c>
      <c r="BA102" s="565"/>
      <c r="BB102" s="67"/>
      <c r="BC102" s="560"/>
      <c r="BD102" s="566"/>
      <c r="BE102" s="564">
        <v>0</v>
      </c>
      <c r="BF102" s="565"/>
      <c r="BG102" s="67"/>
      <c r="BH102" s="560"/>
      <c r="BI102" s="566"/>
      <c r="BJ102" s="564">
        <v>0</v>
      </c>
      <c r="BK102" s="565"/>
      <c r="BL102" s="67"/>
      <c r="BM102" s="560"/>
      <c r="BN102" s="566"/>
      <c r="BO102" s="564">
        <v>0</v>
      </c>
      <c r="BP102" s="565"/>
      <c r="BQ102" s="67"/>
      <c r="BR102" s="560"/>
      <c r="BS102" s="566"/>
      <c r="BT102" s="564">
        <f>SUM(L102:BO102)</f>
        <v>0</v>
      </c>
      <c r="BU102" s="565"/>
      <c r="BV102" s="67"/>
      <c r="BW102" s="560"/>
      <c r="BX102" s="566"/>
      <c r="BY102" s="564">
        <v>0</v>
      </c>
      <c r="BZ102" s="565"/>
      <c r="CA102" s="67"/>
      <c r="CB102" s="560"/>
      <c r="CC102" s="566"/>
      <c r="CD102" s="564">
        <v>0</v>
      </c>
      <c r="CE102" s="565"/>
      <c r="CF102" s="67"/>
      <c r="CG102" s="560"/>
      <c r="CH102" s="566"/>
      <c r="CI102" s="564">
        <v>0</v>
      </c>
      <c r="CJ102" s="565"/>
      <c r="CK102" s="67"/>
      <c r="CL102" s="560"/>
      <c r="CM102" s="566"/>
      <c r="CN102" s="564">
        <v>0</v>
      </c>
      <c r="CO102" s="565"/>
      <c r="CP102" s="67"/>
      <c r="CQ102" s="560"/>
      <c r="CR102" s="566"/>
      <c r="CS102" s="564">
        <v>0</v>
      </c>
      <c r="CT102" s="565"/>
      <c r="CU102" s="67"/>
      <c r="CV102" s="560"/>
      <c r="CW102" s="566"/>
      <c r="CX102" s="564">
        <v>0</v>
      </c>
      <c r="CY102" s="565"/>
      <c r="CZ102" s="67"/>
      <c r="DA102" s="560"/>
      <c r="DB102" s="566"/>
      <c r="DC102" s="564">
        <v>0</v>
      </c>
      <c r="DD102" s="565"/>
      <c r="DE102" s="67"/>
      <c r="DF102" s="560"/>
      <c r="DG102" s="566"/>
      <c r="DH102" s="564">
        <v>0</v>
      </c>
      <c r="DI102" s="565"/>
      <c r="DJ102" s="67"/>
      <c r="DK102" s="560"/>
      <c r="DL102" s="566"/>
      <c r="DM102" s="564">
        <v>0</v>
      </c>
      <c r="DN102" s="565"/>
      <c r="DO102" s="67"/>
      <c r="DP102" s="560"/>
      <c r="DQ102" s="566"/>
      <c r="DR102" s="564">
        <v>0</v>
      </c>
      <c r="DS102" s="565"/>
      <c r="DT102" s="67"/>
      <c r="DU102" s="560"/>
      <c r="DV102" s="566"/>
      <c r="DW102" s="564">
        <v>0</v>
      </c>
      <c r="DX102" s="565"/>
      <c r="DY102" s="67"/>
      <c r="DZ102" s="560"/>
      <c r="EA102" s="566"/>
      <c r="EB102" s="564">
        <v>0</v>
      </c>
      <c r="EC102" s="565"/>
      <c r="ED102" s="67"/>
      <c r="EE102" s="560"/>
      <c r="EF102" s="566"/>
      <c r="EG102" s="564">
        <v>0</v>
      </c>
      <c r="EH102" s="565"/>
      <c r="EI102" s="67"/>
      <c r="EJ102" s="560"/>
      <c r="EK102" s="566"/>
      <c r="EL102" s="564">
        <f>SUM(CD102:CI102)</f>
        <v>0</v>
      </c>
      <c r="EM102" s="565"/>
      <c r="EN102" s="67"/>
      <c r="EO102" s="455"/>
      <c r="EP102" s="472"/>
      <c r="EQ102" s="472"/>
    </row>
    <row r="103" spans="1:147" ht="12.75" customHeight="1" x14ac:dyDescent="0.2">
      <c r="A103" s="442"/>
      <c r="B103" s="442"/>
      <c r="D103" s="455"/>
      <c r="E103" s="465"/>
      <c r="F103" s="442"/>
      <c r="G103" s="67"/>
      <c r="H103" s="67"/>
      <c r="I103" s="67"/>
      <c r="J103" s="560"/>
      <c r="K103" s="67"/>
      <c r="L103" s="67"/>
      <c r="M103" s="67"/>
      <c r="N103" s="67"/>
      <c r="O103" s="560"/>
      <c r="P103" s="67"/>
      <c r="Q103" s="67"/>
      <c r="R103" s="67"/>
      <c r="S103" s="67"/>
      <c r="T103" s="560"/>
      <c r="U103" s="67"/>
      <c r="V103" s="67"/>
      <c r="W103" s="67"/>
      <c r="X103" s="67"/>
      <c r="Y103" s="560"/>
      <c r="Z103" s="67"/>
      <c r="AA103" s="67"/>
      <c r="AB103" s="67"/>
      <c r="AC103" s="67"/>
      <c r="AD103" s="560"/>
      <c r="AE103" s="67"/>
      <c r="AF103" s="67"/>
      <c r="AG103" s="67"/>
      <c r="AH103" s="67"/>
      <c r="AI103" s="560"/>
      <c r="AJ103" s="67"/>
      <c r="AK103" s="67"/>
      <c r="AL103" s="67"/>
      <c r="AM103" s="67"/>
      <c r="AN103" s="560"/>
      <c r="AO103" s="67"/>
      <c r="AP103" s="67"/>
      <c r="AQ103" s="67"/>
      <c r="AR103" s="67"/>
      <c r="AS103" s="560"/>
      <c r="AT103" s="67"/>
      <c r="AU103" s="67"/>
      <c r="AV103" s="67"/>
      <c r="AW103" s="67"/>
      <c r="AX103" s="560"/>
      <c r="AY103" s="67"/>
      <c r="AZ103" s="67"/>
      <c r="BA103" s="67"/>
      <c r="BB103" s="67"/>
      <c r="BC103" s="560"/>
      <c r="BD103" s="67"/>
      <c r="BE103" s="67"/>
      <c r="BF103" s="67"/>
      <c r="BG103" s="67"/>
      <c r="BH103" s="560"/>
      <c r="BI103" s="67"/>
      <c r="BJ103" s="67"/>
      <c r="BK103" s="67"/>
      <c r="BL103" s="67"/>
      <c r="BM103" s="560"/>
      <c r="BN103" s="67"/>
      <c r="BO103" s="67"/>
      <c r="BP103" s="67"/>
      <c r="BQ103" s="67"/>
      <c r="BR103" s="560"/>
      <c r="BS103" s="67"/>
      <c r="BT103" s="67"/>
      <c r="BU103" s="67"/>
      <c r="BV103" s="67"/>
      <c r="BW103" s="560"/>
      <c r="BX103" s="67"/>
      <c r="BY103" s="67"/>
      <c r="BZ103" s="67"/>
      <c r="CA103" s="67"/>
      <c r="CB103" s="560"/>
      <c r="CC103" s="67"/>
      <c r="CD103" s="67"/>
      <c r="CE103" s="67"/>
      <c r="CF103" s="67"/>
      <c r="CG103" s="560"/>
      <c r="CH103" s="67"/>
      <c r="CI103" s="67"/>
      <c r="CJ103" s="67"/>
      <c r="CK103" s="67"/>
      <c r="CL103" s="560"/>
      <c r="CM103" s="67"/>
      <c r="CN103" s="67"/>
      <c r="CO103" s="67"/>
      <c r="CP103" s="67"/>
      <c r="CQ103" s="560"/>
      <c r="CR103" s="67"/>
      <c r="CS103" s="67"/>
      <c r="CT103" s="67"/>
      <c r="CU103" s="67"/>
      <c r="CV103" s="560"/>
      <c r="CW103" s="67"/>
      <c r="CX103" s="67"/>
      <c r="CY103" s="67"/>
      <c r="CZ103" s="67"/>
      <c r="DA103" s="560"/>
      <c r="DB103" s="67"/>
      <c r="DC103" s="67"/>
      <c r="DD103" s="67"/>
      <c r="DE103" s="67"/>
      <c r="DF103" s="560"/>
      <c r="DG103" s="67"/>
      <c r="DH103" s="67"/>
      <c r="DI103" s="67"/>
      <c r="DJ103" s="67"/>
      <c r="DK103" s="560"/>
      <c r="DL103" s="67"/>
      <c r="DM103" s="67"/>
      <c r="DN103" s="67"/>
      <c r="DO103" s="67"/>
      <c r="DP103" s="560"/>
      <c r="DQ103" s="67"/>
      <c r="DR103" s="67"/>
      <c r="DS103" s="67"/>
      <c r="DT103" s="67"/>
      <c r="DU103" s="560"/>
      <c r="DV103" s="67"/>
      <c r="DW103" s="67"/>
      <c r="DX103" s="67"/>
      <c r="DY103" s="67"/>
      <c r="DZ103" s="560"/>
      <c r="EA103" s="67"/>
      <c r="EB103" s="67"/>
      <c r="EC103" s="67"/>
      <c r="ED103" s="67"/>
      <c r="EE103" s="560"/>
      <c r="EF103" s="67"/>
      <c r="EG103" s="67"/>
      <c r="EH103" s="67"/>
      <c r="EI103" s="67"/>
      <c r="EJ103" s="560"/>
      <c r="EK103" s="67"/>
      <c r="EL103" s="67"/>
      <c r="EM103" s="67"/>
      <c r="EN103" s="67"/>
      <c r="EO103" s="455"/>
      <c r="EP103" s="472"/>
      <c r="EQ103" s="472"/>
    </row>
    <row r="104" spans="1:147" x14ac:dyDescent="0.2">
      <c r="A104" s="442"/>
      <c r="B104" s="442"/>
      <c r="D104" s="455" t="s">
        <v>363</v>
      </c>
      <c r="E104" s="465"/>
      <c r="F104" s="442"/>
      <c r="G104" s="67">
        <f>SUM(G105:G105)</f>
        <v>0</v>
      </c>
      <c r="H104" s="67"/>
      <c r="I104" s="67"/>
      <c r="J104" s="560"/>
      <c r="K104" s="442"/>
      <c r="L104" s="67">
        <f>SUM(L105:L105)</f>
        <v>0</v>
      </c>
      <c r="M104" s="67"/>
      <c r="N104" s="67"/>
      <c r="O104" s="560"/>
      <c r="P104" s="67"/>
      <c r="Q104" s="67">
        <f>SUM(Q105:Q105)</f>
        <v>0</v>
      </c>
      <c r="R104" s="67"/>
      <c r="S104" s="67"/>
      <c r="T104" s="560"/>
      <c r="U104" s="67"/>
      <c r="V104" s="67">
        <f>SUM(V105:V105)</f>
        <v>0</v>
      </c>
      <c r="W104" s="67"/>
      <c r="X104" s="67"/>
      <c r="Y104" s="560"/>
      <c r="Z104" s="67"/>
      <c r="AA104" s="67">
        <f>SUM(AA105:AA105)</f>
        <v>0</v>
      </c>
      <c r="AB104" s="67"/>
      <c r="AC104" s="67"/>
      <c r="AD104" s="560"/>
      <c r="AE104" s="67"/>
      <c r="AF104" s="67">
        <f>SUM(AF105:AF105)</f>
        <v>0</v>
      </c>
      <c r="AG104" s="67"/>
      <c r="AH104" s="67"/>
      <c r="AI104" s="560"/>
      <c r="AJ104" s="67"/>
      <c r="AK104" s="67">
        <f>SUM(AK105:AK105)</f>
        <v>0</v>
      </c>
      <c r="AL104" s="67"/>
      <c r="AM104" s="67"/>
      <c r="AN104" s="560"/>
      <c r="AO104" s="67"/>
      <c r="AP104" s="67">
        <f>SUM(AP105:AP105)</f>
        <v>0</v>
      </c>
      <c r="AQ104" s="67"/>
      <c r="AR104" s="67"/>
      <c r="AS104" s="560"/>
      <c r="AT104" s="67"/>
      <c r="AU104" s="67">
        <f>SUM(AU105:AU105)</f>
        <v>0</v>
      </c>
      <c r="AV104" s="67"/>
      <c r="AW104" s="67"/>
      <c r="AX104" s="560"/>
      <c r="AY104" s="67"/>
      <c r="AZ104" s="67">
        <f>SUM(AZ105:AZ105)</f>
        <v>0</v>
      </c>
      <c r="BA104" s="67"/>
      <c r="BB104" s="67"/>
      <c r="BC104" s="560"/>
      <c r="BD104" s="67"/>
      <c r="BE104" s="67">
        <f>SUM(BE105:BE105)</f>
        <v>0</v>
      </c>
      <c r="BF104" s="67"/>
      <c r="BG104" s="67"/>
      <c r="BH104" s="560"/>
      <c r="BI104" s="67"/>
      <c r="BJ104" s="67">
        <f>SUM(BJ105:BJ105)</f>
        <v>0</v>
      </c>
      <c r="BK104" s="67"/>
      <c r="BL104" s="67"/>
      <c r="BM104" s="560"/>
      <c r="BN104" s="67"/>
      <c r="BO104" s="67">
        <f>SUM(BO105:BO105)</f>
        <v>0</v>
      </c>
      <c r="BP104" s="67"/>
      <c r="BQ104" s="67"/>
      <c r="BR104" s="560"/>
      <c r="BS104" s="442"/>
      <c r="BT104" s="67">
        <f>SUM(BT105:BT105)</f>
        <v>0</v>
      </c>
      <c r="BU104" s="67"/>
      <c r="BV104" s="67"/>
      <c r="BW104" s="560"/>
      <c r="BX104" s="442"/>
      <c r="BY104" s="67">
        <f>SUM(BY105:BY105)</f>
        <v>266052</v>
      </c>
      <c r="BZ104" s="67"/>
      <c r="CA104" s="67"/>
      <c r="CB104" s="560"/>
      <c r="CC104" s="442"/>
      <c r="CD104" s="67">
        <f>SUM(CD105:CD105)</f>
        <v>0</v>
      </c>
      <c r="CE104" s="67"/>
      <c r="CF104" s="67"/>
      <c r="CG104" s="560"/>
      <c r="CH104" s="67"/>
      <c r="CI104" s="67">
        <f>SUM(CI105:CI105)</f>
        <v>0</v>
      </c>
      <c r="CJ104" s="67"/>
      <c r="CK104" s="67"/>
      <c r="CL104" s="560"/>
      <c r="CM104" s="67"/>
      <c r="CN104" s="67">
        <f>SUM(CN105:CN105)</f>
        <v>0</v>
      </c>
      <c r="CO104" s="67"/>
      <c r="CP104" s="67"/>
      <c r="CQ104" s="560"/>
      <c r="CR104" s="67"/>
      <c r="CS104" s="67">
        <f>SUM(CS105:CS105)</f>
        <v>0</v>
      </c>
      <c r="CT104" s="67"/>
      <c r="CU104" s="67"/>
      <c r="CV104" s="560"/>
      <c r="CW104" s="67"/>
      <c r="CX104" s="67">
        <f>SUM(CX105:CX105)</f>
        <v>266052</v>
      </c>
      <c r="CY104" s="67"/>
      <c r="CZ104" s="67"/>
      <c r="DA104" s="560"/>
      <c r="DB104" s="67"/>
      <c r="DC104" s="67">
        <f>SUM(DC105:DC105)</f>
        <v>0</v>
      </c>
      <c r="DD104" s="67"/>
      <c r="DE104" s="67"/>
      <c r="DF104" s="560"/>
      <c r="DG104" s="67"/>
      <c r="DH104" s="67">
        <f>SUM(DH105:DH105)</f>
        <v>0</v>
      </c>
      <c r="DI104" s="67"/>
      <c r="DJ104" s="67"/>
      <c r="DK104" s="560"/>
      <c r="DL104" s="67"/>
      <c r="DM104" s="67">
        <f>SUM(DM105:DM105)</f>
        <v>0</v>
      </c>
      <c r="DN104" s="67"/>
      <c r="DO104" s="67"/>
      <c r="DP104" s="560"/>
      <c r="DQ104" s="67"/>
      <c r="DR104" s="67">
        <f>SUM(DR105:DR105)</f>
        <v>0</v>
      </c>
      <c r="DS104" s="67"/>
      <c r="DT104" s="67"/>
      <c r="DU104" s="560"/>
      <c r="DV104" s="67"/>
      <c r="DW104" s="67">
        <f>SUM(DW105:DW105)</f>
        <v>0</v>
      </c>
      <c r="DX104" s="67"/>
      <c r="DY104" s="67"/>
      <c r="DZ104" s="560"/>
      <c r="EA104" s="67"/>
      <c r="EB104" s="67">
        <f>SUM(EB105:EB105)</f>
        <v>0</v>
      </c>
      <c r="EC104" s="67"/>
      <c r="ED104" s="67"/>
      <c r="EE104" s="560"/>
      <c r="EF104" s="67"/>
      <c r="EG104" s="67">
        <f>SUM(EG105:EG105)</f>
        <v>0</v>
      </c>
      <c r="EH104" s="67"/>
      <c r="EI104" s="67"/>
      <c r="EJ104" s="560"/>
      <c r="EK104" s="442"/>
      <c r="EL104" s="67">
        <f>SUM(EL105:EL105)</f>
        <v>0</v>
      </c>
      <c r="EM104" s="67"/>
      <c r="EN104" s="442"/>
      <c r="EO104" s="455"/>
      <c r="EP104" s="472"/>
      <c r="EQ104" s="472"/>
    </row>
    <row r="105" spans="1:147" x14ac:dyDescent="0.2">
      <c r="A105" s="442"/>
      <c r="B105" s="442"/>
      <c r="D105" s="455" t="s">
        <v>342</v>
      </c>
      <c r="E105" s="465"/>
      <c r="F105" s="563"/>
      <c r="G105" s="564">
        <v>0</v>
      </c>
      <c r="H105" s="565"/>
      <c r="I105" s="67"/>
      <c r="J105" s="560"/>
      <c r="K105" s="563"/>
      <c r="L105" s="564">
        <v>0</v>
      </c>
      <c r="M105" s="565"/>
      <c r="N105" s="67"/>
      <c r="O105" s="560"/>
      <c r="P105" s="566"/>
      <c r="Q105" s="564">
        <v>0</v>
      </c>
      <c r="R105" s="565"/>
      <c r="S105" s="67"/>
      <c r="T105" s="560"/>
      <c r="U105" s="566"/>
      <c r="V105" s="564">
        <v>0</v>
      </c>
      <c r="W105" s="565"/>
      <c r="X105" s="67"/>
      <c r="Y105" s="560"/>
      <c r="Z105" s="566"/>
      <c r="AA105" s="564">
        <v>0</v>
      </c>
      <c r="AB105" s="565"/>
      <c r="AC105" s="67"/>
      <c r="AD105" s="560"/>
      <c r="AE105" s="566"/>
      <c r="AF105" s="564">
        <v>0</v>
      </c>
      <c r="AG105" s="565"/>
      <c r="AH105" s="67"/>
      <c r="AI105" s="560"/>
      <c r="AJ105" s="566"/>
      <c r="AK105" s="564">
        <v>0</v>
      </c>
      <c r="AL105" s="565"/>
      <c r="AM105" s="67"/>
      <c r="AN105" s="560"/>
      <c r="AO105" s="566"/>
      <c r="AP105" s="564">
        <v>0</v>
      </c>
      <c r="AQ105" s="565"/>
      <c r="AR105" s="67"/>
      <c r="AS105" s="560"/>
      <c r="AT105" s="566"/>
      <c r="AU105" s="564">
        <v>0</v>
      </c>
      <c r="AV105" s="565"/>
      <c r="AW105" s="67"/>
      <c r="AX105" s="560"/>
      <c r="AY105" s="566"/>
      <c r="AZ105" s="564">
        <v>0</v>
      </c>
      <c r="BA105" s="565"/>
      <c r="BB105" s="67"/>
      <c r="BC105" s="560"/>
      <c r="BD105" s="566"/>
      <c r="BE105" s="564">
        <v>0</v>
      </c>
      <c r="BF105" s="565"/>
      <c r="BG105" s="67"/>
      <c r="BH105" s="560"/>
      <c r="BI105" s="566"/>
      <c r="BJ105" s="564">
        <v>0</v>
      </c>
      <c r="BK105" s="565"/>
      <c r="BL105" s="67"/>
      <c r="BM105" s="560"/>
      <c r="BN105" s="566"/>
      <c r="BO105" s="564">
        <v>0</v>
      </c>
      <c r="BP105" s="565"/>
      <c r="BQ105" s="67"/>
      <c r="BR105" s="560"/>
      <c r="BS105" s="566"/>
      <c r="BT105" s="564">
        <f>SUM(L105:BO105)</f>
        <v>0</v>
      </c>
      <c r="BU105" s="565"/>
      <c r="BV105" s="67"/>
      <c r="BW105" s="560"/>
      <c r="BX105" s="563"/>
      <c r="BY105" s="564">
        <v>266052</v>
      </c>
      <c r="BZ105" s="565"/>
      <c r="CA105" s="67"/>
      <c r="CB105" s="560"/>
      <c r="CC105" s="563"/>
      <c r="CD105" s="564">
        <v>0</v>
      </c>
      <c r="CE105" s="565"/>
      <c r="CF105" s="67"/>
      <c r="CG105" s="560"/>
      <c r="CH105" s="566"/>
      <c r="CI105" s="564">
        <v>0</v>
      </c>
      <c r="CJ105" s="565"/>
      <c r="CK105" s="67"/>
      <c r="CL105" s="560"/>
      <c r="CM105" s="566"/>
      <c r="CN105" s="564">
        <v>0</v>
      </c>
      <c r="CO105" s="565"/>
      <c r="CP105" s="67"/>
      <c r="CQ105" s="560"/>
      <c r="CR105" s="566"/>
      <c r="CS105" s="564">
        <v>0</v>
      </c>
      <c r="CT105" s="565"/>
      <c r="CU105" s="67"/>
      <c r="CV105" s="560"/>
      <c r="CW105" s="566"/>
      <c r="CX105" s="564">
        <v>266052</v>
      </c>
      <c r="CY105" s="565"/>
      <c r="CZ105" s="67"/>
      <c r="DA105" s="560"/>
      <c r="DB105" s="566"/>
      <c r="DC105" s="564">
        <v>0</v>
      </c>
      <c r="DD105" s="565"/>
      <c r="DE105" s="67"/>
      <c r="DF105" s="560"/>
      <c r="DG105" s="566"/>
      <c r="DH105" s="564">
        <v>0</v>
      </c>
      <c r="DI105" s="565"/>
      <c r="DJ105" s="67"/>
      <c r="DK105" s="560"/>
      <c r="DL105" s="566"/>
      <c r="DM105" s="564">
        <v>0</v>
      </c>
      <c r="DN105" s="565"/>
      <c r="DO105" s="67"/>
      <c r="DP105" s="560"/>
      <c r="DQ105" s="566"/>
      <c r="DR105" s="564">
        <v>0</v>
      </c>
      <c r="DS105" s="565"/>
      <c r="DT105" s="67"/>
      <c r="DU105" s="560"/>
      <c r="DV105" s="566"/>
      <c r="DW105" s="564">
        <v>0</v>
      </c>
      <c r="DX105" s="565"/>
      <c r="DY105" s="67"/>
      <c r="DZ105" s="560"/>
      <c r="EA105" s="566"/>
      <c r="EB105" s="564">
        <v>0</v>
      </c>
      <c r="EC105" s="565"/>
      <c r="ED105" s="67"/>
      <c r="EE105" s="560"/>
      <c r="EF105" s="566"/>
      <c r="EG105" s="564">
        <v>0</v>
      </c>
      <c r="EH105" s="565"/>
      <c r="EI105" s="67"/>
      <c r="EJ105" s="560"/>
      <c r="EK105" s="563"/>
      <c r="EL105" s="564">
        <f>SUM(CD105:CI105)</f>
        <v>0</v>
      </c>
      <c r="EM105" s="565"/>
      <c r="EN105" s="442"/>
      <c r="EO105" s="455"/>
      <c r="EP105" s="472"/>
      <c r="EQ105" s="472"/>
    </row>
    <row r="106" spans="1:147" ht="12.75" customHeight="1" x14ac:dyDescent="0.2">
      <c r="A106" s="442"/>
      <c r="B106" s="442"/>
      <c r="D106" s="455"/>
      <c r="E106" s="465"/>
      <c r="F106" s="442"/>
      <c r="G106" s="67"/>
      <c r="H106" s="67"/>
      <c r="I106" s="67"/>
      <c r="J106" s="560"/>
      <c r="K106" s="67"/>
      <c r="L106" s="67"/>
      <c r="M106" s="67"/>
      <c r="N106" s="67"/>
      <c r="O106" s="560"/>
      <c r="P106" s="67"/>
      <c r="Q106" s="67"/>
      <c r="R106" s="67"/>
      <c r="S106" s="67"/>
      <c r="T106" s="560"/>
      <c r="U106" s="67"/>
      <c r="V106" s="67"/>
      <c r="W106" s="67"/>
      <c r="X106" s="67"/>
      <c r="Y106" s="560"/>
      <c r="Z106" s="67"/>
      <c r="AA106" s="67"/>
      <c r="AB106" s="67"/>
      <c r="AC106" s="67"/>
      <c r="AD106" s="560"/>
      <c r="AE106" s="67"/>
      <c r="AF106" s="67"/>
      <c r="AG106" s="67"/>
      <c r="AH106" s="67"/>
      <c r="AI106" s="560"/>
      <c r="AJ106" s="67"/>
      <c r="AK106" s="67"/>
      <c r="AL106" s="67"/>
      <c r="AM106" s="67"/>
      <c r="AN106" s="560"/>
      <c r="AO106" s="67"/>
      <c r="AP106" s="67"/>
      <c r="AQ106" s="67"/>
      <c r="AR106" s="67"/>
      <c r="AS106" s="560"/>
      <c r="AT106" s="67"/>
      <c r="AU106" s="67"/>
      <c r="AV106" s="67"/>
      <c r="AW106" s="67"/>
      <c r="AX106" s="560"/>
      <c r="AY106" s="67"/>
      <c r="AZ106" s="67"/>
      <c r="BA106" s="67"/>
      <c r="BB106" s="67"/>
      <c r="BC106" s="560"/>
      <c r="BD106" s="67"/>
      <c r="BE106" s="67"/>
      <c r="BF106" s="67"/>
      <c r="BG106" s="67"/>
      <c r="BH106" s="560"/>
      <c r="BI106" s="67"/>
      <c r="BJ106" s="67"/>
      <c r="BK106" s="67"/>
      <c r="BL106" s="67"/>
      <c r="BM106" s="560"/>
      <c r="BN106" s="67"/>
      <c r="BO106" s="67"/>
      <c r="BP106" s="67"/>
      <c r="BQ106" s="67"/>
      <c r="BR106" s="560"/>
      <c r="BS106" s="67"/>
      <c r="BT106" s="67"/>
      <c r="BU106" s="67"/>
      <c r="BV106" s="67"/>
      <c r="BW106" s="560"/>
      <c r="BX106" s="67"/>
      <c r="BY106" s="67"/>
      <c r="BZ106" s="67"/>
      <c r="CA106" s="67"/>
      <c r="CB106" s="560"/>
      <c r="CC106" s="67"/>
      <c r="CD106" s="67"/>
      <c r="CE106" s="67"/>
      <c r="CF106" s="67"/>
      <c r="CG106" s="560"/>
      <c r="CH106" s="67"/>
      <c r="CI106" s="67"/>
      <c r="CJ106" s="67"/>
      <c r="CK106" s="67"/>
      <c r="CL106" s="560"/>
      <c r="CM106" s="67"/>
      <c r="CN106" s="67"/>
      <c r="CO106" s="67"/>
      <c r="CP106" s="67"/>
      <c r="CQ106" s="560"/>
      <c r="CR106" s="67"/>
      <c r="CS106" s="67"/>
      <c r="CT106" s="67"/>
      <c r="CU106" s="67"/>
      <c r="CV106" s="560"/>
      <c r="CW106" s="67"/>
      <c r="CX106" s="67"/>
      <c r="CY106" s="67"/>
      <c r="CZ106" s="67"/>
      <c r="DA106" s="560"/>
      <c r="DB106" s="67"/>
      <c r="DC106" s="67"/>
      <c r="DD106" s="67"/>
      <c r="DE106" s="67"/>
      <c r="DF106" s="560"/>
      <c r="DG106" s="67"/>
      <c r="DH106" s="67"/>
      <c r="DI106" s="67"/>
      <c r="DJ106" s="67"/>
      <c r="DK106" s="560"/>
      <c r="DL106" s="67"/>
      <c r="DM106" s="67"/>
      <c r="DN106" s="67"/>
      <c r="DO106" s="67"/>
      <c r="DP106" s="560"/>
      <c r="DQ106" s="67"/>
      <c r="DR106" s="67"/>
      <c r="DS106" s="67"/>
      <c r="DT106" s="67"/>
      <c r="DU106" s="560"/>
      <c r="DV106" s="67"/>
      <c r="DW106" s="67"/>
      <c r="DX106" s="67"/>
      <c r="DY106" s="67"/>
      <c r="DZ106" s="560"/>
      <c r="EA106" s="67"/>
      <c r="EB106" s="67"/>
      <c r="EC106" s="67"/>
      <c r="ED106" s="67"/>
      <c r="EE106" s="560"/>
      <c r="EF106" s="67"/>
      <c r="EG106" s="67"/>
      <c r="EH106" s="67"/>
      <c r="EI106" s="67"/>
      <c r="EJ106" s="560"/>
      <c r="EK106" s="67"/>
      <c r="EL106" s="67"/>
      <c r="EM106" s="442"/>
      <c r="EN106" s="442"/>
      <c r="EO106" s="455"/>
      <c r="EP106" s="472"/>
      <c r="EQ106" s="472"/>
    </row>
    <row r="107" spans="1:147" ht="12.75" customHeight="1" x14ac:dyDescent="0.2">
      <c r="A107" s="442"/>
      <c r="B107" s="442"/>
      <c r="D107" s="455" t="str">
        <f>[12]domlongtermissues!D338</f>
        <v xml:space="preserve">  R209  (6.25%  2036/03/31)</v>
      </c>
      <c r="E107" s="465"/>
      <c r="F107" s="442"/>
      <c r="G107" s="67">
        <f>SUM(G108:G108)</f>
        <v>0</v>
      </c>
      <c r="H107" s="67"/>
      <c r="I107" s="67"/>
      <c r="J107" s="560"/>
      <c r="K107" s="67"/>
      <c r="L107" s="67">
        <f>SUM(L108:L108)</f>
        <v>0</v>
      </c>
      <c r="M107" s="67"/>
      <c r="N107" s="67"/>
      <c r="O107" s="560"/>
      <c r="P107" s="67"/>
      <c r="Q107" s="67">
        <f>SUM(Q108:Q108)</f>
        <v>0</v>
      </c>
      <c r="R107" s="67"/>
      <c r="S107" s="67"/>
      <c r="T107" s="560"/>
      <c r="U107" s="67"/>
      <c r="V107" s="67">
        <f>SUM(V108:V108)</f>
        <v>0</v>
      </c>
      <c r="W107" s="67"/>
      <c r="X107" s="67"/>
      <c r="Y107" s="560"/>
      <c r="Z107" s="67"/>
      <c r="AA107" s="67">
        <f>SUM(AA108:AA108)</f>
        <v>0</v>
      </c>
      <c r="AB107" s="67"/>
      <c r="AC107" s="67"/>
      <c r="AD107" s="560"/>
      <c r="AE107" s="67"/>
      <c r="AF107" s="67">
        <f>SUM(AF108:AF108)</f>
        <v>0</v>
      </c>
      <c r="AG107" s="67"/>
      <c r="AH107" s="67"/>
      <c r="AI107" s="560"/>
      <c r="AJ107" s="67"/>
      <c r="AK107" s="67">
        <f>SUM(AK108:AK108)</f>
        <v>0</v>
      </c>
      <c r="AL107" s="67"/>
      <c r="AM107" s="67"/>
      <c r="AN107" s="560"/>
      <c r="AO107" s="67"/>
      <c r="AP107" s="67">
        <f>SUM(AP108:AP108)</f>
        <v>0</v>
      </c>
      <c r="AQ107" s="67"/>
      <c r="AR107" s="67"/>
      <c r="AS107" s="560"/>
      <c r="AT107" s="67"/>
      <c r="AU107" s="67">
        <f>SUM(AU108:AU108)</f>
        <v>0</v>
      </c>
      <c r="AV107" s="67"/>
      <c r="AW107" s="67"/>
      <c r="AX107" s="560"/>
      <c r="AY107" s="67"/>
      <c r="AZ107" s="67">
        <f>SUM(AZ108:AZ108)</f>
        <v>0</v>
      </c>
      <c r="BA107" s="67"/>
      <c r="BB107" s="67"/>
      <c r="BC107" s="560"/>
      <c r="BD107" s="67"/>
      <c r="BE107" s="67">
        <f>SUM(BE108:BE108)</f>
        <v>0</v>
      </c>
      <c r="BF107" s="67"/>
      <c r="BG107" s="67"/>
      <c r="BH107" s="560"/>
      <c r="BI107" s="67"/>
      <c r="BJ107" s="67">
        <f>SUM(BJ108:BJ108)</f>
        <v>0</v>
      </c>
      <c r="BK107" s="67"/>
      <c r="BL107" s="67"/>
      <c r="BM107" s="560"/>
      <c r="BN107" s="67"/>
      <c r="BO107" s="67">
        <f>SUM(BO108:BO108)</f>
        <v>0</v>
      </c>
      <c r="BP107" s="67"/>
      <c r="BQ107" s="67"/>
      <c r="BR107" s="560"/>
      <c r="BS107" s="67"/>
      <c r="BT107" s="67">
        <f>SUM(BT108:BT108)</f>
        <v>0</v>
      </c>
      <c r="BU107" s="67"/>
      <c r="BV107" s="67"/>
      <c r="BW107" s="560"/>
      <c r="BX107" s="67"/>
      <c r="BY107" s="67">
        <f>SUM(BY108:BY108)</f>
        <v>0</v>
      </c>
      <c r="BZ107" s="67"/>
      <c r="CA107" s="67"/>
      <c r="CB107" s="560"/>
      <c r="CC107" s="67"/>
      <c r="CD107" s="67">
        <f>SUM(CD108:CD108)</f>
        <v>0</v>
      </c>
      <c r="CE107" s="67"/>
      <c r="CF107" s="67"/>
      <c r="CG107" s="560"/>
      <c r="CH107" s="67"/>
      <c r="CI107" s="67">
        <f>SUM(CI108:CI108)</f>
        <v>0</v>
      </c>
      <c r="CJ107" s="67"/>
      <c r="CK107" s="67"/>
      <c r="CL107" s="560"/>
      <c r="CM107" s="67"/>
      <c r="CN107" s="67">
        <f>SUM(CN108:CN108)</f>
        <v>0</v>
      </c>
      <c r="CO107" s="67"/>
      <c r="CP107" s="67"/>
      <c r="CQ107" s="560"/>
      <c r="CR107" s="67"/>
      <c r="CS107" s="67">
        <f>SUM(CS108:CS108)</f>
        <v>0</v>
      </c>
      <c r="CT107" s="67"/>
      <c r="CU107" s="67"/>
      <c r="CV107" s="560"/>
      <c r="CW107" s="67"/>
      <c r="CX107" s="67">
        <f>SUM(CX108:CX108)</f>
        <v>0</v>
      </c>
      <c r="CY107" s="67"/>
      <c r="CZ107" s="67"/>
      <c r="DA107" s="560"/>
      <c r="DB107" s="67"/>
      <c r="DC107" s="67">
        <f>SUM(DC108:DC108)</f>
        <v>0</v>
      </c>
      <c r="DD107" s="67"/>
      <c r="DE107" s="67"/>
      <c r="DF107" s="560"/>
      <c r="DG107" s="67"/>
      <c r="DH107" s="67">
        <f>SUM(DH108:DH108)</f>
        <v>0</v>
      </c>
      <c r="DI107" s="67"/>
      <c r="DJ107" s="67"/>
      <c r="DK107" s="560"/>
      <c r="DL107" s="67"/>
      <c r="DM107" s="67">
        <f>SUM(DM108:DM108)</f>
        <v>0</v>
      </c>
      <c r="DN107" s="67"/>
      <c r="DO107" s="67"/>
      <c r="DP107" s="560"/>
      <c r="DQ107" s="67"/>
      <c r="DR107" s="67">
        <f>SUM(DR108:DR108)</f>
        <v>0</v>
      </c>
      <c r="DS107" s="67"/>
      <c r="DT107" s="67"/>
      <c r="DU107" s="560"/>
      <c r="DV107" s="67"/>
      <c r="DW107" s="67">
        <f>SUM(DW108:DW108)</f>
        <v>0</v>
      </c>
      <c r="DX107" s="67"/>
      <c r="DY107" s="67"/>
      <c r="DZ107" s="560"/>
      <c r="EA107" s="67"/>
      <c r="EB107" s="67">
        <f>SUM(EB108:EB108)</f>
        <v>0</v>
      </c>
      <c r="EC107" s="67"/>
      <c r="ED107" s="67"/>
      <c r="EE107" s="560"/>
      <c r="EF107" s="67"/>
      <c r="EG107" s="67">
        <f>SUM(EG108:EG108)</f>
        <v>0</v>
      </c>
      <c r="EH107" s="67"/>
      <c r="EI107" s="67"/>
      <c r="EJ107" s="560"/>
      <c r="EK107" s="67"/>
      <c r="EL107" s="67">
        <f>SUM(EL108:EL108)</f>
        <v>0</v>
      </c>
      <c r="EM107" s="442"/>
      <c r="EN107" s="442"/>
      <c r="EO107" s="455"/>
      <c r="EP107" s="472"/>
      <c r="EQ107" s="472"/>
    </row>
    <row r="108" spans="1:147" ht="12.75" customHeight="1" x14ac:dyDescent="0.2">
      <c r="A108" s="442"/>
      <c r="B108" s="442"/>
      <c r="D108" s="455" t="s">
        <v>342</v>
      </c>
      <c r="E108" s="465"/>
      <c r="F108" s="563"/>
      <c r="G108" s="564">
        <v>0</v>
      </c>
      <c r="H108" s="565"/>
      <c r="I108" s="67"/>
      <c r="J108" s="560"/>
      <c r="K108" s="563"/>
      <c r="L108" s="564">
        <v>0</v>
      </c>
      <c r="M108" s="565"/>
      <c r="N108" s="67"/>
      <c r="O108" s="560"/>
      <c r="P108" s="563"/>
      <c r="Q108" s="564">
        <v>0</v>
      </c>
      <c r="R108" s="565"/>
      <c r="S108" s="67"/>
      <c r="T108" s="560"/>
      <c r="U108" s="563"/>
      <c r="V108" s="564">
        <v>0</v>
      </c>
      <c r="W108" s="565"/>
      <c r="X108" s="67"/>
      <c r="Y108" s="560"/>
      <c r="Z108" s="563"/>
      <c r="AA108" s="564">
        <v>0</v>
      </c>
      <c r="AB108" s="565"/>
      <c r="AC108" s="67"/>
      <c r="AD108" s="560"/>
      <c r="AE108" s="563"/>
      <c r="AF108" s="564">
        <v>0</v>
      </c>
      <c r="AG108" s="565"/>
      <c r="AH108" s="67"/>
      <c r="AI108" s="560"/>
      <c r="AJ108" s="563"/>
      <c r="AK108" s="564">
        <v>0</v>
      </c>
      <c r="AL108" s="565"/>
      <c r="AM108" s="66"/>
      <c r="AN108" s="63"/>
      <c r="AO108" s="563"/>
      <c r="AP108" s="564">
        <v>0</v>
      </c>
      <c r="AQ108" s="565"/>
      <c r="AR108" s="67"/>
      <c r="AS108" s="560"/>
      <c r="AT108" s="563"/>
      <c r="AU108" s="564">
        <v>0</v>
      </c>
      <c r="AV108" s="565"/>
      <c r="AW108" s="67"/>
      <c r="AX108" s="560"/>
      <c r="AY108" s="563"/>
      <c r="AZ108" s="564">
        <v>0</v>
      </c>
      <c r="BA108" s="565"/>
      <c r="BB108" s="67"/>
      <c r="BC108" s="560"/>
      <c r="BD108" s="563"/>
      <c r="BE108" s="564">
        <v>0</v>
      </c>
      <c r="BF108" s="565"/>
      <c r="BG108" s="67"/>
      <c r="BH108" s="560"/>
      <c r="BI108" s="563"/>
      <c r="BJ108" s="564">
        <v>0</v>
      </c>
      <c r="BK108" s="565"/>
      <c r="BL108" s="67"/>
      <c r="BM108" s="560"/>
      <c r="BN108" s="563"/>
      <c r="BO108" s="564">
        <v>0</v>
      </c>
      <c r="BP108" s="565"/>
      <c r="BQ108" s="67"/>
      <c r="BR108" s="560"/>
      <c r="BS108" s="563"/>
      <c r="BT108" s="564">
        <f>SUM(L108:BO108)</f>
        <v>0</v>
      </c>
      <c r="BU108" s="565"/>
      <c r="BV108" s="67"/>
      <c r="BW108" s="560"/>
      <c r="BX108" s="563"/>
      <c r="BY108" s="564">
        <v>0</v>
      </c>
      <c r="BZ108" s="565"/>
      <c r="CA108" s="67"/>
      <c r="CB108" s="560"/>
      <c r="CC108" s="563"/>
      <c r="CD108" s="564">
        <v>0</v>
      </c>
      <c r="CE108" s="565"/>
      <c r="CF108" s="67"/>
      <c r="CG108" s="560"/>
      <c r="CH108" s="563"/>
      <c r="CI108" s="564">
        <v>0</v>
      </c>
      <c r="CJ108" s="565"/>
      <c r="CK108" s="67"/>
      <c r="CL108" s="560"/>
      <c r="CM108" s="563"/>
      <c r="CN108" s="564">
        <v>0</v>
      </c>
      <c r="CO108" s="565"/>
      <c r="CP108" s="67"/>
      <c r="CQ108" s="560"/>
      <c r="CR108" s="563"/>
      <c r="CS108" s="564">
        <v>0</v>
      </c>
      <c r="CT108" s="565"/>
      <c r="CU108" s="67"/>
      <c r="CV108" s="560"/>
      <c r="CW108" s="563"/>
      <c r="CX108" s="564">
        <v>0</v>
      </c>
      <c r="CY108" s="565"/>
      <c r="CZ108" s="67"/>
      <c r="DA108" s="560"/>
      <c r="DB108" s="563"/>
      <c r="DC108" s="564">
        <v>0</v>
      </c>
      <c r="DD108" s="565"/>
      <c r="DE108" s="66"/>
      <c r="DF108" s="63"/>
      <c r="DG108" s="563"/>
      <c r="DH108" s="564">
        <v>0</v>
      </c>
      <c r="DI108" s="565"/>
      <c r="DJ108" s="67"/>
      <c r="DK108" s="560"/>
      <c r="DL108" s="563"/>
      <c r="DM108" s="564">
        <v>0</v>
      </c>
      <c r="DN108" s="565"/>
      <c r="DO108" s="67"/>
      <c r="DP108" s="560"/>
      <c r="DQ108" s="563"/>
      <c r="DR108" s="564">
        <v>0</v>
      </c>
      <c r="DS108" s="565"/>
      <c r="DT108" s="67"/>
      <c r="DU108" s="560"/>
      <c r="DV108" s="563"/>
      <c r="DW108" s="564">
        <v>0</v>
      </c>
      <c r="DX108" s="565"/>
      <c r="DY108" s="67"/>
      <c r="DZ108" s="560"/>
      <c r="EA108" s="563"/>
      <c r="EB108" s="564">
        <v>0</v>
      </c>
      <c r="EC108" s="565"/>
      <c r="ED108" s="67"/>
      <c r="EE108" s="560"/>
      <c r="EF108" s="563"/>
      <c r="EG108" s="564">
        <v>0</v>
      </c>
      <c r="EH108" s="565"/>
      <c r="EI108" s="67"/>
      <c r="EJ108" s="560"/>
      <c r="EK108" s="563"/>
      <c r="EL108" s="564">
        <f>SUM(CD108:CI108)</f>
        <v>0</v>
      </c>
      <c r="EM108" s="565"/>
      <c r="EN108" s="442"/>
      <c r="EO108" s="455"/>
      <c r="EP108" s="472"/>
      <c r="EQ108" s="472"/>
    </row>
    <row r="109" spans="1:147" x14ac:dyDescent="0.2">
      <c r="A109" s="442"/>
      <c r="B109" s="442"/>
      <c r="D109" s="455"/>
      <c r="E109" s="465"/>
      <c r="F109" s="442"/>
      <c r="G109" s="67"/>
      <c r="H109" s="67"/>
      <c r="I109" s="67"/>
      <c r="J109" s="560"/>
      <c r="K109" s="442"/>
      <c r="L109" s="67"/>
      <c r="M109" s="67"/>
      <c r="N109" s="67"/>
      <c r="O109" s="560"/>
      <c r="P109" s="442"/>
      <c r="Q109" s="67"/>
      <c r="R109" s="67"/>
      <c r="S109" s="67"/>
      <c r="T109" s="560"/>
      <c r="U109" s="442"/>
      <c r="V109" s="67"/>
      <c r="W109" s="67"/>
      <c r="X109" s="67"/>
      <c r="Y109" s="560"/>
      <c r="Z109" s="442"/>
      <c r="AA109" s="67"/>
      <c r="AB109" s="67"/>
      <c r="AC109" s="67"/>
      <c r="AD109" s="560"/>
      <c r="AE109" s="442"/>
      <c r="AF109" s="67"/>
      <c r="AG109" s="67"/>
      <c r="AH109" s="67"/>
      <c r="AI109" s="560"/>
      <c r="AJ109" s="442"/>
      <c r="AK109" s="67"/>
      <c r="AL109" s="67"/>
      <c r="AM109" s="67"/>
      <c r="AN109" s="560"/>
      <c r="AO109" s="442"/>
      <c r="AP109" s="67"/>
      <c r="AQ109" s="67"/>
      <c r="AR109" s="67"/>
      <c r="AS109" s="560"/>
      <c r="AT109" s="442"/>
      <c r="AU109" s="67"/>
      <c r="AV109" s="67"/>
      <c r="AW109" s="67"/>
      <c r="AX109" s="560"/>
      <c r="AY109" s="442"/>
      <c r="AZ109" s="67"/>
      <c r="BA109" s="67"/>
      <c r="BB109" s="67"/>
      <c r="BC109" s="560"/>
      <c r="BD109" s="442"/>
      <c r="BE109" s="67"/>
      <c r="BF109" s="67"/>
      <c r="BG109" s="67"/>
      <c r="BH109" s="560"/>
      <c r="BI109" s="442"/>
      <c r="BJ109" s="67"/>
      <c r="BK109" s="67"/>
      <c r="BL109" s="67"/>
      <c r="BM109" s="560"/>
      <c r="BN109" s="442"/>
      <c r="BO109" s="67"/>
      <c r="BP109" s="67"/>
      <c r="BQ109" s="67"/>
      <c r="BR109" s="560"/>
      <c r="BS109" s="442"/>
      <c r="BT109" s="67"/>
      <c r="BU109" s="67"/>
      <c r="BV109" s="67"/>
      <c r="BW109" s="560"/>
      <c r="BX109" s="442"/>
      <c r="BY109" s="67"/>
      <c r="BZ109" s="67"/>
      <c r="CA109" s="67"/>
      <c r="CB109" s="560"/>
      <c r="CC109" s="442"/>
      <c r="CD109" s="67"/>
      <c r="CE109" s="67"/>
      <c r="CF109" s="67"/>
      <c r="CG109" s="560"/>
      <c r="CH109" s="442"/>
      <c r="CI109" s="67"/>
      <c r="CJ109" s="67"/>
      <c r="CK109" s="67"/>
      <c r="CL109" s="560"/>
      <c r="CM109" s="442"/>
      <c r="CN109" s="67"/>
      <c r="CO109" s="67"/>
      <c r="CP109" s="67"/>
      <c r="CQ109" s="560"/>
      <c r="CR109" s="442"/>
      <c r="CS109" s="67"/>
      <c r="CT109" s="67"/>
      <c r="CU109" s="67"/>
      <c r="CV109" s="560"/>
      <c r="CW109" s="442"/>
      <c r="CX109" s="67"/>
      <c r="CY109" s="67"/>
      <c r="CZ109" s="67"/>
      <c r="DA109" s="560"/>
      <c r="DB109" s="442"/>
      <c r="DC109" s="67"/>
      <c r="DD109" s="67"/>
      <c r="DE109" s="67"/>
      <c r="DF109" s="560"/>
      <c r="DG109" s="442"/>
      <c r="DH109" s="67"/>
      <c r="DI109" s="67"/>
      <c r="DJ109" s="67"/>
      <c r="DK109" s="560"/>
      <c r="DL109" s="442"/>
      <c r="DM109" s="67"/>
      <c r="DN109" s="67"/>
      <c r="DO109" s="67"/>
      <c r="DP109" s="560"/>
      <c r="DQ109" s="442"/>
      <c r="DR109" s="67"/>
      <c r="DS109" s="67"/>
      <c r="DT109" s="67"/>
      <c r="DU109" s="560"/>
      <c r="DV109" s="442"/>
      <c r="DW109" s="67"/>
      <c r="DX109" s="67"/>
      <c r="DY109" s="67"/>
      <c r="DZ109" s="560"/>
      <c r="EA109" s="442"/>
      <c r="EB109" s="67"/>
      <c r="EC109" s="67"/>
      <c r="ED109" s="67"/>
      <c r="EE109" s="560"/>
      <c r="EF109" s="442"/>
      <c r="EG109" s="67"/>
      <c r="EH109" s="67"/>
      <c r="EI109" s="67"/>
      <c r="EJ109" s="560"/>
      <c r="EK109" s="442"/>
      <c r="EL109" s="67"/>
      <c r="EM109" s="67"/>
      <c r="EN109" s="442"/>
      <c r="EO109" s="455"/>
      <c r="EP109" s="472"/>
      <c r="EQ109" s="472"/>
    </row>
    <row r="110" spans="1:147" x14ac:dyDescent="0.2">
      <c r="A110" s="442"/>
      <c r="B110" s="442"/>
      <c r="D110" s="455" t="s">
        <v>372</v>
      </c>
      <c r="E110" s="465"/>
      <c r="F110" s="442"/>
      <c r="G110" s="67">
        <f>SUM(G111:G111)</f>
        <v>0</v>
      </c>
      <c r="H110" s="67"/>
      <c r="I110" s="67"/>
      <c r="J110" s="560"/>
      <c r="K110" s="67"/>
      <c r="L110" s="67">
        <f>SUM(L111:L111)</f>
        <v>0</v>
      </c>
      <c r="M110" s="67"/>
      <c r="N110" s="67"/>
      <c r="O110" s="560"/>
      <c r="P110" s="67"/>
      <c r="Q110" s="67">
        <f>SUM(Q111:Q111)</f>
        <v>0</v>
      </c>
      <c r="R110" s="67"/>
      <c r="S110" s="67"/>
      <c r="T110" s="560"/>
      <c r="U110" s="67"/>
      <c r="V110" s="67">
        <f>SUM(V111:V111)</f>
        <v>0</v>
      </c>
      <c r="W110" s="67"/>
      <c r="X110" s="67"/>
      <c r="Y110" s="560"/>
      <c r="Z110" s="67"/>
      <c r="AA110" s="67">
        <f>SUM(AA111:AA111)</f>
        <v>0</v>
      </c>
      <c r="AB110" s="67"/>
      <c r="AC110" s="67"/>
      <c r="AD110" s="560"/>
      <c r="AE110" s="67"/>
      <c r="AF110" s="67">
        <f>SUM(AF111:AF111)</f>
        <v>0</v>
      </c>
      <c r="AG110" s="67"/>
      <c r="AH110" s="67"/>
      <c r="AI110" s="560"/>
      <c r="AJ110" s="67"/>
      <c r="AK110" s="67">
        <f>SUM(AK111:AK111)</f>
        <v>0</v>
      </c>
      <c r="AL110" s="67"/>
      <c r="AM110" s="67"/>
      <c r="AN110" s="560"/>
      <c r="AO110" s="67"/>
      <c r="AP110" s="67">
        <f>SUM(AP111:AP111)</f>
        <v>0</v>
      </c>
      <c r="AQ110" s="67"/>
      <c r="AR110" s="67"/>
      <c r="AS110" s="560"/>
      <c r="AT110" s="67"/>
      <c r="AU110" s="67">
        <f>SUM(AU111:AU111)</f>
        <v>0</v>
      </c>
      <c r="AV110" s="67"/>
      <c r="AW110" s="67"/>
      <c r="AX110" s="560"/>
      <c r="AY110" s="67"/>
      <c r="AZ110" s="67">
        <f>SUM(AZ111:AZ111)</f>
        <v>0</v>
      </c>
      <c r="BA110" s="67"/>
      <c r="BB110" s="67"/>
      <c r="BC110" s="560"/>
      <c r="BD110" s="67"/>
      <c r="BE110" s="67">
        <f>SUM(BE111:BE111)</f>
        <v>0</v>
      </c>
      <c r="BF110" s="67"/>
      <c r="BG110" s="67"/>
      <c r="BH110" s="560"/>
      <c r="BI110" s="67"/>
      <c r="BJ110" s="67">
        <f>SUM(BJ111:BJ111)</f>
        <v>0</v>
      </c>
      <c r="BK110" s="67"/>
      <c r="BL110" s="67"/>
      <c r="BM110" s="560"/>
      <c r="BN110" s="67"/>
      <c r="BO110" s="67">
        <f>SUM(BO111:BO111)</f>
        <v>0</v>
      </c>
      <c r="BP110" s="67"/>
      <c r="BQ110" s="67"/>
      <c r="BR110" s="560"/>
      <c r="BS110" s="442"/>
      <c r="BT110" s="67">
        <f>SUM(BT111:BT111)</f>
        <v>0</v>
      </c>
      <c r="BU110" s="67"/>
      <c r="BV110" s="67"/>
      <c r="BW110" s="560"/>
      <c r="BX110" s="442"/>
      <c r="BY110" s="67">
        <f>SUM(BY111:BY111)</f>
        <v>0</v>
      </c>
      <c r="BZ110" s="67"/>
      <c r="CA110" s="67"/>
      <c r="CB110" s="560"/>
      <c r="CC110" s="67"/>
      <c r="CD110" s="67">
        <f>SUM(CD111:CD111)</f>
        <v>0</v>
      </c>
      <c r="CE110" s="67"/>
      <c r="CF110" s="67"/>
      <c r="CG110" s="560"/>
      <c r="CH110" s="67"/>
      <c r="CI110" s="67">
        <f>SUM(CI111:CI111)</f>
        <v>0</v>
      </c>
      <c r="CJ110" s="67"/>
      <c r="CK110" s="67"/>
      <c r="CL110" s="560"/>
      <c r="CM110" s="67"/>
      <c r="CN110" s="67">
        <f>SUM(CN111:CN111)</f>
        <v>0</v>
      </c>
      <c r="CO110" s="67"/>
      <c r="CP110" s="67"/>
      <c r="CQ110" s="560"/>
      <c r="CR110" s="67"/>
      <c r="CS110" s="67">
        <f>SUM(CS111:CS111)</f>
        <v>0</v>
      </c>
      <c r="CT110" s="67"/>
      <c r="CU110" s="67"/>
      <c r="CV110" s="560"/>
      <c r="CW110" s="67"/>
      <c r="CX110" s="67">
        <f>SUM(CX111:CX111)</f>
        <v>0</v>
      </c>
      <c r="CY110" s="67"/>
      <c r="CZ110" s="67"/>
      <c r="DA110" s="560"/>
      <c r="DB110" s="67"/>
      <c r="DC110" s="67">
        <f>SUM(DC111:DC111)</f>
        <v>0</v>
      </c>
      <c r="DD110" s="67"/>
      <c r="DE110" s="67"/>
      <c r="DF110" s="560"/>
      <c r="DG110" s="67"/>
      <c r="DH110" s="67">
        <f>SUM(DH111:DH111)</f>
        <v>0</v>
      </c>
      <c r="DI110" s="67"/>
      <c r="DJ110" s="67"/>
      <c r="DK110" s="560"/>
      <c r="DL110" s="67"/>
      <c r="DM110" s="67">
        <f>SUM(DM111:DM111)</f>
        <v>0</v>
      </c>
      <c r="DN110" s="67"/>
      <c r="DO110" s="67"/>
      <c r="DP110" s="560"/>
      <c r="DQ110" s="67"/>
      <c r="DR110" s="67">
        <f>SUM(DR111:DR111)</f>
        <v>0</v>
      </c>
      <c r="DS110" s="67"/>
      <c r="DT110" s="67"/>
      <c r="DU110" s="560"/>
      <c r="DV110" s="67"/>
      <c r="DW110" s="67">
        <f>SUM(DW111:DW111)</f>
        <v>0</v>
      </c>
      <c r="DX110" s="67"/>
      <c r="DY110" s="67"/>
      <c r="DZ110" s="560"/>
      <c r="EA110" s="67"/>
      <c r="EB110" s="67">
        <f>SUM(EB111:EB111)</f>
        <v>0</v>
      </c>
      <c r="EC110" s="67"/>
      <c r="ED110" s="67"/>
      <c r="EE110" s="560"/>
      <c r="EF110" s="67"/>
      <c r="EG110" s="67">
        <f>SUM(EG111:EG111)</f>
        <v>0</v>
      </c>
      <c r="EH110" s="67"/>
      <c r="EI110" s="67"/>
      <c r="EJ110" s="560"/>
      <c r="EK110" s="442"/>
      <c r="EL110" s="67">
        <f>SUM(EL111:EL111)</f>
        <v>0</v>
      </c>
      <c r="EM110" s="67"/>
      <c r="EN110" s="442"/>
      <c r="EO110" s="455"/>
      <c r="EP110" s="472"/>
      <c r="EQ110" s="472"/>
    </row>
    <row r="111" spans="1:147" x14ac:dyDescent="0.2">
      <c r="A111" s="442"/>
      <c r="B111" s="442"/>
      <c r="D111" s="455" t="s">
        <v>342</v>
      </c>
      <c r="E111" s="465"/>
      <c r="F111" s="563"/>
      <c r="G111" s="564">
        <v>0</v>
      </c>
      <c r="H111" s="565"/>
      <c r="I111" s="67"/>
      <c r="J111" s="560"/>
      <c r="K111" s="563"/>
      <c r="L111" s="564">
        <v>0</v>
      </c>
      <c r="M111" s="565"/>
      <c r="N111" s="67"/>
      <c r="O111" s="560"/>
      <c r="P111" s="566"/>
      <c r="Q111" s="564">
        <v>0</v>
      </c>
      <c r="R111" s="565"/>
      <c r="S111" s="67"/>
      <c r="T111" s="560"/>
      <c r="U111" s="566"/>
      <c r="V111" s="564">
        <v>0</v>
      </c>
      <c r="W111" s="565"/>
      <c r="X111" s="67"/>
      <c r="Y111" s="560"/>
      <c r="Z111" s="566"/>
      <c r="AA111" s="564">
        <v>0</v>
      </c>
      <c r="AB111" s="565"/>
      <c r="AC111" s="67"/>
      <c r="AD111" s="560"/>
      <c r="AE111" s="566"/>
      <c r="AF111" s="564">
        <v>0</v>
      </c>
      <c r="AG111" s="565"/>
      <c r="AH111" s="67"/>
      <c r="AI111" s="560"/>
      <c r="AJ111" s="566"/>
      <c r="AK111" s="564">
        <v>0</v>
      </c>
      <c r="AL111" s="565"/>
      <c r="AM111" s="67"/>
      <c r="AN111" s="560"/>
      <c r="AO111" s="566"/>
      <c r="AP111" s="564">
        <v>0</v>
      </c>
      <c r="AQ111" s="565"/>
      <c r="AR111" s="67"/>
      <c r="AS111" s="560"/>
      <c r="AT111" s="566"/>
      <c r="AU111" s="564">
        <v>0</v>
      </c>
      <c r="AV111" s="565"/>
      <c r="AW111" s="67"/>
      <c r="AX111" s="560"/>
      <c r="AY111" s="566"/>
      <c r="AZ111" s="564">
        <v>0</v>
      </c>
      <c r="BA111" s="565"/>
      <c r="BB111" s="67"/>
      <c r="BC111" s="560"/>
      <c r="BD111" s="566"/>
      <c r="BE111" s="564">
        <v>0</v>
      </c>
      <c r="BF111" s="565"/>
      <c r="BG111" s="67"/>
      <c r="BH111" s="560"/>
      <c r="BI111" s="566"/>
      <c r="BJ111" s="564">
        <v>0</v>
      </c>
      <c r="BK111" s="565"/>
      <c r="BL111" s="67"/>
      <c r="BM111" s="560"/>
      <c r="BN111" s="566"/>
      <c r="BO111" s="564">
        <v>0</v>
      </c>
      <c r="BP111" s="565"/>
      <c r="BQ111" s="67"/>
      <c r="BR111" s="560"/>
      <c r="BS111" s="563"/>
      <c r="BT111" s="564">
        <f>SUM(L111:BO111)</f>
        <v>0</v>
      </c>
      <c r="BU111" s="565"/>
      <c r="BV111" s="67"/>
      <c r="BW111" s="560"/>
      <c r="BX111" s="563"/>
      <c r="BY111" s="564">
        <v>0</v>
      </c>
      <c r="BZ111" s="565"/>
      <c r="CA111" s="67"/>
      <c r="CB111" s="560"/>
      <c r="CC111" s="563"/>
      <c r="CD111" s="564">
        <v>0</v>
      </c>
      <c r="CE111" s="565"/>
      <c r="CF111" s="67"/>
      <c r="CG111" s="560"/>
      <c r="CH111" s="566"/>
      <c r="CI111" s="564">
        <v>0</v>
      </c>
      <c r="CJ111" s="565"/>
      <c r="CK111" s="67"/>
      <c r="CL111" s="560"/>
      <c r="CM111" s="566"/>
      <c r="CN111" s="564">
        <v>0</v>
      </c>
      <c r="CO111" s="565"/>
      <c r="CP111" s="67"/>
      <c r="CQ111" s="560"/>
      <c r="CR111" s="566"/>
      <c r="CS111" s="564">
        <v>0</v>
      </c>
      <c r="CT111" s="565"/>
      <c r="CU111" s="67"/>
      <c r="CV111" s="560"/>
      <c r="CW111" s="566"/>
      <c r="CX111" s="564">
        <v>0</v>
      </c>
      <c r="CY111" s="565"/>
      <c r="CZ111" s="67"/>
      <c r="DA111" s="560"/>
      <c r="DB111" s="566"/>
      <c r="DC111" s="564">
        <v>0</v>
      </c>
      <c r="DD111" s="565"/>
      <c r="DE111" s="67"/>
      <c r="DF111" s="560"/>
      <c r="DG111" s="566"/>
      <c r="DH111" s="564">
        <v>0</v>
      </c>
      <c r="DI111" s="565"/>
      <c r="DJ111" s="67"/>
      <c r="DK111" s="560"/>
      <c r="DL111" s="566"/>
      <c r="DM111" s="564">
        <v>0</v>
      </c>
      <c r="DN111" s="565"/>
      <c r="DO111" s="67"/>
      <c r="DP111" s="560"/>
      <c r="DQ111" s="566"/>
      <c r="DR111" s="564">
        <v>0</v>
      </c>
      <c r="DS111" s="565"/>
      <c r="DT111" s="67"/>
      <c r="DU111" s="560"/>
      <c r="DV111" s="566"/>
      <c r="DW111" s="564">
        <v>0</v>
      </c>
      <c r="DX111" s="565"/>
      <c r="DY111" s="67"/>
      <c r="DZ111" s="560"/>
      <c r="EA111" s="566"/>
      <c r="EB111" s="564">
        <v>0</v>
      </c>
      <c r="EC111" s="565"/>
      <c r="ED111" s="67"/>
      <c r="EE111" s="560"/>
      <c r="EF111" s="566"/>
      <c r="EG111" s="564">
        <v>0</v>
      </c>
      <c r="EH111" s="565"/>
      <c r="EI111" s="67"/>
      <c r="EJ111" s="560"/>
      <c r="EK111" s="563"/>
      <c r="EL111" s="564">
        <f>SUM(CD111:CI111)</f>
        <v>0</v>
      </c>
      <c r="EM111" s="565"/>
      <c r="EN111" s="442"/>
      <c r="EO111" s="455"/>
      <c r="EP111" s="472"/>
      <c r="EQ111" s="472"/>
    </row>
    <row r="112" spans="1:147" x14ac:dyDescent="0.2">
      <c r="A112" s="442"/>
      <c r="B112" s="442"/>
      <c r="D112" s="455"/>
      <c r="E112" s="465"/>
      <c r="F112" s="442"/>
      <c r="G112" s="67"/>
      <c r="H112" s="67"/>
      <c r="I112" s="67"/>
      <c r="J112" s="560"/>
      <c r="K112" s="442"/>
      <c r="L112" s="67"/>
      <c r="M112" s="67"/>
      <c r="N112" s="67"/>
      <c r="O112" s="560"/>
      <c r="P112" s="442"/>
      <c r="Q112" s="67"/>
      <c r="R112" s="67"/>
      <c r="S112" s="67"/>
      <c r="T112" s="560"/>
      <c r="U112" s="442"/>
      <c r="V112" s="67"/>
      <c r="W112" s="67"/>
      <c r="X112" s="67"/>
      <c r="Y112" s="560"/>
      <c r="Z112" s="442"/>
      <c r="AA112" s="67"/>
      <c r="AB112" s="67"/>
      <c r="AC112" s="67"/>
      <c r="AD112" s="560"/>
      <c r="AE112" s="442"/>
      <c r="AF112" s="67"/>
      <c r="AG112" s="67"/>
      <c r="AH112" s="67"/>
      <c r="AI112" s="560"/>
      <c r="AJ112" s="442"/>
      <c r="AK112" s="67"/>
      <c r="AL112" s="67"/>
      <c r="AM112" s="67"/>
      <c r="AN112" s="560"/>
      <c r="AO112" s="442"/>
      <c r="AP112" s="67"/>
      <c r="AQ112" s="67"/>
      <c r="AR112" s="67"/>
      <c r="AS112" s="560"/>
      <c r="AT112" s="442"/>
      <c r="AU112" s="67"/>
      <c r="AV112" s="67"/>
      <c r="AW112" s="67"/>
      <c r="AX112" s="560"/>
      <c r="AY112" s="442"/>
      <c r="AZ112" s="67"/>
      <c r="BA112" s="67"/>
      <c r="BB112" s="67"/>
      <c r="BC112" s="560"/>
      <c r="BD112" s="442"/>
      <c r="BE112" s="67"/>
      <c r="BF112" s="67"/>
      <c r="BG112" s="67"/>
      <c r="BH112" s="560"/>
      <c r="BI112" s="442"/>
      <c r="BJ112" s="67"/>
      <c r="BK112" s="67"/>
      <c r="BL112" s="67"/>
      <c r="BM112" s="560"/>
      <c r="BN112" s="442"/>
      <c r="BO112" s="67"/>
      <c r="BP112" s="67"/>
      <c r="BQ112" s="67"/>
      <c r="BR112" s="560"/>
      <c r="BS112" s="442"/>
      <c r="BT112" s="67"/>
      <c r="BU112" s="67"/>
      <c r="BV112" s="67"/>
      <c r="BW112" s="560"/>
      <c r="BX112" s="442"/>
      <c r="BY112" s="67"/>
      <c r="BZ112" s="67"/>
      <c r="CA112" s="67"/>
      <c r="CB112" s="560"/>
      <c r="CC112" s="442"/>
      <c r="CD112" s="67"/>
      <c r="CE112" s="67"/>
      <c r="CF112" s="67"/>
      <c r="CG112" s="560"/>
      <c r="CH112" s="442"/>
      <c r="CI112" s="67"/>
      <c r="CJ112" s="67"/>
      <c r="CK112" s="67"/>
      <c r="CL112" s="560"/>
      <c r="CM112" s="442"/>
      <c r="CN112" s="67"/>
      <c r="CO112" s="67"/>
      <c r="CP112" s="67"/>
      <c r="CQ112" s="560"/>
      <c r="CR112" s="442"/>
      <c r="CS112" s="67"/>
      <c r="CT112" s="67"/>
      <c r="CU112" s="67"/>
      <c r="CV112" s="560"/>
      <c r="CW112" s="442"/>
      <c r="CX112" s="67"/>
      <c r="CY112" s="67"/>
      <c r="CZ112" s="67"/>
      <c r="DA112" s="560"/>
      <c r="DB112" s="442"/>
      <c r="DC112" s="67"/>
      <c r="DD112" s="67"/>
      <c r="DE112" s="67"/>
      <c r="DF112" s="560"/>
      <c r="DG112" s="442"/>
      <c r="DH112" s="67"/>
      <c r="DI112" s="67"/>
      <c r="DJ112" s="67"/>
      <c r="DK112" s="560"/>
      <c r="DL112" s="442"/>
      <c r="DM112" s="67"/>
      <c r="DN112" s="67"/>
      <c r="DO112" s="67"/>
      <c r="DP112" s="560"/>
      <c r="DQ112" s="442"/>
      <c r="DR112" s="67"/>
      <c r="DS112" s="67"/>
      <c r="DT112" s="67"/>
      <c r="DU112" s="560"/>
      <c r="DV112" s="442"/>
      <c r="DW112" s="67"/>
      <c r="DX112" s="67"/>
      <c r="DY112" s="67"/>
      <c r="DZ112" s="560"/>
      <c r="EA112" s="442"/>
      <c r="EB112" s="67"/>
      <c r="EC112" s="67"/>
      <c r="ED112" s="67"/>
      <c r="EE112" s="560"/>
      <c r="EF112" s="442"/>
      <c r="EG112" s="67"/>
      <c r="EH112" s="67"/>
      <c r="EI112" s="67"/>
      <c r="EJ112" s="560"/>
      <c r="EK112" s="442"/>
      <c r="EL112" s="67"/>
      <c r="EM112" s="67"/>
      <c r="EN112" s="442"/>
      <c r="EO112" s="455"/>
      <c r="EP112" s="472"/>
      <c r="EQ112" s="472"/>
    </row>
    <row r="113" spans="1:147" hidden="1" x14ac:dyDescent="0.2">
      <c r="A113" s="442"/>
      <c r="B113" s="442"/>
      <c r="D113" s="455" t="s">
        <v>368</v>
      </c>
      <c r="E113" s="465"/>
      <c r="F113" s="442"/>
      <c r="G113" s="67">
        <f>SUM(G114:G114)</f>
        <v>0</v>
      </c>
      <c r="H113" s="67"/>
      <c r="I113" s="67"/>
      <c r="J113" s="560"/>
      <c r="K113" s="67"/>
      <c r="L113" s="67">
        <f>SUM(L114:L114)</f>
        <v>0</v>
      </c>
      <c r="M113" s="67"/>
      <c r="N113" s="67"/>
      <c r="O113" s="560"/>
      <c r="P113" s="67"/>
      <c r="Q113" s="67">
        <f>SUM(Q114:Q114)</f>
        <v>0</v>
      </c>
      <c r="R113" s="67"/>
      <c r="S113" s="67"/>
      <c r="T113" s="560"/>
      <c r="U113" s="67"/>
      <c r="V113" s="67">
        <f>SUM(V114:V114)</f>
        <v>0</v>
      </c>
      <c r="W113" s="67"/>
      <c r="X113" s="67"/>
      <c r="Y113" s="560"/>
      <c r="Z113" s="67"/>
      <c r="AA113" s="67">
        <f>SUM(AA114:AA114)</f>
        <v>0</v>
      </c>
      <c r="AB113" s="67"/>
      <c r="AC113" s="67"/>
      <c r="AD113" s="560"/>
      <c r="AE113" s="67"/>
      <c r="AF113" s="67">
        <f>SUM(AF114:AF114)</f>
        <v>0</v>
      </c>
      <c r="AG113" s="67"/>
      <c r="AH113" s="67"/>
      <c r="AI113" s="560"/>
      <c r="AJ113" s="67"/>
      <c r="AK113" s="67">
        <f>SUM(AK114:AK114)</f>
        <v>0</v>
      </c>
      <c r="AL113" s="67"/>
      <c r="AM113" s="67"/>
      <c r="AN113" s="560"/>
      <c r="AO113" s="67"/>
      <c r="AP113" s="67">
        <f>SUM(AP114:AP114)</f>
        <v>0</v>
      </c>
      <c r="AQ113" s="67"/>
      <c r="AR113" s="67"/>
      <c r="AS113" s="560"/>
      <c r="AT113" s="67"/>
      <c r="AU113" s="67">
        <f>SUM(AU114:AU114)</f>
        <v>0</v>
      </c>
      <c r="AV113" s="67"/>
      <c r="AW113" s="67"/>
      <c r="AX113" s="560"/>
      <c r="AY113" s="67"/>
      <c r="AZ113" s="67">
        <f>SUM(AZ114:AZ114)</f>
        <v>0</v>
      </c>
      <c r="BA113" s="67"/>
      <c r="BB113" s="67"/>
      <c r="BC113" s="560"/>
      <c r="BD113" s="67"/>
      <c r="BE113" s="67">
        <f>SUM(BE114:BE114)</f>
        <v>0</v>
      </c>
      <c r="BF113" s="67"/>
      <c r="BG113" s="67"/>
      <c r="BH113" s="560"/>
      <c r="BI113" s="67"/>
      <c r="BJ113" s="67">
        <f>SUM(BJ114:BJ114)</f>
        <v>0</v>
      </c>
      <c r="BK113" s="67"/>
      <c r="BL113" s="67"/>
      <c r="BM113" s="560"/>
      <c r="BN113" s="67"/>
      <c r="BO113" s="67">
        <f>SUM(BO114:BO114)</f>
        <v>0</v>
      </c>
      <c r="BP113" s="67"/>
      <c r="BQ113" s="67"/>
      <c r="BR113" s="560"/>
      <c r="BS113" s="442"/>
      <c r="BT113" s="67">
        <f>SUM(BT114:BT114)</f>
        <v>0</v>
      </c>
      <c r="BU113" s="67"/>
      <c r="BV113" s="67"/>
      <c r="BW113" s="560"/>
      <c r="BX113" s="442"/>
      <c r="BY113" s="67">
        <f>SUM(BY114:BY114)</f>
        <v>0</v>
      </c>
      <c r="BZ113" s="67"/>
      <c r="CA113" s="67"/>
      <c r="CB113" s="560"/>
      <c r="CC113" s="67"/>
      <c r="CD113" s="67">
        <f>SUM(CD114:CD114)</f>
        <v>0</v>
      </c>
      <c r="CE113" s="67"/>
      <c r="CF113" s="67"/>
      <c r="CG113" s="560"/>
      <c r="CH113" s="67"/>
      <c r="CI113" s="67">
        <f>SUM(CI114:CI114)</f>
        <v>0</v>
      </c>
      <c r="CJ113" s="67"/>
      <c r="CK113" s="67"/>
      <c r="CL113" s="560"/>
      <c r="CM113" s="67"/>
      <c r="CN113" s="67">
        <f>SUM(CN114:CN114)</f>
        <v>0</v>
      </c>
      <c r="CO113" s="67"/>
      <c r="CP113" s="67"/>
      <c r="CQ113" s="560"/>
      <c r="CR113" s="67"/>
      <c r="CS113" s="67">
        <f>SUM(CS114:CS114)</f>
        <v>0</v>
      </c>
      <c r="CT113" s="67"/>
      <c r="CU113" s="67"/>
      <c r="CV113" s="560"/>
      <c r="CW113" s="67"/>
      <c r="CX113" s="67">
        <f>SUM(CX114:CX114)</f>
        <v>0</v>
      </c>
      <c r="CY113" s="67"/>
      <c r="CZ113" s="67"/>
      <c r="DA113" s="560"/>
      <c r="DB113" s="67"/>
      <c r="DC113" s="67">
        <f>SUM(DC114:DC114)</f>
        <v>0</v>
      </c>
      <c r="DD113" s="67"/>
      <c r="DE113" s="67"/>
      <c r="DF113" s="560"/>
      <c r="DG113" s="67"/>
      <c r="DH113" s="67">
        <f>SUM(DH114:DH114)</f>
        <v>0</v>
      </c>
      <c r="DI113" s="67"/>
      <c r="DJ113" s="67"/>
      <c r="DK113" s="560"/>
      <c r="DL113" s="67"/>
      <c r="DM113" s="67">
        <f>SUM(DM114:DM114)</f>
        <v>0</v>
      </c>
      <c r="DN113" s="67"/>
      <c r="DO113" s="67"/>
      <c r="DP113" s="560"/>
      <c r="DQ113" s="67"/>
      <c r="DR113" s="67">
        <f>SUM(DR114:DR114)</f>
        <v>0</v>
      </c>
      <c r="DS113" s="67"/>
      <c r="DT113" s="67"/>
      <c r="DU113" s="560"/>
      <c r="DV113" s="67"/>
      <c r="DW113" s="67">
        <f>SUM(DW114:DW114)</f>
        <v>0</v>
      </c>
      <c r="DX113" s="67"/>
      <c r="DY113" s="67"/>
      <c r="DZ113" s="560"/>
      <c r="EA113" s="67"/>
      <c r="EB113" s="67">
        <f>SUM(EB114:EB114)</f>
        <v>0</v>
      </c>
      <c r="EC113" s="67"/>
      <c r="ED113" s="67"/>
      <c r="EE113" s="560"/>
      <c r="EF113" s="67"/>
      <c r="EG113" s="67">
        <f>SUM(EG114:EG114)</f>
        <v>0</v>
      </c>
      <c r="EH113" s="67"/>
      <c r="EI113" s="67"/>
      <c r="EJ113" s="560"/>
      <c r="EK113" s="442"/>
      <c r="EL113" s="67">
        <f>SUM(EL114:EL114)</f>
        <v>0</v>
      </c>
      <c r="EM113" s="67"/>
      <c r="EN113" s="442"/>
      <c r="EO113" s="455"/>
      <c r="EP113" s="472"/>
      <c r="EQ113" s="472"/>
    </row>
    <row r="114" spans="1:147" hidden="1" x14ac:dyDescent="0.2">
      <c r="A114" s="442"/>
      <c r="B114" s="442"/>
      <c r="D114" s="455" t="s">
        <v>342</v>
      </c>
      <c r="E114" s="465"/>
      <c r="F114" s="563"/>
      <c r="G114" s="564">
        <v>0</v>
      </c>
      <c r="H114" s="565"/>
      <c r="I114" s="67"/>
      <c r="J114" s="560"/>
      <c r="K114" s="563"/>
      <c r="L114" s="564">
        <v>0</v>
      </c>
      <c r="M114" s="565"/>
      <c r="N114" s="67"/>
      <c r="O114" s="560"/>
      <c r="P114" s="566"/>
      <c r="Q114" s="564">
        <v>0</v>
      </c>
      <c r="R114" s="565"/>
      <c r="S114" s="67"/>
      <c r="T114" s="560"/>
      <c r="U114" s="566"/>
      <c r="V114" s="564">
        <v>0</v>
      </c>
      <c r="W114" s="565"/>
      <c r="X114" s="67"/>
      <c r="Y114" s="560"/>
      <c r="Z114" s="566"/>
      <c r="AA114" s="564">
        <v>0</v>
      </c>
      <c r="AB114" s="565"/>
      <c r="AC114" s="67"/>
      <c r="AD114" s="560"/>
      <c r="AE114" s="566"/>
      <c r="AF114" s="564">
        <v>0</v>
      </c>
      <c r="AG114" s="565"/>
      <c r="AH114" s="67"/>
      <c r="AI114" s="560"/>
      <c r="AJ114" s="566"/>
      <c r="AK114" s="564">
        <v>0</v>
      </c>
      <c r="AL114" s="565"/>
      <c r="AM114" s="67"/>
      <c r="AN114" s="560"/>
      <c r="AO114" s="566"/>
      <c r="AP114" s="564">
        <v>0</v>
      </c>
      <c r="AQ114" s="565"/>
      <c r="AR114" s="67"/>
      <c r="AS114" s="560"/>
      <c r="AT114" s="566"/>
      <c r="AU114" s="564">
        <v>0</v>
      </c>
      <c r="AV114" s="565"/>
      <c r="AW114" s="67"/>
      <c r="AX114" s="560"/>
      <c r="AY114" s="566"/>
      <c r="AZ114" s="564">
        <v>0</v>
      </c>
      <c r="BA114" s="565"/>
      <c r="BB114" s="67"/>
      <c r="BC114" s="560"/>
      <c r="BD114" s="566"/>
      <c r="BE114" s="564">
        <v>0</v>
      </c>
      <c r="BF114" s="565"/>
      <c r="BG114" s="67"/>
      <c r="BH114" s="560"/>
      <c r="BI114" s="566"/>
      <c r="BJ114" s="564">
        <v>0</v>
      </c>
      <c r="BK114" s="565"/>
      <c r="BL114" s="67"/>
      <c r="BM114" s="560"/>
      <c r="BN114" s="566"/>
      <c r="BO114" s="564">
        <v>0</v>
      </c>
      <c r="BP114" s="565"/>
      <c r="BQ114" s="67"/>
      <c r="BR114" s="560"/>
      <c r="BS114" s="563"/>
      <c r="BT114" s="564">
        <f>SUM(L114:BO114)</f>
        <v>0</v>
      </c>
      <c r="BU114" s="565"/>
      <c r="BV114" s="67"/>
      <c r="BW114" s="560"/>
      <c r="BX114" s="563"/>
      <c r="BY114" s="564">
        <f>SUM(Q114:BT114)</f>
        <v>0</v>
      </c>
      <c r="BZ114" s="565"/>
      <c r="CA114" s="67"/>
      <c r="CB114" s="560"/>
      <c r="CC114" s="563"/>
      <c r="CD114" s="564">
        <v>0</v>
      </c>
      <c r="CE114" s="565"/>
      <c r="CF114" s="67"/>
      <c r="CG114" s="560"/>
      <c r="CH114" s="566"/>
      <c r="CI114" s="564">
        <v>0</v>
      </c>
      <c r="CJ114" s="565"/>
      <c r="CK114" s="67"/>
      <c r="CL114" s="560"/>
      <c r="CM114" s="566"/>
      <c r="CN114" s="564">
        <v>0</v>
      </c>
      <c r="CO114" s="565"/>
      <c r="CP114" s="67"/>
      <c r="CQ114" s="560"/>
      <c r="CR114" s="566"/>
      <c r="CS114" s="564">
        <v>0</v>
      </c>
      <c r="CT114" s="565"/>
      <c r="CU114" s="67"/>
      <c r="CV114" s="560"/>
      <c r="CW114" s="566"/>
      <c r="CX114" s="564">
        <v>0</v>
      </c>
      <c r="CY114" s="565"/>
      <c r="CZ114" s="67"/>
      <c r="DA114" s="560"/>
      <c r="DB114" s="566"/>
      <c r="DC114" s="564">
        <v>0</v>
      </c>
      <c r="DD114" s="565"/>
      <c r="DE114" s="67"/>
      <c r="DF114" s="560"/>
      <c r="DG114" s="566"/>
      <c r="DH114" s="564">
        <v>0</v>
      </c>
      <c r="DI114" s="565"/>
      <c r="DJ114" s="67"/>
      <c r="DK114" s="560"/>
      <c r="DL114" s="566"/>
      <c r="DM114" s="564">
        <v>0</v>
      </c>
      <c r="DN114" s="565"/>
      <c r="DO114" s="67"/>
      <c r="DP114" s="560"/>
      <c r="DQ114" s="566"/>
      <c r="DR114" s="564">
        <v>0</v>
      </c>
      <c r="DS114" s="565"/>
      <c r="DT114" s="67"/>
      <c r="DU114" s="560"/>
      <c r="DV114" s="566"/>
      <c r="DW114" s="564">
        <v>0</v>
      </c>
      <c r="DX114" s="565"/>
      <c r="DY114" s="67"/>
      <c r="DZ114" s="560"/>
      <c r="EA114" s="566"/>
      <c r="EB114" s="564">
        <v>0</v>
      </c>
      <c r="EC114" s="565"/>
      <c r="ED114" s="67"/>
      <c r="EE114" s="560"/>
      <c r="EF114" s="566"/>
      <c r="EG114" s="564">
        <v>0</v>
      </c>
      <c r="EH114" s="565"/>
      <c r="EI114" s="67"/>
      <c r="EJ114" s="560"/>
      <c r="EK114" s="563"/>
      <c r="EL114" s="564">
        <f>SUM(CD114:EG114)</f>
        <v>0</v>
      </c>
      <c r="EM114" s="565"/>
      <c r="EN114" s="442"/>
      <c r="EO114" s="455"/>
      <c r="EP114" s="472"/>
      <c r="EQ114" s="472"/>
    </row>
    <row r="115" spans="1:147" hidden="1" x14ac:dyDescent="0.2">
      <c r="A115" s="442"/>
      <c r="B115" s="442"/>
      <c r="D115" s="455"/>
      <c r="E115" s="465"/>
      <c r="F115" s="442"/>
      <c r="G115" s="67"/>
      <c r="H115" s="67"/>
      <c r="I115" s="67"/>
      <c r="J115" s="560"/>
      <c r="K115" s="442"/>
      <c r="L115" s="67"/>
      <c r="M115" s="67"/>
      <c r="N115" s="67"/>
      <c r="O115" s="560"/>
      <c r="P115" s="442"/>
      <c r="Q115" s="67"/>
      <c r="R115" s="67"/>
      <c r="S115" s="67"/>
      <c r="T115" s="560"/>
      <c r="U115" s="442"/>
      <c r="V115" s="67"/>
      <c r="W115" s="67"/>
      <c r="X115" s="67"/>
      <c r="Y115" s="560"/>
      <c r="Z115" s="442"/>
      <c r="AA115" s="67"/>
      <c r="AB115" s="67"/>
      <c r="AC115" s="67"/>
      <c r="AD115" s="560"/>
      <c r="AE115" s="442"/>
      <c r="AF115" s="67"/>
      <c r="AG115" s="67"/>
      <c r="AH115" s="67"/>
      <c r="AI115" s="560"/>
      <c r="AJ115" s="442"/>
      <c r="AK115" s="67"/>
      <c r="AL115" s="67"/>
      <c r="AM115" s="67"/>
      <c r="AN115" s="560"/>
      <c r="AO115" s="442"/>
      <c r="AP115" s="67"/>
      <c r="AQ115" s="67"/>
      <c r="AR115" s="67"/>
      <c r="AS115" s="560"/>
      <c r="AT115" s="442"/>
      <c r="AU115" s="67"/>
      <c r="AV115" s="67"/>
      <c r="AW115" s="67"/>
      <c r="AX115" s="560"/>
      <c r="AY115" s="442"/>
      <c r="AZ115" s="67"/>
      <c r="BA115" s="67"/>
      <c r="BB115" s="67"/>
      <c r="BC115" s="560"/>
      <c r="BD115" s="442"/>
      <c r="BE115" s="67"/>
      <c r="BF115" s="67"/>
      <c r="BG115" s="67"/>
      <c r="BH115" s="560"/>
      <c r="BI115" s="442"/>
      <c r="BJ115" s="67"/>
      <c r="BK115" s="67"/>
      <c r="BL115" s="67"/>
      <c r="BM115" s="560"/>
      <c r="BN115" s="442"/>
      <c r="BO115" s="67"/>
      <c r="BP115" s="67"/>
      <c r="BQ115" s="67"/>
      <c r="BR115" s="560"/>
      <c r="BS115" s="442"/>
      <c r="BT115" s="67"/>
      <c r="BU115" s="67"/>
      <c r="BV115" s="67"/>
      <c r="BW115" s="560"/>
      <c r="BX115" s="442"/>
      <c r="BY115" s="67"/>
      <c r="BZ115" s="67"/>
      <c r="CA115" s="67"/>
      <c r="CB115" s="560"/>
      <c r="CC115" s="442"/>
      <c r="CD115" s="67"/>
      <c r="CE115" s="67"/>
      <c r="CF115" s="67"/>
      <c r="CG115" s="560"/>
      <c r="CH115" s="442"/>
      <c r="CI115" s="67"/>
      <c r="CJ115" s="67"/>
      <c r="CK115" s="67"/>
      <c r="CL115" s="560"/>
      <c r="CM115" s="442"/>
      <c r="CN115" s="67"/>
      <c r="CO115" s="67"/>
      <c r="CP115" s="67"/>
      <c r="CQ115" s="560"/>
      <c r="CR115" s="442"/>
      <c r="CS115" s="67"/>
      <c r="CT115" s="67"/>
      <c r="CU115" s="67"/>
      <c r="CV115" s="560"/>
      <c r="CW115" s="442"/>
      <c r="CX115" s="67"/>
      <c r="CY115" s="67"/>
      <c r="CZ115" s="67"/>
      <c r="DA115" s="560"/>
      <c r="DB115" s="442"/>
      <c r="DC115" s="67"/>
      <c r="DD115" s="67"/>
      <c r="DE115" s="67"/>
      <c r="DF115" s="560"/>
      <c r="DG115" s="442"/>
      <c r="DH115" s="67"/>
      <c r="DI115" s="67"/>
      <c r="DJ115" s="67"/>
      <c r="DK115" s="560"/>
      <c r="DL115" s="442"/>
      <c r="DM115" s="67"/>
      <c r="DN115" s="67"/>
      <c r="DO115" s="67"/>
      <c r="DP115" s="560"/>
      <c r="DQ115" s="442"/>
      <c r="DR115" s="67"/>
      <c r="DS115" s="67"/>
      <c r="DT115" s="67"/>
      <c r="DU115" s="560"/>
      <c r="DV115" s="442"/>
      <c r="DW115" s="67"/>
      <c r="DX115" s="67"/>
      <c r="DY115" s="67"/>
      <c r="DZ115" s="560"/>
      <c r="EA115" s="442"/>
      <c r="EB115" s="67"/>
      <c r="EC115" s="67"/>
      <c r="ED115" s="67"/>
      <c r="EE115" s="560"/>
      <c r="EF115" s="442"/>
      <c r="EG115" s="67"/>
      <c r="EH115" s="67"/>
      <c r="EI115" s="67"/>
      <c r="EJ115" s="560"/>
      <c r="EK115" s="442"/>
      <c r="EL115" s="67"/>
      <c r="EM115" s="67"/>
      <c r="EN115" s="442"/>
      <c r="EO115" s="455"/>
      <c r="EP115" s="472"/>
      <c r="EQ115" s="472"/>
    </row>
    <row r="116" spans="1:147" x14ac:dyDescent="0.2">
      <c r="A116" s="442"/>
      <c r="B116" s="442"/>
      <c r="D116" s="455" t="s">
        <v>408</v>
      </c>
      <c r="E116" s="465"/>
      <c r="F116" s="442"/>
      <c r="G116" s="67">
        <f>SUM(G117:G117)</f>
        <v>0</v>
      </c>
      <c r="H116" s="67"/>
      <c r="I116" s="67"/>
      <c r="J116" s="560"/>
      <c r="K116" s="67"/>
      <c r="L116" s="67">
        <f>SUM(L117:L117)</f>
        <v>0</v>
      </c>
      <c r="M116" s="67"/>
      <c r="N116" s="67"/>
      <c r="O116" s="560"/>
      <c r="P116" s="67"/>
      <c r="Q116" s="67">
        <f>SUM(Q117:Q117)</f>
        <v>0</v>
      </c>
      <c r="R116" s="67"/>
      <c r="S116" s="67"/>
      <c r="T116" s="560"/>
      <c r="U116" s="67"/>
      <c r="V116" s="67">
        <f>SUM(V117:V117)</f>
        <v>0</v>
      </c>
      <c r="W116" s="67"/>
      <c r="X116" s="67"/>
      <c r="Y116" s="560"/>
      <c r="Z116" s="67"/>
      <c r="AA116" s="67">
        <f>SUM(AA117:AA117)</f>
        <v>0</v>
      </c>
      <c r="AB116" s="67"/>
      <c r="AC116" s="67"/>
      <c r="AD116" s="560"/>
      <c r="AE116" s="67"/>
      <c r="AF116" s="67">
        <f>SUM(AF117:AF117)</f>
        <v>0</v>
      </c>
      <c r="AG116" s="67"/>
      <c r="AH116" s="67"/>
      <c r="AI116" s="560"/>
      <c r="AJ116" s="67"/>
      <c r="AK116" s="67">
        <f>SUM(AK117:AK117)</f>
        <v>0</v>
      </c>
      <c r="AL116" s="67"/>
      <c r="AM116" s="67"/>
      <c r="AN116" s="560"/>
      <c r="AO116" s="67"/>
      <c r="AP116" s="67">
        <f>SUM(AP117:AP117)</f>
        <v>0</v>
      </c>
      <c r="AQ116" s="67"/>
      <c r="AR116" s="67"/>
      <c r="AS116" s="560"/>
      <c r="AT116" s="67"/>
      <c r="AU116" s="67">
        <f>SUM(AU117:AU117)</f>
        <v>0</v>
      </c>
      <c r="AV116" s="67"/>
      <c r="AW116" s="67"/>
      <c r="AX116" s="560"/>
      <c r="AY116" s="67"/>
      <c r="AZ116" s="67">
        <f>SUM(AZ117:AZ117)</f>
        <v>0</v>
      </c>
      <c r="BA116" s="67"/>
      <c r="BB116" s="67"/>
      <c r="BC116" s="560"/>
      <c r="BD116" s="67"/>
      <c r="BE116" s="67">
        <f>SUM(BE117:BE117)</f>
        <v>0</v>
      </c>
      <c r="BF116" s="67"/>
      <c r="BG116" s="67"/>
      <c r="BH116" s="560"/>
      <c r="BI116" s="67"/>
      <c r="BJ116" s="67">
        <f>SUM(BJ117:BJ117)</f>
        <v>0</v>
      </c>
      <c r="BK116" s="67"/>
      <c r="BL116" s="67"/>
      <c r="BM116" s="560"/>
      <c r="BN116" s="67"/>
      <c r="BO116" s="67">
        <f>SUM(BO117:BO117)</f>
        <v>0</v>
      </c>
      <c r="BP116" s="67"/>
      <c r="BQ116" s="67"/>
      <c r="BR116" s="560"/>
      <c r="BS116" s="442"/>
      <c r="BT116" s="67">
        <f>SUM(BT117:BT117)</f>
        <v>0</v>
      </c>
      <c r="BU116" s="67"/>
      <c r="BV116" s="67"/>
      <c r="BW116" s="560"/>
      <c r="BX116" s="442"/>
      <c r="BY116" s="67">
        <f>SUM(BY117:BY117)</f>
        <v>470894</v>
      </c>
      <c r="BZ116" s="67"/>
      <c r="CA116" s="67"/>
      <c r="CB116" s="560"/>
      <c r="CC116" s="67"/>
      <c r="CD116" s="67">
        <f>SUM(CD117:CD117)</f>
        <v>0</v>
      </c>
      <c r="CE116" s="67"/>
      <c r="CF116" s="67"/>
      <c r="CG116" s="560"/>
      <c r="CH116" s="67"/>
      <c r="CI116" s="67">
        <f>SUM(CI117:CI117)</f>
        <v>0</v>
      </c>
      <c r="CJ116" s="67"/>
      <c r="CK116" s="67"/>
      <c r="CL116" s="560"/>
      <c r="CM116" s="67"/>
      <c r="CN116" s="67">
        <f>SUM(CN117:CN117)</f>
        <v>0</v>
      </c>
      <c r="CO116" s="67"/>
      <c r="CP116" s="67"/>
      <c r="CQ116" s="560"/>
      <c r="CR116" s="67"/>
      <c r="CS116" s="67">
        <f>SUM(CS117:CS117)</f>
        <v>0</v>
      </c>
      <c r="CT116" s="67"/>
      <c r="CU116" s="67"/>
      <c r="CV116" s="560"/>
      <c r="CW116" s="67"/>
      <c r="CX116" s="67">
        <f>SUM(CX117:CX117)</f>
        <v>23165</v>
      </c>
      <c r="CY116" s="67"/>
      <c r="CZ116" s="67"/>
      <c r="DA116" s="560"/>
      <c r="DB116" s="67"/>
      <c r="DC116" s="67">
        <f>SUM(DC117:DC117)</f>
        <v>0</v>
      </c>
      <c r="DD116" s="67"/>
      <c r="DE116" s="67"/>
      <c r="DF116" s="560"/>
      <c r="DG116" s="67"/>
      <c r="DH116" s="67">
        <f>SUM(DH117:DH117)</f>
        <v>0</v>
      </c>
      <c r="DI116" s="67"/>
      <c r="DJ116" s="67"/>
      <c r="DK116" s="560"/>
      <c r="DL116" s="67"/>
      <c r="DM116" s="67">
        <f>SUM(DM117:DM117)</f>
        <v>0</v>
      </c>
      <c r="DN116" s="67"/>
      <c r="DO116" s="67"/>
      <c r="DP116" s="560"/>
      <c r="DQ116" s="67"/>
      <c r="DR116" s="67">
        <f>SUM(DR117:DR117)</f>
        <v>0</v>
      </c>
      <c r="DS116" s="67"/>
      <c r="DT116" s="67"/>
      <c r="DU116" s="560"/>
      <c r="DV116" s="67"/>
      <c r="DW116" s="67">
        <f>SUM(DW117:DW117)</f>
        <v>0</v>
      </c>
      <c r="DX116" s="67"/>
      <c r="DY116" s="67"/>
      <c r="DZ116" s="560"/>
      <c r="EA116" s="67"/>
      <c r="EB116" s="67">
        <f>SUM(EB117:EB117)</f>
        <v>0</v>
      </c>
      <c r="EC116" s="67"/>
      <c r="ED116" s="67"/>
      <c r="EE116" s="560"/>
      <c r="EF116" s="67"/>
      <c r="EG116" s="67">
        <f>SUM(EG117:EG117)</f>
        <v>447729</v>
      </c>
      <c r="EH116" s="67"/>
      <c r="EI116" s="67"/>
      <c r="EJ116" s="560"/>
      <c r="EK116" s="442"/>
      <c r="EL116" s="67">
        <f>SUM(EL117:EL117)</f>
        <v>0</v>
      </c>
      <c r="EM116" s="67"/>
      <c r="EN116" s="442"/>
      <c r="EO116" s="455"/>
      <c r="EP116" s="472"/>
      <c r="EQ116" s="472"/>
    </row>
    <row r="117" spans="1:147" x14ac:dyDescent="0.2">
      <c r="A117" s="442"/>
      <c r="B117" s="442"/>
      <c r="D117" s="455" t="s">
        <v>342</v>
      </c>
      <c r="E117" s="465"/>
      <c r="F117" s="563"/>
      <c r="G117" s="564">
        <v>0</v>
      </c>
      <c r="H117" s="565"/>
      <c r="I117" s="67"/>
      <c r="J117" s="560"/>
      <c r="K117" s="563"/>
      <c r="L117" s="564">
        <v>0</v>
      </c>
      <c r="M117" s="565"/>
      <c r="N117" s="67"/>
      <c r="O117" s="560"/>
      <c r="P117" s="566"/>
      <c r="Q117" s="564">
        <v>0</v>
      </c>
      <c r="R117" s="565"/>
      <c r="S117" s="67"/>
      <c r="T117" s="560"/>
      <c r="U117" s="566"/>
      <c r="V117" s="564">
        <v>0</v>
      </c>
      <c r="W117" s="565"/>
      <c r="X117" s="67"/>
      <c r="Y117" s="560"/>
      <c r="Z117" s="566"/>
      <c r="AA117" s="564">
        <v>0</v>
      </c>
      <c r="AB117" s="565"/>
      <c r="AC117" s="67"/>
      <c r="AD117" s="560"/>
      <c r="AE117" s="566"/>
      <c r="AF117" s="564">
        <v>0</v>
      </c>
      <c r="AG117" s="565"/>
      <c r="AH117" s="67"/>
      <c r="AI117" s="560"/>
      <c r="AJ117" s="566"/>
      <c r="AK117" s="564">
        <v>0</v>
      </c>
      <c r="AL117" s="565"/>
      <c r="AM117" s="67"/>
      <c r="AN117" s="560"/>
      <c r="AO117" s="566"/>
      <c r="AP117" s="564">
        <v>0</v>
      </c>
      <c r="AQ117" s="565"/>
      <c r="AR117" s="67"/>
      <c r="AS117" s="560"/>
      <c r="AT117" s="566"/>
      <c r="AU117" s="564">
        <v>0</v>
      </c>
      <c r="AV117" s="565"/>
      <c r="AW117" s="67"/>
      <c r="AX117" s="560"/>
      <c r="AY117" s="566"/>
      <c r="AZ117" s="564">
        <v>0</v>
      </c>
      <c r="BA117" s="565"/>
      <c r="BB117" s="67"/>
      <c r="BC117" s="560"/>
      <c r="BD117" s="566"/>
      <c r="BE117" s="564">
        <v>0</v>
      </c>
      <c r="BF117" s="565"/>
      <c r="BG117" s="67"/>
      <c r="BH117" s="560"/>
      <c r="BI117" s="566"/>
      <c r="BJ117" s="564">
        <v>0</v>
      </c>
      <c r="BK117" s="565"/>
      <c r="BL117" s="67"/>
      <c r="BM117" s="560"/>
      <c r="BN117" s="566"/>
      <c r="BO117" s="564">
        <v>0</v>
      </c>
      <c r="BP117" s="565"/>
      <c r="BQ117" s="67"/>
      <c r="BR117" s="560"/>
      <c r="BS117" s="563"/>
      <c r="BT117" s="564">
        <f>SUM(L117:BO117)</f>
        <v>0</v>
      </c>
      <c r="BU117" s="565"/>
      <c r="BV117" s="67"/>
      <c r="BW117" s="560"/>
      <c r="BX117" s="563"/>
      <c r="BY117" s="564">
        <v>470894</v>
      </c>
      <c r="BZ117" s="565"/>
      <c r="CA117" s="67"/>
      <c r="CB117" s="560"/>
      <c r="CC117" s="563"/>
      <c r="CD117" s="564">
        <v>0</v>
      </c>
      <c r="CE117" s="565"/>
      <c r="CF117" s="67"/>
      <c r="CG117" s="560"/>
      <c r="CH117" s="566"/>
      <c r="CI117" s="564">
        <v>0</v>
      </c>
      <c r="CJ117" s="565"/>
      <c r="CK117" s="67"/>
      <c r="CL117" s="560"/>
      <c r="CM117" s="566"/>
      <c r="CN117" s="564">
        <v>0</v>
      </c>
      <c r="CO117" s="565"/>
      <c r="CP117" s="67"/>
      <c r="CQ117" s="560"/>
      <c r="CR117" s="566"/>
      <c r="CS117" s="564">
        <v>0</v>
      </c>
      <c r="CT117" s="565"/>
      <c r="CU117" s="67"/>
      <c r="CV117" s="560"/>
      <c r="CW117" s="566"/>
      <c r="CX117" s="564">
        <v>23165</v>
      </c>
      <c r="CY117" s="565"/>
      <c r="CZ117" s="67"/>
      <c r="DA117" s="560"/>
      <c r="DB117" s="566"/>
      <c r="DC117" s="564">
        <v>0</v>
      </c>
      <c r="DD117" s="565"/>
      <c r="DE117" s="67"/>
      <c r="DF117" s="560"/>
      <c r="DG117" s="566"/>
      <c r="DH117" s="564">
        <v>0</v>
      </c>
      <c r="DI117" s="565"/>
      <c r="DJ117" s="67"/>
      <c r="DK117" s="560"/>
      <c r="DL117" s="566"/>
      <c r="DM117" s="564">
        <v>0</v>
      </c>
      <c r="DN117" s="565"/>
      <c r="DO117" s="67"/>
      <c r="DP117" s="560"/>
      <c r="DQ117" s="566"/>
      <c r="DR117" s="564">
        <v>0</v>
      </c>
      <c r="DS117" s="565"/>
      <c r="DT117" s="67"/>
      <c r="DU117" s="560"/>
      <c r="DV117" s="566"/>
      <c r="DW117" s="564">
        <v>0</v>
      </c>
      <c r="DX117" s="565"/>
      <c r="DY117" s="67"/>
      <c r="DZ117" s="560"/>
      <c r="EA117" s="566"/>
      <c r="EB117" s="564">
        <v>0</v>
      </c>
      <c r="EC117" s="565"/>
      <c r="ED117" s="67"/>
      <c r="EE117" s="560"/>
      <c r="EF117" s="566"/>
      <c r="EG117" s="564">
        <v>447729</v>
      </c>
      <c r="EH117" s="565"/>
      <c r="EI117" s="67"/>
      <c r="EJ117" s="560"/>
      <c r="EK117" s="563"/>
      <c r="EL117" s="564">
        <f>SUM(CD117:CI117)</f>
        <v>0</v>
      </c>
      <c r="EM117" s="565"/>
      <c r="EN117" s="442"/>
      <c r="EO117" s="455"/>
      <c r="EP117" s="472"/>
      <c r="EQ117" s="472"/>
    </row>
    <row r="118" spans="1:147" x14ac:dyDescent="0.2">
      <c r="A118" s="442"/>
      <c r="B118" s="442"/>
      <c r="D118" s="455"/>
      <c r="E118" s="465"/>
      <c r="F118" s="442"/>
      <c r="G118" s="67"/>
      <c r="H118" s="67"/>
      <c r="I118" s="67"/>
      <c r="J118" s="560"/>
      <c r="K118" s="442"/>
      <c r="L118" s="67"/>
      <c r="M118" s="67"/>
      <c r="N118" s="67"/>
      <c r="O118" s="560"/>
      <c r="P118" s="442"/>
      <c r="Q118" s="67"/>
      <c r="R118" s="67"/>
      <c r="S118" s="67"/>
      <c r="T118" s="560"/>
      <c r="U118" s="442"/>
      <c r="V118" s="67"/>
      <c r="W118" s="67"/>
      <c r="X118" s="67"/>
      <c r="Y118" s="560"/>
      <c r="Z118" s="442"/>
      <c r="AA118" s="67"/>
      <c r="AB118" s="67"/>
      <c r="AC118" s="67"/>
      <c r="AD118" s="560"/>
      <c r="AE118" s="442"/>
      <c r="AF118" s="67"/>
      <c r="AG118" s="67"/>
      <c r="AH118" s="67"/>
      <c r="AI118" s="560"/>
      <c r="AJ118" s="442"/>
      <c r="AK118" s="67"/>
      <c r="AL118" s="67"/>
      <c r="AM118" s="67"/>
      <c r="AN118" s="560"/>
      <c r="AO118" s="442"/>
      <c r="AP118" s="67"/>
      <c r="AQ118" s="67"/>
      <c r="AR118" s="67"/>
      <c r="AS118" s="560"/>
      <c r="AT118" s="442"/>
      <c r="AU118" s="67"/>
      <c r="AV118" s="67"/>
      <c r="AW118" s="67"/>
      <c r="AX118" s="560"/>
      <c r="AY118" s="442"/>
      <c r="AZ118" s="67"/>
      <c r="BA118" s="67"/>
      <c r="BB118" s="67"/>
      <c r="BC118" s="560"/>
      <c r="BD118" s="442"/>
      <c r="BE118" s="67"/>
      <c r="BF118" s="67"/>
      <c r="BG118" s="67"/>
      <c r="BH118" s="560"/>
      <c r="BI118" s="442"/>
      <c r="BJ118" s="67"/>
      <c r="BK118" s="67"/>
      <c r="BL118" s="67"/>
      <c r="BM118" s="560"/>
      <c r="BN118" s="442"/>
      <c r="BO118" s="67"/>
      <c r="BP118" s="67"/>
      <c r="BQ118" s="67"/>
      <c r="BR118" s="560"/>
      <c r="BS118" s="442"/>
      <c r="BT118" s="67"/>
      <c r="BU118" s="67"/>
      <c r="BV118" s="67"/>
      <c r="BW118" s="560"/>
      <c r="BX118" s="442"/>
      <c r="BY118" s="67"/>
      <c r="BZ118" s="67"/>
      <c r="CA118" s="67"/>
      <c r="CB118" s="560"/>
      <c r="CC118" s="442"/>
      <c r="CD118" s="67"/>
      <c r="CE118" s="67"/>
      <c r="CF118" s="67"/>
      <c r="CG118" s="560"/>
      <c r="CH118" s="442"/>
      <c r="CI118" s="67"/>
      <c r="CJ118" s="67"/>
      <c r="CK118" s="67"/>
      <c r="CL118" s="560"/>
      <c r="CM118" s="442"/>
      <c r="CN118" s="67"/>
      <c r="CO118" s="67"/>
      <c r="CP118" s="67"/>
      <c r="CQ118" s="560"/>
      <c r="CR118" s="442"/>
      <c r="CS118" s="67"/>
      <c r="CT118" s="67"/>
      <c r="CU118" s="67"/>
      <c r="CV118" s="560"/>
      <c r="CW118" s="442"/>
      <c r="CX118" s="67"/>
      <c r="CY118" s="67"/>
      <c r="CZ118" s="67"/>
      <c r="DA118" s="560"/>
      <c r="DB118" s="442"/>
      <c r="DC118" s="67"/>
      <c r="DD118" s="67"/>
      <c r="DE118" s="67"/>
      <c r="DF118" s="560"/>
      <c r="DG118" s="442"/>
      <c r="DH118" s="67"/>
      <c r="DI118" s="67"/>
      <c r="DJ118" s="67"/>
      <c r="DK118" s="560"/>
      <c r="DL118" s="442"/>
      <c r="DM118" s="67"/>
      <c r="DN118" s="67"/>
      <c r="DO118" s="67"/>
      <c r="DP118" s="560"/>
      <c r="DQ118" s="442"/>
      <c r="DR118" s="67"/>
      <c r="DS118" s="67"/>
      <c r="DT118" s="67"/>
      <c r="DU118" s="560"/>
      <c r="DV118" s="442"/>
      <c r="DW118" s="67"/>
      <c r="DX118" s="67"/>
      <c r="DY118" s="67"/>
      <c r="DZ118" s="560"/>
      <c r="EA118" s="442"/>
      <c r="EB118" s="67"/>
      <c r="EC118" s="67"/>
      <c r="ED118" s="67"/>
      <c r="EE118" s="560"/>
      <c r="EF118" s="442"/>
      <c r="EG118" s="67"/>
      <c r="EH118" s="67"/>
      <c r="EI118" s="67"/>
      <c r="EJ118" s="560"/>
      <c r="EK118" s="442"/>
      <c r="EL118" s="67"/>
      <c r="EM118" s="67"/>
      <c r="EN118" s="442"/>
      <c r="EO118" s="455"/>
      <c r="EP118" s="472"/>
      <c r="EQ118" s="472"/>
    </row>
    <row r="119" spans="1:147" x14ac:dyDescent="0.2">
      <c r="A119" s="442"/>
      <c r="B119" s="442"/>
      <c r="D119" s="455" t="s">
        <v>370</v>
      </c>
      <c r="E119" s="465"/>
      <c r="F119" s="442"/>
      <c r="G119" s="67">
        <f>SUM(G120:G120)</f>
        <v>0</v>
      </c>
      <c r="H119" s="67"/>
      <c r="I119" s="67"/>
      <c r="J119" s="560"/>
      <c r="K119" s="67"/>
      <c r="L119" s="67">
        <f>SUM(L120:L120)</f>
        <v>0</v>
      </c>
      <c r="M119" s="67"/>
      <c r="N119" s="67"/>
      <c r="O119" s="560"/>
      <c r="P119" s="67"/>
      <c r="Q119" s="67">
        <f>SUM(Q120:Q120)</f>
        <v>0</v>
      </c>
      <c r="R119" s="67"/>
      <c r="S119" s="67"/>
      <c r="T119" s="560"/>
      <c r="U119" s="67"/>
      <c r="V119" s="67">
        <f>SUM(V120:V120)</f>
        <v>0</v>
      </c>
      <c r="W119" s="67"/>
      <c r="X119" s="67"/>
      <c r="Y119" s="560"/>
      <c r="Z119" s="67"/>
      <c r="AA119" s="67">
        <f>SUM(AA120:AA120)</f>
        <v>0</v>
      </c>
      <c r="AB119" s="67"/>
      <c r="AC119" s="67"/>
      <c r="AD119" s="560"/>
      <c r="AE119" s="67"/>
      <c r="AF119" s="67">
        <f>SUM(AF120:AF120)</f>
        <v>0</v>
      </c>
      <c r="AG119" s="67"/>
      <c r="AH119" s="67"/>
      <c r="AI119" s="560"/>
      <c r="AJ119" s="67"/>
      <c r="AK119" s="67">
        <f>SUM(AK120:AK120)</f>
        <v>0</v>
      </c>
      <c r="AL119" s="67"/>
      <c r="AM119" s="67"/>
      <c r="AN119" s="560"/>
      <c r="AO119" s="67"/>
      <c r="AP119" s="67">
        <f>SUM(AP120:AP120)</f>
        <v>0</v>
      </c>
      <c r="AQ119" s="67"/>
      <c r="AR119" s="67"/>
      <c r="AS119" s="560"/>
      <c r="AT119" s="67"/>
      <c r="AU119" s="67">
        <f>SUM(AU120:AU120)</f>
        <v>0</v>
      </c>
      <c r="AV119" s="67"/>
      <c r="AW119" s="67"/>
      <c r="AX119" s="560"/>
      <c r="AY119" s="67"/>
      <c r="AZ119" s="67">
        <f>SUM(AZ120:AZ120)</f>
        <v>0</v>
      </c>
      <c r="BA119" s="67"/>
      <c r="BB119" s="67"/>
      <c r="BC119" s="560"/>
      <c r="BD119" s="67"/>
      <c r="BE119" s="67">
        <f>SUM(BE120:BE120)</f>
        <v>0</v>
      </c>
      <c r="BF119" s="67"/>
      <c r="BG119" s="67"/>
      <c r="BH119" s="560"/>
      <c r="BI119" s="67"/>
      <c r="BJ119" s="67">
        <f>SUM(BJ120:BJ120)</f>
        <v>0</v>
      </c>
      <c r="BK119" s="67"/>
      <c r="BL119" s="67"/>
      <c r="BM119" s="560"/>
      <c r="BN119" s="67"/>
      <c r="BO119" s="67">
        <f>SUM(BO120:BO120)</f>
        <v>0</v>
      </c>
      <c r="BP119" s="67"/>
      <c r="BQ119" s="67"/>
      <c r="BR119" s="560"/>
      <c r="BS119" s="442"/>
      <c r="BT119" s="67">
        <f>SUM(BT120:BT120)</f>
        <v>0</v>
      </c>
      <c r="BU119" s="67"/>
      <c r="BV119" s="67"/>
      <c r="BW119" s="560"/>
      <c r="BX119" s="442"/>
      <c r="BY119" s="67">
        <f>SUM(BY120:BY120)</f>
        <v>30810</v>
      </c>
      <c r="BZ119" s="67"/>
      <c r="CA119" s="67"/>
      <c r="CB119" s="560"/>
      <c r="CC119" s="67"/>
      <c r="CD119" s="67">
        <f>SUM(CD120:CD120)</f>
        <v>0</v>
      </c>
      <c r="CE119" s="67"/>
      <c r="CF119" s="67"/>
      <c r="CG119" s="560"/>
      <c r="CH119" s="67"/>
      <c r="CI119" s="67">
        <f>SUM(CI120:CI120)</f>
        <v>0</v>
      </c>
      <c r="CJ119" s="67"/>
      <c r="CK119" s="67"/>
      <c r="CL119" s="560"/>
      <c r="CM119" s="67"/>
      <c r="CN119" s="67">
        <f>SUM(CN120:CN120)</f>
        <v>0</v>
      </c>
      <c r="CO119" s="67"/>
      <c r="CP119" s="67"/>
      <c r="CQ119" s="560"/>
      <c r="CR119" s="67"/>
      <c r="CS119" s="67">
        <f>SUM(CS120:CS120)</f>
        <v>0</v>
      </c>
      <c r="CT119" s="67"/>
      <c r="CU119" s="67"/>
      <c r="CV119" s="560"/>
      <c r="CW119" s="67"/>
      <c r="CX119" s="67">
        <f>SUM(CX120:CX120)</f>
        <v>0</v>
      </c>
      <c r="CY119" s="67"/>
      <c r="CZ119" s="67"/>
      <c r="DA119" s="560"/>
      <c r="DB119" s="67"/>
      <c r="DC119" s="67">
        <f>SUM(DC120:DC120)</f>
        <v>0</v>
      </c>
      <c r="DD119" s="67"/>
      <c r="DE119" s="67"/>
      <c r="DF119" s="560"/>
      <c r="DG119" s="67"/>
      <c r="DH119" s="67">
        <f>SUM(DH120:DH120)</f>
        <v>0</v>
      </c>
      <c r="DI119" s="67"/>
      <c r="DJ119" s="67"/>
      <c r="DK119" s="560"/>
      <c r="DL119" s="67"/>
      <c r="DM119" s="67">
        <f>SUM(DM120:DM120)</f>
        <v>0</v>
      </c>
      <c r="DN119" s="67"/>
      <c r="DO119" s="67"/>
      <c r="DP119" s="560"/>
      <c r="DQ119" s="67"/>
      <c r="DR119" s="67">
        <f>SUM(DR120:DR120)</f>
        <v>0</v>
      </c>
      <c r="DS119" s="67"/>
      <c r="DT119" s="67"/>
      <c r="DU119" s="560"/>
      <c r="DV119" s="67"/>
      <c r="DW119" s="67">
        <f>SUM(DW120:DW120)</f>
        <v>0</v>
      </c>
      <c r="DX119" s="67"/>
      <c r="DY119" s="67"/>
      <c r="DZ119" s="560"/>
      <c r="EA119" s="67"/>
      <c r="EB119" s="67">
        <f>SUM(EB120:EB120)</f>
        <v>0</v>
      </c>
      <c r="EC119" s="67"/>
      <c r="ED119" s="67"/>
      <c r="EE119" s="560"/>
      <c r="EF119" s="67"/>
      <c r="EG119" s="67">
        <f>SUM(EG120:EG120)</f>
        <v>30810</v>
      </c>
      <c r="EH119" s="67"/>
      <c r="EI119" s="67"/>
      <c r="EJ119" s="560"/>
      <c r="EK119" s="442"/>
      <c r="EL119" s="67">
        <f>SUM(EL120:EL120)</f>
        <v>0</v>
      </c>
      <c r="EM119" s="67"/>
      <c r="EN119" s="442"/>
      <c r="EO119" s="455"/>
      <c r="EP119" s="472"/>
      <c r="EQ119" s="472"/>
    </row>
    <row r="120" spans="1:147" x14ac:dyDescent="0.2">
      <c r="A120" s="442"/>
      <c r="B120" s="442"/>
      <c r="D120" s="455" t="s">
        <v>342</v>
      </c>
      <c r="E120" s="465"/>
      <c r="F120" s="563"/>
      <c r="G120" s="564">
        <v>0</v>
      </c>
      <c r="H120" s="565"/>
      <c r="I120" s="67"/>
      <c r="J120" s="560"/>
      <c r="K120" s="563"/>
      <c r="L120" s="564">
        <v>0</v>
      </c>
      <c r="M120" s="565"/>
      <c r="N120" s="67"/>
      <c r="O120" s="560"/>
      <c r="P120" s="566"/>
      <c r="Q120" s="564">
        <v>0</v>
      </c>
      <c r="R120" s="565"/>
      <c r="S120" s="67"/>
      <c r="T120" s="560"/>
      <c r="U120" s="566"/>
      <c r="V120" s="564">
        <v>0</v>
      </c>
      <c r="W120" s="565"/>
      <c r="X120" s="67"/>
      <c r="Y120" s="560"/>
      <c r="Z120" s="566"/>
      <c r="AA120" s="564">
        <v>0</v>
      </c>
      <c r="AB120" s="565"/>
      <c r="AC120" s="67"/>
      <c r="AD120" s="560"/>
      <c r="AE120" s="566"/>
      <c r="AF120" s="564">
        <v>0</v>
      </c>
      <c r="AG120" s="565"/>
      <c r="AH120" s="67"/>
      <c r="AI120" s="560"/>
      <c r="AJ120" s="566"/>
      <c r="AK120" s="564">
        <v>0</v>
      </c>
      <c r="AL120" s="565"/>
      <c r="AM120" s="67"/>
      <c r="AN120" s="560"/>
      <c r="AO120" s="566"/>
      <c r="AP120" s="564">
        <v>0</v>
      </c>
      <c r="AQ120" s="565"/>
      <c r="AR120" s="67"/>
      <c r="AS120" s="560"/>
      <c r="AT120" s="566"/>
      <c r="AU120" s="564">
        <v>0</v>
      </c>
      <c r="AV120" s="565"/>
      <c r="AW120" s="67"/>
      <c r="AX120" s="560"/>
      <c r="AY120" s="566"/>
      <c r="AZ120" s="564">
        <v>0</v>
      </c>
      <c r="BA120" s="565"/>
      <c r="BB120" s="67"/>
      <c r="BC120" s="560"/>
      <c r="BD120" s="566"/>
      <c r="BE120" s="564">
        <v>0</v>
      </c>
      <c r="BF120" s="565"/>
      <c r="BG120" s="67"/>
      <c r="BH120" s="560"/>
      <c r="BI120" s="566"/>
      <c r="BJ120" s="564">
        <v>0</v>
      </c>
      <c r="BK120" s="565"/>
      <c r="BL120" s="67"/>
      <c r="BM120" s="560"/>
      <c r="BN120" s="566"/>
      <c r="BO120" s="564">
        <v>0</v>
      </c>
      <c r="BP120" s="565"/>
      <c r="BQ120" s="67"/>
      <c r="BR120" s="560"/>
      <c r="BS120" s="563"/>
      <c r="BT120" s="564">
        <f>SUM(L120:BO120)</f>
        <v>0</v>
      </c>
      <c r="BU120" s="565"/>
      <c r="BV120" s="67"/>
      <c r="BW120" s="560"/>
      <c r="BX120" s="563"/>
      <c r="BY120" s="564">
        <v>30810</v>
      </c>
      <c r="BZ120" s="565"/>
      <c r="CA120" s="67"/>
      <c r="CB120" s="560"/>
      <c r="CC120" s="563"/>
      <c r="CD120" s="564">
        <v>0</v>
      </c>
      <c r="CE120" s="565"/>
      <c r="CF120" s="67"/>
      <c r="CG120" s="560"/>
      <c r="CH120" s="566"/>
      <c r="CI120" s="564">
        <v>0</v>
      </c>
      <c r="CJ120" s="565"/>
      <c r="CK120" s="67"/>
      <c r="CL120" s="560"/>
      <c r="CM120" s="566"/>
      <c r="CN120" s="564">
        <v>0</v>
      </c>
      <c r="CO120" s="565"/>
      <c r="CP120" s="67"/>
      <c r="CQ120" s="560"/>
      <c r="CR120" s="566"/>
      <c r="CS120" s="564">
        <v>0</v>
      </c>
      <c r="CT120" s="565"/>
      <c r="CU120" s="67"/>
      <c r="CV120" s="560"/>
      <c r="CW120" s="566"/>
      <c r="CX120" s="564">
        <v>0</v>
      </c>
      <c r="CY120" s="565"/>
      <c r="CZ120" s="67"/>
      <c r="DA120" s="560"/>
      <c r="DB120" s="566"/>
      <c r="DC120" s="564">
        <v>0</v>
      </c>
      <c r="DD120" s="565"/>
      <c r="DE120" s="67"/>
      <c r="DF120" s="560"/>
      <c r="DG120" s="566"/>
      <c r="DH120" s="564">
        <v>0</v>
      </c>
      <c r="DI120" s="565"/>
      <c r="DJ120" s="67"/>
      <c r="DK120" s="560"/>
      <c r="DL120" s="566"/>
      <c r="DM120" s="564">
        <v>0</v>
      </c>
      <c r="DN120" s="565"/>
      <c r="DO120" s="67"/>
      <c r="DP120" s="560"/>
      <c r="DQ120" s="566"/>
      <c r="DR120" s="564">
        <v>0</v>
      </c>
      <c r="DS120" s="565"/>
      <c r="DT120" s="67"/>
      <c r="DU120" s="560"/>
      <c r="DV120" s="566"/>
      <c r="DW120" s="564">
        <v>0</v>
      </c>
      <c r="DX120" s="565"/>
      <c r="DY120" s="67"/>
      <c r="DZ120" s="560"/>
      <c r="EA120" s="566"/>
      <c r="EB120" s="564">
        <v>0</v>
      </c>
      <c r="EC120" s="565"/>
      <c r="ED120" s="67"/>
      <c r="EE120" s="560"/>
      <c r="EF120" s="566"/>
      <c r="EG120" s="564">
        <v>30810</v>
      </c>
      <c r="EH120" s="565"/>
      <c r="EI120" s="67"/>
      <c r="EJ120" s="560"/>
      <c r="EK120" s="563"/>
      <c r="EL120" s="564">
        <f>SUM(CD120:CI120)</f>
        <v>0</v>
      </c>
      <c r="EM120" s="565"/>
      <c r="EN120" s="442"/>
      <c r="EO120" s="455"/>
      <c r="EP120" s="472"/>
      <c r="EQ120" s="472"/>
    </row>
    <row r="121" spans="1:147" hidden="1" x14ac:dyDescent="0.2">
      <c r="A121" s="442"/>
      <c r="B121" s="442"/>
      <c r="D121" s="568"/>
      <c r="E121" s="465"/>
      <c r="F121" s="442"/>
      <c r="G121" s="67"/>
      <c r="H121" s="67"/>
      <c r="I121" s="67"/>
      <c r="J121" s="560"/>
      <c r="K121" s="67"/>
      <c r="L121" s="67"/>
      <c r="M121" s="67"/>
      <c r="N121" s="67"/>
      <c r="O121" s="560"/>
      <c r="P121" s="67"/>
      <c r="Q121" s="67"/>
      <c r="R121" s="67"/>
      <c r="S121" s="67"/>
      <c r="T121" s="560"/>
      <c r="U121" s="67"/>
      <c r="V121" s="67"/>
      <c r="W121" s="67"/>
      <c r="X121" s="67"/>
      <c r="Y121" s="560"/>
      <c r="Z121" s="67"/>
      <c r="AA121" s="67"/>
      <c r="AB121" s="67"/>
      <c r="AC121" s="67"/>
      <c r="AD121" s="560"/>
      <c r="AE121" s="67"/>
      <c r="AF121" s="67"/>
      <c r="AG121" s="67"/>
      <c r="AH121" s="67"/>
      <c r="AI121" s="560"/>
      <c r="AJ121" s="67"/>
      <c r="AK121" s="67"/>
      <c r="AL121" s="67"/>
      <c r="AM121" s="67"/>
      <c r="AN121" s="560"/>
      <c r="AO121" s="67"/>
      <c r="AP121" s="67"/>
      <c r="AQ121" s="67"/>
      <c r="AR121" s="67"/>
      <c r="AS121" s="560"/>
      <c r="AT121" s="67"/>
      <c r="AU121" s="67"/>
      <c r="AV121" s="67"/>
      <c r="AW121" s="67"/>
      <c r="AX121" s="560"/>
      <c r="AY121" s="67"/>
      <c r="AZ121" s="67"/>
      <c r="BA121" s="67"/>
      <c r="BB121" s="67"/>
      <c r="BC121" s="560"/>
      <c r="BD121" s="67"/>
      <c r="BE121" s="67"/>
      <c r="BF121" s="67"/>
      <c r="BG121" s="67"/>
      <c r="BH121" s="560"/>
      <c r="BI121" s="67"/>
      <c r="BJ121" s="67"/>
      <c r="BK121" s="67"/>
      <c r="BL121" s="67"/>
      <c r="BM121" s="560"/>
      <c r="BN121" s="67"/>
      <c r="BO121" s="67"/>
      <c r="BP121" s="67"/>
      <c r="BQ121" s="67"/>
      <c r="BR121" s="560"/>
      <c r="BS121" s="67"/>
      <c r="BT121" s="67"/>
      <c r="BU121" s="67"/>
      <c r="BV121" s="67"/>
      <c r="BW121" s="560"/>
      <c r="BX121" s="67"/>
      <c r="BY121" s="67"/>
      <c r="BZ121" s="67"/>
      <c r="CA121" s="67"/>
      <c r="CB121" s="560"/>
      <c r="CC121" s="67"/>
      <c r="CD121" s="67"/>
      <c r="CE121" s="67"/>
      <c r="CF121" s="67"/>
      <c r="CG121" s="560"/>
      <c r="CH121" s="67"/>
      <c r="CI121" s="67"/>
      <c r="CJ121" s="67"/>
      <c r="CK121" s="67"/>
      <c r="CL121" s="560"/>
      <c r="CM121" s="67"/>
      <c r="CN121" s="67"/>
      <c r="CO121" s="67"/>
      <c r="CP121" s="67"/>
      <c r="CQ121" s="560"/>
      <c r="CR121" s="67"/>
      <c r="CS121" s="67"/>
      <c r="CT121" s="67"/>
      <c r="CU121" s="67"/>
      <c r="CV121" s="560"/>
      <c r="CW121" s="67"/>
      <c r="CX121" s="67"/>
      <c r="CY121" s="67"/>
      <c r="CZ121" s="67"/>
      <c r="DA121" s="560"/>
      <c r="DB121" s="67"/>
      <c r="DC121" s="67"/>
      <c r="DD121" s="67"/>
      <c r="DE121" s="67"/>
      <c r="DF121" s="560"/>
      <c r="DG121" s="67"/>
      <c r="DH121" s="67"/>
      <c r="DI121" s="67"/>
      <c r="DJ121" s="67"/>
      <c r="DK121" s="560"/>
      <c r="DL121" s="67"/>
      <c r="DM121" s="67"/>
      <c r="DN121" s="67"/>
      <c r="DO121" s="67"/>
      <c r="DP121" s="560"/>
      <c r="DQ121" s="67"/>
      <c r="DR121" s="67"/>
      <c r="DS121" s="67"/>
      <c r="DT121" s="67"/>
      <c r="DU121" s="560"/>
      <c r="DV121" s="67"/>
      <c r="DW121" s="67"/>
      <c r="DX121" s="67"/>
      <c r="DY121" s="67"/>
      <c r="DZ121" s="560"/>
      <c r="EA121" s="67"/>
      <c r="EB121" s="67"/>
      <c r="EC121" s="67"/>
      <c r="ED121" s="67"/>
      <c r="EE121" s="560"/>
      <c r="EF121" s="67"/>
      <c r="EG121" s="67"/>
      <c r="EH121" s="67"/>
      <c r="EI121" s="67"/>
      <c r="EJ121" s="560"/>
      <c r="EK121" s="67"/>
      <c r="EL121" s="67"/>
      <c r="EM121" s="442"/>
      <c r="EN121" s="573"/>
      <c r="EO121" s="455"/>
      <c r="EP121" s="472"/>
      <c r="EQ121" s="472"/>
    </row>
    <row r="122" spans="1:147" s="472" customFormat="1" hidden="1" x14ac:dyDescent="0.2">
      <c r="A122" s="443"/>
      <c r="B122" s="443"/>
      <c r="D122" s="466" t="s">
        <v>430</v>
      </c>
      <c r="E122" s="468"/>
      <c r="F122" s="443"/>
      <c r="G122" s="58">
        <v>0</v>
      </c>
      <c r="H122" s="58"/>
      <c r="I122" s="58"/>
      <c r="J122" s="556"/>
      <c r="K122" s="58"/>
      <c r="L122" s="58">
        <f>SUM(L123:L125)</f>
        <v>0</v>
      </c>
      <c r="M122" s="58"/>
      <c r="N122" s="58"/>
      <c r="O122" s="556"/>
      <c r="P122" s="58"/>
      <c r="Q122" s="58">
        <f>SUM(Q123:Q125)</f>
        <v>0</v>
      </c>
      <c r="R122" s="58"/>
      <c r="S122" s="58"/>
      <c r="T122" s="556"/>
      <c r="U122" s="58"/>
      <c r="V122" s="58">
        <f>SUM(V123:V125)</f>
        <v>0</v>
      </c>
      <c r="W122" s="58"/>
      <c r="X122" s="58"/>
      <c r="Y122" s="556"/>
      <c r="Z122" s="58"/>
      <c r="AA122" s="58">
        <f>SUM(AA123:AA125)</f>
        <v>0</v>
      </c>
      <c r="AB122" s="58"/>
      <c r="AC122" s="58"/>
      <c r="AD122" s="556"/>
      <c r="AE122" s="58"/>
      <c r="AF122" s="58">
        <f>SUM(AF123:AF125)</f>
        <v>0</v>
      </c>
      <c r="AG122" s="58"/>
      <c r="AH122" s="58"/>
      <c r="AI122" s="556"/>
      <c r="AJ122" s="58"/>
      <c r="AK122" s="58">
        <f>SUM(AK123:AK125)</f>
        <v>0</v>
      </c>
      <c r="AL122" s="58"/>
      <c r="AM122" s="58"/>
      <c r="AN122" s="556"/>
      <c r="AO122" s="58"/>
      <c r="AP122" s="58">
        <f>SUM(AP123:AP125)</f>
        <v>0</v>
      </c>
      <c r="AQ122" s="58"/>
      <c r="AR122" s="58"/>
      <c r="AS122" s="556"/>
      <c r="AT122" s="58"/>
      <c r="AU122" s="58">
        <f>SUM(AU123:AU125)</f>
        <v>0</v>
      </c>
      <c r="AV122" s="58"/>
      <c r="AW122" s="58"/>
      <c r="AX122" s="556"/>
      <c r="AY122" s="58"/>
      <c r="AZ122" s="58">
        <f>SUM(AZ123:AZ125)</f>
        <v>0</v>
      </c>
      <c r="BA122" s="58"/>
      <c r="BB122" s="58"/>
      <c r="BC122" s="556"/>
      <c r="BD122" s="58"/>
      <c r="BE122" s="58">
        <f>SUM(BE123:BE125)</f>
        <v>0</v>
      </c>
      <c r="BF122" s="58"/>
      <c r="BG122" s="58"/>
      <c r="BH122" s="556"/>
      <c r="BI122" s="58"/>
      <c r="BJ122" s="58">
        <f>SUM(BJ123:BJ125)</f>
        <v>0</v>
      </c>
      <c r="BK122" s="58"/>
      <c r="BL122" s="58"/>
      <c r="BM122" s="556"/>
      <c r="BN122" s="58"/>
      <c r="BO122" s="58">
        <f>SUM(BO123:BO125)</f>
        <v>0</v>
      </c>
      <c r="BP122" s="58"/>
      <c r="BQ122" s="58"/>
      <c r="BR122" s="556"/>
      <c r="BS122" s="58"/>
      <c r="BT122" s="58">
        <f>SUM(BT123:BT125)</f>
        <v>0</v>
      </c>
      <c r="BU122" s="58"/>
      <c r="BV122" s="58"/>
      <c r="BW122" s="556"/>
      <c r="BX122" s="58"/>
      <c r="BY122" s="58">
        <v>0</v>
      </c>
      <c r="BZ122" s="58"/>
      <c r="CA122" s="58"/>
      <c r="CB122" s="556"/>
      <c r="CC122" s="58"/>
      <c r="CD122" s="58">
        <f>SUM(CD123:CD125)</f>
        <v>0</v>
      </c>
      <c r="CE122" s="58"/>
      <c r="CF122" s="58"/>
      <c r="CG122" s="556"/>
      <c r="CH122" s="58"/>
      <c r="CI122" s="58">
        <f>SUM(CI123:CI125)</f>
        <v>0</v>
      </c>
      <c r="CJ122" s="58"/>
      <c r="CK122" s="58"/>
      <c r="CL122" s="556"/>
      <c r="CM122" s="58"/>
      <c r="CN122" s="58">
        <f>SUM(CN123:CN125)</f>
        <v>0</v>
      </c>
      <c r="CO122" s="58"/>
      <c r="CP122" s="58"/>
      <c r="CQ122" s="556"/>
      <c r="CR122" s="58"/>
      <c r="CS122" s="58">
        <f>SUM(CS123:CS125)</f>
        <v>0</v>
      </c>
      <c r="CT122" s="58"/>
      <c r="CU122" s="58"/>
      <c r="CV122" s="556"/>
      <c r="CW122" s="58"/>
      <c r="CX122" s="58">
        <f>SUM(CX123:CX125)</f>
        <v>0</v>
      </c>
      <c r="CY122" s="58"/>
      <c r="CZ122" s="58"/>
      <c r="DA122" s="556"/>
      <c r="DB122" s="58"/>
      <c r="DC122" s="58">
        <f>SUM(DC123:DC125)</f>
        <v>0</v>
      </c>
      <c r="DD122" s="58"/>
      <c r="DE122" s="58"/>
      <c r="DF122" s="556"/>
      <c r="DG122" s="58"/>
      <c r="DH122" s="58">
        <f>SUM(DH123:DH125)</f>
        <v>0</v>
      </c>
      <c r="DI122" s="58"/>
      <c r="DJ122" s="58"/>
      <c r="DK122" s="556"/>
      <c r="DL122" s="58"/>
      <c r="DM122" s="58">
        <f>SUM(DM123:DM125)</f>
        <v>0</v>
      </c>
      <c r="DN122" s="58"/>
      <c r="DO122" s="58"/>
      <c r="DP122" s="556"/>
      <c r="DQ122" s="58"/>
      <c r="DR122" s="58">
        <f>SUM(DR123:DR125)</f>
        <v>0</v>
      </c>
      <c r="DS122" s="58"/>
      <c r="DT122" s="58"/>
      <c r="DU122" s="556"/>
      <c r="DV122" s="58"/>
      <c r="DW122" s="58">
        <f>SUM(DW123:DW125)</f>
        <v>0</v>
      </c>
      <c r="DX122" s="58"/>
      <c r="DY122" s="58"/>
      <c r="DZ122" s="556"/>
      <c r="EA122" s="58"/>
      <c r="EB122" s="58">
        <f>SUM(EB123:EB125)</f>
        <v>0</v>
      </c>
      <c r="EC122" s="58"/>
      <c r="ED122" s="58"/>
      <c r="EE122" s="556"/>
      <c r="EF122" s="58"/>
      <c r="EG122" s="58">
        <f>SUM(EG123:EG125)</f>
        <v>0</v>
      </c>
      <c r="EH122" s="58"/>
      <c r="EI122" s="67"/>
      <c r="EJ122" s="560"/>
      <c r="EK122" s="58"/>
      <c r="EL122" s="58">
        <f>SUM(EL123:EL125)</f>
        <v>0</v>
      </c>
      <c r="EM122" s="443"/>
      <c r="EN122" s="443"/>
      <c r="EO122" s="466"/>
    </row>
    <row r="123" spans="1:147" hidden="1" x14ac:dyDescent="0.2">
      <c r="A123" s="442"/>
      <c r="B123" s="442"/>
      <c r="D123" s="455" t="s">
        <v>342</v>
      </c>
      <c r="E123" s="465"/>
      <c r="F123" s="473"/>
      <c r="G123" s="558">
        <f>G133+G153</f>
        <v>0</v>
      </c>
      <c r="H123" s="559"/>
      <c r="I123" s="67"/>
      <c r="J123" s="560"/>
      <c r="K123" s="561"/>
      <c r="L123" s="558">
        <f>L133+L153</f>
        <v>0</v>
      </c>
      <c r="M123" s="559"/>
      <c r="N123" s="67"/>
      <c r="O123" s="560"/>
      <c r="P123" s="561"/>
      <c r="Q123" s="558">
        <f>Q133+Q153</f>
        <v>0</v>
      </c>
      <c r="R123" s="559"/>
      <c r="S123" s="67"/>
      <c r="T123" s="560"/>
      <c r="U123" s="561"/>
      <c r="V123" s="558">
        <f>V133+V153</f>
        <v>0</v>
      </c>
      <c r="W123" s="559"/>
      <c r="X123" s="67"/>
      <c r="Y123" s="560"/>
      <c r="Z123" s="561"/>
      <c r="AA123" s="558">
        <f>AA133+AA153</f>
        <v>0</v>
      </c>
      <c r="AB123" s="559"/>
      <c r="AC123" s="67"/>
      <c r="AD123" s="560"/>
      <c r="AE123" s="561"/>
      <c r="AF123" s="558">
        <f>AF133+AF153</f>
        <v>0</v>
      </c>
      <c r="AG123" s="559"/>
      <c r="AH123" s="67"/>
      <c r="AI123" s="560"/>
      <c r="AJ123" s="561"/>
      <c r="AK123" s="558">
        <f>AK133+AK153</f>
        <v>0</v>
      </c>
      <c r="AL123" s="559"/>
      <c r="AM123" s="67"/>
      <c r="AN123" s="560"/>
      <c r="AO123" s="561"/>
      <c r="AP123" s="558">
        <f>AP133+AP153</f>
        <v>0</v>
      </c>
      <c r="AQ123" s="559"/>
      <c r="AR123" s="67"/>
      <c r="AS123" s="560"/>
      <c r="AT123" s="561"/>
      <c r="AU123" s="558">
        <f>AU133+AU153</f>
        <v>0</v>
      </c>
      <c r="AV123" s="559"/>
      <c r="AW123" s="67"/>
      <c r="AX123" s="560"/>
      <c r="AY123" s="561"/>
      <c r="AZ123" s="558">
        <f>AZ133+AZ153</f>
        <v>0</v>
      </c>
      <c r="BA123" s="559"/>
      <c r="BB123" s="67"/>
      <c r="BC123" s="560"/>
      <c r="BD123" s="561"/>
      <c r="BE123" s="558">
        <f>BE133+BE153</f>
        <v>0</v>
      </c>
      <c r="BF123" s="559"/>
      <c r="BG123" s="67"/>
      <c r="BH123" s="560"/>
      <c r="BI123" s="561"/>
      <c r="BJ123" s="558">
        <f>BJ133+BJ153</f>
        <v>0</v>
      </c>
      <c r="BK123" s="559"/>
      <c r="BL123" s="67"/>
      <c r="BM123" s="560"/>
      <c r="BN123" s="561"/>
      <c r="BO123" s="558">
        <f>BO133+BO153</f>
        <v>0</v>
      </c>
      <c r="BP123" s="559"/>
      <c r="BQ123" s="67"/>
      <c r="BR123" s="560"/>
      <c r="BS123" s="561"/>
      <c r="BT123" s="558">
        <f>BT133+BT128+BT153+BT138+BT143+BT148</f>
        <v>0</v>
      </c>
      <c r="BU123" s="559"/>
      <c r="BV123" s="67"/>
      <c r="BW123" s="560"/>
      <c r="BX123" s="561"/>
      <c r="BY123" s="558">
        <f>BY133+BY153</f>
        <v>0</v>
      </c>
      <c r="BZ123" s="559"/>
      <c r="CA123" s="67"/>
      <c r="CB123" s="560"/>
      <c r="CC123" s="561"/>
      <c r="CD123" s="558">
        <f>CD133+CD153</f>
        <v>0</v>
      </c>
      <c r="CE123" s="559"/>
      <c r="CF123" s="67"/>
      <c r="CG123" s="560"/>
      <c r="CH123" s="561"/>
      <c r="CI123" s="558">
        <f>CI133+CI153</f>
        <v>0</v>
      </c>
      <c r="CJ123" s="559"/>
      <c r="CK123" s="67"/>
      <c r="CL123" s="560"/>
      <c r="CM123" s="561"/>
      <c r="CN123" s="558">
        <f>CN133+CN153</f>
        <v>0</v>
      </c>
      <c r="CO123" s="559"/>
      <c r="CP123" s="67"/>
      <c r="CQ123" s="560"/>
      <c r="CR123" s="561"/>
      <c r="CS123" s="558">
        <f>CS133+CS153</f>
        <v>0</v>
      </c>
      <c r="CT123" s="559"/>
      <c r="CU123" s="67"/>
      <c r="CV123" s="560"/>
      <c r="CW123" s="561"/>
      <c r="CX123" s="558">
        <f>CX133+CX153</f>
        <v>0</v>
      </c>
      <c r="CY123" s="559"/>
      <c r="CZ123" s="67"/>
      <c r="DA123" s="560"/>
      <c r="DB123" s="561"/>
      <c r="DC123" s="558">
        <f>DC133+DC153</f>
        <v>0</v>
      </c>
      <c r="DD123" s="559"/>
      <c r="DE123" s="67"/>
      <c r="DF123" s="560"/>
      <c r="DG123" s="561"/>
      <c r="DH123" s="558">
        <f>DH133+DH153</f>
        <v>0</v>
      </c>
      <c r="DI123" s="559"/>
      <c r="DJ123" s="67"/>
      <c r="DK123" s="560"/>
      <c r="DL123" s="561"/>
      <c r="DM123" s="558">
        <f>DM133+DM153</f>
        <v>0</v>
      </c>
      <c r="DN123" s="559"/>
      <c r="DO123" s="67"/>
      <c r="DP123" s="560"/>
      <c r="DQ123" s="561"/>
      <c r="DR123" s="558">
        <f>DR133+DR153</f>
        <v>0</v>
      </c>
      <c r="DS123" s="559"/>
      <c r="DT123" s="67"/>
      <c r="DU123" s="560"/>
      <c r="DV123" s="561"/>
      <c r="DW123" s="558">
        <f>DW133+DW153</f>
        <v>0</v>
      </c>
      <c r="DX123" s="559"/>
      <c r="DY123" s="67"/>
      <c r="DZ123" s="560"/>
      <c r="EA123" s="561"/>
      <c r="EB123" s="558">
        <f>EB133+EB153</f>
        <v>0</v>
      </c>
      <c r="EC123" s="559"/>
      <c r="ED123" s="67"/>
      <c r="EE123" s="560"/>
      <c r="EF123" s="561"/>
      <c r="EG123" s="558">
        <f>EG133+EG153</f>
        <v>0</v>
      </c>
      <c r="EH123" s="559"/>
      <c r="EI123" s="67"/>
      <c r="EJ123" s="560"/>
      <c r="EK123" s="561"/>
      <c r="EL123" s="558">
        <f>EL133+EL128+EL153+EL138+EL143+EL148</f>
        <v>0</v>
      </c>
      <c r="EM123" s="559"/>
      <c r="EN123" s="442"/>
      <c r="EO123" s="455"/>
      <c r="EP123" s="472"/>
      <c r="EQ123" s="472"/>
    </row>
    <row r="124" spans="1:147" hidden="1" x14ac:dyDescent="0.2">
      <c r="A124" s="442"/>
      <c r="B124" s="442"/>
      <c r="D124" s="455" t="s">
        <v>431</v>
      </c>
      <c r="E124" s="465"/>
      <c r="F124" s="465"/>
      <c r="G124" s="67">
        <f>G134+G154</f>
        <v>0</v>
      </c>
      <c r="H124" s="66"/>
      <c r="I124" s="67"/>
      <c r="J124" s="560"/>
      <c r="K124" s="560"/>
      <c r="L124" s="67">
        <f>L134+L154</f>
        <v>0</v>
      </c>
      <c r="M124" s="66"/>
      <c r="N124" s="67"/>
      <c r="O124" s="560"/>
      <c r="P124" s="560"/>
      <c r="Q124" s="67">
        <f>Q134+Q154</f>
        <v>0</v>
      </c>
      <c r="R124" s="66"/>
      <c r="S124" s="67"/>
      <c r="T124" s="560"/>
      <c r="U124" s="560"/>
      <c r="V124" s="67">
        <f>V134+V154</f>
        <v>0</v>
      </c>
      <c r="W124" s="66"/>
      <c r="X124" s="67"/>
      <c r="Y124" s="560"/>
      <c r="Z124" s="560"/>
      <c r="AA124" s="67">
        <f>AA134+AA154</f>
        <v>0</v>
      </c>
      <c r="AB124" s="66"/>
      <c r="AC124" s="67"/>
      <c r="AD124" s="560"/>
      <c r="AE124" s="560"/>
      <c r="AF124" s="67">
        <f>AF134+AF154</f>
        <v>0</v>
      </c>
      <c r="AG124" s="66"/>
      <c r="AH124" s="67"/>
      <c r="AI124" s="560"/>
      <c r="AJ124" s="560"/>
      <c r="AK124" s="67">
        <f>AK134+AK154</f>
        <v>0</v>
      </c>
      <c r="AL124" s="66"/>
      <c r="AM124" s="67"/>
      <c r="AN124" s="560"/>
      <c r="AO124" s="560"/>
      <c r="AP124" s="67">
        <f>AP134+AP154</f>
        <v>0</v>
      </c>
      <c r="AQ124" s="66"/>
      <c r="AR124" s="67"/>
      <c r="AS124" s="560"/>
      <c r="AT124" s="560"/>
      <c r="AU124" s="67">
        <f>AU134+AU154</f>
        <v>0</v>
      </c>
      <c r="AV124" s="66"/>
      <c r="AW124" s="67"/>
      <c r="AX124" s="560"/>
      <c r="AY124" s="560"/>
      <c r="AZ124" s="67">
        <f>AZ134+AZ154</f>
        <v>0</v>
      </c>
      <c r="BA124" s="66"/>
      <c r="BB124" s="67"/>
      <c r="BC124" s="560"/>
      <c r="BD124" s="560"/>
      <c r="BE124" s="67">
        <f>BE134+BE154</f>
        <v>0</v>
      </c>
      <c r="BF124" s="66"/>
      <c r="BG124" s="67"/>
      <c r="BH124" s="560"/>
      <c r="BI124" s="560"/>
      <c r="BJ124" s="67">
        <f>BJ134+BJ154</f>
        <v>0</v>
      </c>
      <c r="BK124" s="66"/>
      <c r="BL124" s="67"/>
      <c r="BM124" s="560"/>
      <c r="BN124" s="560"/>
      <c r="BO124" s="67">
        <f>BO134+BO154</f>
        <v>0</v>
      </c>
      <c r="BP124" s="66"/>
      <c r="BQ124" s="67"/>
      <c r="BR124" s="560"/>
      <c r="BS124" s="560"/>
      <c r="BT124" s="67">
        <f>BT134+BT129+BT139+BT144+BT154+BT149</f>
        <v>0</v>
      </c>
      <c r="BU124" s="66"/>
      <c r="BV124" s="67"/>
      <c r="BW124" s="560"/>
      <c r="BX124" s="560"/>
      <c r="BY124" s="67">
        <f>BY134+BY154</f>
        <v>0</v>
      </c>
      <c r="BZ124" s="66"/>
      <c r="CA124" s="67"/>
      <c r="CB124" s="560"/>
      <c r="CC124" s="560"/>
      <c r="CD124" s="67">
        <f>CD134+CD154</f>
        <v>0</v>
      </c>
      <c r="CE124" s="66"/>
      <c r="CF124" s="67"/>
      <c r="CG124" s="560"/>
      <c r="CH124" s="560"/>
      <c r="CI124" s="67">
        <f>CI134+CI154</f>
        <v>0</v>
      </c>
      <c r="CJ124" s="66"/>
      <c r="CK124" s="67"/>
      <c r="CL124" s="560"/>
      <c r="CM124" s="560"/>
      <c r="CN124" s="67">
        <f>CN134+CN154</f>
        <v>0</v>
      </c>
      <c r="CO124" s="66"/>
      <c r="CP124" s="67"/>
      <c r="CQ124" s="560"/>
      <c r="CR124" s="560"/>
      <c r="CS124" s="67">
        <f>CS134+CS154</f>
        <v>0</v>
      </c>
      <c r="CT124" s="66"/>
      <c r="CU124" s="67"/>
      <c r="CV124" s="560"/>
      <c r="CW124" s="560"/>
      <c r="CX124" s="67">
        <f>CX134+CX154</f>
        <v>0</v>
      </c>
      <c r="CY124" s="66"/>
      <c r="CZ124" s="67"/>
      <c r="DA124" s="560"/>
      <c r="DB124" s="560"/>
      <c r="DC124" s="67">
        <f>DC134+DC154</f>
        <v>0</v>
      </c>
      <c r="DD124" s="66"/>
      <c r="DE124" s="67"/>
      <c r="DF124" s="560"/>
      <c r="DG124" s="560"/>
      <c r="DH124" s="67">
        <f>DH134+DH154</f>
        <v>0</v>
      </c>
      <c r="DI124" s="66"/>
      <c r="DJ124" s="67"/>
      <c r="DK124" s="560"/>
      <c r="DL124" s="560"/>
      <c r="DM124" s="67">
        <f>DM134+DM154</f>
        <v>0</v>
      </c>
      <c r="DN124" s="66"/>
      <c r="DO124" s="67"/>
      <c r="DP124" s="560"/>
      <c r="DQ124" s="560"/>
      <c r="DR124" s="67">
        <f>DR134+DR154</f>
        <v>0</v>
      </c>
      <c r="DS124" s="66"/>
      <c r="DT124" s="67"/>
      <c r="DU124" s="560"/>
      <c r="DV124" s="560"/>
      <c r="DW124" s="67">
        <f>DW134+DW154</f>
        <v>0</v>
      </c>
      <c r="DX124" s="66"/>
      <c r="DY124" s="67"/>
      <c r="DZ124" s="560"/>
      <c r="EA124" s="560"/>
      <c r="EB124" s="67">
        <f>EB134+EB154</f>
        <v>0</v>
      </c>
      <c r="EC124" s="66"/>
      <c r="ED124" s="67"/>
      <c r="EE124" s="560"/>
      <c r="EF124" s="560"/>
      <c r="EG124" s="67">
        <f>EG134+EG154</f>
        <v>0</v>
      </c>
      <c r="EH124" s="66"/>
      <c r="EI124" s="67"/>
      <c r="EJ124" s="560"/>
      <c r="EK124" s="560"/>
      <c r="EL124" s="67">
        <f>EL134+EL129+EL139+EL144+EL154+EL149</f>
        <v>0</v>
      </c>
      <c r="EM124" s="66"/>
      <c r="EN124" s="442"/>
      <c r="EO124" s="455"/>
      <c r="EP124" s="472"/>
      <c r="EQ124" s="472"/>
    </row>
    <row r="125" spans="1:147" hidden="1" x14ac:dyDescent="0.2">
      <c r="A125" s="442"/>
      <c r="B125" s="442"/>
      <c r="D125" s="455" t="s">
        <v>432</v>
      </c>
      <c r="E125" s="465"/>
      <c r="F125" s="488"/>
      <c r="G125" s="113">
        <f>G135+G155</f>
        <v>0</v>
      </c>
      <c r="H125" s="112"/>
      <c r="I125" s="67"/>
      <c r="J125" s="560"/>
      <c r="K125" s="569"/>
      <c r="L125" s="113">
        <f>L135+L155</f>
        <v>0</v>
      </c>
      <c r="M125" s="112"/>
      <c r="N125" s="67"/>
      <c r="O125" s="560"/>
      <c r="P125" s="569"/>
      <c r="Q125" s="113">
        <f>Q135+Q155</f>
        <v>0</v>
      </c>
      <c r="R125" s="112"/>
      <c r="S125" s="67"/>
      <c r="T125" s="560"/>
      <c r="U125" s="569"/>
      <c r="V125" s="113">
        <f>V135+V155</f>
        <v>0</v>
      </c>
      <c r="W125" s="112"/>
      <c r="X125" s="67"/>
      <c r="Y125" s="560"/>
      <c r="Z125" s="569"/>
      <c r="AA125" s="113">
        <f>AA135+AA155</f>
        <v>0</v>
      </c>
      <c r="AB125" s="112"/>
      <c r="AC125" s="67"/>
      <c r="AD125" s="560"/>
      <c r="AE125" s="569"/>
      <c r="AF125" s="113">
        <f>AF135+AF155</f>
        <v>0</v>
      </c>
      <c r="AG125" s="112"/>
      <c r="AH125" s="67"/>
      <c r="AI125" s="560"/>
      <c r="AJ125" s="569"/>
      <c r="AK125" s="113">
        <f>AK135+AK155</f>
        <v>0</v>
      </c>
      <c r="AL125" s="112"/>
      <c r="AM125" s="67"/>
      <c r="AN125" s="560"/>
      <c r="AO125" s="569"/>
      <c r="AP125" s="113">
        <f>AP135+AP155</f>
        <v>0</v>
      </c>
      <c r="AQ125" s="112"/>
      <c r="AR125" s="67"/>
      <c r="AS125" s="560"/>
      <c r="AT125" s="569"/>
      <c r="AU125" s="113">
        <f>AU135+AU155</f>
        <v>0</v>
      </c>
      <c r="AV125" s="112"/>
      <c r="AW125" s="67"/>
      <c r="AX125" s="560"/>
      <c r="AY125" s="569"/>
      <c r="AZ125" s="113">
        <f>AZ135+AZ155</f>
        <v>0</v>
      </c>
      <c r="BA125" s="112"/>
      <c r="BB125" s="67"/>
      <c r="BC125" s="560"/>
      <c r="BD125" s="569"/>
      <c r="BE125" s="113">
        <f>BE135+BE155</f>
        <v>0</v>
      </c>
      <c r="BF125" s="112"/>
      <c r="BG125" s="67"/>
      <c r="BH125" s="560"/>
      <c r="BI125" s="569"/>
      <c r="BJ125" s="113">
        <f>BJ135+BJ155</f>
        <v>0</v>
      </c>
      <c r="BK125" s="112"/>
      <c r="BL125" s="67"/>
      <c r="BM125" s="560"/>
      <c r="BN125" s="569"/>
      <c r="BO125" s="113">
        <f>BO135+BO155</f>
        <v>0</v>
      </c>
      <c r="BP125" s="112"/>
      <c r="BQ125" s="67"/>
      <c r="BR125" s="560"/>
      <c r="BS125" s="569"/>
      <c r="BT125" s="113">
        <f>BT135+BT130+BT155+BT140+BT145+BT150</f>
        <v>0</v>
      </c>
      <c r="BU125" s="112"/>
      <c r="BV125" s="67"/>
      <c r="BW125" s="560"/>
      <c r="BX125" s="569"/>
      <c r="BY125" s="113">
        <f>BY135+BY155</f>
        <v>0</v>
      </c>
      <c r="BZ125" s="112"/>
      <c r="CA125" s="67"/>
      <c r="CB125" s="560"/>
      <c r="CC125" s="569"/>
      <c r="CD125" s="113">
        <f>CD135+CD155</f>
        <v>0</v>
      </c>
      <c r="CE125" s="112"/>
      <c r="CF125" s="67"/>
      <c r="CG125" s="560"/>
      <c r="CH125" s="569"/>
      <c r="CI125" s="113">
        <f>CI135+CI155</f>
        <v>0</v>
      </c>
      <c r="CJ125" s="112"/>
      <c r="CK125" s="67"/>
      <c r="CL125" s="560"/>
      <c r="CM125" s="569"/>
      <c r="CN125" s="113">
        <f>CN135+CN155</f>
        <v>0</v>
      </c>
      <c r="CO125" s="112"/>
      <c r="CP125" s="67"/>
      <c r="CQ125" s="560"/>
      <c r="CR125" s="569"/>
      <c r="CS125" s="113">
        <f>CS135+CS155</f>
        <v>0</v>
      </c>
      <c r="CT125" s="112"/>
      <c r="CU125" s="67"/>
      <c r="CV125" s="560"/>
      <c r="CW125" s="569"/>
      <c r="CX125" s="113">
        <f>CX135+CX155</f>
        <v>0</v>
      </c>
      <c r="CY125" s="112"/>
      <c r="CZ125" s="67"/>
      <c r="DA125" s="560"/>
      <c r="DB125" s="569"/>
      <c r="DC125" s="113">
        <f>DC135+DC155</f>
        <v>0</v>
      </c>
      <c r="DD125" s="112"/>
      <c r="DE125" s="67"/>
      <c r="DF125" s="560"/>
      <c r="DG125" s="569"/>
      <c r="DH125" s="113">
        <f>DH135+DH155</f>
        <v>0</v>
      </c>
      <c r="DI125" s="112"/>
      <c r="DJ125" s="67"/>
      <c r="DK125" s="560"/>
      <c r="DL125" s="569"/>
      <c r="DM125" s="113">
        <f>DM135+DM155</f>
        <v>0</v>
      </c>
      <c r="DN125" s="112"/>
      <c r="DO125" s="67"/>
      <c r="DP125" s="560"/>
      <c r="DQ125" s="569"/>
      <c r="DR125" s="113">
        <f>DR135+DR155</f>
        <v>0</v>
      </c>
      <c r="DS125" s="112"/>
      <c r="DT125" s="67"/>
      <c r="DU125" s="560"/>
      <c r="DV125" s="569"/>
      <c r="DW125" s="113">
        <f>DW135+DW155</f>
        <v>0</v>
      </c>
      <c r="DX125" s="112"/>
      <c r="DY125" s="67"/>
      <c r="DZ125" s="560"/>
      <c r="EA125" s="569"/>
      <c r="EB125" s="113">
        <f>EB135+EB155</f>
        <v>0</v>
      </c>
      <c r="EC125" s="112"/>
      <c r="ED125" s="67"/>
      <c r="EE125" s="560"/>
      <c r="EF125" s="569"/>
      <c r="EG125" s="113">
        <f>EG135+EG155</f>
        <v>0</v>
      </c>
      <c r="EH125" s="112"/>
      <c r="EI125" s="67"/>
      <c r="EJ125" s="560"/>
      <c r="EK125" s="569"/>
      <c r="EL125" s="113">
        <f>EL135+EL130+EL155+EL140+EL145+EL150</f>
        <v>0</v>
      </c>
      <c r="EM125" s="112"/>
      <c r="EN125" s="442"/>
      <c r="EO125" s="455"/>
      <c r="EP125" s="472"/>
      <c r="EQ125" s="472"/>
    </row>
    <row r="126" spans="1:147" hidden="1" x14ac:dyDescent="0.2">
      <c r="A126" s="442"/>
      <c r="B126" s="442"/>
      <c r="D126" s="455"/>
      <c r="E126" s="465"/>
      <c r="F126" s="442"/>
      <c r="G126" s="67"/>
      <c r="H126" s="67"/>
      <c r="I126" s="67"/>
      <c r="J126" s="560"/>
      <c r="K126" s="67"/>
      <c r="L126" s="67"/>
      <c r="M126" s="67"/>
      <c r="N126" s="67"/>
      <c r="O126" s="560"/>
      <c r="P126" s="67"/>
      <c r="Q126" s="67"/>
      <c r="R126" s="67"/>
      <c r="S126" s="67"/>
      <c r="T126" s="560"/>
      <c r="U126" s="67"/>
      <c r="V126" s="67"/>
      <c r="W126" s="67"/>
      <c r="X126" s="67"/>
      <c r="Y126" s="560"/>
      <c r="Z126" s="67"/>
      <c r="AA126" s="67"/>
      <c r="AB126" s="67"/>
      <c r="AC126" s="67"/>
      <c r="AD126" s="560"/>
      <c r="AE126" s="67"/>
      <c r="AF126" s="67"/>
      <c r="AG126" s="67"/>
      <c r="AH126" s="67"/>
      <c r="AI126" s="560"/>
      <c r="AJ126" s="67"/>
      <c r="AK126" s="67"/>
      <c r="AL126" s="67"/>
      <c r="AM126" s="67"/>
      <c r="AN126" s="560"/>
      <c r="AO126" s="67"/>
      <c r="AP126" s="67"/>
      <c r="AQ126" s="67"/>
      <c r="AR126" s="67"/>
      <c r="AS126" s="560"/>
      <c r="AT126" s="67"/>
      <c r="AU126" s="67"/>
      <c r="AV126" s="67"/>
      <c r="AW126" s="67"/>
      <c r="AX126" s="560"/>
      <c r="AY126" s="67"/>
      <c r="AZ126" s="67"/>
      <c r="BA126" s="67"/>
      <c r="BB126" s="67"/>
      <c r="BC126" s="560"/>
      <c r="BD126" s="67"/>
      <c r="BE126" s="67"/>
      <c r="BF126" s="67"/>
      <c r="BG126" s="67"/>
      <c r="BH126" s="560"/>
      <c r="BI126" s="67"/>
      <c r="BJ126" s="67"/>
      <c r="BK126" s="67"/>
      <c r="BL126" s="67"/>
      <c r="BM126" s="560"/>
      <c r="BN126" s="67"/>
      <c r="BO126" s="67"/>
      <c r="BP126" s="67"/>
      <c r="BQ126" s="67"/>
      <c r="BR126" s="560"/>
      <c r="BS126" s="67"/>
      <c r="BT126" s="67"/>
      <c r="BU126" s="67"/>
      <c r="BV126" s="67"/>
      <c r="BW126" s="560"/>
      <c r="BX126" s="67"/>
      <c r="BY126" s="67"/>
      <c r="BZ126" s="67"/>
      <c r="CA126" s="67"/>
      <c r="CB126" s="560"/>
      <c r="CC126" s="67"/>
      <c r="CD126" s="67"/>
      <c r="CE126" s="67"/>
      <c r="CF126" s="67"/>
      <c r="CG126" s="560"/>
      <c r="CH126" s="67"/>
      <c r="CI126" s="67"/>
      <c r="CJ126" s="67"/>
      <c r="CK126" s="67"/>
      <c r="CL126" s="560"/>
      <c r="CM126" s="67"/>
      <c r="CN126" s="67"/>
      <c r="CO126" s="67"/>
      <c r="CP126" s="67"/>
      <c r="CQ126" s="560"/>
      <c r="CR126" s="67"/>
      <c r="CS126" s="67"/>
      <c r="CT126" s="67"/>
      <c r="CU126" s="67"/>
      <c r="CV126" s="560"/>
      <c r="CW126" s="67"/>
      <c r="CX126" s="67"/>
      <c r="CY126" s="67"/>
      <c r="CZ126" s="67"/>
      <c r="DA126" s="560"/>
      <c r="DB126" s="67"/>
      <c r="DC126" s="67"/>
      <c r="DD126" s="67"/>
      <c r="DE126" s="67"/>
      <c r="DF126" s="560"/>
      <c r="DG126" s="67"/>
      <c r="DH126" s="67"/>
      <c r="DI126" s="67"/>
      <c r="DJ126" s="67"/>
      <c r="DK126" s="560"/>
      <c r="DL126" s="67"/>
      <c r="DM126" s="67"/>
      <c r="DN126" s="67"/>
      <c r="DO126" s="67"/>
      <c r="DP126" s="560"/>
      <c r="DQ126" s="67"/>
      <c r="DR126" s="67"/>
      <c r="DS126" s="67"/>
      <c r="DT126" s="67"/>
      <c r="DU126" s="560"/>
      <c r="DV126" s="67"/>
      <c r="DW126" s="67"/>
      <c r="DX126" s="67"/>
      <c r="DY126" s="67"/>
      <c r="DZ126" s="560"/>
      <c r="EA126" s="67"/>
      <c r="EB126" s="67"/>
      <c r="EC126" s="67"/>
      <c r="ED126" s="67"/>
      <c r="EE126" s="560"/>
      <c r="EF126" s="67"/>
      <c r="EG126" s="67"/>
      <c r="EH126" s="67"/>
      <c r="EI126" s="67"/>
      <c r="EJ126" s="560"/>
      <c r="EK126" s="67"/>
      <c r="EL126" s="67"/>
      <c r="EM126" s="442"/>
      <c r="EN126" s="442"/>
      <c r="EO126" s="455"/>
      <c r="EP126" s="472"/>
      <c r="EQ126" s="472"/>
    </row>
    <row r="127" spans="1:147" hidden="1" x14ac:dyDescent="0.2">
      <c r="A127" s="442"/>
      <c r="B127" s="442"/>
      <c r="D127" s="455" t="s">
        <v>433</v>
      </c>
      <c r="E127" s="465"/>
      <c r="F127" s="442"/>
      <c r="G127" s="67">
        <f>SUM(G128:G130)</f>
        <v>0</v>
      </c>
      <c r="H127" s="67"/>
      <c r="I127" s="67"/>
      <c r="J127" s="560"/>
      <c r="K127" s="67"/>
      <c r="L127" s="67">
        <f>SUM(L128:L130)</f>
        <v>0</v>
      </c>
      <c r="M127" s="67"/>
      <c r="N127" s="67"/>
      <c r="O127" s="560"/>
      <c r="P127" s="67"/>
      <c r="Q127" s="67">
        <f>SUM(Q128:Q130)</f>
        <v>0</v>
      </c>
      <c r="R127" s="67"/>
      <c r="S127" s="67"/>
      <c r="T127" s="560"/>
      <c r="U127" s="67"/>
      <c r="V127" s="67">
        <f>SUM(V128:V130)</f>
        <v>0</v>
      </c>
      <c r="W127" s="67"/>
      <c r="X127" s="67"/>
      <c r="Y127" s="560"/>
      <c r="Z127" s="67"/>
      <c r="AA127" s="67">
        <f>SUM(AA128:AA130)</f>
        <v>0</v>
      </c>
      <c r="AB127" s="67"/>
      <c r="AC127" s="67"/>
      <c r="AD127" s="560"/>
      <c r="AE127" s="67"/>
      <c r="AF127" s="67">
        <f>SUM(AF128:AF130)</f>
        <v>0</v>
      </c>
      <c r="AG127" s="67"/>
      <c r="AH127" s="67"/>
      <c r="AI127" s="560"/>
      <c r="AJ127" s="67"/>
      <c r="AK127" s="67">
        <f>SUM(AK128:AK130)</f>
        <v>0</v>
      </c>
      <c r="AL127" s="67"/>
      <c r="AM127" s="67"/>
      <c r="AN127" s="560"/>
      <c r="AO127" s="67"/>
      <c r="AP127" s="67">
        <f>SUM(AP128:AP130)</f>
        <v>0</v>
      </c>
      <c r="AQ127" s="67"/>
      <c r="AR127" s="67"/>
      <c r="AS127" s="560"/>
      <c r="AT127" s="67"/>
      <c r="AU127" s="67">
        <f>SUM(AU128:AU130)</f>
        <v>0</v>
      </c>
      <c r="AV127" s="67"/>
      <c r="AW127" s="67"/>
      <c r="AX127" s="560"/>
      <c r="AY127" s="67"/>
      <c r="AZ127" s="67">
        <f>SUM(AZ128:AZ130)</f>
        <v>0</v>
      </c>
      <c r="BA127" s="67"/>
      <c r="BB127" s="67"/>
      <c r="BC127" s="560"/>
      <c r="BD127" s="67"/>
      <c r="BE127" s="67">
        <f>SUM(BE128:BE130)</f>
        <v>0</v>
      </c>
      <c r="BF127" s="67"/>
      <c r="BG127" s="67"/>
      <c r="BH127" s="560"/>
      <c r="BI127" s="67"/>
      <c r="BJ127" s="67">
        <f>SUM(BJ128:BJ130)</f>
        <v>0</v>
      </c>
      <c r="BK127" s="67"/>
      <c r="BL127" s="67"/>
      <c r="BM127" s="560"/>
      <c r="BN127" s="67"/>
      <c r="BO127" s="67">
        <f>SUM(BO128:BO130)</f>
        <v>0</v>
      </c>
      <c r="BP127" s="67"/>
      <c r="BQ127" s="67"/>
      <c r="BR127" s="560"/>
      <c r="BS127" s="67"/>
      <c r="BT127" s="67">
        <f>SUM(BT128:BT130)</f>
        <v>0</v>
      </c>
      <c r="BU127" s="67"/>
      <c r="BV127" s="67"/>
      <c r="BW127" s="560"/>
      <c r="BX127" s="67"/>
      <c r="BY127" s="67">
        <f>SUM(BY128:BY130)</f>
        <v>0</v>
      </c>
      <c r="BZ127" s="67"/>
      <c r="CA127" s="67"/>
      <c r="CB127" s="560"/>
      <c r="CC127" s="67"/>
      <c r="CD127" s="67">
        <f>SUM(CD128:CD130)</f>
        <v>0</v>
      </c>
      <c r="CE127" s="67"/>
      <c r="CF127" s="67"/>
      <c r="CG127" s="560"/>
      <c r="CH127" s="67"/>
      <c r="CI127" s="67">
        <f>SUM(CI128:CI130)</f>
        <v>0</v>
      </c>
      <c r="CJ127" s="67"/>
      <c r="CK127" s="67"/>
      <c r="CL127" s="560"/>
      <c r="CM127" s="67"/>
      <c r="CN127" s="67">
        <f>SUM(CN128:CN130)</f>
        <v>0</v>
      </c>
      <c r="CO127" s="67"/>
      <c r="CP127" s="67"/>
      <c r="CQ127" s="560"/>
      <c r="CR127" s="67"/>
      <c r="CS127" s="67">
        <f>SUM(CS128:CS130)</f>
        <v>0</v>
      </c>
      <c r="CT127" s="67"/>
      <c r="CU127" s="67"/>
      <c r="CV127" s="560"/>
      <c r="CW127" s="67"/>
      <c r="CX127" s="67">
        <f>SUM(CX128:CX130)</f>
        <v>0</v>
      </c>
      <c r="CY127" s="67"/>
      <c r="CZ127" s="67"/>
      <c r="DA127" s="560"/>
      <c r="DB127" s="67"/>
      <c r="DC127" s="67">
        <f>SUM(DC128:DC130)</f>
        <v>0</v>
      </c>
      <c r="DD127" s="67"/>
      <c r="DE127" s="67"/>
      <c r="DF127" s="560"/>
      <c r="DG127" s="67"/>
      <c r="DH127" s="67">
        <f>SUM(DH128:DH130)</f>
        <v>0</v>
      </c>
      <c r="DI127" s="67"/>
      <c r="DJ127" s="67"/>
      <c r="DK127" s="560"/>
      <c r="DL127" s="67"/>
      <c r="DM127" s="67">
        <f>SUM(DM128:DM130)</f>
        <v>0</v>
      </c>
      <c r="DN127" s="67"/>
      <c r="DO127" s="67"/>
      <c r="DP127" s="560"/>
      <c r="DQ127" s="67"/>
      <c r="DR127" s="67">
        <f>SUM(DR128:DR130)</f>
        <v>0</v>
      </c>
      <c r="DS127" s="67"/>
      <c r="DT127" s="67"/>
      <c r="DU127" s="560"/>
      <c r="DV127" s="67"/>
      <c r="DW127" s="67">
        <f>SUM(DW128:DW130)</f>
        <v>0</v>
      </c>
      <c r="DX127" s="67"/>
      <c r="DY127" s="67"/>
      <c r="DZ127" s="560"/>
      <c r="EA127" s="67"/>
      <c r="EB127" s="67">
        <f>SUM(EB128:EB130)</f>
        <v>0</v>
      </c>
      <c r="EC127" s="67"/>
      <c r="ED127" s="67"/>
      <c r="EE127" s="560"/>
      <c r="EF127" s="67"/>
      <c r="EG127" s="67">
        <f>SUM(EG128:EG130)</f>
        <v>0</v>
      </c>
      <c r="EH127" s="67"/>
      <c r="EI127" s="67"/>
      <c r="EJ127" s="560"/>
      <c r="EK127" s="67"/>
      <c r="EL127" s="67">
        <f>SUM(EL128:EL130)</f>
        <v>0</v>
      </c>
      <c r="EM127" s="442"/>
      <c r="EN127" s="442"/>
      <c r="EO127" s="455"/>
      <c r="EP127" s="472"/>
      <c r="EQ127" s="472"/>
    </row>
    <row r="128" spans="1:147" hidden="1" x14ac:dyDescent="0.2">
      <c r="A128" s="442"/>
      <c r="B128" s="442"/>
      <c r="D128" s="455" t="s">
        <v>342</v>
      </c>
      <c r="E128" s="465"/>
      <c r="F128" s="473"/>
      <c r="G128" s="558">
        <v>0</v>
      </c>
      <c r="H128" s="559"/>
      <c r="I128" s="67"/>
      <c r="J128" s="560"/>
      <c r="K128" s="561"/>
      <c r="L128" s="558">
        <v>0</v>
      </c>
      <c r="M128" s="559"/>
      <c r="N128" s="67"/>
      <c r="O128" s="560"/>
      <c r="P128" s="561"/>
      <c r="Q128" s="558">
        <v>0</v>
      </c>
      <c r="R128" s="559"/>
      <c r="S128" s="67"/>
      <c r="T128" s="560"/>
      <c r="U128" s="561"/>
      <c r="V128" s="558">
        <v>0</v>
      </c>
      <c r="W128" s="559"/>
      <c r="X128" s="67"/>
      <c r="Y128" s="560"/>
      <c r="Z128" s="561"/>
      <c r="AA128" s="558">
        <v>0</v>
      </c>
      <c r="AB128" s="559"/>
      <c r="AC128" s="67"/>
      <c r="AD128" s="560"/>
      <c r="AE128" s="561"/>
      <c r="AF128" s="558">
        <v>0</v>
      </c>
      <c r="AG128" s="559"/>
      <c r="AH128" s="67"/>
      <c r="AI128" s="560"/>
      <c r="AJ128" s="561"/>
      <c r="AK128" s="558">
        <v>0</v>
      </c>
      <c r="AL128" s="559"/>
      <c r="AM128" s="67"/>
      <c r="AN128" s="560"/>
      <c r="AO128" s="561"/>
      <c r="AP128" s="558">
        <v>0</v>
      </c>
      <c r="AQ128" s="559"/>
      <c r="AR128" s="67"/>
      <c r="AS128" s="560"/>
      <c r="AT128" s="561"/>
      <c r="AU128" s="558">
        <v>0</v>
      </c>
      <c r="AV128" s="559"/>
      <c r="AW128" s="67"/>
      <c r="AX128" s="560"/>
      <c r="AY128" s="561"/>
      <c r="AZ128" s="558">
        <v>0</v>
      </c>
      <c r="BA128" s="559"/>
      <c r="BB128" s="67"/>
      <c r="BC128" s="560"/>
      <c r="BD128" s="561"/>
      <c r="BE128" s="558">
        <v>0</v>
      </c>
      <c r="BF128" s="559"/>
      <c r="BG128" s="67"/>
      <c r="BH128" s="560"/>
      <c r="BI128" s="561"/>
      <c r="BJ128" s="558">
        <v>0</v>
      </c>
      <c r="BK128" s="559"/>
      <c r="BL128" s="67"/>
      <c r="BM128" s="560"/>
      <c r="BN128" s="561"/>
      <c r="BO128" s="558">
        <v>0</v>
      </c>
      <c r="BP128" s="559"/>
      <c r="BQ128" s="67"/>
      <c r="BR128" s="560"/>
      <c r="BS128" s="561"/>
      <c r="BT128" s="558">
        <f>SUM(L128:BO128)</f>
        <v>0</v>
      </c>
      <c r="BU128" s="559"/>
      <c r="BV128" s="67"/>
      <c r="BW128" s="560"/>
      <c r="BX128" s="561"/>
      <c r="BY128" s="558">
        <v>0</v>
      </c>
      <c r="BZ128" s="559"/>
      <c r="CA128" s="67"/>
      <c r="CB128" s="560"/>
      <c r="CC128" s="561"/>
      <c r="CD128" s="558">
        <v>0</v>
      </c>
      <c r="CE128" s="559"/>
      <c r="CF128" s="67"/>
      <c r="CG128" s="560"/>
      <c r="CH128" s="561"/>
      <c r="CI128" s="558">
        <v>0</v>
      </c>
      <c r="CJ128" s="559"/>
      <c r="CK128" s="67"/>
      <c r="CL128" s="560"/>
      <c r="CM128" s="561"/>
      <c r="CN128" s="558">
        <v>0</v>
      </c>
      <c r="CO128" s="559"/>
      <c r="CP128" s="67"/>
      <c r="CQ128" s="560"/>
      <c r="CR128" s="561"/>
      <c r="CS128" s="558">
        <v>0</v>
      </c>
      <c r="CT128" s="559"/>
      <c r="CU128" s="67"/>
      <c r="CV128" s="560"/>
      <c r="CW128" s="561"/>
      <c r="CX128" s="558">
        <v>0</v>
      </c>
      <c r="CY128" s="559"/>
      <c r="CZ128" s="67"/>
      <c r="DA128" s="560"/>
      <c r="DB128" s="561"/>
      <c r="DC128" s="558">
        <v>0</v>
      </c>
      <c r="DD128" s="559"/>
      <c r="DE128" s="67"/>
      <c r="DF128" s="560"/>
      <c r="DG128" s="561"/>
      <c r="DH128" s="558">
        <v>0</v>
      </c>
      <c r="DI128" s="559"/>
      <c r="DJ128" s="67"/>
      <c r="DK128" s="560"/>
      <c r="DL128" s="561"/>
      <c r="DM128" s="558">
        <v>0</v>
      </c>
      <c r="DN128" s="559"/>
      <c r="DO128" s="67"/>
      <c r="DP128" s="560"/>
      <c r="DQ128" s="561"/>
      <c r="DR128" s="558">
        <v>0</v>
      </c>
      <c r="DS128" s="559"/>
      <c r="DT128" s="67"/>
      <c r="DU128" s="560"/>
      <c r="DV128" s="561"/>
      <c r="DW128" s="558">
        <v>0</v>
      </c>
      <c r="DX128" s="559"/>
      <c r="DY128" s="67"/>
      <c r="DZ128" s="560"/>
      <c r="EA128" s="561"/>
      <c r="EB128" s="558">
        <v>0</v>
      </c>
      <c r="EC128" s="559"/>
      <c r="ED128" s="67"/>
      <c r="EE128" s="560"/>
      <c r="EF128" s="561"/>
      <c r="EG128" s="558">
        <v>0</v>
      </c>
      <c r="EH128" s="559"/>
      <c r="EI128" s="67"/>
      <c r="EJ128" s="560"/>
      <c r="EK128" s="561"/>
      <c r="EL128" s="558">
        <f>SUM(CD128:EG128)</f>
        <v>0</v>
      </c>
      <c r="EM128" s="475"/>
      <c r="EN128" s="442"/>
      <c r="EO128" s="455"/>
      <c r="EP128" s="472"/>
      <c r="EQ128" s="472"/>
    </row>
    <row r="129" spans="1:147" hidden="1" x14ac:dyDescent="0.2">
      <c r="A129" s="442"/>
      <c r="B129" s="442"/>
      <c r="D129" s="455" t="s">
        <v>431</v>
      </c>
      <c r="E129" s="465"/>
      <c r="F129" s="465"/>
      <c r="G129" s="67">
        <v>0</v>
      </c>
      <c r="H129" s="66"/>
      <c r="I129" s="67"/>
      <c r="J129" s="560"/>
      <c r="K129" s="560"/>
      <c r="L129" s="67">
        <v>0</v>
      </c>
      <c r="M129" s="66"/>
      <c r="N129" s="67"/>
      <c r="O129" s="560"/>
      <c r="P129" s="560"/>
      <c r="Q129" s="67">
        <v>0</v>
      </c>
      <c r="R129" s="66"/>
      <c r="S129" s="67"/>
      <c r="T129" s="560"/>
      <c r="U129" s="560"/>
      <c r="V129" s="67">
        <v>0</v>
      </c>
      <c r="W129" s="66"/>
      <c r="X129" s="67"/>
      <c r="Y129" s="560"/>
      <c r="Z129" s="560"/>
      <c r="AA129" s="67">
        <v>0</v>
      </c>
      <c r="AB129" s="66"/>
      <c r="AC129" s="67"/>
      <c r="AD129" s="560"/>
      <c r="AE129" s="560"/>
      <c r="AF129" s="67">
        <v>0</v>
      </c>
      <c r="AG129" s="66"/>
      <c r="AH129" s="67"/>
      <c r="AI129" s="560"/>
      <c r="AJ129" s="560"/>
      <c r="AK129" s="67">
        <v>0</v>
      </c>
      <c r="AL129" s="66"/>
      <c r="AM129" s="67"/>
      <c r="AN129" s="560"/>
      <c r="AO129" s="560"/>
      <c r="AP129" s="67">
        <v>0</v>
      </c>
      <c r="AQ129" s="66"/>
      <c r="AR129" s="67"/>
      <c r="AS129" s="560"/>
      <c r="AT129" s="560"/>
      <c r="AU129" s="67">
        <v>0</v>
      </c>
      <c r="AV129" s="66"/>
      <c r="AW129" s="67"/>
      <c r="AX129" s="560"/>
      <c r="AY129" s="560"/>
      <c r="AZ129" s="67">
        <v>0</v>
      </c>
      <c r="BA129" s="66"/>
      <c r="BB129" s="67"/>
      <c r="BC129" s="560"/>
      <c r="BD129" s="560"/>
      <c r="BE129" s="67">
        <v>0</v>
      </c>
      <c r="BF129" s="66"/>
      <c r="BG129" s="67"/>
      <c r="BH129" s="560"/>
      <c r="BI129" s="560"/>
      <c r="BJ129" s="67">
        <v>0</v>
      </c>
      <c r="BK129" s="66"/>
      <c r="BL129" s="67"/>
      <c r="BM129" s="560"/>
      <c r="BN129" s="560"/>
      <c r="BO129" s="67">
        <v>0</v>
      </c>
      <c r="BP129" s="66"/>
      <c r="BQ129" s="67"/>
      <c r="BR129" s="560"/>
      <c r="BS129" s="560"/>
      <c r="BT129" s="67">
        <f>SUM(L129:BO129)</f>
        <v>0</v>
      </c>
      <c r="BU129" s="66"/>
      <c r="BV129" s="67"/>
      <c r="BW129" s="560"/>
      <c r="BX129" s="560"/>
      <c r="BY129" s="67">
        <v>0</v>
      </c>
      <c r="BZ129" s="66"/>
      <c r="CA129" s="67"/>
      <c r="CB129" s="560"/>
      <c r="CC129" s="560"/>
      <c r="CD129" s="67">
        <v>0</v>
      </c>
      <c r="CE129" s="66"/>
      <c r="CF129" s="67"/>
      <c r="CG129" s="560"/>
      <c r="CH129" s="560"/>
      <c r="CI129" s="67">
        <v>0</v>
      </c>
      <c r="CJ129" s="66"/>
      <c r="CK129" s="67"/>
      <c r="CL129" s="560"/>
      <c r="CM129" s="560"/>
      <c r="CN129" s="67">
        <v>0</v>
      </c>
      <c r="CO129" s="66"/>
      <c r="CP129" s="67"/>
      <c r="CQ129" s="560"/>
      <c r="CR129" s="560"/>
      <c r="CS129" s="67">
        <v>0</v>
      </c>
      <c r="CT129" s="66"/>
      <c r="CU129" s="67"/>
      <c r="CV129" s="560"/>
      <c r="CW129" s="560"/>
      <c r="CX129" s="67">
        <v>0</v>
      </c>
      <c r="CY129" s="66"/>
      <c r="CZ129" s="67"/>
      <c r="DA129" s="560"/>
      <c r="DB129" s="560"/>
      <c r="DC129" s="67">
        <v>0</v>
      </c>
      <c r="DD129" s="66"/>
      <c r="DE129" s="67"/>
      <c r="DF129" s="560"/>
      <c r="DG129" s="560"/>
      <c r="DH129" s="67">
        <v>0</v>
      </c>
      <c r="DI129" s="66"/>
      <c r="DJ129" s="67"/>
      <c r="DK129" s="560"/>
      <c r="DL129" s="560"/>
      <c r="DM129" s="67">
        <v>0</v>
      </c>
      <c r="DN129" s="66"/>
      <c r="DO129" s="67"/>
      <c r="DP129" s="560"/>
      <c r="DQ129" s="560"/>
      <c r="DR129" s="67">
        <v>0</v>
      </c>
      <c r="DS129" s="66"/>
      <c r="DT129" s="67"/>
      <c r="DU129" s="560"/>
      <c r="DV129" s="560"/>
      <c r="DW129" s="67">
        <v>0</v>
      </c>
      <c r="DX129" s="66"/>
      <c r="DY129" s="67"/>
      <c r="DZ129" s="560"/>
      <c r="EA129" s="560"/>
      <c r="EB129" s="67">
        <v>0</v>
      </c>
      <c r="EC129" s="66"/>
      <c r="ED129" s="67"/>
      <c r="EE129" s="560"/>
      <c r="EF129" s="560"/>
      <c r="EG129" s="67">
        <v>0</v>
      </c>
      <c r="EH129" s="66"/>
      <c r="EI129" s="67"/>
      <c r="EJ129" s="560"/>
      <c r="EK129" s="560"/>
      <c r="EL129" s="67">
        <f>SUM(CD129:EG129)</f>
        <v>0</v>
      </c>
      <c r="EM129" s="480"/>
      <c r="EN129" s="442"/>
      <c r="EO129" s="455"/>
      <c r="EP129" s="472"/>
      <c r="EQ129" s="472"/>
    </row>
    <row r="130" spans="1:147" hidden="1" x14ac:dyDescent="0.2">
      <c r="A130" s="442"/>
      <c r="B130" s="442"/>
      <c r="D130" s="455" t="s">
        <v>432</v>
      </c>
      <c r="E130" s="465"/>
      <c r="F130" s="488"/>
      <c r="G130" s="113">
        <v>0</v>
      </c>
      <c r="H130" s="112"/>
      <c r="I130" s="67"/>
      <c r="J130" s="560"/>
      <c r="K130" s="569"/>
      <c r="L130" s="113">
        <v>0</v>
      </c>
      <c r="M130" s="112"/>
      <c r="N130" s="67"/>
      <c r="O130" s="560"/>
      <c r="P130" s="569"/>
      <c r="Q130" s="113">
        <v>0</v>
      </c>
      <c r="R130" s="112"/>
      <c r="S130" s="67"/>
      <c r="T130" s="560"/>
      <c r="U130" s="569"/>
      <c r="V130" s="113">
        <v>0</v>
      </c>
      <c r="W130" s="112"/>
      <c r="X130" s="67"/>
      <c r="Y130" s="560"/>
      <c r="Z130" s="569"/>
      <c r="AA130" s="113">
        <v>0</v>
      </c>
      <c r="AB130" s="112"/>
      <c r="AC130" s="67"/>
      <c r="AD130" s="560"/>
      <c r="AE130" s="569"/>
      <c r="AF130" s="113">
        <v>0</v>
      </c>
      <c r="AG130" s="112"/>
      <c r="AH130" s="67"/>
      <c r="AI130" s="560"/>
      <c r="AJ130" s="569"/>
      <c r="AK130" s="113">
        <v>0</v>
      </c>
      <c r="AL130" s="112"/>
      <c r="AM130" s="67"/>
      <c r="AN130" s="560"/>
      <c r="AO130" s="569"/>
      <c r="AP130" s="113">
        <v>0</v>
      </c>
      <c r="AQ130" s="112"/>
      <c r="AR130" s="67"/>
      <c r="AS130" s="560"/>
      <c r="AT130" s="569"/>
      <c r="AU130" s="113">
        <v>0</v>
      </c>
      <c r="AV130" s="112"/>
      <c r="AW130" s="67"/>
      <c r="AX130" s="560"/>
      <c r="AY130" s="569"/>
      <c r="AZ130" s="113">
        <v>0</v>
      </c>
      <c r="BA130" s="112"/>
      <c r="BB130" s="67"/>
      <c r="BC130" s="560"/>
      <c r="BD130" s="569"/>
      <c r="BE130" s="113">
        <v>0</v>
      </c>
      <c r="BF130" s="112"/>
      <c r="BG130" s="67"/>
      <c r="BH130" s="560"/>
      <c r="BI130" s="569"/>
      <c r="BJ130" s="113">
        <v>0</v>
      </c>
      <c r="BK130" s="112"/>
      <c r="BL130" s="67"/>
      <c r="BM130" s="560"/>
      <c r="BN130" s="569"/>
      <c r="BO130" s="113">
        <v>0</v>
      </c>
      <c r="BP130" s="112"/>
      <c r="BQ130" s="67"/>
      <c r="BR130" s="560"/>
      <c r="BS130" s="569"/>
      <c r="BT130" s="113">
        <f>SUM(L130:BO130)</f>
        <v>0</v>
      </c>
      <c r="BU130" s="112"/>
      <c r="BV130" s="67"/>
      <c r="BW130" s="560"/>
      <c r="BX130" s="569"/>
      <c r="BY130" s="113">
        <v>0</v>
      </c>
      <c r="BZ130" s="112"/>
      <c r="CA130" s="67"/>
      <c r="CB130" s="560"/>
      <c r="CC130" s="569"/>
      <c r="CD130" s="113">
        <v>0</v>
      </c>
      <c r="CE130" s="112"/>
      <c r="CF130" s="67"/>
      <c r="CG130" s="560"/>
      <c r="CH130" s="569"/>
      <c r="CI130" s="113">
        <v>0</v>
      </c>
      <c r="CJ130" s="112"/>
      <c r="CK130" s="67"/>
      <c r="CL130" s="560"/>
      <c r="CM130" s="569"/>
      <c r="CN130" s="113">
        <v>0</v>
      </c>
      <c r="CO130" s="112"/>
      <c r="CP130" s="67"/>
      <c r="CQ130" s="560"/>
      <c r="CR130" s="569"/>
      <c r="CS130" s="113">
        <v>0</v>
      </c>
      <c r="CT130" s="112"/>
      <c r="CU130" s="67"/>
      <c r="CV130" s="560"/>
      <c r="CW130" s="569"/>
      <c r="CX130" s="113">
        <v>0</v>
      </c>
      <c r="CY130" s="112"/>
      <c r="CZ130" s="67"/>
      <c r="DA130" s="560"/>
      <c r="DB130" s="569"/>
      <c r="DC130" s="113">
        <v>0</v>
      </c>
      <c r="DD130" s="112"/>
      <c r="DE130" s="67"/>
      <c r="DF130" s="560"/>
      <c r="DG130" s="569"/>
      <c r="DH130" s="113">
        <v>0</v>
      </c>
      <c r="DI130" s="112"/>
      <c r="DJ130" s="67"/>
      <c r="DK130" s="560"/>
      <c r="DL130" s="569"/>
      <c r="DM130" s="113">
        <v>0</v>
      </c>
      <c r="DN130" s="112"/>
      <c r="DO130" s="67"/>
      <c r="DP130" s="560"/>
      <c r="DQ130" s="569"/>
      <c r="DR130" s="113">
        <v>0</v>
      </c>
      <c r="DS130" s="112"/>
      <c r="DT130" s="67"/>
      <c r="DU130" s="560"/>
      <c r="DV130" s="569"/>
      <c r="DW130" s="113">
        <v>0</v>
      </c>
      <c r="DX130" s="112"/>
      <c r="DY130" s="67"/>
      <c r="DZ130" s="560"/>
      <c r="EA130" s="569"/>
      <c r="EB130" s="113">
        <v>0</v>
      </c>
      <c r="EC130" s="112"/>
      <c r="ED130" s="67"/>
      <c r="EE130" s="560"/>
      <c r="EF130" s="569"/>
      <c r="EG130" s="113">
        <v>0</v>
      </c>
      <c r="EH130" s="112"/>
      <c r="EI130" s="67"/>
      <c r="EJ130" s="560"/>
      <c r="EK130" s="569"/>
      <c r="EL130" s="113">
        <f>SUM(CD130:EG130)</f>
        <v>0</v>
      </c>
      <c r="EM130" s="490"/>
      <c r="EN130" s="442"/>
      <c r="EO130" s="455"/>
      <c r="EP130" s="472"/>
      <c r="EQ130" s="472"/>
    </row>
    <row r="131" spans="1:147" hidden="1" x14ac:dyDescent="0.2">
      <c r="A131" s="442"/>
      <c r="B131" s="442"/>
      <c r="D131" s="455"/>
      <c r="E131" s="465"/>
      <c r="F131" s="442"/>
      <c r="G131" s="67"/>
      <c r="H131" s="67"/>
      <c r="I131" s="67"/>
      <c r="J131" s="560"/>
      <c r="K131" s="67"/>
      <c r="L131" s="67"/>
      <c r="M131" s="67"/>
      <c r="N131" s="67"/>
      <c r="O131" s="560"/>
      <c r="P131" s="67"/>
      <c r="Q131" s="67"/>
      <c r="R131" s="67"/>
      <c r="S131" s="67"/>
      <c r="T131" s="560"/>
      <c r="U131" s="67"/>
      <c r="V131" s="67"/>
      <c r="W131" s="67"/>
      <c r="X131" s="67"/>
      <c r="Y131" s="560"/>
      <c r="Z131" s="67"/>
      <c r="AA131" s="67"/>
      <c r="AB131" s="67"/>
      <c r="AC131" s="67"/>
      <c r="AD131" s="560"/>
      <c r="AE131" s="67"/>
      <c r="AF131" s="67"/>
      <c r="AG131" s="67"/>
      <c r="AH131" s="67"/>
      <c r="AI131" s="560"/>
      <c r="AJ131" s="67"/>
      <c r="AK131" s="67"/>
      <c r="AL131" s="67"/>
      <c r="AM131" s="67"/>
      <c r="AN131" s="560"/>
      <c r="AO131" s="67"/>
      <c r="AP131" s="67"/>
      <c r="AQ131" s="67"/>
      <c r="AR131" s="67"/>
      <c r="AS131" s="560"/>
      <c r="AT131" s="67"/>
      <c r="AU131" s="67"/>
      <c r="AV131" s="67"/>
      <c r="AW131" s="67"/>
      <c r="AX131" s="560"/>
      <c r="AY131" s="67"/>
      <c r="AZ131" s="67"/>
      <c r="BA131" s="67"/>
      <c r="BB131" s="67"/>
      <c r="BC131" s="560"/>
      <c r="BD131" s="67"/>
      <c r="BE131" s="67"/>
      <c r="BF131" s="67"/>
      <c r="BG131" s="67"/>
      <c r="BH131" s="560"/>
      <c r="BI131" s="67"/>
      <c r="BJ131" s="67"/>
      <c r="BK131" s="67"/>
      <c r="BL131" s="67"/>
      <c r="BM131" s="560"/>
      <c r="BN131" s="67"/>
      <c r="BO131" s="67"/>
      <c r="BP131" s="67"/>
      <c r="BQ131" s="67"/>
      <c r="BR131" s="560"/>
      <c r="BS131" s="67"/>
      <c r="BT131" s="67"/>
      <c r="BU131" s="67"/>
      <c r="BV131" s="67"/>
      <c r="BW131" s="560"/>
      <c r="BX131" s="67"/>
      <c r="BY131" s="67"/>
      <c r="BZ131" s="67"/>
      <c r="CA131" s="67"/>
      <c r="CB131" s="560"/>
      <c r="CC131" s="67"/>
      <c r="CD131" s="67"/>
      <c r="CE131" s="67"/>
      <c r="CF131" s="67"/>
      <c r="CG131" s="560"/>
      <c r="CH131" s="67"/>
      <c r="CI131" s="67"/>
      <c r="CJ131" s="67"/>
      <c r="CK131" s="67"/>
      <c r="CL131" s="560"/>
      <c r="CM131" s="67"/>
      <c r="CN131" s="67"/>
      <c r="CO131" s="67"/>
      <c r="CP131" s="67"/>
      <c r="CQ131" s="560"/>
      <c r="CR131" s="67"/>
      <c r="CS131" s="67"/>
      <c r="CT131" s="67"/>
      <c r="CU131" s="67"/>
      <c r="CV131" s="560"/>
      <c r="CW131" s="67"/>
      <c r="CX131" s="67"/>
      <c r="CY131" s="67"/>
      <c r="CZ131" s="67"/>
      <c r="DA131" s="560"/>
      <c r="DB131" s="67"/>
      <c r="DC131" s="67"/>
      <c r="DD131" s="67"/>
      <c r="DE131" s="67"/>
      <c r="DF131" s="560"/>
      <c r="DG131" s="67"/>
      <c r="DH131" s="67"/>
      <c r="DI131" s="67"/>
      <c r="DJ131" s="67"/>
      <c r="DK131" s="560"/>
      <c r="DL131" s="67"/>
      <c r="DM131" s="67"/>
      <c r="DN131" s="67"/>
      <c r="DO131" s="67"/>
      <c r="DP131" s="560"/>
      <c r="DQ131" s="67"/>
      <c r="DR131" s="67"/>
      <c r="DS131" s="67"/>
      <c r="DT131" s="67"/>
      <c r="DU131" s="560"/>
      <c r="DV131" s="67"/>
      <c r="DW131" s="67"/>
      <c r="DX131" s="67"/>
      <c r="DY131" s="67"/>
      <c r="DZ131" s="560"/>
      <c r="EA131" s="67"/>
      <c r="EB131" s="67"/>
      <c r="EC131" s="67"/>
      <c r="ED131" s="67"/>
      <c r="EE131" s="560"/>
      <c r="EF131" s="67"/>
      <c r="EG131" s="67"/>
      <c r="EH131" s="67"/>
      <c r="EI131" s="67"/>
      <c r="EJ131" s="560"/>
      <c r="EK131" s="67"/>
      <c r="EL131" s="67"/>
      <c r="EM131" s="442"/>
      <c r="EN131" s="442"/>
      <c r="EO131" s="455"/>
      <c r="EP131" s="472"/>
      <c r="EQ131" s="472"/>
    </row>
    <row r="132" spans="1:147" hidden="1" x14ac:dyDescent="0.2">
      <c r="A132" s="442"/>
      <c r="B132" s="442"/>
      <c r="D132" s="455" t="s">
        <v>434</v>
      </c>
      <c r="E132" s="465"/>
      <c r="F132" s="442"/>
      <c r="G132" s="67">
        <f>SUM(G133:G135)</f>
        <v>0</v>
      </c>
      <c r="H132" s="67"/>
      <c r="I132" s="67"/>
      <c r="J132" s="560"/>
      <c r="K132" s="67"/>
      <c r="L132" s="67">
        <f>SUM(L133:L135)</f>
        <v>0</v>
      </c>
      <c r="M132" s="67"/>
      <c r="N132" s="67"/>
      <c r="O132" s="560"/>
      <c r="P132" s="67"/>
      <c r="Q132" s="67">
        <f>SUM(Q133:Q135)</f>
        <v>0</v>
      </c>
      <c r="R132" s="67"/>
      <c r="S132" s="67"/>
      <c r="T132" s="560"/>
      <c r="U132" s="67"/>
      <c r="V132" s="67">
        <f>SUM(V133:V135)</f>
        <v>0</v>
      </c>
      <c r="W132" s="67"/>
      <c r="X132" s="67"/>
      <c r="Y132" s="560"/>
      <c r="Z132" s="67"/>
      <c r="AA132" s="67">
        <f>SUM(AA133:AA135)</f>
        <v>0</v>
      </c>
      <c r="AB132" s="67"/>
      <c r="AC132" s="67"/>
      <c r="AD132" s="560"/>
      <c r="AE132" s="67"/>
      <c r="AF132" s="67">
        <f>SUM(AF133:AF135)</f>
        <v>0</v>
      </c>
      <c r="AG132" s="67"/>
      <c r="AH132" s="67"/>
      <c r="AI132" s="560"/>
      <c r="AJ132" s="67"/>
      <c r="AK132" s="67">
        <f>SUM(AK133:AK135)</f>
        <v>0</v>
      </c>
      <c r="AL132" s="67"/>
      <c r="AM132" s="67"/>
      <c r="AN132" s="560"/>
      <c r="AO132" s="67"/>
      <c r="AP132" s="67">
        <f>SUM(AP133:AP135)</f>
        <v>0</v>
      </c>
      <c r="AQ132" s="67"/>
      <c r="AR132" s="67"/>
      <c r="AS132" s="560"/>
      <c r="AT132" s="67"/>
      <c r="AU132" s="67">
        <f>SUM(AU133:AU135)</f>
        <v>0</v>
      </c>
      <c r="AV132" s="67"/>
      <c r="AW132" s="67"/>
      <c r="AX132" s="560"/>
      <c r="AY132" s="67"/>
      <c r="AZ132" s="67">
        <f>SUM(AZ133:AZ135)</f>
        <v>0</v>
      </c>
      <c r="BA132" s="67"/>
      <c r="BB132" s="67"/>
      <c r="BC132" s="560"/>
      <c r="BD132" s="67"/>
      <c r="BE132" s="67">
        <f>SUM(BE133:BE135)</f>
        <v>0</v>
      </c>
      <c r="BF132" s="67"/>
      <c r="BG132" s="67"/>
      <c r="BH132" s="560"/>
      <c r="BI132" s="67"/>
      <c r="BJ132" s="67">
        <f>SUM(BJ133:BJ135)</f>
        <v>0</v>
      </c>
      <c r="BK132" s="67"/>
      <c r="BL132" s="67"/>
      <c r="BM132" s="560"/>
      <c r="BN132" s="67"/>
      <c r="BO132" s="67">
        <f>SUM(BO133:BO135)</f>
        <v>0</v>
      </c>
      <c r="BP132" s="67"/>
      <c r="BQ132" s="67"/>
      <c r="BR132" s="560"/>
      <c r="BS132" s="67"/>
      <c r="BT132" s="67">
        <f>SUM(BT133:BT135)</f>
        <v>0</v>
      </c>
      <c r="BU132" s="67"/>
      <c r="BV132" s="67"/>
      <c r="BW132" s="560"/>
      <c r="BX132" s="67"/>
      <c r="BY132" s="67">
        <f>SUM(BY133:BY135)</f>
        <v>0</v>
      </c>
      <c r="BZ132" s="67"/>
      <c r="CA132" s="67"/>
      <c r="CB132" s="560"/>
      <c r="CC132" s="67"/>
      <c r="CD132" s="67">
        <f>SUM(CD133:CD135)</f>
        <v>0</v>
      </c>
      <c r="CE132" s="67"/>
      <c r="CF132" s="67"/>
      <c r="CG132" s="560"/>
      <c r="CH132" s="67"/>
      <c r="CI132" s="67">
        <f>SUM(CI133:CI135)</f>
        <v>0</v>
      </c>
      <c r="CJ132" s="67"/>
      <c r="CK132" s="67"/>
      <c r="CL132" s="560"/>
      <c r="CM132" s="67"/>
      <c r="CN132" s="67">
        <f>SUM(CN133:CN135)</f>
        <v>0</v>
      </c>
      <c r="CO132" s="67"/>
      <c r="CP132" s="67"/>
      <c r="CQ132" s="560"/>
      <c r="CR132" s="67"/>
      <c r="CS132" s="67">
        <f>SUM(CS133:CS135)</f>
        <v>0</v>
      </c>
      <c r="CT132" s="67"/>
      <c r="CU132" s="67"/>
      <c r="CV132" s="560"/>
      <c r="CW132" s="67"/>
      <c r="CX132" s="67">
        <f>SUM(CX133:CX135)</f>
        <v>0</v>
      </c>
      <c r="CY132" s="67"/>
      <c r="CZ132" s="67"/>
      <c r="DA132" s="560"/>
      <c r="DB132" s="67"/>
      <c r="DC132" s="67">
        <f>SUM(DC133:DC135)</f>
        <v>0</v>
      </c>
      <c r="DD132" s="67"/>
      <c r="DE132" s="67"/>
      <c r="DF132" s="560"/>
      <c r="DG132" s="67"/>
      <c r="DH132" s="67">
        <f>SUM(DH133:DH135)</f>
        <v>0</v>
      </c>
      <c r="DI132" s="67"/>
      <c r="DJ132" s="67"/>
      <c r="DK132" s="560"/>
      <c r="DL132" s="67"/>
      <c r="DM132" s="67">
        <f>SUM(DM133:DM135)</f>
        <v>0</v>
      </c>
      <c r="DN132" s="67"/>
      <c r="DO132" s="67"/>
      <c r="DP132" s="560"/>
      <c r="DQ132" s="67"/>
      <c r="DR132" s="67">
        <f>SUM(DR133:DR135)</f>
        <v>0</v>
      </c>
      <c r="DS132" s="67"/>
      <c r="DT132" s="67"/>
      <c r="DU132" s="560"/>
      <c r="DV132" s="67"/>
      <c r="DW132" s="67">
        <f>SUM(DW133:DW135)</f>
        <v>0</v>
      </c>
      <c r="DX132" s="67"/>
      <c r="DY132" s="67"/>
      <c r="DZ132" s="560"/>
      <c r="EA132" s="67"/>
      <c r="EB132" s="67">
        <f>SUM(EB133:EB135)</f>
        <v>0</v>
      </c>
      <c r="EC132" s="67"/>
      <c r="ED132" s="67"/>
      <c r="EE132" s="560"/>
      <c r="EF132" s="67"/>
      <c r="EG132" s="67">
        <f>SUM(EG133:EG135)</f>
        <v>0</v>
      </c>
      <c r="EH132" s="67"/>
      <c r="EI132" s="67"/>
      <c r="EJ132" s="560"/>
      <c r="EK132" s="67"/>
      <c r="EL132" s="67">
        <f>SUM(EL133:EL135)</f>
        <v>0</v>
      </c>
      <c r="EM132" s="442"/>
      <c r="EN132" s="442"/>
      <c r="EO132" s="455"/>
      <c r="EP132" s="472"/>
      <c r="EQ132" s="472"/>
    </row>
    <row r="133" spans="1:147" hidden="1" x14ac:dyDescent="0.2">
      <c r="A133" s="442"/>
      <c r="B133" s="442"/>
      <c r="D133" s="455" t="s">
        <v>342</v>
      </c>
      <c r="E133" s="465"/>
      <c r="F133" s="473"/>
      <c r="G133" s="558">
        <v>0</v>
      </c>
      <c r="H133" s="559"/>
      <c r="I133" s="67"/>
      <c r="J133" s="560"/>
      <c r="K133" s="561"/>
      <c r="L133" s="558">
        <v>0</v>
      </c>
      <c r="M133" s="559"/>
      <c r="N133" s="67"/>
      <c r="O133" s="560"/>
      <c r="P133" s="561"/>
      <c r="Q133" s="558">
        <v>0</v>
      </c>
      <c r="R133" s="559"/>
      <c r="S133" s="67"/>
      <c r="T133" s="560"/>
      <c r="U133" s="561"/>
      <c r="V133" s="558">
        <v>0</v>
      </c>
      <c r="W133" s="559"/>
      <c r="X133" s="67"/>
      <c r="Y133" s="560"/>
      <c r="Z133" s="561"/>
      <c r="AA133" s="558">
        <v>0</v>
      </c>
      <c r="AB133" s="559"/>
      <c r="AC133" s="67"/>
      <c r="AD133" s="560"/>
      <c r="AE133" s="561"/>
      <c r="AF133" s="558">
        <v>0</v>
      </c>
      <c r="AG133" s="559"/>
      <c r="AH133" s="67"/>
      <c r="AI133" s="560"/>
      <c r="AJ133" s="561"/>
      <c r="AK133" s="558">
        <v>0</v>
      </c>
      <c r="AL133" s="559"/>
      <c r="AM133" s="67"/>
      <c r="AN133" s="560"/>
      <c r="AO133" s="561"/>
      <c r="AP133" s="558">
        <v>0</v>
      </c>
      <c r="AQ133" s="559"/>
      <c r="AR133" s="67"/>
      <c r="AS133" s="560"/>
      <c r="AT133" s="561"/>
      <c r="AU133" s="558">
        <v>0</v>
      </c>
      <c r="AV133" s="559"/>
      <c r="AW133" s="67"/>
      <c r="AX133" s="560"/>
      <c r="AY133" s="561"/>
      <c r="AZ133" s="558">
        <v>0</v>
      </c>
      <c r="BA133" s="559"/>
      <c r="BB133" s="67"/>
      <c r="BC133" s="560"/>
      <c r="BD133" s="561"/>
      <c r="BE133" s="558">
        <v>0</v>
      </c>
      <c r="BF133" s="559"/>
      <c r="BG133" s="67"/>
      <c r="BH133" s="560"/>
      <c r="BI133" s="561"/>
      <c r="BJ133" s="558">
        <v>0</v>
      </c>
      <c r="BK133" s="559"/>
      <c r="BL133" s="67"/>
      <c r="BM133" s="560"/>
      <c r="BN133" s="561"/>
      <c r="BO133" s="558">
        <v>0</v>
      </c>
      <c r="BP133" s="559"/>
      <c r="BQ133" s="67"/>
      <c r="BR133" s="560"/>
      <c r="BS133" s="561"/>
      <c r="BT133" s="558">
        <f>SUM(L133:BO133)</f>
        <v>0</v>
      </c>
      <c r="BU133" s="559"/>
      <c r="BV133" s="67"/>
      <c r="BW133" s="560"/>
      <c r="BX133" s="561"/>
      <c r="BY133" s="558">
        <v>0</v>
      </c>
      <c r="BZ133" s="559"/>
      <c r="CA133" s="67"/>
      <c r="CB133" s="560"/>
      <c r="CC133" s="561"/>
      <c r="CD133" s="558">
        <v>0</v>
      </c>
      <c r="CE133" s="559"/>
      <c r="CF133" s="67"/>
      <c r="CG133" s="560"/>
      <c r="CH133" s="561"/>
      <c r="CI133" s="558">
        <v>0</v>
      </c>
      <c r="CJ133" s="559"/>
      <c r="CK133" s="67"/>
      <c r="CL133" s="560"/>
      <c r="CM133" s="561"/>
      <c r="CN133" s="558">
        <v>0</v>
      </c>
      <c r="CO133" s="559"/>
      <c r="CP133" s="67"/>
      <c r="CQ133" s="560"/>
      <c r="CR133" s="561"/>
      <c r="CS133" s="558">
        <v>0</v>
      </c>
      <c r="CT133" s="559"/>
      <c r="CU133" s="67"/>
      <c r="CV133" s="560"/>
      <c r="CW133" s="561"/>
      <c r="CX133" s="558">
        <v>0</v>
      </c>
      <c r="CY133" s="559"/>
      <c r="CZ133" s="67"/>
      <c r="DA133" s="560"/>
      <c r="DB133" s="561"/>
      <c r="DC133" s="558">
        <v>0</v>
      </c>
      <c r="DD133" s="559"/>
      <c r="DE133" s="67"/>
      <c r="DF133" s="560"/>
      <c r="DG133" s="561"/>
      <c r="DH133" s="558">
        <v>0</v>
      </c>
      <c r="DI133" s="559"/>
      <c r="DJ133" s="67"/>
      <c r="DK133" s="560"/>
      <c r="DL133" s="561"/>
      <c r="DM133" s="558">
        <v>0</v>
      </c>
      <c r="DN133" s="559"/>
      <c r="DO133" s="67"/>
      <c r="DP133" s="560"/>
      <c r="DQ133" s="561"/>
      <c r="DR133" s="558">
        <v>0</v>
      </c>
      <c r="DS133" s="559"/>
      <c r="DT133" s="67"/>
      <c r="DU133" s="560"/>
      <c r="DV133" s="561"/>
      <c r="DW133" s="558">
        <v>0</v>
      </c>
      <c r="DX133" s="559"/>
      <c r="DY133" s="67"/>
      <c r="DZ133" s="560"/>
      <c r="EA133" s="561"/>
      <c r="EB133" s="558">
        <v>0</v>
      </c>
      <c r="EC133" s="559"/>
      <c r="ED133" s="67"/>
      <c r="EE133" s="560"/>
      <c r="EF133" s="561"/>
      <c r="EG133" s="558">
        <v>0</v>
      </c>
      <c r="EH133" s="559"/>
      <c r="EI133" s="67"/>
      <c r="EJ133" s="560"/>
      <c r="EK133" s="561"/>
      <c r="EL133" s="558">
        <f>SUM(CD133:EG133)</f>
        <v>0</v>
      </c>
      <c r="EM133" s="475"/>
      <c r="EN133" s="442"/>
      <c r="EO133" s="455"/>
      <c r="EP133" s="472"/>
      <c r="EQ133" s="472"/>
    </row>
    <row r="134" spans="1:147" hidden="1" x14ac:dyDescent="0.2">
      <c r="A134" s="442"/>
      <c r="B134" s="442"/>
      <c r="D134" s="455" t="s">
        <v>431</v>
      </c>
      <c r="E134" s="465"/>
      <c r="F134" s="465"/>
      <c r="G134" s="67">
        <v>0</v>
      </c>
      <c r="H134" s="66"/>
      <c r="I134" s="67"/>
      <c r="J134" s="560"/>
      <c r="K134" s="560"/>
      <c r="L134" s="67">
        <v>0</v>
      </c>
      <c r="M134" s="66"/>
      <c r="N134" s="67"/>
      <c r="O134" s="560"/>
      <c r="P134" s="560"/>
      <c r="Q134" s="67">
        <v>0</v>
      </c>
      <c r="R134" s="66"/>
      <c r="S134" s="67"/>
      <c r="T134" s="560"/>
      <c r="U134" s="560"/>
      <c r="V134" s="67">
        <v>0</v>
      </c>
      <c r="W134" s="66"/>
      <c r="X134" s="67"/>
      <c r="Y134" s="560"/>
      <c r="Z134" s="560"/>
      <c r="AA134" s="67">
        <v>0</v>
      </c>
      <c r="AB134" s="66"/>
      <c r="AC134" s="67"/>
      <c r="AD134" s="560"/>
      <c r="AE134" s="560"/>
      <c r="AF134" s="67">
        <v>0</v>
      </c>
      <c r="AG134" s="66"/>
      <c r="AH134" s="67"/>
      <c r="AI134" s="560"/>
      <c r="AJ134" s="560"/>
      <c r="AK134" s="67">
        <v>0</v>
      </c>
      <c r="AL134" s="66"/>
      <c r="AM134" s="67"/>
      <c r="AN134" s="560"/>
      <c r="AO134" s="560"/>
      <c r="AP134" s="67">
        <v>0</v>
      </c>
      <c r="AQ134" s="66"/>
      <c r="AR134" s="67"/>
      <c r="AS134" s="560"/>
      <c r="AT134" s="560"/>
      <c r="AU134" s="67">
        <v>0</v>
      </c>
      <c r="AV134" s="66"/>
      <c r="AW134" s="67"/>
      <c r="AX134" s="560"/>
      <c r="AY134" s="560"/>
      <c r="AZ134" s="67">
        <v>0</v>
      </c>
      <c r="BA134" s="66"/>
      <c r="BB134" s="67"/>
      <c r="BC134" s="560"/>
      <c r="BD134" s="560"/>
      <c r="BE134" s="67">
        <v>0</v>
      </c>
      <c r="BF134" s="66"/>
      <c r="BG134" s="67"/>
      <c r="BH134" s="560"/>
      <c r="BI134" s="560"/>
      <c r="BJ134" s="67">
        <v>0</v>
      </c>
      <c r="BK134" s="66"/>
      <c r="BL134" s="67"/>
      <c r="BM134" s="560"/>
      <c r="BN134" s="560"/>
      <c r="BO134" s="67">
        <v>0</v>
      </c>
      <c r="BP134" s="66"/>
      <c r="BQ134" s="67"/>
      <c r="BR134" s="560"/>
      <c r="BS134" s="560"/>
      <c r="BT134" s="67">
        <f>SUM(L134:BO134)</f>
        <v>0</v>
      </c>
      <c r="BU134" s="66"/>
      <c r="BV134" s="67"/>
      <c r="BW134" s="560"/>
      <c r="BX134" s="560"/>
      <c r="BY134" s="67">
        <v>0</v>
      </c>
      <c r="BZ134" s="66"/>
      <c r="CA134" s="67"/>
      <c r="CB134" s="560"/>
      <c r="CC134" s="560"/>
      <c r="CD134" s="67">
        <v>0</v>
      </c>
      <c r="CE134" s="66"/>
      <c r="CF134" s="67"/>
      <c r="CG134" s="560"/>
      <c r="CH134" s="560"/>
      <c r="CI134" s="67">
        <v>0</v>
      </c>
      <c r="CJ134" s="66"/>
      <c r="CK134" s="67"/>
      <c r="CL134" s="560"/>
      <c r="CM134" s="560"/>
      <c r="CN134" s="67">
        <v>0</v>
      </c>
      <c r="CO134" s="66"/>
      <c r="CP134" s="67"/>
      <c r="CQ134" s="560"/>
      <c r="CR134" s="560"/>
      <c r="CS134" s="67">
        <v>0</v>
      </c>
      <c r="CT134" s="66"/>
      <c r="CU134" s="67"/>
      <c r="CV134" s="560"/>
      <c r="CW134" s="560"/>
      <c r="CX134" s="67">
        <v>0</v>
      </c>
      <c r="CY134" s="66"/>
      <c r="CZ134" s="67"/>
      <c r="DA134" s="560"/>
      <c r="DB134" s="560"/>
      <c r="DC134" s="67">
        <v>0</v>
      </c>
      <c r="DD134" s="66"/>
      <c r="DE134" s="67"/>
      <c r="DF134" s="560"/>
      <c r="DG134" s="560"/>
      <c r="DH134" s="67">
        <v>0</v>
      </c>
      <c r="DI134" s="66"/>
      <c r="DJ134" s="67"/>
      <c r="DK134" s="560"/>
      <c r="DL134" s="560"/>
      <c r="DM134" s="67">
        <v>0</v>
      </c>
      <c r="DN134" s="66"/>
      <c r="DO134" s="67"/>
      <c r="DP134" s="560"/>
      <c r="DQ134" s="560"/>
      <c r="DR134" s="67">
        <v>0</v>
      </c>
      <c r="DS134" s="66"/>
      <c r="DT134" s="67"/>
      <c r="DU134" s="560"/>
      <c r="DV134" s="560"/>
      <c r="DW134" s="67">
        <v>0</v>
      </c>
      <c r="DX134" s="66"/>
      <c r="DY134" s="67"/>
      <c r="DZ134" s="560"/>
      <c r="EA134" s="560"/>
      <c r="EB134" s="67">
        <v>0</v>
      </c>
      <c r="EC134" s="66"/>
      <c r="ED134" s="67"/>
      <c r="EE134" s="560"/>
      <c r="EF134" s="560"/>
      <c r="EG134" s="67">
        <v>0</v>
      </c>
      <c r="EH134" s="66"/>
      <c r="EI134" s="67"/>
      <c r="EJ134" s="560"/>
      <c r="EK134" s="560"/>
      <c r="EL134" s="67">
        <f>SUM(CD134:EG134)</f>
        <v>0</v>
      </c>
      <c r="EM134" s="480"/>
      <c r="EN134" s="442"/>
      <c r="EO134" s="455"/>
      <c r="EP134" s="472"/>
      <c r="EQ134" s="472"/>
    </row>
    <row r="135" spans="1:147" hidden="1" x14ac:dyDescent="0.2">
      <c r="A135" s="442"/>
      <c r="B135" s="442"/>
      <c r="D135" s="455" t="s">
        <v>432</v>
      </c>
      <c r="E135" s="465"/>
      <c r="F135" s="488"/>
      <c r="G135" s="113">
        <v>0</v>
      </c>
      <c r="H135" s="112"/>
      <c r="I135" s="67"/>
      <c r="J135" s="560"/>
      <c r="K135" s="569"/>
      <c r="L135" s="113">
        <v>0</v>
      </c>
      <c r="M135" s="112"/>
      <c r="N135" s="67"/>
      <c r="O135" s="560"/>
      <c r="P135" s="569"/>
      <c r="Q135" s="113">
        <v>0</v>
      </c>
      <c r="R135" s="112"/>
      <c r="S135" s="67"/>
      <c r="T135" s="560"/>
      <c r="U135" s="569"/>
      <c r="V135" s="113">
        <v>0</v>
      </c>
      <c r="W135" s="112"/>
      <c r="X135" s="67"/>
      <c r="Y135" s="560"/>
      <c r="Z135" s="569"/>
      <c r="AA135" s="113">
        <v>0</v>
      </c>
      <c r="AB135" s="112"/>
      <c r="AC135" s="67"/>
      <c r="AD135" s="560"/>
      <c r="AE135" s="569"/>
      <c r="AF135" s="113">
        <v>0</v>
      </c>
      <c r="AG135" s="112"/>
      <c r="AH135" s="67"/>
      <c r="AI135" s="560"/>
      <c r="AJ135" s="569"/>
      <c r="AK135" s="113">
        <v>0</v>
      </c>
      <c r="AL135" s="112"/>
      <c r="AM135" s="67"/>
      <c r="AN135" s="560"/>
      <c r="AO135" s="569"/>
      <c r="AP135" s="113">
        <v>0</v>
      </c>
      <c r="AQ135" s="112"/>
      <c r="AR135" s="67"/>
      <c r="AS135" s="560"/>
      <c r="AT135" s="569"/>
      <c r="AU135" s="113">
        <v>0</v>
      </c>
      <c r="AV135" s="112"/>
      <c r="AW135" s="67"/>
      <c r="AX135" s="560"/>
      <c r="AY135" s="569"/>
      <c r="AZ135" s="113">
        <v>0</v>
      </c>
      <c r="BA135" s="112"/>
      <c r="BB135" s="67"/>
      <c r="BC135" s="560"/>
      <c r="BD135" s="569"/>
      <c r="BE135" s="113">
        <v>0</v>
      </c>
      <c r="BF135" s="112"/>
      <c r="BG135" s="67"/>
      <c r="BH135" s="560"/>
      <c r="BI135" s="569"/>
      <c r="BJ135" s="113">
        <v>0</v>
      </c>
      <c r="BK135" s="112"/>
      <c r="BL135" s="67"/>
      <c r="BM135" s="560"/>
      <c r="BN135" s="569"/>
      <c r="BO135" s="113">
        <v>0</v>
      </c>
      <c r="BP135" s="112"/>
      <c r="BQ135" s="67"/>
      <c r="BR135" s="560"/>
      <c r="BS135" s="569"/>
      <c r="BT135" s="113">
        <f>SUM(L135:BO135)</f>
        <v>0</v>
      </c>
      <c r="BU135" s="112"/>
      <c r="BV135" s="67"/>
      <c r="BW135" s="560"/>
      <c r="BX135" s="569"/>
      <c r="BY135" s="113">
        <v>0</v>
      </c>
      <c r="BZ135" s="112"/>
      <c r="CA135" s="67"/>
      <c r="CB135" s="560"/>
      <c r="CC135" s="569"/>
      <c r="CD135" s="113">
        <v>0</v>
      </c>
      <c r="CE135" s="112"/>
      <c r="CF135" s="67"/>
      <c r="CG135" s="560"/>
      <c r="CH135" s="569"/>
      <c r="CI135" s="113">
        <v>0</v>
      </c>
      <c r="CJ135" s="112"/>
      <c r="CK135" s="67"/>
      <c r="CL135" s="560"/>
      <c r="CM135" s="569"/>
      <c r="CN135" s="113">
        <v>0</v>
      </c>
      <c r="CO135" s="112"/>
      <c r="CP135" s="67"/>
      <c r="CQ135" s="560"/>
      <c r="CR135" s="569"/>
      <c r="CS135" s="113">
        <v>0</v>
      </c>
      <c r="CT135" s="112"/>
      <c r="CU135" s="67"/>
      <c r="CV135" s="560"/>
      <c r="CW135" s="569"/>
      <c r="CX135" s="113">
        <v>0</v>
      </c>
      <c r="CY135" s="112"/>
      <c r="CZ135" s="67"/>
      <c r="DA135" s="560"/>
      <c r="DB135" s="569"/>
      <c r="DC135" s="113">
        <v>0</v>
      </c>
      <c r="DD135" s="112"/>
      <c r="DE135" s="67"/>
      <c r="DF135" s="560"/>
      <c r="DG135" s="569"/>
      <c r="DH135" s="113">
        <v>0</v>
      </c>
      <c r="DI135" s="112"/>
      <c r="DJ135" s="67"/>
      <c r="DK135" s="560"/>
      <c r="DL135" s="569"/>
      <c r="DM135" s="113">
        <v>0</v>
      </c>
      <c r="DN135" s="112"/>
      <c r="DO135" s="67"/>
      <c r="DP135" s="560"/>
      <c r="DQ135" s="569"/>
      <c r="DR135" s="113">
        <v>0</v>
      </c>
      <c r="DS135" s="112"/>
      <c r="DT135" s="67"/>
      <c r="DU135" s="560"/>
      <c r="DV135" s="569"/>
      <c r="DW135" s="113">
        <v>0</v>
      </c>
      <c r="DX135" s="112"/>
      <c r="DY135" s="67"/>
      <c r="DZ135" s="560"/>
      <c r="EA135" s="569"/>
      <c r="EB135" s="113">
        <v>0</v>
      </c>
      <c r="EC135" s="112"/>
      <c r="ED135" s="67"/>
      <c r="EE135" s="560"/>
      <c r="EF135" s="569"/>
      <c r="EG135" s="113">
        <v>0</v>
      </c>
      <c r="EH135" s="112"/>
      <c r="EI135" s="67"/>
      <c r="EJ135" s="560"/>
      <c r="EK135" s="569"/>
      <c r="EL135" s="113">
        <f>SUM(CD135:EG135)</f>
        <v>0</v>
      </c>
      <c r="EM135" s="490"/>
      <c r="EN135" s="442"/>
      <c r="EO135" s="455"/>
      <c r="EP135" s="472"/>
      <c r="EQ135" s="472"/>
    </row>
    <row r="136" spans="1:147" hidden="1" x14ac:dyDescent="0.2">
      <c r="A136" s="442"/>
      <c r="B136" s="442"/>
      <c r="D136" s="455"/>
      <c r="E136" s="465"/>
      <c r="F136" s="442"/>
      <c r="G136" s="67"/>
      <c r="H136" s="67"/>
      <c r="I136" s="67"/>
      <c r="J136" s="560"/>
      <c r="K136" s="67"/>
      <c r="L136" s="67"/>
      <c r="M136" s="67"/>
      <c r="N136" s="67"/>
      <c r="O136" s="560"/>
      <c r="P136" s="67"/>
      <c r="Q136" s="67"/>
      <c r="R136" s="67"/>
      <c r="S136" s="67"/>
      <c r="T136" s="560"/>
      <c r="U136" s="67"/>
      <c r="V136" s="67"/>
      <c r="W136" s="67"/>
      <c r="X136" s="67"/>
      <c r="Y136" s="560"/>
      <c r="Z136" s="67"/>
      <c r="AA136" s="67"/>
      <c r="AB136" s="67"/>
      <c r="AC136" s="67"/>
      <c r="AD136" s="560"/>
      <c r="AE136" s="67"/>
      <c r="AF136" s="67"/>
      <c r="AG136" s="67"/>
      <c r="AH136" s="67"/>
      <c r="AI136" s="560"/>
      <c r="AJ136" s="67"/>
      <c r="AK136" s="67"/>
      <c r="AL136" s="67"/>
      <c r="AM136" s="67"/>
      <c r="AN136" s="560"/>
      <c r="AO136" s="67"/>
      <c r="AP136" s="67"/>
      <c r="AQ136" s="67"/>
      <c r="AR136" s="67"/>
      <c r="AS136" s="560"/>
      <c r="AT136" s="67"/>
      <c r="AU136" s="67"/>
      <c r="AV136" s="67"/>
      <c r="AW136" s="67"/>
      <c r="AX136" s="560"/>
      <c r="AY136" s="67"/>
      <c r="AZ136" s="67"/>
      <c r="BA136" s="67"/>
      <c r="BB136" s="67"/>
      <c r="BC136" s="560"/>
      <c r="BD136" s="67"/>
      <c r="BE136" s="67"/>
      <c r="BF136" s="67"/>
      <c r="BG136" s="67"/>
      <c r="BH136" s="560"/>
      <c r="BI136" s="67"/>
      <c r="BJ136" s="67"/>
      <c r="BK136" s="67"/>
      <c r="BL136" s="67"/>
      <c r="BM136" s="560"/>
      <c r="BN136" s="67"/>
      <c r="BO136" s="67"/>
      <c r="BP136" s="67"/>
      <c r="BQ136" s="67"/>
      <c r="BR136" s="560"/>
      <c r="BS136" s="67"/>
      <c r="BT136" s="67"/>
      <c r="BU136" s="67"/>
      <c r="BV136" s="67"/>
      <c r="BW136" s="560"/>
      <c r="BX136" s="67"/>
      <c r="BY136" s="67"/>
      <c r="BZ136" s="67"/>
      <c r="CA136" s="67"/>
      <c r="CB136" s="560"/>
      <c r="CC136" s="67"/>
      <c r="CD136" s="67"/>
      <c r="CE136" s="67"/>
      <c r="CF136" s="67"/>
      <c r="CG136" s="560"/>
      <c r="CH136" s="67"/>
      <c r="CI136" s="67"/>
      <c r="CJ136" s="67"/>
      <c r="CK136" s="67"/>
      <c r="CL136" s="560"/>
      <c r="CM136" s="67"/>
      <c r="CN136" s="67"/>
      <c r="CO136" s="67"/>
      <c r="CP136" s="67"/>
      <c r="CQ136" s="560"/>
      <c r="CR136" s="67"/>
      <c r="CS136" s="67"/>
      <c r="CT136" s="67"/>
      <c r="CU136" s="67"/>
      <c r="CV136" s="560"/>
      <c r="CW136" s="67"/>
      <c r="CX136" s="67"/>
      <c r="CY136" s="67"/>
      <c r="CZ136" s="67"/>
      <c r="DA136" s="560"/>
      <c r="DB136" s="67"/>
      <c r="DC136" s="67"/>
      <c r="DD136" s="67"/>
      <c r="DE136" s="67"/>
      <c r="DF136" s="560"/>
      <c r="DG136" s="67"/>
      <c r="DH136" s="67"/>
      <c r="DI136" s="67"/>
      <c r="DJ136" s="67"/>
      <c r="DK136" s="560"/>
      <c r="DL136" s="67"/>
      <c r="DM136" s="67"/>
      <c r="DN136" s="67"/>
      <c r="DO136" s="67"/>
      <c r="DP136" s="560"/>
      <c r="DQ136" s="67"/>
      <c r="DR136" s="67"/>
      <c r="DS136" s="67"/>
      <c r="DT136" s="67"/>
      <c r="DU136" s="560"/>
      <c r="DV136" s="67"/>
      <c r="DW136" s="67"/>
      <c r="DX136" s="67"/>
      <c r="DY136" s="67"/>
      <c r="DZ136" s="560"/>
      <c r="EA136" s="67"/>
      <c r="EB136" s="67"/>
      <c r="EC136" s="67"/>
      <c r="ED136" s="67"/>
      <c r="EE136" s="560"/>
      <c r="EF136" s="67"/>
      <c r="EG136" s="67"/>
      <c r="EH136" s="67"/>
      <c r="EI136" s="67"/>
      <c r="EJ136" s="560"/>
      <c r="EK136" s="67"/>
      <c r="EL136" s="67"/>
      <c r="EM136" s="442"/>
      <c r="EN136" s="442"/>
      <c r="EO136" s="455"/>
      <c r="EP136" s="472"/>
      <c r="EQ136" s="472"/>
    </row>
    <row r="137" spans="1:147" hidden="1" x14ac:dyDescent="0.2">
      <c r="A137" s="442"/>
      <c r="B137" s="442"/>
      <c r="D137" s="455" t="s">
        <v>435</v>
      </c>
      <c r="E137" s="465"/>
      <c r="F137" s="442"/>
      <c r="G137" s="67">
        <f>SUM(G138:G140)</f>
        <v>0</v>
      </c>
      <c r="H137" s="67"/>
      <c r="I137" s="67"/>
      <c r="J137" s="560"/>
      <c r="K137" s="67"/>
      <c r="L137" s="67">
        <f>SUM(L138:L140)</f>
        <v>0</v>
      </c>
      <c r="M137" s="67"/>
      <c r="N137" s="67"/>
      <c r="O137" s="560"/>
      <c r="P137" s="67"/>
      <c r="Q137" s="67">
        <f>SUM(Q138:Q140)</f>
        <v>0</v>
      </c>
      <c r="R137" s="67"/>
      <c r="S137" s="67"/>
      <c r="T137" s="560"/>
      <c r="U137" s="67"/>
      <c r="V137" s="67">
        <f>SUM(V138:V140)</f>
        <v>0</v>
      </c>
      <c r="W137" s="67"/>
      <c r="X137" s="67"/>
      <c r="Y137" s="560"/>
      <c r="Z137" s="67"/>
      <c r="AA137" s="67">
        <f>SUM(AA138:AA140)</f>
        <v>0</v>
      </c>
      <c r="AB137" s="67"/>
      <c r="AC137" s="67"/>
      <c r="AD137" s="560"/>
      <c r="AE137" s="67"/>
      <c r="AF137" s="67">
        <f>SUM(AF138:AF140)</f>
        <v>0</v>
      </c>
      <c r="AG137" s="67"/>
      <c r="AH137" s="67"/>
      <c r="AI137" s="560"/>
      <c r="AJ137" s="67"/>
      <c r="AK137" s="67">
        <f>SUM(AK138:AK140)</f>
        <v>0</v>
      </c>
      <c r="AL137" s="67"/>
      <c r="AM137" s="67"/>
      <c r="AN137" s="560"/>
      <c r="AO137" s="67"/>
      <c r="AP137" s="67">
        <f>SUM(AP138:AP140)</f>
        <v>0</v>
      </c>
      <c r="AQ137" s="67"/>
      <c r="AR137" s="67"/>
      <c r="AS137" s="560"/>
      <c r="AT137" s="67"/>
      <c r="AU137" s="67">
        <f>SUM(AU138:AU140)</f>
        <v>0</v>
      </c>
      <c r="AV137" s="67"/>
      <c r="AW137" s="67"/>
      <c r="AX137" s="560"/>
      <c r="AY137" s="67"/>
      <c r="AZ137" s="67">
        <f>SUM(AZ138:AZ140)</f>
        <v>0</v>
      </c>
      <c r="BA137" s="67"/>
      <c r="BB137" s="67"/>
      <c r="BC137" s="560"/>
      <c r="BD137" s="67"/>
      <c r="BE137" s="67">
        <f>SUM(BE138:BE140)</f>
        <v>0</v>
      </c>
      <c r="BF137" s="67"/>
      <c r="BG137" s="67"/>
      <c r="BH137" s="560"/>
      <c r="BI137" s="67"/>
      <c r="BJ137" s="67">
        <f>SUM(BJ138:BJ140)</f>
        <v>0</v>
      </c>
      <c r="BK137" s="67"/>
      <c r="BL137" s="67"/>
      <c r="BM137" s="560"/>
      <c r="BN137" s="67"/>
      <c r="BO137" s="67">
        <f>SUM(BO138:BO140)</f>
        <v>0</v>
      </c>
      <c r="BP137" s="67"/>
      <c r="BQ137" s="67"/>
      <c r="BR137" s="560"/>
      <c r="BS137" s="67"/>
      <c r="BT137" s="67">
        <f>SUM(BT138:BT140)</f>
        <v>0</v>
      </c>
      <c r="BU137" s="67"/>
      <c r="BV137" s="67"/>
      <c r="BW137" s="560"/>
      <c r="BX137" s="67"/>
      <c r="BY137" s="67">
        <f>SUM(BY138:BY140)</f>
        <v>0</v>
      </c>
      <c r="BZ137" s="67"/>
      <c r="CA137" s="67"/>
      <c r="CB137" s="560"/>
      <c r="CC137" s="67"/>
      <c r="CD137" s="67">
        <f>SUM(CD138:CD140)</f>
        <v>0</v>
      </c>
      <c r="CE137" s="67"/>
      <c r="CF137" s="67"/>
      <c r="CG137" s="560"/>
      <c r="CH137" s="67"/>
      <c r="CI137" s="67">
        <f>SUM(CI138:CI140)</f>
        <v>0</v>
      </c>
      <c r="CJ137" s="67"/>
      <c r="CK137" s="67"/>
      <c r="CL137" s="560"/>
      <c r="CM137" s="67"/>
      <c r="CN137" s="67">
        <f>SUM(CN138:CN140)</f>
        <v>0</v>
      </c>
      <c r="CO137" s="67"/>
      <c r="CP137" s="67"/>
      <c r="CQ137" s="560"/>
      <c r="CR137" s="67"/>
      <c r="CS137" s="67">
        <f>SUM(CS138:CS140)</f>
        <v>0</v>
      </c>
      <c r="CT137" s="67"/>
      <c r="CU137" s="67"/>
      <c r="CV137" s="560"/>
      <c r="CW137" s="67"/>
      <c r="CX137" s="67">
        <f>SUM(CX138:CX140)</f>
        <v>0</v>
      </c>
      <c r="CY137" s="67"/>
      <c r="CZ137" s="67"/>
      <c r="DA137" s="560"/>
      <c r="DB137" s="67"/>
      <c r="DC137" s="67">
        <f>SUM(DC138:DC140)</f>
        <v>0</v>
      </c>
      <c r="DD137" s="67"/>
      <c r="DE137" s="67"/>
      <c r="DF137" s="560"/>
      <c r="DG137" s="67"/>
      <c r="DH137" s="67">
        <f>SUM(DH138:DH140)</f>
        <v>0</v>
      </c>
      <c r="DI137" s="67"/>
      <c r="DJ137" s="67"/>
      <c r="DK137" s="560"/>
      <c r="DL137" s="67"/>
      <c r="DM137" s="67">
        <f>SUM(DM138:DM140)</f>
        <v>0</v>
      </c>
      <c r="DN137" s="67"/>
      <c r="DO137" s="67"/>
      <c r="DP137" s="560"/>
      <c r="DQ137" s="67"/>
      <c r="DR137" s="67">
        <f>SUM(DR138:DR140)</f>
        <v>0</v>
      </c>
      <c r="DS137" s="67"/>
      <c r="DT137" s="67"/>
      <c r="DU137" s="560"/>
      <c r="DV137" s="67"/>
      <c r="DW137" s="67">
        <f>SUM(DW138:DW140)</f>
        <v>0</v>
      </c>
      <c r="DX137" s="67"/>
      <c r="DY137" s="67"/>
      <c r="DZ137" s="560"/>
      <c r="EA137" s="67"/>
      <c r="EB137" s="67">
        <f>SUM(EB138:EB140)</f>
        <v>0</v>
      </c>
      <c r="EC137" s="67"/>
      <c r="ED137" s="67"/>
      <c r="EE137" s="560"/>
      <c r="EF137" s="67"/>
      <c r="EG137" s="67">
        <f>SUM(EG138:EG140)</f>
        <v>0</v>
      </c>
      <c r="EH137" s="67"/>
      <c r="EI137" s="67"/>
      <c r="EJ137" s="560"/>
      <c r="EK137" s="67"/>
      <c r="EL137" s="67">
        <f>SUM(EL138:EL140)</f>
        <v>0</v>
      </c>
      <c r="EM137" s="442"/>
      <c r="EN137" s="442"/>
      <c r="EO137" s="455"/>
      <c r="EP137" s="472"/>
      <c r="EQ137" s="472"/>
    </row>
    <row r="138" spans="1:147" hidden="1" x14ac:dyDescent="0.2">
      <c r="A138" s="442"/>
      <c r="B138" s="442"/>
      <c r="D138" s="455" t="s">
        <v>342</v>
      </c>
      <c r="E138" s="465"/>
      <c r="F138" s="473"/>
      <c r="G138" s="558">
        <v>0</v>
      </c>
      <c r="H138" s="559"/>
      <c r="I138" s="67"/>
      <c r="J138" s="560"/>
      <c r="K138" s="561"/>
      <c r="L138" s="558">
        <v>0</v>
      </c>
      <c r="M138" s="559"/>
      <c r="N138" s="67"/>
      <c r="O138" s="560"/>
      <c r="P138" s="561"/>
      <c r="Q138" s="558">
        <v>0</v>
      </c>
      <c r="R138" s="559"/>
      <c r="S138" s="67"/>
      <c r="T138" s="560"/>
      <c r="U138" s="561"/>
      <c r="V138" s="558">
        <v>0</v>
      </c>
      <c r="W138" s="559"/>
      <c r="X138" s="67"/>
      <c r="Y138" s="560"/>
      <c r="Z138" s="561"/>
      <c r="AA138" s="558">
        <v>0</v>
      </c>
      <c r="AB138" s="559"/>
      <c r="AC138" s="67"/>
      <c r="AD138" s="560"/>
      <c r="AE138" s="561"/>
      <c r="AF138" s="558">
        <v>0</v>
      </c>
      <c r="AG138" s="559"/>
      <c r="AH138" s="67"/>
      <c r="AI138" s="560"/>
      <c r="AJ138" s="561"/>
      <c r="AK138" s="558">
        <v>0</v>
      </c>
      <c r="AL138" s="559"/>
      <c r="AM138" s="67"/>
      <c r="AN138" s="560"/>
      <c r="AO138" s="561"/>
      <c r="AP138" s="558">
        <v>0</v>
      </c>
      <c r="AQ138" s="559"/>
      <c r="AR138" s="67"/>
      <c r="AS138" s="560"/>
      <c r="AT138" s="561"/>
      <c r="AU138" s="558">
        <v>0</v>
      </c>
      <c r="AV138" s="559"/>
      <c r="AW138" s="67"/>
      <c r="AX138" s="560"/>
      <c r="AY138" s="561"/>
      <c r="AZ138" s="558">
        <v>0</v>
      </c>
      <c r="BA138" s="559"/>
      <c r="BB138" s="67"/>
      <c r="BC138" s="560"/>
      <c r="BD138" s="561"/>
      <c r="BE138" s="558">
        <v>0</v>
      </c>
      <c r="BF138" s="559"/>
      <c r="BG138" s="67"/>
      <c r="BH138" s="560"/>
      <c r="BI138" s="561"/>
      <c r="BJ138" s="558">
        <v>0</v>
      </c>
      <c r="BK138" s="559"/>
      <c r="BL138" s="67"/>
      <c r="BM138" s="560"/>
      <c r="BN138" s="561"/>
      <c r="BO138" s="558">
        <v>0</v>
      </c>
      <c r="BP138" s="559"/>
      <c r="BQ138" s="67"/>
      <c r="BR138" s="560"/>
      <c r="BS138" s="561"/>
      <c r="BT138" s="558">
        <f>SUM(L138:BO138)</f>
        <v>0</v>
      </c>
      <c r="BU138" s="559"/>
      <c r="BV138" s="67"/>
      <c r="BW138" s="560"/>
      <c r="BX138" s="561"/>
      <c r="BY138" s="558">
        <v>0</v>
      </c>
      <c r="BZ138" s="559"/>
      <c r="CA138" s="67"/>
      <c r="CB138" s="560"/>
      <c r="CC138" s="561"/>
      <c r="CD138" s="558">
        <v>0</v>
      </c>
      <c r="CE138" s="559"/>
      <c r="CF138" s="67"/>
      <c r="CG138" s="560"/>
      <c r="CH138" s="561"/>
      <c r="CI138" s="558">
        <v>0</v>
      </c>
      <c r="CJ138" s="559"/>
      <c r="CK138" s="67"/>
      <c r="CL138" s="560"/>
      <c r="CM138" s="561"/>
      <c r="CN138" s="558">
        <v>0</v>
      </c>
      <c r="CO138" s="559"/>
      <c r="CP138" s="67"/>
      <c r="CQ138" s="560"/>
      <c r="CR138" s="561"/>
      <c r="CS138" s="558">
        <v>0</v>
      </c>
      <c r="CT138" s="559"/>
      <c r="CU138" s="67"/>
      <c r="CV138" s="560"/>
      <c r="CW138" s="561"/>
      <c r="CX138" s="558">
        <v>0</v>
      </c>
      <c r="CY138" s="559"/>
      <c r="CZ138" s="67"/>
      <c r="DA138" s="560"/>
      <c r="DB138" s="561"/>
      <c r="DC138" s="558">
        <v>0</v>
      </c>
      <c r="DD138" s="559"/>
      <c r="DE138" s="67"/>
      <c r="DF138" s="560"/>
      <c r="DG138" s="561"/>
      <c r="DH138" s="558">
        <v>0</v>
      </c>
      <c r="DI138" s="559"/>
      <c r="DJ138" s="67"/>
      <c r="DK138" s="560"/>
      <c r="DL138" s="561"/>
      <c r="DM138" s="558">
        <v>0</v>
      </c>
      <c r="DN138" s="559"/>
      <c r="DO138" s="67"/>
      <c r="DP138" s="560"/>
      <c r="DQ138" s="561"/>
      <c r="DR138" s="558">
        <v>0</v>
      </c>
      <c r="DS138" s="559"/>
      <c r="DT138" s="67"/>
      <c r="DU138" s="560"/>
      <c r="DV138" s="561"/>
      <c r="DW138" s="558">
        <v>0</v>
      </c>
      <c r="DX138" s="559"/>
      <c r="DY138" s="67"/>
      <c r="DZ138" s="560"/>
      <c r="EA138" s="561"/>
      <c r="EB138" s="558">
        <v>0</v>
      </c>
      <c r="EC138" s="559"/>
      <c r="ED138" s="67"/>
      <c r="EE138" s="560"/>
      <c r="EF138" s="561"/>
      <c r="EG138" s="558">
        <v>0</v>
      </c>
      <c r="EH138" s="559"/>
      <c r="EI138" s="67"/>
      <c r="EJ138" s="560"/>
      <c r="EK138" s="561"/>
      <c r="EL138" s="558">
        <f>SUM(CD138:EG138)</f>
        <v>0</v>
      </c>
      <c r="EM138" s="475"/>
      <c r="EN138" s="442"/>
      <c r="EO138" s="455"/>
      <c r="EP138" s="472"/>
      <c r="EQ138" s="472"/>
    </row>
    <row r="139" spans="1:147" hidden="1" x14ac:dyDescent="0.2">
      <c r="A139" s="442"/>
      <c r="B139" s="442"/>
      <c r="D139" s="455" t="s">
        <v>431</v>
      </c>
      <c r="E139" s="465"/>
      <c r="F139" s="465"/>
      <c r="G139" s="67">
        <v>0</v>
      </c>
      <c r="H139" s="66"/>
      <c r="I139" s="67"/>
      <c r="J139" s="560"/>
      <c r="K139" s="560"/>
      <c r="L139" s="67">
        <v>0</v>
      </c>
      <c r="M139" s="66"/>
      <c r="N139" s="67"/>
      <c r="O139" s="560"/>
      <c r="P139" s="560"/>
      <c r="Q139" s="67">
        <v>0</v>
      </c>
      <c r="R139" s="66"/>
      <c r="S139" s="67"/>
      <c r="T139" s="560"/>
      <c r="U139" s="560"/>
      <c r="V139" s="67">
        <v>0</v>
      </c>
      <c r="W139" s="66"/>
      <c r="X139" s="67"/>
      <c r="Y139" s="560"/>
      <c r="Z139" s="560"/>
      <c r="AA139" s="67">
        <v>0</v>
      </c>
      <c r="AB139" s="66"/>
      <c r="AC139" s="67"/>
      <c r="AD139" s="560"/>
      <c r="AE139" s="560"/>
      <c r="AF139" s="67">
        <v>0</v>
      </c>
      <c r="AG139" s="66"/>
      <c r="AH139" s="67"/>
      <c r="AI139" s="560"/>
      <c r="AJ139" s="560"/>
      <c r="AK139" s="67">
        <v>0</v>
      </c>
      <c r="AL139" s="66"/>
      <c r="AM139" s="67"/>
      <c r="AN139" s="560"/>
      <c r="AO139" s="560"/>
      <c r="AP139" s="67">
        <v>0</v>
      </c>
      <c r="AQ139" s="66"/>
      <c r="AR139" s="67"/>
      <c r="AS139" s="560"/>
      <c r="AT139" s="560"/>
      <c r="AU139" s="67">
        <v>0</v>
      </c>
      <c r="AV139" s="66"/>
      <c r="AW139" s="67"/>
      <c r="AX139" s="560"/>
      <c r="AY139" s="560"/>
      <c r="AZ139" s="67">
        <v>0</v>
      </c>
      <c r="BA139" s="66"/>
      <c r="BB139" s="67"/>
      <c r="BC139" s="560"/>
      <c r="BD139" s="560"/>
      <c r="BE139" s="67">
        <v>0</v>
      </c>
      <c r="BF139" s="66"/>
      <c r="BG139" s="67"/>
      <c r="BH139" s="560"/>
      <c r="BI139" s="560"/>
      <c r="BJ139" s="67">
        <v>0</v>
      </c>
      <c r="BK139" s="66"/>
      <c r="BL139" s="67"/>
      <c r="BM139" s="560"/>
      <c r="BN139" s="560"/>
      <c r="BO139" s="67">
        <v>0</v>
      </c>
      <c r="BP139" s="66"/>
      <c r="BQ139" s="67"/>
      <c r="BR139" s="560"/>
      <c r="BS139" s="560"/>
      <c r="BT139" s="67">
        <f>SUM(L139:BO139)</f>
        <v>0</v>
      </c>
      <c r="BU139" s="66"/>
      <c r="BV139" s="67"/>
      <c r="BW139" s="560"/>
      <c r="BX139" s="560"/>
      <c r="BY139" s="67">
        <v>0</v>
      </c>
      <c r="BZ139" s="66"/>
      <c r="CA139" s="67"/>
      <c r="CB139" s="560"/>
      <c r="CC139" s="560"/>
      <c r="CD139" s="67">
        <v>0</v>
      </c>
      <c r="CE139" s="66"/>
      <c r="CF139" s="67"/>
      <c r="CG139" s="560"/>
      <c r="CH139" s="560"/>
      <c r="CI139" s="67">
        <v>0</v>
      </c>
      <c r="CJ139" s="66"/>
      <c r="CK139" s="67"/>
      <c r="CL139" s="560"/>
      <c r="CM139" s="560"/>
      <c r="CN139" s="67">
        <v>0</v>
      </c>
      <c r="CO139" s="66"/>
      <c r="CP139" s="67"/>
      <c r="CQ139" s="560"/>
      <c r="CR139" s="560"/>
      <c r="CS139" s="67">
        <v>0</v>
      </c>
      <c r="CT139" s="66"/>
      <c r="CU139" s="67"/>
      <c r="CV139" s="560"/>
      <c r="CW139" s="560"/>
      <c r="CX139" s="67">
        <v>0</v>
      </c>
      <c r="CY139" s="66"/>
      <c r="CZ139" s="67"/>
      <c r="DA139" s="560"/>
      <c r="DB139" s="560"/>
      <c r="DC139" s="67">
        <v>0</v>
      </c>
      <c r="DD139" s="66"/>
      <c r="DE139" s="67"/>
      <c r="DF139" s="560"/>
      <c r="DG139" s="560"/>
      <c r="DH139" s="67">
        <v>0</v>
      </c>
      <c r="DI139" s="66"/>
      <c r="DJ139" s="67"/>
      <c r="DK139" s="560"/>
      <c r="DL139" s="560"/>
      <c r="DM139" s="67">
        <v>0</v>
      </c>
      <c r="DN139" s="66"/>
      <c r="DO139" s="67"/>
      <c r="DP139" s="560"/>
      <c r="DQ139" s="560"/>
      <c r="DR139" s="67">
        <v>0</v>
      </c>
      <c r="DS139" s="66"/>
      <c r="DT139" s="67"/>
      <c r="DU139" s="560"/>
      <c r="DV139" s="560"/>
      <c r="DW139" s="67">
        <v>0</v>
      </c>
      <c r="DX139" s="66"/>
      <c r="DY139" s="67"/>
      <c r="DZ139" s="560"/>
      <c r="EA139" s="560"/>
      <c r="EB139" s="67">
        <v>0</v>
      </c>
      <c r="EC139" s="66"/>
      <c r="ED139" s="67"/>
      <c r="EE139" s="560"/>
      <c r="EF139" s="560"/>
      <c r="EG139" s="67">
        <v>0</v>
      </c>
      <c r="EH139" s="66"/>
      <c r="EI139" s="67"/>
      <c r="EJ139" s="560"/>
      <c r="EK139" s="560"/>
      <c r="EL139" s="67">
        <f>SUM(CD139:EG139)</f>
        <v>0</v>
      </c>
      <c r="EM139" s="480"/>
      <c r="EN139" s="442"/>
      <c r="EO139" s="455"/>
      <c r="EP139" s="472"/>
      <c r="EQ139" s="472"/>
    </row>
    <row r="140" spans="1:147" hidden="1" x14ac:dyDescent="0.2">
      <c r="A140" s="442"/>
      <c r="B140" s="442"/>
      <c r="D140" s="455" t="s">
        <v>432</v>
      </c>
      <c r="E140" s="465"/>
      <c r="F140" s="488"/>
      <c r="G140" s="113">
        <v>0</v>
      </c>
      <c r="H140" s="112"/>
      <c r="I140" s="67"/>
      <c r="J140" s="560"/>
      <c r="K140" s="569"/>
      <c r="L140" s="113">
        <v>0</v>
      </c>
      <c r="M140" s="112"/>
      <c r="N140" s="67"/>
      <c r="O140" s="560"/>
      <c r="P140" s="569"/>
      <c r="Q140" s="113">
        <v>0</v>
      </c>
      <c r="R140" s="112"/>
      <c r="S140" s="67"/>
      <c r="T140" s="560"/>
      <c r="U140" s="569"/>
      <c r="V140" s="113">
        <v>0</v>
      </c>
      <c r="W140" s="112"/>
      <c r="X140" s="67"/>
      <c r="Y140" s="560"/>
      <c r="Z140" s="569"/>
      <c r="AA140" s="113">
        <v>0</v>
      </c>
      <c r="AB140" s="112"/>
      <c r="AC140" s="67"/>
      <c r="AD140" s="560"/>
      <c r="AE140" s="569"/>
      <c r="AF140" s="113">
        <v>0</v>
      </c>
      <c r="AG140" s="112"/>
      <c r="AH140" s="67"/>
      <c r="AI140" s="560"/>
      <c r="AJ140" s="569"/>
      <c r="AK140" s="113">
        <v>0</v>
      </c>
      <c r="AL140" s="112"/>
      <c r="AM140" s="67"/>
      <c r="AN140" s="560"/>
      <c r="AO140" s="569"/>
      <c r="AP140" s="113">
        <v>0</v>
      </c>
      <c r="AQ140" s="112"/>
      <c r="AR140" s="67"/>
      <c r="AS140" s="560"/>
      <c r="AT140" s="569"/>
      <c r="AU140" s="113">
        <v>0</v>
      </c>
      <c r="AV140" s="112"/>
      <c r="AW140" s="67"/>
      <c r="AX140" s="560"/>
      <c r="AY140" s="569"/>
      <c r="AZ140" s="113">
        <v>0</v>
      </c>
      <c r="BA140" s="112"/>
      <c r="BB140" s="67"/>
      <c r="BC140" s="560"/>
      <c r="BD140" s="569"/>
      <c r="BE140" s="113">
        <v>0</v>
      </c>
      <c r="BF140" s="112"/>
      <c r="BG140" s="67"/>
      <c r="BH140" s="560"/>
      <c r="BI140" s="569"/>
      <c r="BJ140" s="113">
        <v>0</v>
      </c>
      <c r="BK140" s="112"/>
      <c r="BL140" s="67"/>
      <c r="BM140" s="560"/>
      <c r="BN140" s="569"/>
      <c r="BO140" s="113">
        <v>0</v>
      </c>
      <c r="BP140" s="112"/>
      <c r="BQ140" s="67"/>
      <c r="BR140" s="560"/>
      <c r="BS140" s="569"/>
      <c r="BT140" s="113">
        <f>SUM(L140:BO140)</f>
        <v>0</v>
      </c>
      <c r="BU140" s="112"/>
      <c r="BV140" s="67"/>
      <c r="BW140" s="560"/>
      <c r="BX140" s="569"/>
      <c r="BY140" s="113">
        <v>0</v>
      </c>
      <c r="BZ140" s="112"/>
      <c r="CA140" s="67"/>
      <c r="CB140" s="560"/>
      <c r="CC140" s="569"/>
      <c r="CD140" s="113">
        <v>0</v>
      </c>
      <c r="CE140" s="112"/>
      <c r="CF140" s="67"/>
      <c r="CG140" s="560"/>
      <c r="CH140" s="569"/>
      <c r="CI140" s="113">
        <v>0</v>
      </c>
      <c r="CJ140" s="112"/>
      <c r="CK140" s="67"/>
      <c r="CL140" s="560"/>
      <c r="CM140" s="569"/>
      <c r="CN140" s="113">
        <v>0</v>
      </c>
      <c r="CO140" s="112"/>
      <c r="CP140" s="67"/>
      <c r="CQ140" s="560"/>
      <c r="CR140" s="569"/>
      <c r="CS140" s="113">
        <v>0</v>
      </c>
      <c r="CT140" s="112"/>
      <c r="CU140" s="67"/>
      <c r="CV140" s="560"/>
      <c r="CW140" s="569"/>
      <c r="CX140" s="113">
        <v>0</v>
      </c>
      <c r="CY140" s="112"/>
      <c r="CZ140" s="67"/>
      <c r="DA140" s="560"/>
      <c r="DB140" s="569"/>
      <c r="DC140" s="113">
        <v>0</v>
      </c>
      <c r="DD140" s="112"/>
      <c r="DE140" s="67"/>
      <c r="DF140" s="560"/>
      <c r="DG140" s="569"/>
      <c r="DH140" s="113">
        <v>0</v>
      </c>
      <c r="DI140" s="112"/>
      <c r="DJ140" s="67"/>
      <c r="DK140" s="560"/>
      <c r="DL140" s="569"/>
      <c r="DM140" s="113">
        <v>0</v>
      </c>
      <c r="DN140" s="112"/>
      <c r="DO140" s="67"/>
      <c r="DP140" s="560"/>
      <c r="DQ140" s="569"/>
      <c r="DR140" s="113">
        <v>0</v>
      </c>
      <c r="DS140" s="112"/>
      <c r="DT140" s="67"/>
      <c r="DU140" s="560"/>
      <c r="DV140" s="569"/>
      <c r="DW140" s="113">
        <v>0</v>
      </c>
      <c r="DX140" s="112"/>
      <c r="DY140" s="67"/>
      <c r="DZ140" s="560"/>
      <c r="EA140" s="569"/>
      <c r="EB140" s="113">
        <v>0</v>
      </c>
      <c r="EC140" s="112"/>
      <c r="ED140" s="67"/>
      <c r="EE140" s="560"/>
      <c r="EF140" s="569"/>
      <c r="EG140" s="113">
        <v>0</v>
      </c>
      <c r="EH140" s="112"/>
      <c r="EI140" s="67"/>
      <c r="EJ140" s="560"/>
      <c r="EK140" s="569"/>
      <c r="EL140" s="113">
        <f>SUM(CD140:EG140)</f>
        <v>0</v>
      </c>
      <c r="EM140" s="490"/>
      <c r="EN140" s="442"/>
      <c r="EO140" s="455"/>
      <c r="EP140" s="472"/>
      <c r="EQ140" s="472"/>
    </row>
    <row r="141" spans="1:147" hidden="1" x14ac:dyDescent="0.2">
      <c r="A141" s="442"/>
      <c r="B141" s="442"/>
      <c r="D141" s="455"/>
      <c r="E141" s="465"/>
      <c r="F141" s="442"/>
      <c r="G141" s="67"/>
      <c r="H141" s="67"/>
      <c r="I141" s="67"/>
      <c r="J141" s="560"/>
      <c r="K141" s="67"/>
      <c r="L141" s="67"/>
      <c r="M141" s="67"/>
      <c r="N141" s="67"/>
      <c r="O141" s="560"/>
      <c r="P141" s="67"/>
      <c r="Q141" s="67"/>
      <c r="R141" s="67"/>
      <c r="S141" s="67"/>
      <c r="T141" s="560"/>
      <c r="U141" s="67"/>
      <c r="V141" s="67"/>
      <c r="W141" s="67"/>
      <c r="X141" s="67"/>
      <c r="Y141" s="560"/>
      <c r="Z141" s="67"/>
      <c r="AA141" s="67"/>
      <c r="AB141" s="67"/>
      <c r="AC141" s="67"/>
      <c r="AD141" s="560"/>
      <c r="AE141" s="67"/>
      <c r="AF141" s="67"/>
      <c r="AG141" s="67"/>
      <c r="AH141" s="67"/>
      <c r="AI141" s="560"/>
      <c r="AJ141" s="67"/>
      <c r="AK141" s="67"/>
      <c r="AL141" s="67"/>
      <c r="AM141" s="67"/>
      <c r="AN141" s="560"/>
      <c r="AO141" s="67"/>
      <c r="AP141" s="67"/>
      <c r="AQ141" s="67"/>
      <c r="AR141" s="67"/>
      <c r="AS141" s="560"/>
      <c r="AT141" s="67"/>
      <c r="AU141" s="67"/>
      <c r="AV141" s="67"/>
      <c r="AW141" s="67"/>
      <c r="AX141" s="560"/>
      <c r="AY141" s="67"/>
      <c r="AZ141" s="67"/>
      <c r="BA141" s="67"/>
      <c r="BB141" s="67"/>
      <c r="BC141" s="560"/>
      <c r="BD141" s="67"/>
      <c r="BE141" s="67"/>
      <c r="BF141" s="67"/>
      <c r="BG141" s="67"/>
      <c r="BH141" s="560"/>
      <c r="BI141" s="67"/>
      <c r="BJ141" s="67"/>
      <c r="BK141" s="67"/>
      <c r="BL141" s="67"/>
      <c r="BM141" s="560"/>
      <c r="BN141" s="67"/>
      <c r="BO141" s="67"/>
      <c r="BP141" s="67"/>
      <c r="BQ141" s="67"/>
      <c r="BR141" s="560"/>
      <c r="BS141" s="67"/>
      <c r="BT141" s="67"/>
      <c r="BU141" s="67"/>
      <c r="BV141" s="67"/>
      <c r="BW141" s="560"/>
      <c r="BX141" s="67"/>
      <c r="BY141" s="67"/>
      <c r="BZ141" s="67"/>
      <c r="CA141" s="67"/>
      <c r="CB141" s="560"/>
      <c r="CC141" s="67"/>
      <c r="CD141" s="67"/>
      <c r="CE141" s="67"/>
      <c r="CF141" s="67"/>
      <c r="CG141" s="560"/>
      <c r="CH141" s="67"/>
      <c r="CI141" s="67"/>
      <c r="CJ141" s="67"/>
      <c r="CK141" s="67"/>
      <c r="CL141" s="560"/>
      <c r="CM141" s="67"/>
      <c r="CN141" s="67"/>
      <c r="CO141" s="67"/>
      <c r="CP141" s="67"/>
      <c r="CQ141" s="560"/>
      <c r="CR141" s="67"/>
      <c r="CS141" s="67"/>
      <c r="CT141" s="67"/>
      <c r="CU141" s="67"/>
      <c r="CV141" s="560"/>
      <c r="CW141" s="67"/>
      <c r="CX141" s="67"/>
      <c r="CY141" s="67"/>
      <c r="CZ141" s="67"/>
      <c r="DA141" s="560"/>
      <c r="DB141" s="67"/>
      <c r="DC141" s="67"/>
      <c r="DD141" s="67"/>
      <c r="DE141" s="67"/>
      <c r="DF141" s="560"/>
      <c r="DG141" s="67"/>
      <c r="DH141" s="67"/>
      <c r="DI141" s="67"/>
      <c r="DJ141" s="67"/>
      <c r="DK141" s="560"/>
      <c r="DL141" s="67"/>
      <c r="DM141" s="67"/>
      <c r="DN141" s="67"/>
      <c r="DO141" s="67"/>
      <c r="DP141" s="560"/>
      <c r="DQ141" s="67"/>
      <c r="DR141" s="67"/>
      <c r="DS141" s="67"/>
      <c r="DT141" s="67"/>
      <c r="DU141" s="560"/>
      <c r="DV141" s="67"/>
      <c r="DW141" s="67"/>
      <c r="DX141" s="67"/>
      <c r="DY141" s="67"/>
      <c r="DZ141" s="560"/>
      <c r="EA141" s="67"/>
      <c r="EB141" s="67"/>
      <c r="EC141" s="67"/>
      <c r="ED141" s="67"/>
      <c r="EE141" s="560"/>
      <c r="EF141" s="67"/>
      <c r="EG141" s="67"/>
      <c r="EH141" s="67"/>
      <c r="EI141" s="67"/>
      <c r="EJ141" s="560"/>
      <c r="EK141" s="67"/>
      <c r="EL141" s="67"/>
      <c r="EM141" s="442"/>
      <c r="EN141" s="442"/>
      <c r="EO141" s="455"/>
      <c r="EP141" s="472"/>
      <c r="EQ141" s="472"/>
    </row>
    <row r="142" spans="1:147" hidden="1" x14ac:dyDescent="0.2">
      <c r="A142" s="442"/>
      <c r="B142" s="442"/>
      <c r="D142" s="455" t="s">
        <v>436</v>
      </c>
      <c r="E142" s="465"/>
      <c r="F142" s="442"/>
      <c r="G142" s="67">
        <f>SUM(G143:G145)</f>
        <v>0</v>
      </c>
      <c r="H142" s="67"/>
      <c r="I142" s="67"/>
      <c r="J142" s="560"/>
      <c r="K142" s="67"/>
      <c r="L142" s="67">
        <f>SUM(L143:L145)</f>
        <v>0</v>
      </c>
      <c r="M142" s="67"/>
      <c r="N142" s="67"/>
      <c r="O142" s="560"/>
      <c r="P142" s="67"/>
      <c r="Q142" s="67">
        <f>SUM(Q143:Q145)</f>
        <v>0</v>
      </c>
      <c r="R142" s="67"/>
      <c r="S142" s="67"/>
      <c r="T142" s="560"/>
      <c r="U142" s="67"/>
      <c r="V142" s="67">
        <f>SUM(V143:V145)</f>
        <v>0</v>
      </c>
      <c r="W142" s="67"/>
      <c r="X142" s="67"/>
      <c r="Y142" s="560"/>
      <c r="Z142" s="67"/>
      <c r="AA142" s="67">
        <f>SUM(AA143:AA145)</f>
        <v>0</v>
      </c>
      <c r="AB142" s="67"/>
      <c r="AC142" s="67"/>
      <c r="AD142" s="560"/>
      <c r="AE142" s="67"/>
      <c r="AF142" s="67">
        <f>SUM(AF143:AF145)</f>
        <v>0</v>
      </c>
      <c r="AG142" s="67"/>
      <c r="AH142" s="67"/>
      <c r="AI142" s="560"/>
      <c r="AJ142" s="67"/>
      <c r="AK142" s="67">
        <f>SUM(AK143:AK145)</f>
        <v>0</v>
      </c>
      <c r="AL142" s="67"/>
      <c r="AM142" s="67"/>
      <c r="AN142" s="560"/>
      <c r="AO142" s="67"/>
      <c r="AP142" s="67">
        <f>SUM(AP143:AP145)</f>
        <v>0</v>
      </c>
      <c r="AQ142" s="67"/>
      <c r="AR142" s="67"/>
      <c r="AS142" s="560"/>
      <c r="AT142" s="67"/>
      <c r="AU142" s="67">
        <f>SUM(AU143:AU145)</f>
        <v>0</v>
      </c>
      <c r="AV142" s="67"/>
      <c r="AW142" s="67"/>
      <c r="AX142" s="560"/>
      <c r="AY142" s="67"/>
      <c r="AZ142" s="67">
        <f>SUM(AZ143:AZ145)</f>
        <v>0</v>
      </c>
      <c r="BA142" s="67"/>
      <c r="BB142" s="67"/>
      <c r="BC142" s="560"/>
      <c r="BD142" s="67"/>
      <c r="BE142" s="67">
        <f>SUM(BE143:BE145)</f>
        <v>0</v>
      </c>
      <c r="BF142" s="67"/>
      <c r="BG142" s="67"/>
      <c r="BH142" s="560"/>
      <c r="BI142" s="67"/>
      <c r="BJ142" s="67">
        <f>SUM(BJ143:BJ145)</f>
        <v>0</v>
      </c>
      <c r="BK142" s="67"/>
      <c r="BL142" s="67"/>
      <c r="BM142" s="560"/>
      <c r="BN142" s="67"/>
      <c r="BO142" s="67">
        <f>SUM(BO143:BO145)</f>
        <v>0</v>
      </c>
      <c r="BP142" s="67"/>
      <c r="BQ142" s="67"/>
      <c r="BR142" s="560"/>
      <c r="BS142" s="67"/>
      <c r="BT142" s="67">
        <f>SUM(BT143:BT145)</f>
        <v>0</v>
      </c>
      <c r="BU142" s="67"/>
      <c r="BV142" s="67"/>
      <c r="BW142" s="560"/>
      <c r="BX142" s="67"/>
      <c r="BY142" s="67">
        <f>SUM(BY143:BY145)</f>
        <v>0</v>
      </c>
      <c r="BZ142" s="67"/>
      <c r="CA142" s="67"/>
      <c r="CB142" s="560"/>
      <c r="CC142" s="67"/>
      <c r="CD142" s="67">
        <f>SUM(CD143:CD145)</f>
        <v>0</v>
      </c>
      <c r="CE142" s="67"/>
      <c r="CF142" s="67"/>
      <c r="CG142" s="560"/>
      <c r="CH142" s="67"/>
      <c r="CI142" s="67">
        <f>SUM(CI143:CI145)</f>
        <v>0</v>
      </c>
      <c r="CJ142" s="67"/>
      <c r="CK142" s="67"/>
      <c r="CL142" s="560"/>
      <c r="CM142" s="67"/>
      <c r="CN142" s="67">
        <f>SUM(CN143:CN145)</f>
        <v>0</v>
      </c>
      <c r="CO142" s="67"/>
      <c r="CP142" s="67"/>
      <c r="CQ142" s="560"/>
      <c r="CR142" s="67"/>
      <c r="CS142" s="67">
        <f>SUM(CS143:CS145)</f>
        <v>0</v>
      </c>
      <c r="CT142" s="67"/>
      <c r="CU142" s="67"/>
      <c r="CV142" s="560"/>
      <c r="CW142" s="67"/>
      <c r="CX142" s="67">
        <f>SUM(CX143:CX145)</f>
        <v>0</v>
      </c>
      <c r="CY142" s="67"/>
      <c r="CZ142" s="67"/>
      <c r="DA142" s="560"/>
      <c r="DB142" s="67"/>
      <c r="DC142" s="67">
        <f>SUM(DC143:DC145)</f>
        <v>0</v>
      </c>
      <c r="DD142" s="67"/>
      <c r="DE142" s="67"/>
      <c r="DF142" s="560"/>
      <c r="DG142" s="67"/>
      <c r="DH142" s="67">
        <f>SUM(DH143:DH145)</f>
        <v>0</v>
      </c>
      <c r="DI142" s="67"/>
      <c r="DJ142" s="67"/>
      <c r="DK142" s="560"/>
      <c r="DL142" s="67"/>
      <c r="DM142" s="67">
        <f>SUM(DM143:DM145)</f>
        <v>0</v>
      </c>
      <c r="DN142" s="67"/>
      <c r="DO142" s="67"/>
      <c r="DP142" s="560"/>
      <c r="DQ142" s="67"/>
      <c r="DR142" s="67">
        <f>SUM(DR143:DR145)</f>
        <v>0</v>
      </c>
      <c r="DS142" s="67"/>
      <c r="DT142" s="67"/>
      <c r="DU142" s="560"/>
      <c r="DV142" s="67"/>
      <c r="DW142" s="67">
        <f>SUM(DW143:DW145)</f>
        <v>0</v>
      </c>
      <c r="DX142" s="67"/>
      <c r="DY142" s="67"/>
      <c r="DZ142" s="560"/>
      <c r="EA142" s="67"/>
      <c r="EB142" s="67">
        <f>SUM(EB143:EB145)</f>
        <v>0</v>
      </c>
      <c r="EC142" s="67"/>
      <c r="ED142" s="67"/>
      <c r="EE142" s="560"/>
      <c r="EF142" s="67"/>
      <c r="EG142" s="67">
        <f>SUM(EG143:EG145)</f>
        <v>0</v>
      </c>
      <c r="EH142" s="67"/>
      <c r="EI142" s="67"/>
      <c r="EJ142" s="560"/>
      <c r="EK142" s="67"/>
      <c r="EL142" s="67">
        <f>SUM(EL143:EL145)</f>
        <v>0</v>
      </c>
      <c r="EM142" s="442"/>
      <c r="EN142" s="442"/>
      <c r="EO142" s="455"/>
      <c r="EP142" s="472"/>
      <c r="EQ142" s="472"/>
    </row>
    <row r="143" spans="1:147" hidden="1" x14ac:dyDescent="0.2">
      <c r="A143" s="442"/>
      <c r="B143" s="442"/>
      <c r="D143" s="455" t="s">
        <v>342</v>
      </c>
      <c r="E143" s="465"/>
      <c r="F143" s="473"/>
      <c r="G143" s="558">
        <v>0</v>
      </c>
      <c r="H143" s="559"/>
      <c r="I143" s="67"/>
      <c r="J143" s="560"/>
      <c r="K143" s="561"/>
      <c r="L143" s="558">
        <v>0</v>
      </c>
      <c r="M143" s="559"/>
      <c r="N143" s="67"/>
      <c r="O143" s="560"/>
      <c r="P143" s="561"/>
      <c r="Q143" s="558">
        <v>0</v>
      </c>
      <c r="R143" s="559"/>
      <c r="S143" s="67"/>
      <c r="T143" s="560"/>
      <c r="U143" s="561"/>
      <c r="V143" s="558">
        <v>0</v>
      </c>
      <c r="W143" s="559"/>
      <c r="X143" s="67"/>
      <c r="Y143" s="560"/>
      <c r="Z143" s="561"/>
      <c r="AA143" s="558">
        <v>0</v>
      </c>
      <c r="AB143" s="559"/>
      <c r="AC143" s="67"/>
      <c r="AD143" s="560"/>
      <c r="AE143" s="561"/>
      <c r="AF143" s="558">
        <v>0</v>
      </c>
      <c r="AG143" s="559"/>
      <c r="AH143" s="67"/>
      <c r="AI143" s="560"/>
      <c r="AJ143" s="561"/>
      <c r="AK143" s="558">
        <v>0</v>
      </c>
      <c r="AL143" s="559"/>
      <c r="AM143" s="67"/>
      <c r="AN143" s="560"/>
      <c r="AO143" s="561"/>
      <c r="AP143" s="558">
        <v>0</v>
      </c>
      <c r="AQ143" s="559"/>
      <c r="AR143" s="67"/>
      <c r="AS143" s="560"/>
      <c r="AT143" s="561"/>
      <c r="AU143" s="558">
        <v>0</v>
      </c>
      <c r="AV143" s="559"/>
      <c r="AW143" s="67"/>
      <c r="AX143" s="560"/>
      <c r="AY143" s="561"/>
      <c r="AZ143" s="558">
        <v>0</v>
      </c>
      <c r="BA143" s="559"/>
      <c r="BB143" s="67"/>
      <c r="BC143" s="560"/>
      <c r="BD143" s="561"/>
      <c r="BE143" s="558">
        <v>0</v>
      </c>
      <c r="BF143" s="559"/>
      <c r="BG143" s="67"/>
      <c r="BH143" s="560"/>
      <c r="BI143" s="561"/>
      <c r="BJ143" s="558">
        <v>0</v>
      </c>
      <c r="BK143" s="559"/>
      <c r="BL143" s="67"/>
      <c r="BM143" s="560"/>
      <c r="BN143" s="561"/>
      <c r="BO143" s="558">
        <v>0</v>
      </c>
      <c r="BP143" s="559"/>
      <c r="BQ143" s="67"/>
      <c r="BR143" s="560"/>
      <c r="BS143" s="561"/>
      <c r="BT143" s="558">
        <f>SUM(L143:BO143)</f>
        <v>0</v>
      </c>
      <c r="BU143" s="559"/>
      <c r="BV143" s="67"/>
      <c r="BW143" s="560"/>
      <c r="BX143" s="561"/>
      <c r="BY143" s="558">
        <v>0</v>
      </c>
      <c r="BZ143" s="559"/>
      <c r="CA143" s="67"/>
      <c r="CB143" s="560"/>
      <c r="CC143" s="561"/>
      <c r="CD143" s="558">
        <v>0</v>
      </c>
      <c r="CE143" s="559"/>
      <c r="CF143" s="67"/>
      <c r="CG143" s="560"/>
      <c r="CH143" s="561"/>
      <c r="CI143" s="558">
        <v>0</v>
      </c>
      <c r="CJ143" s="559"/>
      <c r="CK143" s="67"/>
      <c r="CL143" s="560"/>
      <c r="CM143" s="561"/>
      <c r="CN143" s="558">
        <v>0</v>
      </c>
      <c r="CO143" s="559"/>
      <c r="CP143" s="67"/>
      <c r="CQ143" s="560"/>
      <c r="CR143" s="561"/>
      <c r="CS143" s="558">
        <v>0</v>
      </c>
      <c r="CT143" s="559"/>
      <c r="CU143" s="67"/>
      <c r="CV143" s="560"/>
      <c r="CW143" s="561"/>
      <c r="CX143" s="558">
        <v>0</v>
      </c>
      <c r="CY143" s="559"/>
      <c r="CZ143" s="67"/>
      <c r="DA143" s="560"/>
      <c r="DB143" s="561"/>
      <c r="DC143" s="558">
        <v>0</v>
      </c>
      <c r="DD143" s="559"/>
      <c r="DE143" s="67"/>
      <c r="DF143" s="560"/>
      <c r="DG143" s="561"/>
      <c r="DH143" s="558">
        <v>0</v>
      </c>
      <c r="DI143" s="559"/>
      <c r="DJ143" s="67"/>
      <c r="DK143" s="560"/>
      <c r="DL143" s="561"/>
      <c r="DM143" s="558">
        <v>0</v>
      </c>
      <c r="DN143" s="559"/>
      <c r="DO143" s="67"/>
      <c r="DP143" s="560"/>
      <c r="DQ143" s="561"/>
      <c r="DR143" s="558">
        <v>0</v>
      </c>
      <c r="DS143" s="559"/>
      <c r="DT143" s="67"/>
      <c r="DU143" s="560"/>
      <c r="DV143" s="561"/>
      <c r="DW143" s="558">
        <v>0</v>
      </c>
      <c r="DX143" s="559"/>
      <c r="DY143" s="67"/>
      <c r="DZ143" s="560"/>
      <c r="EA143" s="561"/>
      <c r="EB143" s="558">
        <v>0</v>
      </c>
      <c r="EC143" s="559"/>
      <c r="ED143" s="67"/>
      <c r="EE143" s="560"/>
      <c r="EF143" s="561"/>
      <c r="EG143" s="558">
        <v>0</v>
      </c>
      <c r="EH143" s="559"/>
      <c r="EI143" s="67"/>
      <c r="EJ143" s="560"/>
      <c r="EK143" s="561"/>
      <c r="EL143" s="558">
        <f>SUM(CD143:EG143)</f>
        <v>0</v>
      </c>
      <c r="EM143" s="475"/>
      <c r="EN143" s="442"/>
      <c r="EO143" s="455"/>
      <c r="EP143" s="472"/>
      <c r="EQ143" s="472"/>
    </row>
    <row r="144" spans="1:147" hidden="1" x14ac:dyDescent="0.2">
      <c r="A144" s="442"/>
      <c r="B144" s="442"/>
      <c r="D144" s="455" t="s">
        <v>431</v>
      </c>
      <c r="E144" s="465"/>
      <c r="F144" s="465"/>
      <c r="G144" s="67">
        <v>0</v>
      </c>
      <c r="H144" s="66"/>
      <c r="I144" s="67"/>
      <c r="J144" s="560"/>
      <c r="K144" s="560"/>
      <c r="L144" s="67">
        <v>0</v>
      </c>
      <c r="M144" s="66"/>
      <c r="N144" s="67"/>
      <c r="O144" s="560"/>
      <c r="P144" s="560"/>
      <c r="Q144" s="67">
        <v>0</v>
      </c>
      <c r="R144" s="66"/>
      <c r="S144" s="67"/>
      <c r="T144" s="560"/>
      <c r="U144" s="560"/>
      <c r="V144" s="67">
        <v>0</v>
      </c>
      <c r="W144" s="66"/>
      <c r="X144" s="67"/>
      <c r="Y144" s="560"/>
      <c r="Z144" s="560"/>
      <c r="AA144" s="67">
        <v>0</v>
      </c>
      <c r="AB144" s="66"/>
      <c r="AC144" s="67"/>
      <c r="AD144" s="560"/>
      <c r="AE144" s="560"/>
      <c r="AF144" s="67">
        <v>0</v>
      </c>
      <c r="AG144" s="66"/>
      <c r="AH144" s="67"/>
      <c r="AI144" s="560"/>
      <c r="AJ144" s="560"/>
      <c r="AK144" s="67">
        <v>0</v>
      </c>
      <c r="AL144" s="66"/>
      <c r="AM144" s="67"/>
      <c r="AN144" s="560"/>
      <c r="AO144" s="560"/>
      <c r="AP144" s="67">
        <v>0</v>
      </c>
      <c r="AQ144" s="66"/>
      <c r="AR144" s="67"/>
      <c r="AS144" s="560"/>
      <c r="AT144" s="560"/>
      <c r="AU144" s="67">
        <v>0</v>
      </c>
      <c r="AV144" s="66"/>
      <c r="AW144" s="67"/>
      <c r="AX144" s="560"/>
      <c r="AY144" s="560"/>
      <c r="AZ144" s="67">
        <v>0</v>
      </c>
      <c r="BA144" s="66"/>
      <c r="BB144" s="67"/>
      <c r="BC144" s="560"/>
      <c r="BD144" s="560"/>
      <c r="BE144" s="67">
        <v>0</v>
      </c>
      <c r="BF144" s="66"/>
      <c r="BG144" s="67"/>
      <c r="BH144" s="560"/>
      <c r="BI144" s="560"/>
      <c r="BJ144" s="67">
        <v>0</v>
      </c>
      <c r="BK144" s="66"/>
      <c r="BL144" s="67"/>
      <c r="BM144" s="560"/>
      <c r="BN144" s="560"/>
      <c r="BO144" s="67">
        <v>0</v>
      </c>
      <c r="BP144" s="66"/>
      <c r="BQ144" s="67"/>
      <c r="BR144" s="560"/>
      <c r="BS144" s="560"/>
      <c r="BT144" s="67">
        <f>SUM(L144:BO144)</f>
        <v>0</v>
      </c>
      <c r="BU144" s="66"/>
      <c r="BV144" s="67"/>
      <c r="BW144" s="560"/>
      <c r="BX144" s="560"/>
      <c r="BY144" s="67">
        <v>0</v>
      </c>
      <c r="BZ144" s="66"/>
      <c r="CA144" s="67"/>
      <c r="CB144" s="560"/>
      <c r="CC144" s="560"/>
      <c r="CD144" s="67">
        <v>0</v>
      </c>
      <c r="CE144" s="66"/>
      <c r="CF144" s="67"/>
      <c r="CG144" s="560"/>
      <c r="CH144" s="560"/>
      <c r="CI144" s="67">
        <v>0</v>
      </c>
      <c r="CJ144" s="66"/>
      <c r="CK144" s="67"/>
      <c r="CL144" s="560"/>
      <c r="CM144" s="560"/>
      <c r="CN144" s="67">
        <v>0</v>
      </c>
      <c r="CO144" s="66"/>
      <c r="CP144" s="67"/>
      <c r="CQ144" s="560"/>
      <c r="CR144" s="560"/>
      <c r="CS144" s="67">
        <v>0</v>
      </c>
      <c r="CT144" s="66"/>
      <c r="CU144" s="67"/>
      <c r="CV144" s="560"/>
      <c r="CW144" s="560"/>
      <c r="CX144" s="67">
        <v>0</v>
      </c>
      <c r="CY144" s="66"/>
      <c r="CZ144" s="67"/>
      <c r="DA144" s="560"/>
      <c r="DB144" s="560"/>
      <c r="DC144" s="67">
        <v>0</v>
      </c>
      <c r="DD144" s="66"/>
      <c r="DE144" s="67"/>
      <c r="DF144" s="560"/>
      <c r="DG144" s="560"/>
      <c r="DH144" s="67">
        <v>0</v>
      </c>
      <c r="DI144" s="66"/>
      <c r="DJ144" s="67"/>
      <c r="DK144" s="560"/>
      <c r="DL144" s="560"/>
      <c r="DM144" s="67">
        <v>0</v>
      </c>
      <c r="DN144" s="66"/>
      <c r="DO144" s="67"/>
      <c r="DP144" s="560"/>
      <c r="DQ144" s="560"/>
      <c r="DR144" s="67">
        <v>0</v>
      </c>
      <c r="DS144" s="66"/>
      <c r="DT144" s="67"/>
      <c r="DU144" s="560"/>
      <c r="DV144" s="560"/>
      <c r="DW144" s="67">
        <v>0</v>
      </c>
      <c r="DX144" s="66"/>
      <c r="DY144" s="67"/>
      <c r="DZ144" s="560"/>
      <c r="EA144" s="560"/>
      <c r="EB144" s="67">
        <v>0</v>
      </c>
      <c r="EC144" s="66"/>
      <c r="ED144" s="67"/>
      <c r="EE144" s="560"/>
      <c r="EF144" s="560"/>
      <c r="EG144" s="67">
        <v>0</v>
      </c>
      <c r="EH144" s="66"/>
      <c r="EI144" s="67"/>
      <c r="EJ144" s="560"/>
      <c r="EK144" s="560"/>
      <c r="EL144" s="67">
        <f>SUM(CD144:EG144)</f>
        <v>0</v>
      </c>
      <c r="EM144" s="480"/>
      <c r="EN144" s="442"/>
      <c r="EO144" s="455"/>
      <c r="EP144" s="472"/>
      <c r="EQ144" s="472"/>
    </row>
    <row r="145" spans="1:147" hidden="1" x14ac:dyDescent="0.2">
      <c r="A145" s="442"/>
      <c r="B145" s="442"/>
      <c r="D145" s="455" t="s">
        <v>432</v>
      </c>
      <c r="E145" s="465"/>
      <c r="F145" s="488"/>
      <c r="G145" s="113">
        <v>0</v>
      </c>
      <c r="H145" s="112"/>
      <c r="I145" s="67"/>
      <c r="J145" s="560"/>
      <c r="K145" s="569"/>
      <c r="L145" s="113">
        <v>0</v>
      </c>
      <c r="M145" s="112"/>
      <c r="N145" s="67"/>
      <c r="O145" s="560"/>
      <c r="P145" s="569"/>
      <c r="Q145" s="113">
        <v>0</v>
      </c>
      <c r="R145" s="112"/>
      <c r="S145" s="67"/>
      <c r="T145" s="560"/>
      <c r="U145" s="569"/>
      <c r="V145" s="113">
        <v>0</v>
      </c>
      <c r="W145" s="112"/>
      <c r="X145" s="67"/>
      <c r="Y145" s="560"/>
      <c r="Z145" s="569"/>
      <c r="AA145" s="113">
        <v>0</v>
      </c>
      <c r="AB145" s="112"/>
      <c r="AC145" s="67"/>
      <c r="AD145" s="560"/>
      <c r="AE145" s="569"/>
      <c r="AF145" s="113">
        <v>0</v>
      </c>
      <c r="AG145" s="112"/>
      <c r="AH145" s="67"/>
      <c r="AI145" s="560"/>
      <c r="AJ145" s="569"/>
      <c r="AK145" s="113">
        <v>0</v>
      </c>
      <c r="AL145" s="112"/>
      <c r="AM145" s="67"/>
      <c r="AN145" s="560"/>
      <c r="AO145" s="569"/>
      <c r="AP145" s="113">
        <v>0</v>
      </c>
      <c r="AQ145" s="112"/>
      <c r="AR145" s="67"/>
      <c r="AS145" s="560"/>
      <c r="AT145" s="569"/>
      <c r="AU145" s="113">
        <v>0</v>
      </c>
      <c r="AV145" s="112"/>
      <c r="AW145" s="67"/>
      <c r="AX145" s="560"/>
      <c r="AY145" s="569"/>
      <c r="AZ145" s="113">
        <v>0</v>
      </c>
      <c r="BA145" s="112"/>
      <c r="BB145" s="67"/>
      <c r="BC145" s="560"/>
      <c r="BD145" s="569"/>
      <c r="BE145" s="113">
        <v>0</v>
      </c>
      <c r="BF145" s="112"/>
      <c r="BG145" s="67"/>
      <c r="BH145" s="560"/>
      <c r="BI145" s="569"/>
      <c r="BJ145" s="113">
        <v>0</v>
      </c>
      <c r="BK145" s="112"/>
      <c r="BL145" s="67"/>
      <c r="BM145" s="560"/>
      <c r="BN145" s="569"/>
      <c r="BO145" s="113">
        <v>0</v>
      </c>
      <c r="BP145" s="112"/>
      <c r="BQ145" s="67"/>
      <c r="BR145" s="560"/>
      <c r="BS145" s="569"/>
      <c r="BT145" s="113">
        <f>SUM(L145:BO145)</f>
        <v>0</v>
      </c>
      <c r="BU145" s="112"/>
      <c r="BV145" s="67"/>
      <c r="BW145" s="560"/>
      <c r="BX145" s="569"/>
      <c r="BY145" s="113">
        <v>0</v>
      </c>
      <c r="BZ145" s="112"/>
      <c r="CA145" s="67"/>
      <c r="CB145" s="560"/>
      <c r="CC145" s="569"/>
      <c r="CD145" s="113">
        <v>0</v>
      </c>
      <c r="CE145" s="112"/>
      <c r="CF145" s="67"/>
      <c r="CG145" s="560"/>
      <c r="CH145" s="569"/>
      <c r="CI145" s="113">
        <v>0</v>
      </c>
      <c r="CJ145" s="112"/>
      <c r="CK145" s="67"/>
      <c r="CL145" s="560"/>
      <c r="CM145" s="569"/>
      <c r="CN145" s="113">
        <v>0</v>
      </c>
      <c r="CO145" s="112"/>
      <c r="CP145" s="67"/>
      <c r="CQ145" s="560"/>
      <c r="CR145" s="569"/>
      <c r="CS145" s="113">
        <v>0</v>
      </c>
      <c r="CT145" s="112"/>
      <c r="CU145" s="67"/>
      <c r="CV145" s="560"/>
      <c r="CW145" s="569"/>
      <c r="CX145" s="113">
        <v>0</v>
      </c>
      <c r="CY145" s="112"/>
      <c r="CZ145" s="67"/>
      <c r="DA145" s="560"/>
      <c r="DB145" s="569"/>
      <c r="DC145" s="113">
        <v>0</v>
      </c>
      <c r="DD145" s="112"/>
      <c r="DE145" s="67"/>
      <c r="DF145" s="560"/>
      <c r="DG145" s="569"/>
      <c r="DH145" s="113">
        <v>0</v>
      </c>
      <c r="DI145" s="112"/>
      <c r="DJ145" s="67"/>
      <c r="DK145" s="560"/>
      <c r="DL145" s="569"/>
      <c r="DM145" s="113">
        <v>0</v>
      </c>
      <c r="DN145" s="112"/>
      <c r="DO145" s="67"/>
      <c r="DP145" s="560"/>
      <c r="DQ145" s="569"/>
      <c r="DR145" s="113">
        <v>0</v>
      </c>
      <c r="DS145" s="112"/>
      <c r="DT145" s="67"/>
      <c r="DU145" s="560"/>
      <c r="DV145" s="569"/>
      <c r="DW145" s="113">
        <v>0</v>
      </c>
      <c r="DX145" s="112"/>
      <c r="DY145" s="67"/>
      <c r="DZ145" s="560"/>
      <c r="EA145" s="569"/>
      <c r="EB145" s="113">
        <v>0</v>
      </c>
      <c r="EC145" s="112"/>
      <c r="ED145" s="67"/>
      <c r="EE145" s="560"/>
      <c r="EF145" s="569"/>
      <c r="EG145" s="113">
        <v>0</v>
      </c>
      <c r="EH145" s="112"/>
      <c r="EI145" s="67"/>
      <c r="EJ145" s="560"/>
      <c r="EK145" s="569"/>
      <c r="EL145" s="113">
        <f>SUM(CD145:EG145)</f>
        <v>0</v>
      </c>
      <c r="EM145" s="490"/>
      <c r="EN145" s="442"/>
      <c r="EO145" s="455"/>
      <c r="EP145" s="472"/>
      <c r="EQ145" s="472"/>
    </row>
    <row r="146" spans="1:147" hidden="1" x14ac:dyDescent="0.2">
      <c r="A146" s="442"/>
      <c r="B146" s="442"/>
      <c r="D146" s="455"/>
      <c r="E146" s="465"/>
      <c r="F146" s="442"/>
      <c r="G146" s="67"/>
      <c r="H146" s="67"/>
      <c r="I146" s="67"/>
      <c r="J146" s="560"/>
      <c r="K146" s="67"/>
      <c r="L146" s="67"/>
      <c r="M146" s="67"/>
      <c r="N146" s="67"/>
      <c r="O146" s="560"/>
      <c r="P146" s="67"/>
      <c r="Q146" s="67"/>
      <c r="R146" s="67"/>
      <c r="S146" s="67"/>
      <c r="T146" s="560"/>
      <c r="U146" s="67"/>
      <c r="V146" s="67"/>
      <c r="W146" s="67"/>
      <c r="X146" s="67"/>
      <c r="Y146" s="560"/>
      <c r="Z146" s="67"/>
      <c r="AA146" s="67"/>
      <c r="AB146" s="67"/>
      <c r="AC146" s="67"/>
      <c r="AD146" s="560"/>
      <c r="AE146" s="67"/>
      <c r="AF146" s="67"/>
      <c r="AG146" s="67"/>
      <c r="AH146" s="67"/>
      <c r="AI146" s="560"/>
      <c r="AJ146" s="67"/>
      <c r="AK146" s="67"/>
      <c r="AL146" s="67"/>
      <c r="AM146" s="67"/>
      <c r="AN146" s="560"/>
      <c r="AO146" s="67"/>
      <c r="AP146" s="67"/>
      <c r="AQ146" s="67"/>
      <c r="AR146" s="67"/>
      <c r="AS146" s="560"/>
      <c r="AT146" s="67"/>
      <c r="AU146" s="67"/>
      <c r="AV146" s="67"/>
      <c r="AW146" s="67"/>
      <c r="AX146" s="560"/>
      <c r="AY146" s="67"/>
      <c r="AZ146" s="67"/>
      <c r="BA146" s="67"/>
      <c r="BB146" s="67"/>
      <c r="BC146" s="560"/>
      <c r="BD146" s="67"/>
      <c r="BE146" s="67"/>
      <c r="BF146" s="67"/>
      <c r="BG146" s="67"/>
      <c r="BH146" s="560"/>
      <c r="BI146" s="67"/>
      <c r="BJ146" s="67"/>
      <c r="BK146" s="67"/>
      <c r="BL146" s="67"/>
      <c r="BM146" s="560"/>
      <c r="BN146" s="67"/>
      <c r="BO146" s="67"/>
      <c r="BP146" s="67"/>
      <c r="BQ146" s="67"/>
      <c r="BR146" s="560"/>
      <c r="BS146" s="67"/>
      <c r="BT146" s="67"/>
      <c r="BU146" s="67"/>
      <c r="BV146" s="67"/>
      <c r="BW146" s="560"/>
      <c r="BX146" s="67"/>
      <c r="BY146" s="67"/>
      <c r="BZ146" s="67"/>
      <c r="CA146" s="67"/>
      <c r="CB146" s="560"/>
      <c r="CC146" s="67"/>
      <c r="CD146" s="67"/>
      <c r="CE146" s="67"/>
      <c r="CF146" s="67"/>
      <c r="CG146" s="560"/>
      <c r="CH146" s="67"/>
      <c r="CI146" s="67"/>
      <c r="CJ146" s="67"/>
      <c r="CK146" s="67"/>
      <c r="CL146" s="560"/>
      <c r="CM146" s="67"/>
      <c r="CN146" s="67"/>
      <c r="CO146" s="67"/>
      <c r="CP146" s="67"/>
      <c r="CQ146" s="560"/>
      <c r="CR146" s="67"/>
      <c r="CS146" s="67"/>
      <c r="CT146" s="67"/>
      <c r="CU146" s="67"/>
      <c r="CV146" s="560"/>
      <c r="CW146" s="67"/>
      <c r="CX146" s="67"/>
      <c r="CY146" s="67"/>
      <c r="CZ146" s="67"/>
      <c r="DA146" s="560"/>
      <c r="DB146" s="67"/>
      <c r="DC146" s="67"/>
      <c r="DD146" s="67"/>
      <c r="DE146" s="67"/>
      <c r="DF146" s="560"/>
      <c r="DG146" s="67"/>
      <c r="DH146" s="67"/>
      <c r="DI146" s="67"/>
      <c r="DJ146" s="67"/>
      <c r="DK146" s="560"/>
      <c r="DL146" s="67"/>
      <c r="DM146" s="67"/>
      <c r="DN146" s="67"/>
      <c r="DO146" s="67"/>
      <c r="DP146" s="560"/>
      <c r="DQ146" s="67"/>
      <c r="DR146" s="67"/>
      <c r="DS146" s="67"/>
      <c r="DT146" s="67"/>
      <c r="DU146" s="560"/>
      <c r="DV146" s="67"/>
      <c r="DW146" s="67"/>
      <c r="DX146" s="67"/>
      <c r="DY146" s="67"/>
      <c r="DZ146" s="560"/>
      <c r="EA146" s="67"/>
      <c r="EB146" s="67"/>
      <c r="EC146" s="67"/>
      <c r="ED146" s="67"/>
      <c r="EE146" s="560"/>
      <c r="EF146" s="67"/>
      <c r="EG146" s="67"/>
      <c r="EH146" s="67"/>
      <c r="EI146" s="67"/>
      <c r="EJ146" s="560"/>
      <c r="EK146" s="67"/>
      <c r="EL146" s="67"/>
      <c r="EM146" s="442"/>
      <c r="EN146" s="442"/>
      <c r="EO146" s="455"/>
      <c r="EP146" s="472"/>
      <c r="EQ146" s="472"/>
    </row>
    <row r="147" spans="1:147" hidden="1" x14ac:dyDescent="0.2">
      <c r="A147" s="442"/>
      <c r="B147" s="442"/>
      <c r="D147" s="455" t="s">
        <v>437</v>
      </c>
      <c r="E147" s="465"/>
      <c r="F147" s="442"/>
      <c r="G147" s="67">
        <f>SUM(G148:G150)</f>
        <v>0</v>
      </c>
      <c r="H147" s="67"/>
      <c r="I147" s="67"/>
      <c r="J147" s="560"/>
      <c r="K147" s="67"/>
      <c r="L147" s="67">
        <f>SUM(L148:L150)</f>
        <v>0</v>
      </c>
      <c r="M147" s="67"/>
      <c r="N147" s="67"/>
      <c r="O147" s="560"/>
      <c r="P147" s="67"/>
      <c r="Q147" s="67">
        <f>SUM(Q148:Q150)</f>
        <v>0</v>
      </c>
      <c r="R147" s="67"/>
      <c r="S147" s="67"/>
      <c r="T147" s="560"/>
      <c r="U147" s="67"/>
      <c r="V147" s="67">
        <f>SUM(V148:V150)</f>
        <v>0</v>
      </c>
      <c r="W147" s="67"/>
      <c r="X147" s="67"/>
      <c r="Y147" s="560"/>
      <c r="Z147" s="67"/>
      <c r="AA147" s="67">
        <f>SUM(AA148:AA150)</f>
        <v>0</v>
      </c>
      <c r="AB147" s="67"/>
      <c r="AC147" s="67"/>
      <c r="AD147" s="560"/>
      <c r="AE147" s="67"/>
      <c r="AF147" s="67">
        <f>SUM(AF148:AF150)</f>
        <v>0</v>
      </c>
      <c r="AG147" s="67"/>
      <c r="AH147" s="67"/>
      <c r="AI147" s="560"/>
      <c r="AJ147" s="67"/>
      <c r="AK147" s="67">
        <f>SUM(AK148:AK150)</f>
        <v>0</v>
      </c>
      <c r="AL147" s="67"/>
      <c r="AM147" s="67"/>
      <c r="AN147" s="560"/>
      <c r="AO147" s="67"/>
      <c r="AP147" s="67">
        <f>SUM(AP148:AP150)</f>
        <v>0</v>
      </c>
      <c r="AQ147" s="67"/>
      <c r="AR147" s="67"/>
      <c r="AS147" s="560"/>
      <c r="AT147" s="67"/>
      <c r="AU147" s="67">
        <f>SUM(AU148:AU150)</f>
        <v>0</v>
      </c>
      <c r="AV147" s="67"/>
      <c r="AW147" s="67"/>
      <c r="AX147" s="560"/>
      <c r="AY147" s="67"/>
      <c r="AZ147" s="67">
        <f>SUM(AZ148:AZ150)</f>
        <v>0</v>
      </c>
      <c r="BA147" s="67"/>
      <c r="BB147" s="67"/>
      <c r="BC147" s="560"/>
      <c r="BD147" s="67"/>
      <c r="BE147" s="67">
        <f>SUM(BE148:BE150)</f>
        <v>0</v>
      </c>
      <c r="BF147" s="67"/>
      <c r="BG147" s="67"/>
      <c r="BH147" s="560"/>
      <c r="BI147" s="67"/>
      <c r="BJ147" s="67">
        <f>SUM(BJ148:BJ150)</f>
        <v>0</v>
      </c>
      <c r="BK147" s="67"/>
      <c r="BL147" s="67"/>
      <c r="BM147" s="560"/>
      <c r="BN147" s="67"/>
      <c r="BO147" s="67">
        <f>SUM(BO148:BO150)</f>
        <v>0</v>
      </c>
      <c r="BP147" s="67"/>
      <c r="BQ147" s="67"/>
      <c r="BR147" s="560"/>
      <c r="BS147" s="67"/>
      <c r="BT147" s="67">
        <f>SUM(BT148:BT150)</f>
        <v>0</v>
      </c>
      <c r="BU147" s="67"/>
      <c r="BV147" s="67"/>
      <c r="BW147" s="560"/>
      <c r="BX147" s="67"/>
      <c r="BY147" s="67">
        <f>SUM(BY148:BY150)</f>
        <v>0</v>
      </c>
      <c r="BZ147" s="67"/>
      <c r="CA147" s="67"/>
      <c r="CB147" s="560"/>
      <c r="CC147" s="67"/>
      <c r="CD147" s="67">
        <f>SUM(CD148:CD150)</f>
        <v>0</v>
      </c>
      <c r="CE147" s="67"/>
      <c r="CF147" s="67"/>
      <c r="CG147" s="560"/>
      <c r="CH147" s="67"/>
      <c r="CI147" s="67">
        <f>SUM(CI148:CI150)</f>
        <v>0</v>
      </c>
      <c r="CJ147" s="67"/>
      <c r="CK147" s="67"/>
      <c r="CL147" s="560"/>
      <c r="CM147" s="67"/>
      <c r="CN147" s="67">
        <f>SUM(CN148:CN150)</f>
        <v>0</v>
      </c>
      <c r="CO147" s="67"/>
      <c r="CP147" s="67"/>
      <c r="CQ147" s="560"/>
      <c r="CR147" s="67"/>
      <c r="CS147" s="67">
        <f>SUM(CS148:CS150)</f>
        <v>0</v>
      </c>
      <c r="CT147" s="67"/>
      <c r="CU147" s="67"/>
      <c r="CV147" s="560"/>
      <c r="CW147" s="67"/>
      <c r="CX147" s="67">
        <f>SUM(CX148:CX150)</f>
        <v>0</v>
      </c>
      <c r="CY147" s="67"/>
      <c r="CZ147" s="67"/>
      <c r="DA147" s="560"/>
      <c r="DB147" s="67"/>
      <c r="DC147" s="67">
        <f>SUM(DC148:DC150)</f>
        <v>0</v>
      </c>
      <c r="DD147" s="67"/>
      <c r="DE147" s="67"/>
      <c r="DF147" s="560"/>
      <c r="DG147" s="67"/>
      <c r="DH147" s="67">
        <f>SUM(DH148:DH150)</f>
        <v>0</v>
      </c>
      <c r="DI147" s="67"/>
      <c r="DJ147" s="67"/>
      <c r="DK147" s="560"/>
      <c r="DL147" s="67"/>
      <c r="DM147" s="67">
        <f>SUM(DM148:DM150)</f>
        <v>0</v>
      </c>
      <c r="DN147" s="67"/>
      <c r="DO147" s="67"/>
      <c r="DP147" s="560"/>
      <c r="DQ147" s="67"/>
      <c r="DR147" s="67">
        <f>SUM(DR148:DR150)</f>
        <v>0</v>
      </c>
      <c r="DS147" s="67"/>
      <c r="DT147" s="67"/>
      <c r="DU147" s="560"/>
      <c r="DV147" s="67"/>
      <c r="DW147" s="67">
        <f>SUM(DW148:DW150)</f>
        <v>0</v>
      </c>
      <c r="DX147" s="67"/>
      <c r="DY147" s="67"/>
      <c r="DZ147" s="560"/>
      <c r="EA147" s="67"/>
      <c r="EB147" s="67">
        <f>SUM(EB148:EB150)</f>
        <v>0</v>
      </c>
      <c r="EC147" s="67"/>
      <c r="ED147" s="67"/>
      <c r="EE147" s="560"/>
      <c r="EF147" s="67"/>
      <c r="EG147" s="67">
        <f>SUM(EG148:EG150)</f>
        <v>0</v>
      </c>
      <c r="EH147" s="67"/>
      <c r="EI147" s="67"/>
      <c r="EJ147" s="560"/>
      <c r="EK147" s="67"/>
      <c r="EL147" s="67">
        <f>SUM(EL148:EL150)</f>
        <v>0</v>
      </c>
      <c r="EM147" s="442"/>
      <c r="EN147" s="442"/>
      <c r="EO147" s="455"/>
      <c r="EP147" s="472"/>
      <c r="EQ147" s="472"/>
    </row>
    <row r="148" spans="1:147" hidden="1" x14ac:dyDescent="0.2">
      <c r="A148" s="442"/>
      <c r="B148" s="442"/>
      <c r="D148" s="455" t="s">
        <v>342</v>
      </c>
      <c r="E148" s="465"/>
      <c r="F148" s="473"/>
      <c r="G148" s="558">
        <v>0</v>
      </c>
      <c r="H148" s="559"/>
      <c r="I148" s="67"/>
      <c r="J148" s="560"/>
      <c r="K148" s="561"/>
      <c r="L148" s="558">
        <v>0</v>
      </c>
      <c r="M148" s="559"/>
      <c r="N148" s="67"/>
      <c r="O148" s="560"/>
      <c r="P148" s="561"/>
      <c r="Q148" s="558">
        <v>0</v>
      </c>
      <c r="R148" s="559"/>
      <c r="S148" s="67"/>
      <c r="T148" s="560"/>
      <c r="U148" s="561"/>
      <c r="V148" s="558">
        <v>0</v>
      </c>
      <c r="W148" s="559"/>
      <c r="X148" s="67"/>
      <c r="Y148" s="560"/>
      <c r="Z148" s="561"/>
      <c r="AA148" s="558">
        <v>0</v>
      </c>
      <c r="AB148" s="559"/>
      <c r="AC148" s="67"/>
      <c r="AD148" s="560"/>
      <c r="AE148" s="561"/>
      <c r="AF148" s="558">
        <v>0</v>
      </c>
      <c r="AG148" s="559"/>
      <c r="AH148" s="67"/>
      <c r="AI148" s="560"/>
      <c r="AJ148" s="561"/>
      <c r="AK148" s="558">
        <v>0</v>
      </c>
      <c r="AL148" s="559"/>
      <c r="AM148" s="67"/>
      <c r="AN148" s="560"/>
      <c r="AO148" s="561"/>
      <c r="AP148" s="558">
        <v>0</v>
      </c>
      <c r="AQ148" s="559"/>
      <c r="AR148" s="67"/>
      <c r="AS148" s="560"/>
      <c r="AT148" s="561"/>
      <c r="AU148" s="558">
        <v>0</v>
      </c>
      <c r="AV148" s="559"/>
      <c r="AW148" s="67"/>
      <c r="AX148" s="560"/>
      <c r="AY148" s="561"/>
      <c r="AZ148" s="558">
        <v>0</v>
      </c>
      <c r="BA148" s="559"/>
      <c r="BB148" s="67"/>
      <c r="BC148" s="560"/>
      <c r="BD148" s="561"/>
      <c r="BE148" s="558">
        <v>0</v>
      </c>
      <c r="BF148" s="559"/>
      <c r="BG148" s="67"/>
      <c r="BH148" s="560"/>
      <c r="BI148" s="561"/>
      <c r="BJ148" s="558">
        <v>0</v>
      </c>
      <c r="BK148" s="559"/>
      <c r="BL148" s="67"/>
      <c r="BM148" s="560"/>
      <c r="BN148" s="561"/>
      <c r="BO148" s="558">
        <v>0</v>
      </c>
      <c r="BP148" s="559"/>
      <c r="BQ148" s="67"/>
      <c r="BR148" s="560"/>
      <c r="BS148" s="561"/>
      <c r="BT148" s="558">
        <f>SUM(L148:BO148)</f>
        <v>0</v>
      </c>
      <c r="BU148" s="559"/>
      <c r="BV148" s="67"/>
      <c r="BW148" s="560"/>
      <c r="BX148" s="561"/>
      <c r="BY148" s="558">
        <v>0</v>
      </c>
      <c r="BZ148" s="559"/>
      <c r="CA148" s="67"/>
      <c r="CB148" s="560"/>
      <c r="CC148" s="561"/>
      <c r="CD148" s="558">
        <v>0</v>
      </c>
      <c r="CE148" s="559"/>
      <c r="CF148" s="67"/>
      <c r="CG148" s="560"/>
      <c r="CH148" s="561"/>
      <c r="CI148" s="558">
        <v>0</v>
      </c>
      <c r="CJ148" s="559"/>
      <c r="CK148" s="67"/>
      <c r="CL148" s="560"/>
      <c r="CM148" s="561"/>
      <c r="CN148" s="558">
        <v>0</v>
      </c>
      <c r="CO148" s="559"/>
      <c r="CP148" s="67"/>
      <c r="CQ148" s="560"/>
      <c r="CR148" s="561"/>
      <c r="CS148" s="558">
        <v>0</v>
      </c>
      <c r="CT148" s="559"/>
      <c r="CU148" s="67"/>
      <c r="CV148" s="560"/>
      <c r="CW148" s="561"/>
      <c r="CX148" s="558">
        <v>0</v>
      </c>
      <c r="CY148" s="559"/>
      <c r="CZ148" s="67"/>
      <c r="DA148" s="560"/>
      <c r="DB148" s="561"/>
      <c r="DC148" s="558">
        <v>0</v>
      </c>
      <c r="DD148" s="559"/>
      <c r="DE148" s="67"/>
      <c r="DF148" s="560"/>
      <c r="DG148" s="561"/>
      <c r="DH148" s="558">
        <v>0</v>
      </c>
      <c r="DI148" s="559"/>
      <c r="DJ148" s="67"/>
      <c r="DK148" s="560"/>
      <c r="DL148" s="561"/>
      <c r="DM148" s="558">
        <v>0</v>
      </c>
      <c r="DN148" s="559"/>
      <c r="DO148" s="67"/>
      <c r="DP148" s="560"/>
      <c r="DQ148" s="561"/>
      <c r="DR148" s="558">
        <v>0</v>
      </c>
      <c r="DS148" s="559"/>
      <c r="DT148" s="67"/>
      <c r="DU148" s="560"/>
      <c r="DV148" s="561"/>
      <c r="DW148" s="558">
        <v>0</v>
      </c>
      <c r="DX148" s="559"/>
      <c r="DY148" s="67"/>
      <c r="DZ148" s="560"/>
      <c r="EA148" s="561"/>
      <c r="EB148" s="558">
        <v>0</v>
      </c>
      <c r="EC148" s="559"/>
      <c r="ED148" s="67"/>
      <c r="EE148" s="560"/>
      <c r="EF148" s="561"/>
      <c r="EG148" s="558">
        <v>0</v>
      </c>
      <c r="EH148" s="559"/>
      <c r="EI148" s="67"/>
      <c r="EJ148" s="560"/>
      <c r="EK148" s="561"/>
      <c r="EL148" s="558">
        <f>SUM(CD148:EG148)</f>
        <v>0</v>
      </c>
      <c r="EM148" s="475"/>
      <c r="EN148" s="442"/>
      <c r="EO148" s="455"/>
      <c r="EP148" s="472"/>
      <c r="EQ148" s="472"/>
    </row>
    <row r="149" spans="1:147" hidden="1" x14ac:dyDescent="0.2">
      <c r="A149" s="442"/>
      <c r="B149" s="442"/>
      <c r="D149" s="455" t="s">
        <v>431</v>
      </c>
      <c r="E149" s="465"/>
      <c r="F149" s="465"/>
      <c r="G149" s="67">
        <v>0</v>
      </c>
      <c r="H149" s="66"/>
      <c r="I149" s="67"/>
      <c r="J149" s="560"/>
      <c r="K149" s="560"/>
      <c r="L149" s="67">
        <v>0</v>
      </c>
      <c r="M149" s="66"/>
      <c r="N149" s="67"/>
      <c r="O149" s="560"/>
      <c r="P149" s="560"/>
      <c r="Q149" s="67">
        <v>0</v>
      </c>
      <c r="R149" s="66"/>
      <c r="S149" s="67"/>
      <c r="T149" s="560"/>
      <c r="U149" s="560"/>
      <c r="V149" s="67">
        <v>0</v>
      </c>
      <c r="W149" s="66"/>
      <c r="X149" s="67"/>
      <c r="Y149" s="560"/>
      <c r="Z149" s="560"/>
      <c r="AA149" s="67">
        <v>0</v>
      </c>
      <c r="AB149" s="66"/>
      <c r="AC149" s="67"/>
      <c r="AD149" s="560"/>
      <c r="AE149" s="560"/>
      <c r="AF149" s="67">
        <v>0</v>
      </c>
      <c r="AG149" s="66"/>
      <c r="AH149" s="67"/>
      <c r="AI149" s="560"/>
      <c r="AJ149" s="560"/>
      <c r="AK149" s="67">
        <v>0</v>
      </c>
      <c r="AL149" s="66"/>
      <c r="AM149" s="67"/>
      <c r="AN149" s="560"/>
      <c r="AO149" s="560"/>
      <c r="AP149" s="67">
        <v>0</v>
      </c>
      <c r="AQ149" s="66"/>
      <c r="AR149" s="67"/>
      <c r="AS149" s="560"/>
      <c r="AT149" s="560"/>
      <c r="AU149" s="67">
        <v>0</v>
      </c>
      <c r="AV149" s="66"/>
      <c r="AW149" s="67"/>
      <c r="AX149" s="560"/>
      <c r="AY149" s="560"/>
      <c r="AZ149" s="67">
        <v>0</v>
      </c>
      <c r="BA149" s="66"/>
      <c r="BB149" s="67"/>
      <c r="BC149" s="560"/>
      <c r="BD149" s="560"/>
      <c r="BE149" s="67">
        <v>0</v>
      </c>
      <c r="BF149" s="66"/>
      <c r="BG149" s="67"/>
      <c r="BH149" s="560"/>
      <c r="BI149" s="560"/>
      <c r="BJ149" s="67">
        <v>0</v>
      </c>
      <c r="BK149" s="66"/>
      <c r="BL149" s="67"/>
      <c r="BM149" s="560"/>
      <c r="BN149" s="560"/>
      <c r="BO149" s="67">
        <v>0</v>
      </c>
      <c r="BP149" s="66"/>
      <c r="BQ149" s="67"/>
      <c r="BR149" s="560"/>
      <c r="BS149" s="560"/>
      <c r="BT149" s="67">
        <f>SUM(L149:BO149)</f>
        <v>0</v>
      </c>
      <c r="BU149" s="66"/>
      <c r="BV149" s="67"/>
      <c r="BW149" s="560"/>
      <c r="BX149" s="560"/>
      <c r="BY149" s="67">
        <v>0</v>
      </c>
      <c r="BZ149" s="66"/>
      <c r="CA149" s="67"/>
      <c r="CB149" s="560"/>
      <c r="CC149" s="560"/>
      <c r="CD149" s="67">
        <v>0</v>
      </c>
      <c r="CE149" s="66"/>
      <c r="CF149" s="67"/>
      <c r="CG149" s="560"/>
      <c r="CH149" s="560"/>
      <c r="CI149" s="67">
        <v>0</v>
      </c>
      <c r="CJ149" s="66"/>
      <c r="CK149" s="67"/>
      <c r="CL149" s="560"/>
      <c r="CM149" s="560"/>
      <c r="CN149" s="67">
        <v>0</v>
      </c>
      <c r="CO149" s="66"/>
      <c r="CP149" s="67"/>
      <c r="CQ149" s="560"/>
      <c r="CR149" s="560"/>
      <c r="CS149" s="67">
        <v>0</v>
      </c>
      <c r="CT149" s="66"/>
      <c r="CU149" s="67"/>
      <c r="CV149" s="560"/>
      <c r="CW149" s="560"/>
      <c r="CX149" s="67">
        <v>0</v>
      </c>
      <c r="CY149" s="66"/>
      <c r="CZ149" s="67"/>
      <c r="DA149" s="560"/>
      <c r="DB149" s="560"/>
      <c r="DC149" s="67">
        <v>0</v>
      </c>
      <c r="DD149" s="66"/>
      <c r="DE149" s="67"/>
      <c r="DF149" s="560"/>
      <c r="DG149" s="560"/>
      <c r="DH149" s="67">
        <v>0</v>
      </c>
      <c r="DI149" s="66"/>
      <c r="DJ149" s="67"/>
      <c r="DK149" s="560"/>
      <c r="DL149" s="560"/>
      <c r="DM149" s="67">
        <v>0</v>
      </c>
      <c r="DN149" s="66"/>
      <c r="DO149" s="67"/>
      <c r="DP149" s="560"/>
      <c r="DQ149" s="560"/>
      <c r="DR149" s="67">
        <v>0</v>
      </c>
      <c r="DS149" s="66"/>
      <c r="DT149" s="67"/>
      <c r="DU149" s="560"/>
      <c r="DV149" s="560"/>
      <c r="DW149" s="67">
        <v>0</v>
      </c>
      <c r="DX149" s="66"/>
      <c r="DY149" s="67"/>
      <c r="DZ149" s="560"/>
      <c r="EA149" s="560"/>
      <c r="EB149" s="67">
        <v>0</v>
      </c>
      <c r="EC149" s="66"/>
      <c r="ED149" s="67"/>
      <c r="EE149" s="560"/>
      <c r="EF149" s="560"/>
      <c r="EG149" s="67">
        <v>0</v>
      </c>
      <c r="EH149" s="66"/>
      <c r="EI149" s="67"/>
      <c r="EJ149" s="560"/>
      <c r="EK149" s="560"/>
      <c r="EL149" s="67">
        <f>SUM(CD149:EG149)</f>
        <v>0</v>
      </c>
      <c r="EM149" s="480"/>
      <c r="EN149" s="442"/>
      <c r="EO149" s="455"/>
      <c r="EP149" s="472"/>
      <c r="EQ149" s="472"/>
    </row>
    <row r="150" spans="1:147" hidden="1" x14ac:dyDescent="0.2">
      <c r="A150" s="442"/>
      <c r="B150" s="442"/>
      <c r="D150" s="455" t="s">
        <v>432</v>
      </c>
      <c r="E150" s="465"/>
      <c r="F150" s="488"/>
      <c r="G150" s="113">
        <v>0</v>
      </c>
      <c r="H150" s="112"/>
      <c r="I150" s="67"/>
      <c r="J150" s="560"/>
      <c r="K150" s="569"/>
      <c r="L150" s="113">
        <v>0</v>
      </c>
      <c r="M150" s="112"/>
      <c r="N150" s="67"/>
      <c r="O150" s="560"/>
      <c r="P150" s="569"/>
      <c r="Q150" s="113">
        <v>0</v>
      </c>
      <c r="R150" s="112"/>
      <c r="S150" s="67"/>
      <c r="T150" s="560"/>
      <c r="U150" s="569"/>
      <c r="V150" s="113">
        <v>0</v>
      </c>
      <c r="W150" s="112"/>
      <c r="X150" s="67"/>
      <c r="Y150" s="560"/>
      <c r="Z150" s="569"/>
      <c r="AA150" s="113">
        <v>0</v>
      </c>
      <c r="AB150" s="112"/>
      <c r="AC150" s="67"/>
      <c r="AD150" s="560"/>
      <c r="AE150" s="569"/>
      <c r="AF150" s="113">
        <v>0</v>
      </c>
      <c r="AG150" s="112"/>
      <c r="AH150" s="67"/>
      <c r="AI150" s="560"/>
      <c r="AJ150" s="569"/>
      <c r="AK150" s="113">
        <v>0</v>
      </c>
      <c r="AL150" s="112"/>
      <c r="AM150" s="67"/>
      <c r="AN150" s="560"/>
      <c r="AO150" s="569"/>
      <c r="AP150" s="113">
        <v>0</v>
      </c>
      <c r="AQ150" s="112"/>
      <c r="AR150" s="67"/>
      <c r="AS150" s="560"/>
      <c r="AT150" s="569"/>
      <c r="AU150" s="113">
        <v>0</v>
      </c>
      <c r="AV150" s="112"/>
      <c r="AW150" s="67"/>
      <c r="AX150" s="560"/>
      <c r="AY150" s="569"/>
      <c r="AZ150" s="113">
        <v>0</v>
      </c>
      <c r="BA150" s="112"/>
      <c r="BB150" s="67"/>
      <c r="BC150" s="560"/>
      <c r="BD150" s="569"/>
      <c r="BE150" s="113">
        <v>0</v>
      </c>
      <c r="BF150" s="112"/>
      <c r="BG150" s="67"/>
      <c r="BH150" s="560"/>
      <c r="BI150" s="569"/>
      <c r="BJ150" s="113">
        <v>0</v>
      </c>
      <c r="BK150" s="112"/>
      <c r="BL150" s="67"/>
      <c r="BM150" s="560"/>
      <c r="BN150" s="569"/>
      <c r="BO150" s="113">
        <v>0</v>
      </c>
      <c r="BP150" s="112"/>
      <c r="BQ150" s="67"/>
      <c r="BR150" s="560"/>
      <c r="BS150" s="569"/>
      <c r="BT150" s="113">
        <f>SUM(L150:BO150)</f>
        <v>0</v>
      </c>
      <c r="BU150" s="112"/>
      <c r="BV150" s="67"/>
      <c r="BW150" s="560"/>
      <c r="BX150" s="569"/>
      <c r="BY150" s="113">
        <v>0</v>
      </c>
      <c r="BZ150" s="112"/>
      <c r="CA150" s="67"/>
      <c r="CB150" s="560"/>
      <c r="CC150" s="569"/>
      <c r="CD150" s="113">
        <v>0</v>
      </c>
      <c r="CE150" s="112"/>
      <c r="CF150" s="67"/>
      <c r="CG150" s="560"/>
      <c r="CH150" s="569"/>
      <c r="CI150" s="113">
        <v>0</v>
      </c>
      <c r="CJ150" s="112"/>
      <c r="CK150" s="67"/>
      <c r="CL150" s="560"/>
      <c r="CM150" s="569"/>
      <c r="CN150" s="113">
        <v>0</v>
      </c>
      <c r="CO150" s="112"/>
      <c r="CP150" s="67"/>
      <c r="CQ150" s="560"/>
      <c r="CR150" s="569"/>
      <c r="CS150" s="113">
        <v>0</v>
      </c>
      <c r="CT150" s="112"/>
      <c r="CU150" s="67"/>
      <c r="CV150" s="560"/>
      <c r="CW150" s="569"/>
      <c r="CX150" s="113">
        <v>0</v>
      </c>
      <c r="CY150" s="112"/>
      <c r="CZ150" s="67"/>
      <c r="DA150" s="560"/>
      <c r="DB150" s="569"/>
      <c r="DC150" s="113">
        <v>0</v>
      </c>
      <c r="DD150" s="112"/>
      <c r="DE150" s="67"/>
      <c r="DF150" s="560"/>
      <c r="DG150" s="569"/>
      <c r="DH150" s="113">
        <v>0</v>
      </c>
      <c r="DI150" s="112"/>
      <c r="DJ150" s="67"/>
      <c r="DK150" s="560"/>
      <c r="DL150" s="569"/>
      <c r="DM150" s="113">
        <v>0</v>
      </c>
      <c r="DN150" s="112"/>
      <c r="DO150" s="67"/>
      <c r="DP150" s="560"/>
      <c r="DQ150" s="569"/>
      <c r="DR150" s="113">
        <v>0</v>
      </c>
      <c r="DS150" s="112"/>
      <c r="DT150" s="67"/>
      <c r="DU150" s="560"/>
      <c r="DV150" s="569"/>
      <c r="DW150" s="113">
        <v>0</v>
      </c>
      <c r="DX150" s="112"/>
      <c r="DY150" s="67"/>
      <c r="DZ150" s="560"/>
      <c r="EA150" s="569"/>
      <c r="EB150" s="113">
        <v>0</v>
      </c>
      <c r="EC150" s="112"/>
      <c r="ED150" s="67"/>
      <c r="EE150" s="560"/>
      <c r="EF150" s="569"/>
      <c r="EG150" s="113">
        <v>0</v>
      </c>
      <c r="EH150" s="112"/>
      <c r="EI150" s="67"/>
      <c r="EJ150" s="560"/>
      <c r="EK150" s="569"/>
      <c r="EL150" s="113">
        <f>SUM(CD150:EG150)</f>
        <v>0</v>
      </c>
      <c r="EM150" s="490"/>
      <c r="EN150" s="442"/>
      <c r="EO150" s="455"/>
      <c r="EP150" s="472"/>
      <c r="EQ150" s="472"/>
    </row>
    <row r="151" spans="1:147" hidden="1" x14ac:dyDescent="0.2">
      <c r="A151" s="442"/>
      <c r="B151" s="442"/>
      <c r="D151" s="455"/>
      <c r="E151" s="465"/>
      <c r="F151" s="442"/>
      <c r="G151" s="597"/>
      <c r="H151" s="597"/>
      <c r="I151" s="597"/>
      <c r="J151" s="598"/>
      <c r="K151" s="597"/>
      <c r="L151" s="597"/>
      <c r="M151" s="597"/>
      <c r="N151" s="597"/>
      <c r="O151" s="598"/>
      <c r="P151" s="597"/>
      <c r="Q151" s="597"/>
      <c r="R151" s="597"/>
      <c r="S151" s="597"/>
      <c r="T151" s="598"/>
      <c r="U151" s="597"/>
      <c r="V151" s="597"/>
      <c r="W151" s="597"/>
      <c r="X151" s="597"/>
      <c r="Y151" s="598"/>
      <c r="Z151" s="597"/>
      <c r="AA151" s="597"/>
      <c r="AB151" s="597"/>
      <c r="AC151" s="597"/>
      <c r="AD151" s="598"/>
      <c r="AE151" s="597"/>
      <c r="AF151" s="597"/>
      <c r="AG151" s="597"/>
      <c r="AH151" s="597"/>
      <c r="AI151" s="598"/>
      <c r="AJ151" s="597"/>
      <c r="AK151" s="597"/>
      <c r="AL151" s="597"/>
      <c r="AM151" s="597"/>
      <c r="AN151" s="598"/>
      <c r="AO151" s="597"/>
      <c r="AP151" s="597"/>
      <c r="AQ151" s="597"/>
      <c r="AR151" s="597"/>
      <c r="AS151" s="598"/>
      <c r="AT151" s="597"/>
      <c r="AU151" s="597"/>
      <c r="AV151" s="597"/>
      <c r="AW151" s="597"/>
      <c r="AX151" s="598"/>
      <c r="AY151" s="597"/>
      <c r="AZ151" s="597"/>
      <c r="BA151" s="597"/>
      <c r="BB151" s="597"/>
      <c r="BC151" s="598"/>
      <c r="BD151" s="597"/>
      <c r="BE151" s="597"/>
      <c r="BF151" s="597"/>
      <c r="BG151" s="597"/>
      <c r="BH151" s="598"/>
      <c r="BI151" s="597"/>
      <c r="BJ151" s="597"/>
      <c r="BK151" s="597"/>
      <c r="BL151" s="597"/>
      <c r="BM151" s="598"/>
      <c r="BN151" s="597"/>
      <c r="BO151" s="597"/>
      <c r="BP151" s="597"/>
      <c r="BQ151" s="597"/>
      <c r="BR151" s="598"/>
      <c r="BS151" s="597"/>
      <c r="BT151" s="67"/>
      <c r="BU151" s="67"/>
      <c r="BV151" s="67"/>
      <c r="BW151" s="560"/>
      <c r="BX151" s="67"/>
      <c r="BY151" s="597"/>
      <c r="BZ151" s="597"/>
      <c r="CA151" s="597"/>
      <c r="CB151" s="598"/>
      <c r="CC151" s="597"/>
      <c r="CD151" s="597"/>
      <c r="CE151" s="597"/>
      <c r="CF151" s="597"/>
      <c r="CG151" s="598"/>
      <c r="CH151" s="597"/>
      <c r="CI151" s="597"/>
      <c r="CJ151" s="597"/>
      <c r="CK151" s="597"/>
      <c r="CL151" s="598"/>
      <c r="CM151" s="597"/>
      <c r="CN151" s="597"/>
      <c r="CO151" s="597"/>
      <c r="CP151" s="597"/>
      <c r="CQ151" s="598"/>
      <c r="CR151" s="597"/>
      <c r="CS151" s="597"/>
      <c r="CT151" s="597"/>
      <c r="CU151" s="597"/>
      <c r="CV151" s="598"/>
      <c r="CW151" s="597"/>
      <c r="CX151" s="597"/>
      <c r="CY151" s="597"/>
      <c r="CZ151" s="597"/>
      <c r="DA151" s="598"/>
      <c r="DB151" s="597"/>
      <c r="DC151" s="597"/>
      <c r="DD151" s="597"/>
      <c r="DE151" s="597"/>
      <c r="DF151" s="598"/>
      <c r="DG151" s="597"/>
      <c r="DH151" s="597"/>
      <c r="DI151" s="597"/>
      <c r="DJ151" s="597"/>
      <c r="DK151" s="598"/>
      <c r="DL151" s="597"/>
      <c r="DM151" s="597"/>
      <c r="DN151" s="597"/>
      <c r="DO151" s="597"/>
      <c r="DP151" s="598"/>
      <c r="DQ151" s="597"/>
      <c r="DR151" s="597"/>
      <c r="DS151" s="597"/>
      <c r="DT151" s="597"/>
      <c r="DU151" s="598"/>
      <c r="DV151" s="597"/>
      <c r="DW151" s="597"/>
      <c r="DX151" s="597"/>
      <c r="DY151" s="597"/>
      <c r="DZ151" s="598"/>
      <c r="EA151" s="597"/>
      <c r="EB151" s="597"/>
      <c r="EC151" s="597"/>
      <c r="ED151" s="597"/>
      <c r="EE151" s="598"/>
      <c r="EF151" s="597"/>
      <c r="EG151" s="597"/>
      <c r="EH151" s="597"/>
      <c r="EI151" s="597"/>
      <c r="EJ151" s="598"/>
      <c r="EK151" s="597"/>
      <c r="EL151" s="67"/>
      <c r="EM151" s="442"/>
      <c r="EN151" s="442"/>
      <c r="EO151" s="455"/>
      <c r="EP151" s="472"/>
      <c r="EQ151" s="472"/>
    </row>
    <row r="152" spans="1:147" hidden="1" x14ac:dyDescent="0.2">
      <c r="A152" s="442"/>
      <c r="B152" s="442"/>
      <c r="D152" s="455" t="s">
        <v>438</v>
      </c>
      <c r="E152" s="465"/>
      <c r="F152" s="442"/>
      <c r="G152" s="67">
        <f>SUM(G153:G155)</f>
        <v>0</v>
      </c>
      <c r="H152" s="67"/>
      <c r="I152" s="67"/>
      <c r="J152" s="560"/>
      <c r="K152" s="67"/>
      <c r="L152" s="67">
        <f>SUM(L153:L155)</f>
        <v>0</v>
      </c>
      <c r="M152" s="67"/>
      <c r="N152" s="67"/>
      <c r="O152" s="560"/>
      <c r="P152" s="67"/>
      <c r="Q152" s="67">
        <f>SUM(Q153:Q155)</f>
        <v>0</v>
      </c>
      <c r="R152" s="67"/>
      <c r="S152" s="67"/>
      <c r="T152" s="560"/>
      <c r="U152" s="67"/>
      <c r="V152" s="67">
        <f>SUM(V153:V155)</f>
        <v>0</v>
      </c>
      <c r="W152" s="67"/>
      <c r="X152" s="67"/>
      <c r="Y152" s="560"/>
      <c r="Z152" s="67"/>
      <c r="AA152" s="67">
        <f>SUM(AA153:AA155)</f>
        <v>0</v>
      </c>
      <c r="AB152" s="67"/>
      <c r="AC152" s="67"/>
      <c r="AD152" s="560"/>
      <c r="AE152" s="67"/>
      <c r="AF152" s="67">
        <f>SUM(AF153:AF155)</f>
        <v>0</v>
      </c>
      <c r="AG152" s="67"/>
      <c r="AH152" s="67"/>
      <c r="AI152" s="560"/>
      <c r="AJ152" s="67"/>
      <c r="AK152" s="67">
        <f>SUM(AK153:AK155)</f>
        <v>0</v>
      </c>
      <c r="AL152" s="67"/>
      <c r="AM152" s="67"/>
      <c r="AN152" s="560"/>
      <c r="AO152" s="67"/>
      <c r="AP152" s="67">
        <f>SUM(AP153:AP155)</f>
        <v>0</v>
      </c>
      <c r="AQ152" s="67"/>
      <c r="AR152" s="67"/>
      <c r="AS152" s="560"/>
      <c r="AT152" s="67"/>
      <c r="AU152" s="67">
        <f>SUM(AU153:AU155)</f>
        <v>0</v>
      </c>
      <c r="AV152" s="67"/>
      <c r="AW152" s="67"/>
      <c r="AX152" s="560"/>
      <c r="AY152" s="67"/>
      <c r="AZ152" s="67">
        <f>SUM(AZ153:AZ155)</f>
        <v>0</v>
      </c>
      <c r="BA152" s="67"/>
      <c r="BB152" s="67"/>
      <c r="BC152" s="560"/>
      <c r="BD152" s="67"/>
      <c r="BE152" s="67">
        <f>SUM(BE153:BE155)</f>
        <v>0</v>
      </c>
      <c r="BF152" s="67"/>
      <c r="BG152" s="67"/>
      <c r="BH152" s="560"/>
      <c r="BI152" s="67"/>
      <c r="BJ152" s="67">
        <f>SUM(BJ153:BJ155)</f>
        <v>0</v>
      </c>
      <c r="BK152" s="67"/>
      <c r="BL152" s="67"/>
      <c r="BM152" s="560"/>
      <c r="BN152" s="67"/>
      <c r="BO152" s="67">
        <f>SUM(BO153:BO155)</f>
        <v>0</v>
      </c>
      <c r="BP152" s="67"/>
      <c r="BQ152" s="67"/>
      <c r="BR152" s="560"/>
      <c r="BS152" s="67"/>
      <c r="BT152" s="67">
        <f>SUM(BT153:BT155)</f>
        <v>0</v>
      </c>
      <c r="BU152" s="67"/>
      <c r="BV152" s="67"/>
      <c r="BW152" s="560"/>
      <c r="BX152" s="67"/>
      <c r="BY152" s="67">
        <f>SUM(BY153:BY155)</f>
        <v>0</v>
      </c>
      <c r="BZ152" s="67"/>
      <c r="CA152" s="67"/>
      <c r="CB152" s="560"/>
      <c r="CC152" s="67"/>
      <c r="CD152" s="67">
        <f>SUM(CD153:CD155)</f>
        <v>0</v>
      </c>
      <c r="CE152" s="67"/>
      <c r="CF152" s="67"/>
      <c r="CG152" s="560"/>
      <c r="CH152" s="67"/>
      <c r="CI152" s="67">
        <f>SUM(CI153:CI155)</f>
        <v>0</v>
      </c>
      <c r="CJ152" s="67"/>
      <c r="CK152" s="67"/>
      <c r="CL152" s="560"/>
      <c r="CM152" s="67"/>
      <c r="CN152" s="67">
        <f>SUM(CN153:CN155)</f>
        <v>0</v>
      </c>
      <c r="CO152" s="67"/>
      <c r="CP152" s="67"/>
      <c r="CQ152" s="560"/>
      <c r="CR152" s="67"/>
      <c r="CS152" s="67">
        <f>SUM(CS153:CS155)</f>
        <v>0</v>
      </c>
      <c r="CT152" s="67"/>
      <c r="CU152" s="67"/>
      <c r="CV152" s="560"/>
      <c r="CW152" s="67"/>
      <c r="CX152" s="67">
        <f>SUM(CX153:CX155)</f>
        <v>0</v>
      </c>
      <c r="CY152" s="67"/>
      <c r="CZ152" s="67"/>
      <c r="DA152" s="560"/>
      <c r="DB152" s="67"/>
      <c r="DC152" s="67">
        <f>SUM(DC153:DC155)</f>
        <v>0</v>
      </c>
      <c r="DD152" s="67"/>
      <c r="DE152" s="67"/>
      <c r="DF152" s="560"/>
      <c r="DG152" s="67"/>
      <c r="DH152" s="67">
        <f>SUM(DH153:DH155)</f>
        <v>0</v>
      </c>
      <c r="DI152" s="67"/>
      <c r="DJ152" s="67"/>
      <c r="DK152" s="560"/>
      <c r="DL152" s="67"/>
      <c r="DM152" s="67">
        <f>SUM(DM153:DM155)</f>
        <v>0</v>
      </c>
      <c r="DN152" s="67"/>
      <c r="DO152" s="67"/>
      <c r="DP152" s="560"/>
      <c r="DQ152" s="67"/>
      <c r="DR152" s="67">
        <f>SUM(DR153:DR155)</f>
        <v>0</v>
      </c>
      <c r="DS152" s="67"/>
      <c r="DT152" s="67"/>
      <c r="DU152" s="560"/>
      <c r="DV152" s="67"/>
      <c r="DW152" s="67">
        <f>SUM(DW153:DW155)</f>
        <v>0</v>
      </c>
      <c r="DX152" s="67"/>
      <c r="DY152" s="67"/>
      <c r="DZ152" s="560"/>
      <c r="EA152" s="67"/>
      <c r="EB152" s="67">
        <f>SUM(EB153:EB155)</f>
        <v>0</v>
      </c>
      <c r="EC152" s="67"/>
      <c r="ED152" s="67"/>
      <c r="EE152" s="560"/>
      <c r="EF152" s="67"/>
      <c r="EG152" s="67">
        <f>SUM(EG153:EG155)</f>
        <v>0</v>
      </c>
      <c r="EH152" s="67"/>
      <c r="EI152" s="67"/>
      <c r="EJ152" s="560"/>
      <c r="EK152" s="67"/>
      <c r="EL152" s="67">
        <f>SUM(EL153:EL155)</f>
        <v>0</v>
      </c>
      <c r="EM152" s="442"/>
      <c r="EN152" s="442"/>
      <c r="EO152" s="455"/>
      <c r="EP152" s="472"/>
      <c r="EQ152" s="472"/>
    </row>
    <row r="153" spans="1:147" hidden="1" x14ac:dyDescent="0.2">
      <c r="A153" s="442"/>
      <c r="B153" s="442"/>
      <c r="D153" s="455" t="s">
        <v>342</v>
      </c>
      <c r="E153" s="465"/>
      <c r="F153" s="473"/>
      <c r="G153" s="558">
        <v>0</v>
      </c>
      <c r="H153" s="559"/>
      <c r="I153" s="67"/>
      <c r="J153" s="560"/>
      <c r="K153" s="561"/>
      <c r="L153" s="558">
        <v>0</v>
      </c>
      <c r="M153" s="559"/>
      <c r="N153" s="67"/>
      <c r="O153" s="560"/>
      <c r="P153" s="561"/>
      <c r="Q153" s="558">
        <v>0</v>
      </c>
      <c r="R153" s="559"/>
      <c r="S153" s="67"/>
      <c r="T153" s="560"/>
      <c r="U153" s="561"/>
      <c r="V153" s="558">
        <v>0</v>
      </c>
      <c r="W153" s="559"/>
      <c r="X153" s="67"/>
      <c r="Y153" s="560"/>
      <c r="Z153" s="561"/>
      <c r="AA153" s="558">
        <v>0</v>
      </c>
      <c r="AB153" s="559"/>
      <c r="AC153" s="67"/>
      <c r="AD153" s="560"/>
      <c r="AE153" s="561"/>
      <c r="AF153" s="558">
        <v>0</v>
      </c>
      <c r="AG153" s="559"/>
      <c r="AH153" s="67"/>
      <c r="AI153" s="560"/>
      <c r="AJ153" s="561"/>
      <c r="AK153" s="558">
        <v>0</v>
      </c>
      <c r="AL153" s="559"/>
      <c r="AM153" s="67"/>
      <c r="AN153" s="560"/>
      <c r="AO153" s="561"/>
      <c r="AP153" s="558">
        <v>0</v>
      </c>
      <c r="AQ153" s="559"/>
      <c r="AR153" s="67"/>
      <c r="AS153" s="560"/>
      <c r="AT153" s="561"/>
      <c r="AU153" s="558">
        <v>0</v>
      </c>
      <c r="AV153" s="559"/>
      <c r="AW153" s="67"/>
      <c r="AX153" s="560"/>
      <c r="AY153" s="561"/>
      <c r="AZ153" s="558">
        <v>0</v>
      </c>
      <c r="BA153" s="559"/>
      <c r="BB153" s="67"/>
      <c r="BC153" s="560"/>
      <c r="BD153" s="561"/>
      <c r="BE153" s="558">
        <v>0</v>
      </c>
      <c r="BF153" s="559"/>
      <c r="BG153" s="67"/>
      <c r="BH153" s="560"/>
      <c r="BI153" s="561"/>
      <c r="BJ153" s="558">
        <v>0</v>
      </c>
      <c r="BK153" s="559"/>
      <c r="BL153" s="67"/>
      <c r="BM153" s="560"/>
      <c r="BN153" s="561"/>
      <c r="BO153" s="558">
        <v>0</v>
      </c>
      <c r="BP153" s="559"/>
      <c r="BQ153" s="67"/>
      <c r="BR153" s="560"/>
      <c r="BS153" s="561"/>
      <c r="BT153" s="558">
        <f>SUM(L153:BO153)</f>
        <v>0</v>
      </c>
      <c r="BU153" s="559"/>
      <c r="BV153" s="67"/>
      <c r="BW153" s="560"/>
      <c r="BX153" s="561"/>
      <c r="BY153" s="558">
        <v>0</v>
      </c>
      <c r="BZ153" s="559"/>
      <c r="CA153" s="67"/>
      <c r="CB153" s="560"/>
      <c r="CC153" s="561"/>
      <c r="CD153" s="558">
        <v>0</v>
      </c>
      <c r="CE153" s="559"/>
      <c r="CF153" s="67"/>
      <c r="CG153" s="560"/>
      <c r="CH153" s="561"/>
      <c r="CI153" s="558">
        <v>0</v>
      </c>
      <c r="CJ153" s="559"/>
      <c r="CK153" s="67"/>
      <c r="CL153" s="560"/>
      <c r="CM153" s="561"/>
      <c r="CN153" s="558">
        <v>0</v>
      </c>
      <c r="CO153" s="559"/>
      <c r="CP153" s="67"/>
      <c r="CQ153" s="560"/>
      <c r="CR153" s="561"/>
      <c r="CS153" s="558">
        <v>0</v>
      </c>
      <c r="CT153" s="559"/>
      <c r="CU153" s="67"/>
      <c r="CV153" s="560"/>
      <c r="CW153" s="561"/>
      <c r="CX153" s="558">
        <v>0</v>
      </c>
      <c r="CY153" s="559"/>
      <c r="CZ153" s="67"/>
      <c r="DA153" s="560"/>
      <c r="DB153" s="561"/>
      <c r="DC153" s="558">
        <v>0</v>
      </c>
      <c r="DD153" s="559"/>
      <c r="DE153" s="67"/>
      <c r="DF153" s="560"/>
      <c r="DG153" s="561"/>
      <c r="DH153" s="558">
        <v>0</v>
      </c>
      <c r="DI153" s="559"/>
      <c r="DJ153" s="67"/>
      <c r="DK153" s="560"/>
      <c r="DL153" s="561"/>
      <c r="DM153" s="558">
        <v>0</v>
      </c>
      <c r="DN153" s="559"/>
      <c r="DO153" s="67"/>
      <c r="DP153" s="560"/>
      <c r="DQ153" s="561"/>
      <c r="DR153" s="558">
        <v>0</v>
      </c>
      <c r="DS153" s="559"/>
      <c r="DT153" s="67"/>
      <c r="DU153" s="560"/>
      <c r="DV153" s="561"/>
      <c r="DW153" s="558">
        <v>0</v>
      </c>
      <c r="DX153" s="559"/>
      <c r="DY153" s="67"/>
      <c r="DZ153" s="560"/>
      <c r="EA153" s="561"/>
      <c r="EB153" s="558">
        <v>0</v>
      </c>
      <c r="EC153" s="559"/>
      <c r="ED153" s="67"/>
      <c r="EE153" s="560"/>
      <c r="EF153" s="561"/>
      <c r="EG153" s="558">
        <v>0</v>
      </c>
      <c r="EH153" s="559"/>
      <c r="EI153" s="67"/>
      <c r="EJ153" s="560"/>
      <c r="EK153" s="561"/>
      <c r="EL153" s="558">
        <f>SUM(CD153:EG153)</f>
        <v>0</v>
      </c>
      <c r="EM153" s="475"/>
      <c r="EN153" s="442"/>
      <c r="EO153" s="455"/>
      <c r="EP153" s="472"/>
      <c r="EQ153" s="472"/>
    </row>
    <row r="154" spans="1:147" hidden="1" x14ac:dyDescent="0.2">
      <c r="A154" s="442"/>
      <c r="B154" s="442"/>
      <c r="D154" s="455" t="s">
        <v>431</v>
      </c>
      <c r="E154" s="465"/>
      <c r="F154" s="465"/>
      <c r="G154" s="67">
        <v>0</v>
      </c>
      <c r="H154" s="66"/>
      <c r="I154" s="67"/>
      <c r="J154" s="560"/>
      <c r="K154" s="560"/>
      <c r="L154" s="67">
        <v>0</v>
      </c>
      <c r="M154" s="66"/>
      <c r="N154" s="67"/>
      <c r="O154" s="560"/>
      <c r="P154" s="560"/>
      <c r="Q154" s="67">
        <v>0</v>
      </c>
      <c r="R154" s="66"/>
      <c r="S154" s="67"/>
      <c r="T154" s="560"/>
      <c r="U154" s="560"/>
      <c r="V154" s="67">
        <v>0</v>
      </c>
      <c r="W154" s="66"/>
      <c r="X154" s="67"/>
      <c r="Y154" s="560"/>
      <c r="Z154" s="560"/>
      <c r="AA154" s="67">
        <v>0</v>
      </c>
      <c r="AB154" s="66"/>
      <c r="AC154" s="67"/>
      <c r="AD154" s="560"/>
      <c r="AE154" s="560"/>
      <c r="AF154" s="67">
        <v>0</v>
      </c>
      <c r="AG154" s="66"/>
      <c r="AH154" s="67"/>
      <c r="AI154" s="560"/>
      <c r="AJ154" s="560"/>
      <c r="AK154" s="67">
        <v>0</v>
      </c>
      <c r="AL154" s="66"/>
      <c r="AM154" s="67"/>
      <c r="AN154" s="560"/>
      <c r="AO154" s="560"/>
      <c r="AP154" s="67">
        <v>0</v>
      </c>
      <c r="AQ154" s="66"/>
      <c r="AR154" s="67"/>
      <c r="AS154" s="560"/>
      <c r="AT154" s="560"/>
      <c r="AU154" s="67">
        <v>0</v>
      </c>
      <c r="AV154" s="66"/>
      <c r="AW154" s="67"/>
      <c r="AX154" s="560"/>
      <c r="AY154" s="560"/>
      <c r="AZ154" s="67">
        <v>0</v>
      </c>
      <c r="BA154" s="66"/>
      <c r="BB154" s="67"/>
      <c r="BC154" s="560"/>
      <c r="BD154" s="560"/>
      <c r="BE154" s="67">
        <v>0</v>
      </c>
      <c r="BF154" s="66"/>
      <c r="BG154" s="67"/>
      <c r="BH154" s="560"/>
      <c r="BI154" s="560"/>
      <c r="BJ154" s="67">
        <v>0</v>
      </c>
      <c r="BK154" s="66"/>
      <c r="BL154" s="67"/>
      <c r="BM154" s="560"/>
      <c r="BN154" s="560"/>
      <c r="BO154" s="67">
        <v>0</v>
      </c>
      <c r="BP154" s="66"/>
      <c r="BQ154" s="67"/>
      <c r="BR154" s="560"/>
      <c r="BS154" s="560"/>
      <c r="BT154" s="67">
        <f>SUM(L154:BO154)</f>
        <v>0</v>
      </c>
      <c r="BU154" s="66"/>
      <c r="BV154" s="67"/>
      <c r="BW154" s="560"/>
      <c r="BX154" s="560"/>
      <c r="BY154" s="67">
        <v>0</v>
      </c>
      <c r="BZ154" s="66"/>
      <c r="CA154" s="67"/>
      <c r="CB154" s="560"/>
      <c r="CC154" s="560"/>
      <c r="CD154" s="67">
        <v>0</v>
      </c>
      <c r="CE154" s="66"/>
      <c r="CF154" s="67"/>
      <c r="CG154" s="560"/>
      <c r="CH154" s="560"/>
      <c r="CI154" s="67">
        <v>0</v>
      </c>
      <c r="CJ154" s="66"/>
      <c r="CK154" s="67"/>
      <c r="CL154" s="560"/>
      <c r="CM154" s="560"/>
      <c r="CN154" s="67">
        <v>0</v>
      </c>
      <c r="CO154" s="66"/>
      <c r="CP154" s="67"/>
      <c r="CQ154" s="560"/>
      <c r="CR154" s="560"/>
      <c r="CS154" s="67">
        <v>0</v>
      </c>
      <c r="CT154" s="66"/>
      <c r="CU154" s="67"/>
      <c r="CV154" s="560"/>
      <c r="CW154" s="560"/>
      <c r="CX154" s="67">
        <v>0</v>
      </c>
      <c r="CY154" s="66"/>
      <c r="CZ154" s="67"/>
      <c r="DA154" s="560"/>
      <c r="DB154" s="560"/>
      <c r="DC154" s="67">
        <v>0</v>
      </c>
      <c r="DD154" s="66"/>
      <c r="DE154" s="67"/>
      <c r="DF154" s="560"/>
      <c r="DG154" s="560"/>
      <c r="DH154" s="67">
        <v>0</v>
      </c>
      <c r="DI154" s="66"/>
      <c r="DJ154" s="67"/>
      <c r="DK154" s="560"/>
      <c r="DL154" s="560"/>
      <c r="DM154" s="67">
        <v>0</v>
      </c>
      <c r="DN154" s="66"/>
      <c r="DO154" s="67"/>
      <c r="DP154" s="560"/>
      <c r="DQ154" s="560"/>
      <c r="DR154" s="67">
        <v>0</v>
      </c>
      <c r="DS154" s="66"/>
      <c r="DT154" s="67"/>
      <c r="DU154" s="560"/>
      <c r="DV154" s="560"/>
      <c r="DW154" s="67">
        <v>0</v>
      </c>
      <c r="DX154" s="66"/>
      <c r="DY154" s="67"/>
      <c r="DZ154" s="560"/>
      <c r="EA154" s="560"/>
      <c r="EB154" s="67">
        <v>0</v>
      </c>
      <c r="EC154" s="66"/>
      <c r="ED154" s="67"/>
      <c r="EE154" s="560"/>
      <c r="EF154" s="560"/>
      <c r="EG154" s="67">
        <v>0</v>
      </c>
      <c r="EH154" s="66"/>
      <c r="EI154" s="67"/>
      <c r="EJ154" s="560"/>
      <c r="EK154" s="560"/>
      <c r="EL154" s="67">
        <f>SUM(CD154:EG154)</f>
        <v>0</v>
      </c>
      <c r="EM154" s="480"/>
      <c r="EN154" s="442"/>
      <c r="EO154" s="455"/>
      <c r="EP154" s="472"/>
      <c r="EQ154" s="472"/>
    </row>
    <row r="155" spans="1:147" hidden="1" x14ac:dyDescent="0.2">
      <c r="A155" s="442"/>
      <c r="B155" s="442"/>
      <c r="D155" s="455" t="s">
        <v>432</v>
      </c>
      <c r="E155" s="465"/>
      <c r="F155" s="488"/>
      <c r="G155" s="113">
        <v>0</v>
      </c>
      <c r="H155" s="112"/>
      <c r="I155" s="67"/>
      <c r="J155" s="560"/>
      <c r="K155" s="569"/>
      <c r="L155" s="113">
        <v>0</v>
      </c>
      <c r="M155" s="112"/>
      <c r="N155" s="67"/>
      <c r="O155" s="560"/>
      <c r="P155" s="569"/>
      <c r="Q155" s="113">
        <v>0</v>
      </c>
      <c r="R155" s="112"/>
      <c r="S155" s="67"/>
      <c r="T155" s="560"/>
      <c r="U155" s="569"/>
      <c r="V155" s="113">
        <v>0</v>
      </c>
      <c r="W155" s="112"/>
      <c r="X155" s="67"/>
      <c r="Y155" s="560"/>
      <c r="Z155" s="569"/>
      <c r="AA155" s="113">
        <v>0</v>
      </c>
      <c r="AB155" s="112"/>
      <c r="AC155" s="67"/>
      <c r="AD155" s="560"/>
      <c r="AE155" s="569"/>
      <c r="AF155" s="113">
        <v>0</v>
      </c>
      <c r="AG155" s="112"/>
      <c r="AH155" s="67"/>
      <c r="AI155" s="560"/>
      <c r="AJ155" s="569"/>
      <c r="AK155" s="113">
        <v>0</v>
      </c>
      <c r="AL155" s="112"/>
      <c r="AM155" s="67"/>
      <c r="AN155" s="560"/>
      <c r="AO155" s="569"/>
      <c r="AP155" s="113">
        <v>0</v>
      </c>
      <c r="AQ155" s="112"/>
      <c r="AR155" s="67"/>
      <c r="AS155" s="560"/>
      <c r="AT155" s="569"/>
      <c r="AU155" s="113">
        <v>0</v>
      </c>
      <c r="AV155" s="112"/>
      <c r="AW155" s="67"/>
      <c r="AX155" s="560"/>
      <c r="AY155" s="569"/>
      <c r="AZ155" s="113">
        <v>0</v>
      </c>
      <c r="BA155" s="112"/>
      <c r="BB155" s="67"/>
      <c r="BC155" s="560"/>
      <c r="BD155" s="569"/>
      <c r="BE155" s="113">
        <v>0</v>
      </c>
      <c r="BF155" s="112"/>
      <c r="BG155" s="67"/>
      <c r="BH155" s="560"/>
      <c r="BI155" s="569"/>
      <c r="BJ155" s="113">
        <v>0</v>
      </c>
      <c r="BK155" s="112"/>
      <c r="BL155" s="67"/>
      <c r="BM155" s="560"/>
      <c r="BN155" s="569"/>
      <c r="BO155" s="113">
        <v>0</v>
      </c>
      <c r="BP155" s="112"/>
      <c r="BQ155" s="67"/>
      <c r="BR155" s="560"/>
      <c r="BS155" s="569"/>
      <c r="BT155" s="113">
        <f>SUM(L155:BO155)</f>
        <v>0</v>
      </c>
      <c r="BU155" s="112"/>
      <c r="BV155" s="67"/>
      <c r="BW155" s="560"/>
      <c r="BX155" s="569"/>
      <c r="BY155" s="113">
        <v>0</v>
      </c>
      <c r="BZ155" s="112"/>
      <c r="CA155" s="67"/>
      <c r="CB155" s="560"/>
      <c r="CC155" s="569"/>
      <c r="CD155" s="113">
        <v>0</v>
      </c>
      <c r="CE155" s="112"/>
      <c r="CF155" s="67"/>
      <c r="CG155" s="560"/>
      <c r="CH155" s="569"/>
      <c r="CI155" s="113">
        <v>0</v>
      </c>
      <c r="CJ155" s="112"/>
      <c r="CK155" s="67"/>
      <c r="CL155" s="560"/>
      <c r="CM155" s="569"/>
      <c r="CN155" s="113">
        <v>0</v>
      </c>
      <c r="CO155" s="112"/>
      <c r="CP155" s="67"/>
      <c r="CQ155" s="560"/>
      <c r="CR155" s="569"/>
      <c r="CS155" s="113">
        <v>0</v>
      </c>
      <c r="CT155" s="112"/>
      <c r="CU155" s="67"/>
      <c r="CV155" s="560"/>
      <c r="CW155" s="569"/>
      <c r="CX155" s="113">
        <v>0</v>
      </c>
      <c r="CY155" s="112"/>
      <c r="CZ155" s="67"/>
      <c r="DA155" s="560"/>
      <c r="DB155" s="569"/>
      <c r="DC155" s="113">
        <v>0</v>
      </c>
      <c r="DD155" s="112"/>
      <c r="DE155" s="67"/>
      <c r="DF155" s="560"/>
      <c r="DG155" s="569"/>
      <c r="DH155" s="113">
        <v>0</v>
      </c>
      <c r="DI155" s="112"/>
      <c r="DJ155" s="67"/>
      <c r="DK155" s="560"/>
      <c r="DL155" s="569"/>
      <c r="DM155" s="113">
        <v>0</v>
      </c>
      <c r="DN155" s="112"/>
      <c r="DO155" s="67"/>
      <c r="DP155" s="560"/>
      <c r="DQ155" s="569"/>
      <c r="DR155" s="113">
        <v>0</v>
      </c>
      <c r="DS155" s="112"/>
      <c r="DT155" s="67"/>
      <c r="DU155" s="560"/>
      <c r="DV155" s="569"/>
      <c r="DW155" s="113">
        <v>0</v>
      </c>
      <c r="DX155" s="112"/>
      <c r="DY155" s="67"/>
      <c r="DZ155" s="560"/>
      <c r="EA155" s="569"/>
      <c r="EB155" s="113">
        <v>0</v>
      </c>
      <c r="EC155" s="112"/>
      <c r="ED155" s="67"/>
      <c r="EE155" s="560"/>
      <c r="EF155" s="569"/>
      <c r="EG155" s="113">
        <v>0</v>
      </c>
      <c r="EH155" s="112"/>
      <c r="EI155" s="67"/>
      <c r="EJ155" s="560"/>
      <c r="EK155" s="569"/>
      <c r="EL155" s="113">
        <f>SUM(CD155:EG155)</f>
        <v>0</v>
      </c>
      <c r="EM155" s="490"/>
      <c r="EN155" s="442"/>
      <c r="EO155" s="455"/>
      <c r="EP155" s="472"/>
      <c r="EQ155" s="472"/>
    </row>
    <row r="156" spans="1:147" hidden="1" x14ac:dyDescent="0.2">
      <c r="A156" s="442"/>
      <c r="B156" s="442"/>
      <c r="D156" s="455"/>
      <c r="E156" s="465"/>
      <c r="F156" s="442"/>
      <c r="G156" s="597"/>
      <c r="H156" s="597"/>
      <c r="I156" s="597"/>
      <c r="J156" s="598"/>
      <c r="K156" s="597"/>
      <c r="L156" s="597"/>
      <c r="M156" s="597"/>
      <c r="N156" s="597"/>
      <c r="O156" s="598"/>
      <c r="P156" s="597"/>
      <c r="Q156" s="597"/>
      <c r="R156" s="597"/>
      <c r="S156" s="597"/>
      <c r="T156" s="598"/>
      <c r="U156" s="597"/>
      <c r="V156" s="597"/>
      <c r="W156" s="597"/>
      <c r="X156" s="597"/>
      <c r="Y156" s="598"/>
      <c r="Z156" s="597"/>
      <c r="AA156" s="597"/>
      <c r="AB156" s="597"/>
      <c r="AC156" s="597"/>
      <c r="AD156" s="598"/>
      <c r="AE156" s="597"/>
      <c r="AF156" s="597"/>
      <c r="AG156" s="597"/>
      <c r="AH156" s="597"/>
      <c r="AI156" s="598"/>
      <c r="AJ156" s="597"/>
      <c r="AK156" s="597"/>
      <c r="AL156" s="597"/>
      <c r="AM156" s="597"/>
      <c r="AN156" s="598"/>
      <c r="AO156" s="597"/>
      <c r="AP156" s="597"/>
      <c r="AQ156" s="597"/>
      <c r="AR156" s="597"/>
      <c r="AS156" s="598"/>
      <c r="AT156" s="597"/>
      <c r="AU156" s="597"/>
      <c r="AV156" s="597"/>
      <c r="AW156" s="597"/>
      <c r="AX156" s="598"/>
      <c r="AY156" s="597"/>
      <c r="AZ156" s="597"/>
      <c r="BA156" s="597"/>
      <c r="BB156" s="597"/>
      <c r="BC156" s="598"/>
      <c r="BD156" s="597"/>
      <c r="BE156" s="597"/>
      <c r="BF156" s="597"/>
      <c r="BG156" s="597"/>
      <c r="BH156" s="598"/>
      <c r="BI156" s="597"/>
      <c r="BJ156" s="597"/>
      <c r="BK156" s="597"/>
      <c r="BL156" s="597"/>
      <c r="BM156" s="598"/>
      <c r="BN156" s="597"/>
      <c r="BO156" s="597"/>
      <c r="BP156" s="597"/>
      <c r="BQ156" s="597"/>
      <c r="BR156" s="598"/>
      <c r="BS156" s="597"/>
      <c r="BT156" s="67"/>
      <c r="BU156" s="67"/>
      <c r="BV156" s="67"/>
      <c r="BW156" s="560"/>
      <c r="BX156" s="67"/>
      <c r="BY156" s="597"/>
      <c r="BZ156" s="597"/>
      <c r="CA156" s="597"/>
      <c r="CB156" s="598"/>
      <c r="CC156" s="597"/>
      <c r="CD156" s="597"/>
      <c r="CE156" s="597"/>
      <c r="CF156" s="597"/>
      <c r="CG156" s="598"/>
      <c r="CH156" s="597"/>
      <c r="CI156" s="597"/>
      <c r="CJ156" s="597"/>
      <c r="CK156" s="597"/>
      <c r="CL156" s="598"/>
      <c r="CM156" s="597"/>
      <c r="CN156" s="597"/>
      <c r="CO156" s="597"/>
      <c r="CP156" s="597"/>
      <c r="CQ156" s="598"/>
      <c r="CR156" s="597"/>
      <c r="CS156" s="597"/>
      <c r="CT156" s="597"/>
      <c r="CU156" s="597"/>
      <c r="CV156" s="598"/>
      <c r="CW156" s="597"/>
      <c r="CX156" s="597"/>
      <c r="CY156" s="597"/>
      <c r="CZ156" s="597"/>
      <c r="DA156" s="598"/>
      <c r="DB156" s="597"/>
      <c r="DC156" s="597"/>
      <c r="DD156" s="597"/>
      <c r="DE156" s="597"/>
      <c r="DF156" s="598"/>
      <c r="DG156" s="597"/>
      <c r="DH156" s="597"/>
      <c r="DI156" s="597"/>
      <c r="DJ156" s="597"/>
      <c r="DK156" s="598"/>
      <c r="DL156" s="597"/>
      <c r="DM156" s="597"/>
      <c r="DN156" s="597"/>
      <c r="DO156" s="597"/>
      <c r="DP156" s="598"/>
      <c r="DQ156" s="597"/>
      <c r="DR156" s="597"/>
      <c r="DS156" s="597"/>
      <c r="DT156" s="597"/>
      <c r="DU156" s="598"/>
      <c r="DV156" s="597"/>
      <c r="DW156" s="597"/>
      <c r="DX156" s="597"/>
      <c r="DY156" s="597"/>
      <c r="DZ156" s="598"/>
      <c r="EA156" s="597"/>
      <c r="EB156" s="597"/>
      <c r="EC156" s="597"/>
      <c r="ED156" s="597"/>
      <c r="EE156" s="598"/>
      <c r="EF156" s="597"/>
      <c r="EG156" s="597"/>
      <c r="EH156" s="597"/>
      <c r="EI156" s="597"/>
      <c r="EJ156" s="598"/>
      <c r="EK156" s="597"/>
      <c r="EL156" s="67"/>
      <c r="EM156" s="442"/>
      <c r="EN156" s="442"/>
      <c r="EO156" s="455"/>
      <c r="EP156" s="472"/>
      <c r="EQ156" s="472"/>
    </row>
    <row r="157" spans="1:147" x14ac:dyDescent="0.2">
      <c r="A157" s="442"/>
      <c r="B157" s="442"/>
      <c r="D157" s="599"/>
      <c r="E157" s="575"/>
      <c r="F157" s="445"/>
      <c r="G157" s="600"/>
      <c r="H157" s="600"/>
      <c r="I157" s="600"/>
      <c r="J157" s="601"/>
      <c r="K157" s="600"/>
      <c r="L157" s="600"/>
      <c r="M157" s="600"/>
      <c r="N157" s="600"/>
      <c r="O157" s="601"/>
      <c r="P157" s="600"/>
      <c r="Q157" s="600"/>
      <c r="R157" s="600"/>
      <c r="S157" s="600"/>
      <c r="T157" s="601"/>
      <c r="U157" s="600"/>
      <c r="V157" s="600"/>
      <c r="W157" s="600"/>
      <c r="X157" s="600"/>
      <c r="Y157" s="601"/>
      <c r="Z157" s="600"/>
      <c r="AA157" s="600"/>
      <c r="AB157" s="600"/>
      <c r="AC157" s="600"/>
      <c r="AD157" s="601"/>
      <c r="AE157" s="600"/>
      <c r="AF157" s="600"/>
      <c r="AG157" s="600"/>
      <c r="AH157" s="600"/>
      <c r="AI157" s="601"/>
      <c r="AJ157" s="600"/>
      <c r="AK157" s="600"/>
      <c r="AL157" s="600"/>
      <c r="AM157" s="600"/>
      <c r="AN157" s="601"/>
      <c r="AO157" s="600"/>
      <c r="AP157" s="600"/>
      <c r="AQ157" s="600"/>
      <c r="AR157" s="600"/>
      <c r="AS157" s="601"/>
      <c r="AT157" s="600"/>
      <c r="AU157" s="600"/>
      <c r="AV157" s="600"/>
      <c r="AW157" s="600"/>
      <c r="AX157" s="601"/>
      <c r="AY157" s="600"/>
      <c r="AZ157" s="600"/>
      <c r="BA157" s="600"/>
      <c r="BB157" s="600"/>
      <c r="BC157" s="601"/>
      <c r="BD157" s="600"/>
      <c r="BE157" s="600"/>
      <c r="BF157" s="600"/>
      <c r="BG157" s="600"/>
      <c r="BH157" s="601"/>
      <c r="BI157" s="600"/>
      <c r="BJ157" s="600"/>
      <c r="BK157" s="600"/>
      <c r="BL157" s="600"/>
      <c r="BM157" s="601"/>
      <c r="BN157" s="600"/>
      <c r="BO157" s="600"/>
      <c r="BP157" s="600"/>
      <c r="BQ157" s="600"/>
      <c r="BR157" s="601"/>
      <c r="BS157" s="600"/>
      <c r="BT157" s="125"/>
      <c r="BU157" s="125"/>
      <c r="BV157" s="125"/>
      <c r="BW157" s="576"/>
      <c r="BX157" s="125"/>
      <c r="BY157" s="600"/>
      <c r="BZ157" s="600"/>
      <c r="CA157" s="600"/>
      <c r="CB157" s="601"/>
      <c r="CC157" s="600"/>
      <c r="CD157" s="600"/>
      <c r="CE157" s="600"/>
      <c r="CF157" s="600"/>
      <c r="CG157" s="601"/>
      <c r="CH157" s="600"/>
      <c r="CI157" s="600"/>
      <c r="CJ157" s="600"/>
      <c r="CK157" s="600"/>
      <c r="CL157" s="601"/>
      <c r="CM157" s="600"/>
      <c r="CN157" s="600"/>
      <c r="CO157" s="600"/>
      <c r="CP157" s="600"/>
      <c r="CQ157" s="601"/>
      <c r="CR157" s="600"/>
      <c r="CS157" s="600"/>
      <c r="CT157" s="600"/>
      <c r="CU157" s="600"/>
      <c r="CV157" s="601"/>
      <c r="CW157" s="600"/>
      <c r="CX157" s="600"/>
      <c r="CY157" s="600"/>
      <c r="CZ157" s="600"/>
      <c r="DA157" s="601"/>
      <c r="DB157" s="600"/>
      <c r="DC157" s="600"/>
      <c r="DD157" s="600"/>
      <c r="DE157" s="600"/>
      <c r="DF157" s="601"/>
      <c r="DG157" s="600"/>
      <c r="DH157" s="600"/>
      <c r="DI157" s="600"/>
      <c r="DJ157" s="600"/>
      <c r="DK157" s="601"/>
      <c r="DL157" s="600"/>
      <c r="DM157" s="600"/>
      <c r="DN157" s="600"/>
      <c r="DO157" s="600"/>
      <c r="DP157" s="601"/>
      <c r="DQ157" s="600"/>
      <c r="DR157" s="600"/>
      <c r="DS157" s="600"/>
      <c r="DT157" s="600"/>
      <c r="DU157" s="601"/>
      <c r="DV157" s="600"/>
      <c r="DW157" s="600"/>
      <c r="DX157" s="600"/>
      <c r="DY157" s="600"/>
      <c r="DZ157" s="601"/>
      <c r="EA157" s="600"/>
      <c r="EB157" s="600"/>
      <c r="EC157" s="600"/>
      <c r="ED157" s="600"/>
      <c r="EE157" s="601"/>
      <c r="EF157" s="600"/>
      <c r="EG157" s="600"/>
      <c r="EH157" s="600"/>
      <c r="EI157" s="600"/>
      <c r="EJ157" s="601"/>
      <c r="EK157" s="600"/>
      <c r="EL157" s="125"/>
      <c r="EM157" s="445"/>
      <c r="EN157" s="445"/>
      <c r="EO157" s="455"/>
      <c r="EP157" s="472"/>
      <c r="EQ157" s="472"/>
    </row>
    <row r="158" spans="1:147" x14ac:dyDescent="0.2">
      <c r="A158" s="442"/>
      <c r="B158" s="442"/>
      <c r="C158" s="442"/>
      <c r="D158" s="442"/>
      <c r="E158" s="442"/>
      <c r="F158" s="442"/>
      <c r="G158" s="597"/>
      <c r="H158" s="597"/>
      <c r="I158" s="597"/>
      <c r="J158" s="597"/>
      <c r="K158" s="597"/>
      <c r="L158" s="597"/>
      <c r="M158" s="597"/>
      <c r="N158" s="597"/>
      <c r="O158" s="597"/>
      <c r="P158" s="597"/>
      <c r="Q158" s="597"/>
      <c r="R158" s="597"/>
      <c r="S158" s="597"/>
      <c r="T158" s="597"/>
      <c r="U158" s="597"/>
      <c r="V158" s="597"/>
      <c r="W158" s="597"/>
      <c r="X158" s="597"/>
      <c r="Y158" s="597"/>
      <c r="Z158" s="597"/>
      <c r="AA158" s="597"/>
      <c r="AB158" s="597"/>
      <c r="AC158" s="597"/>
      <c r="AD158" s="602"/>
      <c r="AE158" s="602"/>
      <c r="AF158" s="602"/>
      <c r="AG158" s="602"/>
      <c r="AH158" s="602"/>
      <c r="AI158" s="602"/>
      <c r="AJ158" s="602"/>
      <c r="AK158" s="602"/>
      <c r="AL158" s="602"/>
      <c r="AM158" s="602"/>
      <c r="AN158" s="602"/>
      <c r="AO158" s="602"/>
      <c r="AP158" s="602"/>
      <c r="AQ158" s="602"/>
      <c r="AR158" s="602"/>
      <c r="AS158" s="602"/>
      <c r="AT158" s="602"/>
      <c r="AU158" s="602"/>
      <c r="AV158" s="602"/>
      <c r="AW158" s="602"/>
      <c r="AX158" s="602"/>
      <c r="AY158" s="602"/>
      <c r="AZ158" s="602"/>
      <c r="BA158" s="602"/>
      <c r="BB158" s="602"/>
      <c r="BC158" s="602"/>
      <c r="BD158" s="602"/>
      <c r="BE158" s="602"/>
      <c r="BF158" s="602"/>
      <c r="BG158" s="602"/>
      <c r="BH158" s="602"/>
      <c r="BI158" s="602"/>
      <c r="BJ158" s="602"/>
      <c r="BK158" s="602"/>
      <c r="BL158" s="602"/>
      <c r="BM158" s="602"/>
      <c r="BN158" s="602"/>
      <c r="BO158" s="602"/>
      <c r="BP158" s="602"/>
      <c r="BQ158" s="602"/>
      <c r="BR158" s="602"/>
      <c r="BS158" s="602"/>
      <c r="BT158" s="603"/>
      <c r="BU158" s="603"/>
      <c r="BV158" s="603"/>
      <c r="BW158" s="603"/>
      <c r="BX158" s="603"/>
      <c r="BY158" s="603"/>
      <c r="BZ158" s="603"/>
      <c r="CA158" s="603"/>
      <c r="CB158" s="603"/>
      <c r="CC158" s="603"/>
      <c r="CD158" s="602"/>
      <c r="CE158" s="602"/>
      <c r="CF158" s="602"/>
      <c r="CG158" s="602"/>
      <c r="CH158" s="602"/>
      <c r="CI158" s="602"/>
      <c r="CJ158" s="602"/>
      <c r="CK158" s="602"/>
      <c r="CL158" s="602"/>
      <c r="CM158" s="602"/>
      <c r="CN158" s="602"/>
      <c r="CO158" s="602"/>
      <c r="CP158" s="602"/>
      <c r="CQ158" s="602"/>
      <c r="CR158" s="602"/>
      <c r="CS158" s="602"/>
      <c r="CT158" s="602"/>
      <c r="CU158" s="602"/>
      <c r="CV158" s="602"/>
      <c r="CW158" s="597"/>
      <c r="CX158" s="597"/>
      <c r="CY158" s="597"/>
      <c r="CZ158" s="597"/>
      <c r="DA158" s="597"/>
      <c r="DB158" s="597"/>
      <c r="DC158" s="597"/>
      <c r="DD158" s="597"/>
      <c r="DE158" s="597"/>
      <c r="DF158" s="597"/>
      <c r="DG158" s="597"/>
      <c r="DH158" s="597"/>
      <c r="DI158" s="597"/>
      <c r="DJ158" s="597"/>
      <c r="DK158" s="597"/>
      <c r="DL158" s="597"/>
      <c r="DM158" s="597"/>
      <c r="DN158" s="597"/>
      <c r="DO158" s="597"/>
      <c r="DP158" s="597"/>
      <c r="DQ158" s="597"/>
      <c r="DR158" s="597"/>
      <c r="DS158" s="597"/>
      <c r="DT158" s="597"/>
      <c r="DU158" s="597"/>
      <c r="DV158" s="597"/>
      <c r="DW158" s="597"/>
      <c r="DX158" s="597"/>
      <c r="DY158" s="597"/>
      <c r="DZ158" s="597"/>
      <c r="EA158" s="597"/>
      <c r="EB158" s="597"/>
      <c r="EC158" s="597"/>
      <c r="ED158" s="597"/>
      <c r="EE158" s="597"/>
      <c r="EF158" s="597"/>
      <c r="EG158" s="597"/>
      <c r="EH158" s="597"/>
      <c r="EI158" s="597"/>
      <c r="EJ158" s="597"/>
      <c r="EK158" s="597"/>
      <c r="EL158" s="67"/>
      <c r="EM158" s="442"/>
      <c r="EN158" s="442"/>
    </row>
    <row r="159" spans="1:147" x14ac:dyDescent="0.2">
      <c r="A159" s="442"/>
      <c r="B159" s="442"/>
      <c r="C159" s="442"/>
      <c r="D159" s="442"/>
      <c r="E159" s="442"/>
      <c r="F159" s="442"/>
      <c r="G159" s="597"/>
      <c r="H159" s="597"/>
      <c r="I159" s="597"/>
      <c r="J159" s="597"/>
      <c r="K159" s="597"/>
      <c r="L159" s="597"/>
      <c r="M159" s="597"/>
      <c r="N159" s="597"/>
      <c r="O159" s="597"/>
      <c r="P159" s="597"/>
      <c r="Q159" s="597"/>
      <c r="R159" s="597"/>
      <c r="S159" s="597"/>
      <c r="T159" s="597"/>
      <c r="U159" s="597"/>
      <c r="V159" s="597"/>
      <c r="W159" s="597"/>
      <c r="X159" s="597"/>
      <c r="Y159" s="597"/>
      <c r="Z159" s="597"/>
      <c r="AA159" s="597"/>
      <c r="AB159" s="597"/>
      <c r="AC159" s="597"/>
      <c r="AD159" s="597"/>
      <c r="AE159" s="597"/>
      <c r="AF159" s="597"/>
      <c r="AG159" s="597"/>
      <c r="AH159" s="597"/>
      <c r="AI159" s="597"/>
      <c r="AJ159" s="597"/>
      <c r="AK159" s="597"/>
      <c r="AL159" s="597"/>
      <c r="AM159" s="597"/>
      <c r="AN159" s="597"/>
      <c r="AO159" s="597"/>
      <c r="AP159" s="597"/>
      <c r="AQ159" s="597"/>
      <c r="AR159" s="597"/>
      <c r="AS159" s="597"/>
      <c r="AT159" s="597"/>
      <c r="AU159" s="597"/>
      <c r="AV159" s="597"/>
      <c r="AW159" s="597"/>
      <c r="AX159" s="597"/>
      <c r="AY159" s="597"/>
      <c r="AZ159" s="597"/>
      <c r="BA159" s="597"/>
      <c r="BB159" s="597"/>
      <c r="BC159" s="597"/>
      <c r="BD159" s="597"/>
      <c r="BE159" s="597"/>
      <c r="BF159" s="597"/>
      <c r="BG159" s="597"/>
      <c r="BH159" s="597"/>
      <c r="BI159" s="597"/>
      <c r="BJ159" s="597"/>
      <c r="BK159" s="597"/>
      <c r="BL159" s="597"/>
      <c r="BM159" s="597"/>
      <c r="BN159" s="597"/>
      <c r="BO159" s="597"/>
      <c r="BP159" s="597"/>
      <c r="BQ159" s="597"/>
      <c r="BR159" s="597"/>
      <c r="BS159" s="59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597"/>
      <c r="CE159" s="597"/>
      <c r="CF159" s="597"/>
      <c r="CG159" s="597"/>
      <c r="CH159" s="597"/>
      <c r="CI159" s="597"/>
      <c r="CJ159" s="597"/>
      <c r="CK159" s="597"/>
      <c r="CL159" s="597"/>
      <c r="CM159" s="597"/>
      <c r="CN159" s="597"/>
      <c r="CO159" s="597"/>
      <c r="CP159" s="597"/>
      <c r="CQ159" s="597"/>
      <c r="CR159" s="597"/>
      <c r="CS159" s="597"/>
      <c r="CT159" s="597"/>
      <c r="CU159" s="597"/>
      <c r="CV159" s="597"/>
      <c r="CW159" s="597"/>
      <c r="CX159" s="597"/>
      <c r="CY159" s="597"/>
      <c r="CZ159" s="597"/>
      <c r="DA159" s="597"/>
      <c r="DB159" s="597"/>
      <c r="DC159" s="597"/>
      <c r="DD159" s="597"/>
      <c r="DE159" s="597"/>
      <c r="DF159" s="597"/>
      <c r="DG159" s="597"/>
      <c r="DH159" s="597"/>
      <c r="DI159" s="597"/>
      <c r="DJ159" s="597"/>
      <c r="DK159" s="597"/>
      <c r="DL159" s="597"/>
      <c r="DM159" s="597"/>
      <c r="DN159" s="597"/>
      <c r="DO159" s="597"/>
      <c r="DP159" s="597"/>
      <c r="DQ159" s="597"/>
      <c r="DR159" s="597"/>
      <c r="DS159" s="597"/>
      <c r="DT159" s="597"/>
      <c r="DU159" s="597"/>
      <c r="DV159" s="597"/>
      <c r="DW159" s="597"/>
      <c r="DX159" s="597"/>
      <c r="DY159" s="597"/>
      <c r="DZ159" s="597"/>
      <c r="EA159" s="597"/>
      <c r="EB159" s="597"/>
      <c r="EC159" s="597"/>
      <c r="ED159" s="597"/>
      <c r="EE159" s="597"/>
      <c r="EF159" s="597"/>
      <c r="EG159" s="597"/>
      <c r="EH159" s="597"/>
      <c r="EI159" s="597"/>
      <c r="EJ159" s="597"/>
      <c r="EK159" s="597"/>
      <c r="EL159" s="67"/>
      <c r="EM159" s="442"/>
      <c r="EN159" s="442"/>
    </row>
    <row r="160" spans="1:147" x14ac:dyDescent="0.2">
      <c r="A160" s="442"/>
      <c r="B160" s="442"/>
      <c r="C160" s="442"/>
      <c r="D160" s="442"/>
      <c r="E160" s="442"/>
      <c r="F160" s="442"/>
      <c r="G160" s="597"/>
      <c r="H160" s="597"/>
      <c r="I160" s="597"/>
      <c r="J160" s="597"/>
      <c r="K160" s="597"/>
      <c r="L160" s="597"/>
      <c r="M160" s="597"/>
      <c r="N160" s="597"/>
      <c r="O160" s="597"/>
      <c r="P160" s="597"/>
      <c r="Q160" s="597"/>
      <c r="R160" s="597"/>
      <c r="S160" s="597"/>
      <c r="T160" s="597"/>
      <c r="U160" s="597"/>
      <c r="V160" s="597"/>
      <c r="W160" s="597"/>
      <c r="X160" s="597"/>
      <c r="Y160" s="597"/>
      <c r="Z160" s="597"/>
      <c r="AA160" s="597"/>
      <c r="AB160" s="597"/>
      <c r="AC160" s="597"/>
      <c r="AD160" s="597"/>
      <c r="AE160" s="597"/>
      <c r="AF160" s="597"/>
      <c r="AG160" s="597"/>
      <c r="AH160" s="597"/>
      <c r="AI160" s="597"/>
      <c r="AJ160" s="597"/>
      <c r="AK160" s="597"/>
      <c r="AL160" s="597"/>
      <c r="AM160" s="597"/>
      <c r="AN160" s="597"/>
      <c r="AO160" s="597"/>
      <c r="AP160" s="597"/>
      <c r="AQ160" s="597"/>
      <c r="AR160" s="597"/>
      <c r="AS160" s="597"/>
      <c r="AT160" s="597"/>
      <c r="AU160" s="597"/>
      <c r="AV160" s="597"/>
      <c r="AW160" s="597"/>
      <c r="AX160" s="597"/>
      <c r="AY160" s="597"/>
      <c r="AZ160" s="597"/>
      <c r="BA160" s="597"/>
      <c r="BB160" s="597"/>
      <c r="BC160" s="597"/>
      <c r="BD160" s="597"/>
      <c r="BE160" s="597"/>
      <c r="BF160" s="597"/>
      <c r="BG160" s="597"/>
      <c r="BH160" s="597"/>
      <c r="BI160" s="597"/>
      <c r="BJ160" s="597"/>
      <c r="BK160" s="597"/>
      <c r="BL160" s="597"/>
      <c r="BM160" s="597"/>
      <c r="BN160" s="597"/>
      <c r="BO160" s="597"/>
      <c r="BP160" s="597"/>
      <c r="BQ160" s="597"/>
      <c r="BR160" s="597"/>
      <c r="BS160" s="59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597"/>
      <c r="CE160" s="597"/>
      <c r="CF160" s="597"/>
      <c r="CG160" s="597"/>
      <c r="CH160" s="597"/>
      <c r="CI160" s="597"/>
      <c r="CJ160" s="597"/>
      <c r="CK160" s="597"/>
      <c r="CL160" s="597"/>
      <c r="CM160" s="597"/>
      <c r="CN160" s="597"/>
      <c r="CO160" s="597"/>
      <c r="CP160" s="597"/>
      <c r="CQ160" s="597"/>
      <c r="CR160" s="597"/>
      <c r="CS160" s="597"/>
      <c r="CT160" s="597"/>
      <c r="CU160" s="597"/>
      <c r="CV160" s="597"/>
      <c r="CW160" s="597"/>
      <c r="CX160" s="597"/>
      <c r="CY160" s="597"/>
      <c r="CZ160" s="597"/>
      <c r="DA160" s="597"/>
      <c r="DB160" s="597"/>
      <c r="DC160" s="597"/>
      <c r="DD160" s="597"/>
      <c r="DE160" s="597"/>
      <c r="DF160" s="597"/>
      <c r="DG160" s="597"/>
      <c r="DH160" s="597"/>
      <c r="DI160" s="597"/>
      <c r="DJ160" s="597"/>
      <c r="DK160" s="597"/>
      <c r="DL160" s="597"/>
      <c r="DM160" s="597"/>
      <c r="DN160" s="597"/>
      <c r="DO160" s="597"/>
      <c r="DP160" s="597"/>
      <c r="DQ160" s="597"/>
      <c r="DR160" s="597"/>
      <c r="DS160" s="597"/>
      <c r="DT160" s="597"/>
      <c r="DU160" s="597"/>
      <c r="DV160" s="597"/>
      <c r="DW160" s="597"/>
      <c r="DX160" s="597"/>
      <c r="DY160" s="597"/>
      <c r="DZ160" s="597"/>
      <c r="EA160" s="597"/>
      <c r="EB160" s="597"/>
      <c r="EC160" s="597"/>
      <c r="ED160" s="597"/>
      <c r="EE160" s="597"/>
      <c r="EF160" s="597"/>
      <c r="EG160" s="597"/>
      <c r="EH160" s="597"/>
      <c r="EI160" s="597"/>
      <c r="EJ160" s="597"/>
      <c r="EK160" s="597"/>
      <c r="EL160" s="67"/>
      <c r="EM160" s="442"/>
      <c r="EN160" s="442"/>
    </row>
    <row r="166" spans="142:142" x14ac:dyDescent="0.2">
      <c r="EL166" s="67"/>
    </row>
  </sheetData>
  <mergeCells count="2">
    <mergeCell ref="G8:BT8"/>
    <mergeCell ref="BY8:EL8"/>
  </mergeCells>
  <pageMargins left="0.7" right="0.7" top="0.75" bottom="0.75" header="0.3" footer="0.3"/>
  <pageSetup scale="52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93"/>
  <sheetViews>
    <sheetView view="pageBreakPreview" topLeftCell="A137" zoomScale="98" zoomScaleNormal="100" zoomScaleSheetLayoutView="98" workbookViewId="0">
      <selection activeCell="EL188" sqref="EL188"/>
    </sheetView>
  </sheetViews>
  <sheetFormatPr defaultColWidth="10" defaultRowHeight="12.75" x14ac:dyDescent="0.2"/>
  <cols>
    <col min="1" max="1" width="1.85546875" style="53" customWidth="1"/>
    <col min="2" max="2" width="1" style="53" customWidth="1"/>
    <col min="3" max="3" width="0.85546875" style="53" customWidth="1"/>
    <col min="4" max="4" width="52.28515625" style="53" customWidth="1"/>
    <col min="5" max="6" width="1" style="53" customWidth="1"/>
    <col min="7" max="7" width="16.85546875" style="53" customWidth="1"/>
    <col min="8" max="9" width="1" style="53" customWidth="1"/>
    <col min="10" max="11" width="1" style="53" hidden="1" customWidth="1"/>
    <col min="12" max="12" width="17.85546875" style="53" hidden="1" customWidth="1"/>
    <col min="13" max="14" width="1" style="53" hidden="1" customWidth="1"/>
    <col min="15" max="16" width="1" style="53" customWidth="1"/>
    <col min="17" max="17" width="17.85546875" style="53" customWidth="1"/>
    <col min="18" max="19" width="1" style="53" customWidth="1"/>
    <col min="20" max="21" width="1" style="53" hidden="1" customWidth="1"/>
    <col min="22" max="22" width="17.85546875" style="53" hidden="1" customWidth="1"/>
    <col min="23" max="26" width="1" style="53" hidden="1" customWidth="1"/>
    <col min="27" max="27" width="17.85546875" style="53" hidden="1" customWidth="1"/>
    <col min="28" max="31" width="1" style="53" hidden="1" customWidth="1"/>
    <col min="32" max="32" width="17.85546875" style="53" hidden="1" customWidth="1"/>
    <col min="33" max="36" width="1" style="53" hidden="1" customWidth="1"/>
    <col min="37" max="37" width="17.85546875" style="53" hidden="1" customWidth="1"/>
    <col min="38" max="41" width="1" style="53" hidden="1" customWidth="1"/>
    <col min="42" max="42" width="17.85546875" style="53" hidden="1" customWidth="1"/>
    <col min="43" max="46" width="1" style="53" hidden="1" customWidth="1"/>
    <col min="47" max="47" width="15.7109375" style="53" hidden="1" customWidth="1"/>
    <col min="48" max="51" width="1" style="53" hidden="1" customWidth="1"/>
    <col min="52" max="52" width="17.85546875" style="53" hidden="1" customWidth="1"/>
    <col min="53" max="56" width="1" style="53" hidden="1" customWidth="1"/>
    <col min="57" max="57" width="17.85546875" style="53" hidden="1" customWidth="1"/>
    <col min="58" max="61" width="1" style="53" hidden="1" customWidth="1"/>
    <col min="62" max="62" width="17.85546875" style="53" hidden="1" customWidth="1"/>
    <col min="63" max="66" width="1" style="53" hidden="1" customWidth="1"/>
    <col min="67" max="67" width="17.85546875" style="53" hidden="1" customWidth="1"/>
    <col min="68" max="69" width="1" style="53" hidden="1" customWidth="1"/>
    <col min="70" max="71" width="1" style="53" customWidth="1"/>
    <col min="72" max="72" width="16.140625" style="53" customWidth="1"/>
    <col min="73" max="76" width="1" style="53" customWidth="1"/>
    <col min="77" max="77" width="15.140625" style="53" customWidth="1"/>
    <col min="78" max="79" width="1" style="53" customWidth="1"/>
    <col min="80" max="81" width="1" style="53" hidden="1" customWidth="1"/>
    <col min="82" max="82" width="17.85546875" style="53" hidden="1" customWidth="1"/>
    <col min="83" max="84" width="1" style="53" hidden="1" customWidth="1"/>
    <col min="85" max="86" width="1" style="53" customWidth="1"/>
    <col min="87" max="87" width="17.85546875" style="53" customWidth="1"/>
    <col min="88" max="89" width="1" style="53" customWidth="1"/>
    <col min="90" max="91" width="1" style="53" hidden="1" customWidth="1"/>
    <col min="92" max="92" width="17.85546875" style="53" hidden="1" customWidth="1"/>
    <col min="93" max="96" width="1" style="53" hidden="1" customWidth="1"/>
    <col min="97" max="97" width="17.85546875" style="53" hidden="1" customWidth="1"/>
    <col min="98" max="101" width="1" style="53" hidden="1" customWidth="1"/>
    <col min="102" max="102" width="17.85546875" style="53" hidden="1" customWidth="1"/>
    <col min="103" max="106" width="1" style="53" hidden="1" customWidth="1"/>
    <col min="107" max="107" width="17.85546875" style="53" hidden="1" customWidth="1"/>
    <col min="108" max="111" width="1" style="53" hidden="1" customWidth="1"/>
    <col min="112" max="112" width="17.85546875" style="53" hidden="1" customWidth="1"/>
    <col min="113" max="116" width="1" style="53" hidden="1" customWidth="1"/>
    <col min="117" max="117" width="16" style="53" hidden="1" customWidth="1"/>
    <col min="118" max="121" width="1" style="53" hidden="1" customWidth="1"/>
    <col min="122" max="122" width="17.85546875" style="53" hidden="1" customWidth="1"/>
    <col min="123" max="126" width="1" style="53" hidden="1" customWidth="1"/>
    <col min="127" max="127" width="17.85546875" style="53" hidden="1" customWidth="1"/>
    <col min="128" max="131" width="1" style="53" hidden="1" customWidth="1"/>
    <col min="132" max="132" width="17.85546875" style="53" hidden="1" customWidth="1"/>
    <col min="133" max="136" width="1" style="53" hidden="1" customWidth="1"/>
    <col min="137" max="137" width="17.85546875" style="53" hidden="1" customWidth="1"/>
    <col min="138" max="139" width="1" style="53" hidden="1" customWidth="1"/>
    <col min="140" max="141" width="1" style="53" customWidth="1"/>
    <col min="142" max="142" width="15.7109375" style="53" customWidth="1"/>
    <col min="143" max="144" width="1" style="53" customWidth="1"/>
    <col min="145" max="145" width="0.7109375" style="53" customWidth="1"/>
    <col min="146" max="146" width="3.28515625" style="53" customWidth="1"/>
    <col min="147" max="147" width="10" style="53"/>
    <col min="148" max="148" width="10.42578125" style="53" bestFit="1" customWidth="1"/>
    <col min="149" max="256" width="10" style="53"/>
    <col min="257" max="257" width="1.85546875" style="53" customWidth="1"/>
    <col min="258" max="258" width="1" style="53" customWidth="1"/>
    <col min="259" max="259" width="0.85546875" style="53" customWidth="1"/>
    <col min="260" max="260" width="52.28515625" style="53" customWidth="1"/>
    <col min="261" max="262" width="1" style="53" customWidth="1"/>
    <col min="263" max="263" width="16.85546875" style="53" customWidth="1"/>
    <col min="264" max="265" width="1" style="53" customWidth="1"/>
    <col min="266" max="270" width="0" style="53" hidden="1" customWidth="1"/>
    <col min="271" max="272" width="1" style="53" customWidth="1"/>
    <col min="273" max="273" width="17.85546875" style="53" customWidth="1"/>
    <col min="274" max="275" width="1" style="53" customWidth="1"/>
    <col min="276" max="325" width="0" style="53" hidden="1" customWidth="1"/>
    <col min="326" max="327" width="1" style="53" customWidth="1"/>
    <col min="328" max="328" width="16.140625" style="53" customWidth="1"/>
    <col min="329" max="332" width="1" style="53" customWidth="1"/>
    <col min="333" max="333" width="15.140625" style="53" customWidth="1"/>
    <col min="334" max="335" width="1" style="53" customWidth="1"/>
    <col min="336" max="340" width="0" style="53" hidden="1" customWidth="1"/>
    <col min="341" max="342" width="1" style="53" customWidth="1"/>
    <col min="343" max="343" width="17.85546875" style="53" customWidth="1"/>
    <col min="344" max="345" width="1" style="53" customWidth="1"/>
    <col min="346" max="395" width="0" style="53" hidden="1" customWidth="1"/>
    <col min="396" max="397" width="1" style="53" customWidth="1"/>
    <col min="398" max="398" width="15.7109375" style="53" customWidth="1"/>
    <col min="399" max="400" width="1" style="53" customWidth="1"/>
    <col min="401" max="401" width="0.7109375" style="53" customWidth="1"/>
    <col min="402" max="402" width="3.28515625" style="53" customWidth="1"/>
    <col min="403" max="403" width="10" style="53"/>
    <col min="404" max="404" width="10.42578125" style="53" bestFit="1" customWidth="1"/>
    <col min="405" max="512" width="10" style="53"/>
    <col min="513" max="513" width="1.85546875" style="53" customWidth="1"/>
    <col min="514" max="514" width="1" style="53" customWidth="1"/>
    <col min="515" max="515" width="0.85546875" style="53" customWidth="1"/>
    <col min="516" max="516" width="52.28515625" style="53" customWidth="1"/>
    <col min="517" max="518" width="1" style="53" customWidth="1"/>
    <col min="519" max="519" width="16.85546875" style="53" customWidth="1"/>
    <col min="520" max="521" width="1" style="53" customWidth="1"/>
    <col min="522" max="526" width="0" style="53" hidden="1" customWidth="1"/>
    <col min="527" max="528" width="1" style="53" customWidth="1"/>
    <col min="529" max="529" width="17.85546875" style="53" customWidth="1"/>
    <col min="530" max="531" width="1" style="53" customWidth="1"/>
    <col min="532" max="581" width="0" style="53" hidden="1" customWidth="1"/>
    <col min="582" max="583" width="1" style="53" customWidth="1"/>
    <col min="584" max="584" width="16.140625" style="53" customWidth="1"/>
    <col min="585" max="588" width="1" style="53" customWidth="1"/>
    <col min="589" max="589" width="15.140625" style="53" customWidth="1"/>
    <col min="590" max="591" width="1" style="53" customWidth="1"/>
    <col min="592" max="596" width="0" style="53" hidden="1" customWidth="1"/>
    <col min="597" max="598" width="1" style="53" customWidth="1"/>
    <col min="599" max="599" width="17.85546875" style="53" customWidth="1"/>
    <col min="600" max="601" width="1" style="53" customWidth="1"/>
    <col min="602" max="651" width="0" style="53" hidden="1" customWidth="1"/>
    <col min="652" max="653" width="1" style="53" customWidth="1"/>
    <col min="654" max="654" width="15.7109375" style="53" customWidth="1"/>
    <col min="655" max="656" width="1" style="53" customWidth="1"/>
    <col min="657" max="657" width="0.7109375" style="53" customWidth="1"/>
    <col min="658" max="658" width="3.28515625" style="53" customWidth="1"/>
    <col min="659" max="659" width="10" style="53"/>
    <col min="660" max="660" width="10.42578125" style="53" bestFit="1" customWidth="1"/>
    <col min="661" max="768" width="10" style="53"/>
    <col min="769" max="769" width="1.85546875" style="53" customWidth="1"/>
    <col min="770" max="770" width="1" style="53" customWidth="1"/>
    <col min="771" max="771" width="0.85546875" style="53" customWidth="1"/>
    <col min="772" max="772" width="52.28515625" style="53" customWidth="1"/>
    <col min="773" max="774" width="1" style="53" customWidth="1"/>
    <col min="775" max="775" width="16.85546875" style="53" customWidth="1"/>
    <col min="776" max="777" width="1" style="53" customWidth="1"/>
    <col min="778" max="782" width="0" style="53" hidden="1" customWidth="1"/>
    <col min="783" max="784" width="1" style="53" customWidth="1"/>
    <col min="785" max="785" width="17.85546875" style="53" customWidth="1"/>
    <col min="786" max="787" width="1" style="53" customWidth="1"/>
    <col min="788" max="837" width="0" style="53" hidden="1" customWidth="1"/>
    <col min="838" max="839" width="1" style="53" customWidth="1"/>
    <col min="840" max="840" width="16.140625" style="53" customWidth="1"/>
    <col min="841" max="844" width="1" style="53" customWidth="1"/>
    <col min="845" max="845" width="15.140625" style="53" customWidth="1"/>
    <col min="846" max="847" width="1" style="53" customWidth="1"/>
    <col min="848" max="852" width="0" style="53" hidden="1" customWidth="1"/>
    <col min="853" max="854" width="1" style="53" customWidth="1"/>
    <col min="855" max="855" width="17.85546875" style="53" customWidth="1"/>
    <col min="856" max="857" width="1" style="53" customWidth="1"/>
    <col min="858" max="907" width="0" style="53" hidden="1" customWidth="1"/>
    <col min="908" max="909" width="1" style="53" customWidth="1"/>
    <col min="910" max="910" width="15.7109375" style="53" customWidth="1"/>
    <col min="911" max="912" width="1" style="53" customWidth="1"/>
    <col min="913" max="913" width="0.7109375" style="53" customWidth="1"/>
    <col min="914" max="914" width="3.28515625" style="53" customWidth="1"/>
    <col min="915" max="915" width="10" style="53"/>
    <col min="916" max="916" width="10.42578125" style="53" bestFit="1" customWidth="1"/>
    <col min="917" max="1024" width="10" style="53"/>
    <col min="1025" max="1025" width="1.85546875" style="53" customWidth="1"/>
    <col min="1026" max="1026" width="1" style="53" customWidth="1"/>
    <col min="1027" max="1027" width="0.85546875" style="53" customWidth="1"/>
    <col min="1028" max="1028" width="52.28515625" style="53" customWidth="1"/>
    <col min="1029" max="1030" width="1" style="53" customWidth="1"/>
    <col min="1031" max="1031" width="16.85546875" style="53" customWidth="1"/>
    <col min="1032" max="1033" width="1" style="53" customWidth="1"/>
    <col min="1034" max="1038" width="0" style="53" hidden="1" customWidth="1"/>
    <col min="1039" max="1040" width="1" style="53" customWidth="1"/>
    <col min="1041" max="1041" width="17.85546875" style="53" customWidth="1"/>
    <col min="1042" max="1043" width="1" style="53" customWidth="1"/>
    <col min="1044" max="1093" width="0" style="53" hidden="1" customWidth="1"/>
    <col min="1094" max="1095" width="1" style="53" customWidth="1"/>
    <col min="1096" max="1096" width="16.140625" style="53" customWidth="1"/>
    <col min="1097" max="1100" width="1" style="53" customWidth="1"/>
    <col min="1101" max="1101" width="15.140625" style="53" customWidth="1"/>
    <col min="1102" max="1103" width="1" style="53" customWidth="1"/>
    <col min="1104" max="1108" width="0" style="53" hidden="1" customWidth="1"/>
    <col min="1109" max="1110" width="1" style="53" customWidth="1"/>
    <col min="1111" max="1111" width="17.85546875" style="53" customWidth="1"/>
    <col min="1112" max="1113" width="1" style="53" customWidth="1"/>
    <col min="1114" max="1163" width="0" style="53" hidden="1" customWidth="1"/>
    <col min="1164" max="1165" width="1" style="53" customWidth="1"/>
    <col min="1166" max="1166" width="15.7109375" style="53" customWidth="1"/>
    <col min="1167" max="1168" width="1" style="53" customWidth="1"/>
    <col min="1169" max="1169" width="0.7109375" style="53" customWidth="1"/>
    <col min="1170" max="1170" width="3.28515625" style="53" customWidth="1"/>
    <col min="1171" max="1171" width="10" style="53"/>
    <col min="1172" max="1172" width="10.42578125" style="53" bestFit="1" customWidth="1"/>
    <col min="1173" max="1280" width="10" style="53"/>
    <col min="1281" max="1281" width="1.85546875" style="53" customWidth="1"/>
    <col min="1282" max="1282" width="1" style="53" customWidth="1"/>
    <col min="1283" max="1283" width="0.85546875" style="53" customWidth="1"/>
    <col min="1284" max="1284" width="52.28515625" style="53" customWidth="1"/>
    <col min="1285" max="1286" width="1" style="53" customWidth="1"/>
    <col min="1287" max="1287" width="16.85546875" style="53" customWidth="1"/>
    <col min="1288" max="1289" width="1" style="53" customWidth="1"/>
    <col min="1290" max="1294" width="0" style="53" hidden="1" customWidth="1"/>
    <col min="1295" max="1296" width="1" style="53" customWidth="1"/>
    <col min="1297" max="1297" width="17.85546875" style="53" customWidth="1"/>
    <col min="1298" max="1299" width="1" style="53" customWidth="1"/>
    <col min="1300" max="1349" width="0" style="53" hidden="1" customWidth="1"/>
    <col min="1350" max="1351" width="1" style="53" customWidth="1"/>
    <col min="1352" max="1352" width="16.140625" style="53" customWidth="1"/>
    <col min="1353" max="1356" width="1" style="53" customWidth="1"/>
    <col min="1357" max="1357" width="15.140625" style="53" customWidth="1"/>
    <col min="1358" max="1359" width="1" style="53" customWidth="1"/>
    <col min="1360" max="1364" width="0" style="53" hidden="1" customWidth="1"/>
    <col min="1365" max="1366" width="1" style="53" customWidth="1"/>
    <col min="1367" max="1367" width="17.85546875" style="53" customWidth="1"/>
    <col min="1368" max="1369" width="1" style="53" customWidth="1"/>
    <col min="1370" max="1419" width="0" style="53" hidden="1" customWidth="1"/>
    <col min="1420" max="1421" width="1" style="53" customWidth="1"/>
    <col min="1422" max="1422" width="15.7109375" style="53" customWidth="1"/>
    <col min="1423" max="1424" width="1" style="53" customWidth="1"/>
    <col min="1425" max="1425" width="0.7109375" style="53" customWidth="1"/>
    <col min="1426" max="1426" width="3.28515625" style="53" customWidth="1"/>
    <col min="1427" max="1427" width="10" style="53"/>
    <col min="1428" max="1428" width="10.42578125" style="53" bestFit="1" customWidth="1"/>
    <col min="1429" max="1536" width="10" style="53"/>
    <col min="1537" max="1537" width="1.85546875" style="53" customWidth="1"/>
    <col min="1538" max="1538" width="1" style="53" customWidth="1"/>
    <col min="1539" max="1539" width="0.85546875" style="53" customWidth="1"/>
    <col min="1540" max="1540" width="52.28515625" style="53" customWidth="1"/>
    <col min="1541" max="1542" width="1" style="53" customWidth="1"/>
    <col min="1543" max="1543" width="16.85546875" style="53" customWidth="1"/>
    <col min="1544" max="1545" width="1" style="53" customWidth="1"/>
    <col min="1546" max="1550" width="0" style="53" hidden="1" customWidth="1"/>
    <col min="1551" max="1552" width="1" style="53" customWidth="1"/>
    <col min="1553" max="1553" width="17.85546875" style="53" customWidth="1"/>
    <col min="1554" max="1555" width="1" style="53" customWidth="1"/>
    <col min="1556" max="1605" width="0" style="53" hidden="1" customWidth="1"/>
    <col min="1606" max="1607" width="1" style="53" customWidth="1"/>
    <col min="1608" max="1608" width="16.140625" style="53" customWidth="1"/>
    <col min="1609" max="1612" width="1" style="53" customWidth="1"/>
    <col min="1613" max="1613" width="15.140625" style="53" customWidth="1"/>
    <col min="1614" max="1615" width="1" style="53" customWidth="1"/>
    <col min="1616" max="1620" width="0" style="53" hidden="1" customWidth="1"/>
    <col min="1621" max="1622" width="1" style="53" customWidth="1"/>
    <col min="1623" max="1623" width="17.85546875" style="53" customWidth="1"/>
    <col min="1624" max="1625" width="1" style="53" customWidth="1"/>
    <col min="1626" max="1675" width="0" style="53" hidden="1" customWidth="1"/>
    <col min="1676" max="1677" width="1" style="53" customWidth="1"/>
    <col min="1678" max="1678" width="15.7109375" style="53" customWidth="1"/>
    <col min="1679" max="1680" width="1" style="53" customWidth="1"/>
    <col min="1681" max="1681" width="0.7109375" style="53" customWidth="1"/>
    <col min="1682" max="1682" width="3.28515625" style="53" customWidth="1"/>
    <col min="1683" max="1683" width="10" style="53"/>
    <col min="1684" max="1684" width="10.42578125" style="53" bestFit="1" customWidth="1"/>
    <col min="1685" max="1792" width="10" style="53"/>
    <col min="1793" max="1793" width="1.85546875" style="53" customWidth="1"/>
    <col min="1794" max="1794" width="1" style="53" customWidth="1"/>
    <col min="1795" max="1795" width="0.85546875" style="53" customWidth="1"/>
    <col min="1796" max="1796" width="52.28515625" style="53" customWidth="1"/>
    <col min="1797" max="1798" width="1" style="53" customWidth="1"/>
    <col min="1799" max="1799" width="16.85546875" style="53" customWidth="1"/>
    <col min="1800" max="1801" width="1" style="53" customWidth="1"/>
    <col min="1802" max="1806" width="0" style="53" hidden="1" customWidth="1"/>
    <col min="1807" max="1808" width="1" style="53" customWidth="1"/>
    <col min="1809" max="1809" width="17.85546875" style="53" customWidth="1"/>
    <col min="1810" max="1811" width="1" style="53" customWidth="1"/>
    <col min="1812" max="1861" width="0" style="53" hidden="1" customWidth="1"/>
    <col min="1862" max="1863" width="1" style="53" customWidth="1"/>
    <col min="1864" max="1864" width="16.140625" style="53" customWidth="1"/>
    <col min="1865" max="1868" width="1" style="53" customWidth="1"/>
    <col min="1869" max="1869" width="15.140625" style="53" customWidth="1"/>
    <col min="1870" max="1871" width="1" style="53" customWidth="1"/>
    <col min="1872" max="1876" width="0" style="53" hidden="1" customWidth="1"/>
    <col min="1877" max="1878" width="1" style="53" customWidth="1"/>
    <col min="1879" max="1879" width="17.85546875" style="53" customWidth="1"/>
    <col min="1880" max="1881" width="1" style="53" customWidth="1"/>
    <col min="1882" max="1931" width="0" style="53" hidden="1" customWidth="1"/>
    <col min="1932" max="1933" width="1" style="53" customWidth="1"/>
    <col min="1934" max="1934" width="15.7109375" style="53" customWidth="1"/>
    <col min="1935" max="1936" width="1" style="53" customWidth="1"/>
    <col min="1937" max="1937" width="0.7109375" style="53" customWidth="1"/>
    <col min="1938" max="1938" width="3.28515625" style="53" customWidth="1"/>
    <col min="1939" max="1939" width="10" style="53"/>
    <col min="1940" max="1940" width="10.42578125" style="53" bestFit="1" customWidth="1"/>
    <col min="1941" max="2048" width="10" style="53"/>
    <col min="2049" max="2049" width="1.85546875" style="53" customWidth="1"/>
    <col min="2050" max="2050" width="1" style="53" customWidth="1"/>
    <col min="2051" max="2051" width="0.85546875" style="53" customWidth="1"/>
    <col min="2052" max="2052" width="52.28515625" style="53" customWidth="1"/>
    <col min="2053" max="2054" width="1" style="53" customWidth="1"/>
    <col min="2055" max="2055" width="16.85546875" style="53" customWidth="1"/>
    <col min="2056" max="2057" width="1" style="53" customWidth="1"/>
    <col min="2058" max="2062" width="0" style="53" hidden="1" customWidth="1"/>
    <col min="2063" max="2064" width="1" style="53" customWidth="1"/>
    <col min="2065" max="2065" width="17.85546875" style="53" customWidth="1"/>
    <col min="2066" max="2067" width="1" style="53" customWidth="1"/>
    <col min="2068" max="2117" width="0" style="53" hidden="1" customWidth="1"/>
    <col min="2118" max="2119" width="1" style="53" customWidth="1"/>
    <col min="2120" max="2120" width="16.140625" style="53" customWidth="1"/>
    <col min="2121" max="2124" width="1" style="53" customWidth="1"/>
    <col min="2125" max="2125" width="15.140625" style="53" customWidth="1"/>
    <col min="2126" max="2127" width="1" style="53" customWidth="1"/>
    <col min="2128" max="2132" width="0" style="53" hidden="1" customWidth="1"/>
    <col min="2133" max="2134" width="1" style="53" customWidth="1"/>
    <col min="2135" max="2135" width="17.85546875" style="53" customWidth="1"/>
    <col min="2136" max="2137" width="1" style="53" customWidth="1"/>
    <col min="2138" max="2187" width="0" style="53" hidden="1" customWidth="1"/>
    <col min="2188" max="2189" width="1" style="53" customWidth="1"/>
    <col min="2190" max="2190" width="15.7109375" style="53" customWidth="1"/>
    <col min="2191" max="2192" width="1" style="53" customWidth="1"/>
    <col min="2193" max="2193" width="0.7109375" style="53" customWidth="1"/>
    <col min="2194" max="2194" width="3.28515625" style="53" customWidth="1"/>
    <col min="2195" max="2195" width="10" style="53"/>
    <col min="2196" max="2196" width="10.42578125" style="53" bestFit="1" customWidth="1"/>
    <col min="2197" max="2304" width="10" style="53"/>
    <col min="2305" max="2305" width="1.85546875" style="53" customWidth="1"/>
    <col min="2306" max="2306" width="1" style="53" customWidth="1"/>
    <col min="2307" max="2307" width="0.85546875" style="53" customWidth="1"/>
    <col min="2308" max="2308" width="52.28515625" style="53" customWidth="1"/>
    <col min="2309" max="2310" width="1" style="53" customWidth="1"/>
    <col min="2311" max="2311" width="16.85546875" style="53" customWidth="1"/>
    <col min="2312" max="2313" width="1" style="53" customWidth="1"/>
    <col min="2314" max="2318" width="0" style="53" hidden="1" customWidth="1"/>
    <col min="2319" max="2320" width="1" style="53" customWidth="1"/>
    <col min="2321" max="2321" width="17.85546875" style="53" customWidth="1"/>
    <col min="2322" max="2323" width="1" style="53" customWidth="1"/>
    <col min="2324" max="2373" width="0" style="53" hidden="1" customWidth="1"/>
    <col min="2374" max="2375" width="1" style="53" customWidth="1"/>
    <col min="2376" max="2376" width="16.140625" style="53" customWidth="1"/>
    <col min="2377" max="2380" width="1" style="53" customWidth="1"/>
    <col min="2381" max="2381" width="15.140625" style="53" customWidth="1"/>
    <col min="2382" max="2383" width="1" style="53" customWidth="1"/>
    <col min="2384" max="2388" width="0" style="53" hidden="1" customWidth="1"/>
    <col min="2389" max="2390" width="1" style="53" customWidth="1"/>
    <col min="2391" max="2391" width="17.85546875" style="53" customWidth="1"/>
    <col min="2392" max="2393" width="1" style="53" customWidth="1"/>
    <col min="2394" max="2443" width="0" style="53" hidden="1" customWidth="1"/>
    <col min="2444" max="2445" width="1" style="53" customWidth="1"/>
    <col min="2446" max="2446" width="15.7109375" style="53" customWidth="1"/>
    <col min="2447" max="2448" width="1" style="53" customWidth="1"/>
    <col min="2449" max="2449" width="0.7109375" style="53" customWidth="1"/>
    <col min="2450" max="2450" width="3.28515625" style="53" customWidth="1"/>
    <col min="2451" max="2451" width="10" style="53"/>
    <col min="2452" max="2452" width="10.42578125" style="53" bestFit="1" customWidth="1"/>
    <col min="2453" max="2560" width="10" style="53"/>
    <col min="2561" max="2561" width="1.85546875" style="53" customWidth="1"/>
    <col min="2562" max="2562" width="1" style="53" customWidth="1"/>
    <col min="2563" max="2563" width="0.85546875" style="53" customWidth="1"/>
    <col min="2564" max="2564" width="52.28515625" style="53" customWidth="1"/>
    <col min="2565" max="2566" width="1" style="53" customWidth="1"/>
    <col min="2567" max="2567" width="16.85546875" style="53" customWidth="1"/>
    <col min="2568" max="2569" width="1" style="53" customWidth="1"/>
    <col min="2570" max="2574" width="0" style="53" hidden="1" customWidth="1"/>
    <col min="2575" max="2576" width="1" style="53" customWidth="1"/>
    <col min="2577" max="2577" width="17.85546875" style="53" customWidth="1"/>
    <col min="2578" max="2579" width="1" style="53" customWidth="1"/>
    <col min="2580" max="2629" width="0" style="53" hidden="1" customWidth="1"/>
    <col min="2630" max="2631" width="1" style="53" customWidth="1"/>
    <col min="2632" max="2632" width="16.140625" style="53" customWidth="1"/>
    <col min="2633" max="2636" width="1" style="53" customWidth="1"/>
    <col min="2637" max="2637" width="15.140625" style="53" customWidth="1"/>
    <col min="2638" max="2639" width="1" style="53" customWidth="1"/>
    <col min="2640" max="2644" width="0" style="53" hidden="1" customWidth="1"/>
    <col min="2645" max="2646" width="1" style="53" customWidth="1"/>
    <col min="2647" max="2647" width="17.85546875" style="53" customWidth="1"/>
    <col min="2648" max="2649" width="1" style="53" customWidth="1"/>
    <col min="2650" max="2699" width="0" style="53" hidden="1" customWidth="1"/>
    <col min="2700" max="2701" width="1" style="53" customWidth="1"/>
    <col min="2702" max="2702" width="15.7109375" style="53" customWidth="1"/>
    <col min="2703" max="2704" width="1" style="53" customWidth="1"/>
    <col min="2705" max="2705" width="0.7109375" style="53" customWidth="1"/>
    <col min="2706" max="2706" width="3.28515625" style="53" customWidth="1"/>
    <col min="2707" max="2707" width="10" style="53"/>
    <col min="2708" max="2708" width="10.42578125" style="53" bestFit="1" customWidth="1"/>
    <col min="2709" max="2816" width="10" style="53"/>
    <col min="2817" max="2817" width="1.85546875" style="53" customWidth="1"/>
    <col min="2818" max="2818" width="1" style="53" customWidth="1"/>
    <col min="2819" max="2819" width="0.85546875" style="53" customWidth="1"/>
    <col min="2820" max="2820" width="52.28515625" style="53" customWidth="1"/>
    <col min="2821" max="2822" width="1" style="53" customWidth="1"/>
    <col min="2823" max="2823" width="16.85546875" style="53" customWidth="1"/>
    <col min="2824" max="2825" width="1" style="53" customWidth="1"/>
    <col min="2826" max="2830" width="0" style="53" hidden="1" customWidth="1"/>
    <col min="2831" max="2832" width="1" style="53" customWidth="1"/>
    <col min="2833" max="2833" width="17.85546875" style="53" customWidth="1"/>
    <col min="2834" max="2835" width="1" style="53" customWidth="1"/>
    <col min="2836" max="2885" width="0" style="53" hidden="1" customWidth="1"/>
    <col min="2886" max="2887" width="1" style="53" customWidth="1"/>
    <col min="2888" max="2888" width="16.140625" style="53" customWidth="1"/>
    <col min="2889" max="2892" width="1" style="53" customWidth="1"/>
    <col min="2893" max="2893" width="15.140625" style="53" customWidth="1"/>
    <col min="2894" max="2895" width="1" style="53" customWidth="1"/>
    <col min="2896" max="2900" width="0" style="53" hidden="1" customWidth="1"/>
    <col min="2901" max="2902" width="1" style="53" customWidth="1"/>
    <col min="2903" max="2903" width="17.85546875" style="53" customWidth="1"/>
    <col min="2904" max="2905" width="1" style="53" customWidth="1"/>
    <col min="2906" max="2955" width="0" style="53" hidden="1" customWidth="1"/>
    <col min="2956" max="2957" width="1" style="53" customWidth="1"/>
    <col min="2958" max="2958" width="15.7109375" style="53" customWidth="1"/>
    <col min="2959" max="2960" width="1" style="53" customWidth="1"/>
    <col min="2961" max="2961" width="0.7109375" style="53" customWidth="1"/>
    <col min="2962" max="2962" width="3.28515625" style="53" customWidth="1"/>
    <col min="2963" max="2963" width="10" style="53"/>
    <col min="2964" max="2964" width="10.42578125" style="53" bestFit="1" customWidth="1"/>
    <col min="2965" max="3072" width="10" style="53"/>
    <col min="3073" max="3073" width="1.85546875" style="53" customWidth="1"/>
    <col min="3074" max="3074" width="1" style="53" customWidth="1"/>
    <col min="3075" max="3075" width="0.85546875" style="53" customWidth="1"/>
    <col min="3076" max="3076" width="52.28515625" style="53" customWidth="1"/>
    <col min="3077" max="3078" width="1" style="53" customWidth="1"/>
    <col min="3079" max="3079" width="16.85546875" style="53" customWidth="1"/>
    <col min="3080" max="3081" width="1" style="53" customWidth="1"/>
    <col min="3082" max="3086" width="0" style="53" hidden="1" customWidth="1"/>
    <col min="3087" max="3088" width="1" style="53" customWidth="1"/>
    <col min="3089" max="3089" width="17.85546875" style="53" customWidth="1"/>
    <col min="3090" max="3091" width="1" style="53" customWidth="1"/>
    <col min="3092" max="3141" width="0" style="53" hidden="1" customWidth="1"/>
    <col min="3142" max="3143" width="1" style="53" customWidth="1"/>
    <col min="3144" max="3144" width="16.140625" style="53" customWidth="1"/>
    <col min="3145" max="3148" width="1" style="53" customWidth="1"/>
    <col min="3149" max="3149" width="15.140625" style="53" customWidth="1"/>
    <col min="3150" max="3151" width="1" style="53" customWidth="1"/>
    <col min="3152" max="3156" width="0" style="53" hidden="1" customWidth="1"/>
    <col min="3157" max="3158" width="1" style="53" customWidth="1"/>
    <col min="3159" max="3159" width="17.85546875" style="53" customWidth="1"/>
    <col min="3160" max="3161" width="1" style="53" customWidth="1"/>
    <col min="3162" max="3211" width="0" style="53" hidden="1" customWidth="1"/>
    <col min="3212" max="3213" width="1" style="53" customWidth="1"/>
    <col min="3214" max="3214" width="15.7109375" style="53" customWidth="1"/>
    <col min="3215" max="3216" width="1" style="53" customWidth="1"/>
    <col min="3217" max="3217" width="0.7109375" style="53" customWidth="1"/>
    <col min="3218" max="3218" width="3.28515625" style="53" customWidth="1"/>
    <col min="3219" max="3219" width="10" style="53"/>
    <col min="3220" max="3220" width="10.42578125" style="53" bestFit="1" customWidth="1"/>
    <col min="3221" max="3328" width="10" style="53"/>
    <col min="3329" max="3329" width="1.85546875" style="53" customWidth="1"/>
    <col min="3330" max="3330" width="1" style="53" customWidth="1"/>
    <col min="3331" max="3331" width="0.85546875" style="53" customWidth="1"/>
    <col min="3332" max="3332" width="52.28515625" style="53" customWidth="1"/>
    <col min="3333" max="3334" width="1" style="53" customWidth="1"/>
    <col min="3335" max="3335" width="16.85546875" style="53" customWidth="1"/>
    <col min="3336" max="3337" width="1" style="53" customWidth="1"/>
    <col min="3338" max="3342" width="0" style="53" hidden="1" customWidth="1"/>
    <col min="3343" max="3344" width="1" style="53" customWidth="1"/>
    <col min="3345" max="3345" width="17.85546875" style="53" customWidth="1"/>
    <col min="3346" max="3347" width="1" style="53" customWidth="1"/>
    <col min="3348" max="3397" width="0" style="53" hidden="1" customWidth="1"/>
    <col min="3398" max="3399" width="1" style="53" customWidth="1"/>
    <col min="3400" max="3400" width="16.140625" style="53" customWidth="1"/>
    <col min="3401" max="3404" width="1" style="53" customWidth="1"/>
    <col min="3405" max="3405" width="15.140625" style="53" customWidth="1"/>
    <col min="3406" max="3407" width="1" style="53" customWidth="1"/>
    <col min="3408" max="3412" width="0" style="53" hidden="1" customWidth="1"/>
    <col min="3413" max="3414" width="1" style="53" customWidth="1"/>
    <col min="3415" max="3415" width="17.85546875" style="53" customWidth="1"/>
    <col min="3416" max="3417" width="1" style="53" customWidth="1"/>
    <col min="3418" max="3467" width="0" style="53" hidden="1" customWidth="1"/>
    <col min="3468" max="3469" width="1" style="53" customWidth="1"/>
    <col min="3470" max="3470" width="15.7109375" style="53" customWidth="1"/>
    <col min="3471" max="3472" width="1" style="53" customWidth="1"/>
    <col min="3473" max="3473" width="0.7109375" style="53" customWidth="1"/>
    <col min="3474" max="3474" width="3.28515625" style="53" customWidth="1"/>
    <col min="3475" max="3475" width="10" style="53"/>
    <col min="3476" max="3476" width="10.42578125" style="53" bestFit="1" customWidth="1"/>
    <col min="3477" max="3584" width="10" style="53"/>
    <col min="3585" max="3585" width="1.85546875" style="53" customWidth="1"/>
    <col min="3586" max="3586" width="1" style="53" customWidth="1"/>
    <col min="3587" max="3587" width="0.85546875" style="53" customWidth="1"/>
    <col min="3588" max="3588" width="52.28515625" style="53" customWidth="1"/>
    <col min="3589" max="3590" width="1" style="53" customWidth="1"/>
    <col min="3591" max="3591" width="16.85546875" style="53" customWidth="1"/>
    <col min="3592" max="3593" width="1" style="53" customWidth="1"/>
    <col min="3594" max="3598" width="0" style="53" hidden="1" customWidth="1"/>
    <col min="3599" max="3600" width="1" style="53" customWidth="1"/>
    <col min="3601" max="3601" width="17.85546875" style="53" customWidth="1"/>
    <col min="3602" max="3603" width="1" style="53" customWidth="1"/>
    <col min="3604" max="3653" width="0" style="53" hidden="1" customWidth="1"/>
    <col min="3654" max="3655" width="1" style="53" customWidth="1"/>
    <col min="3656" max="3656" width="16.140625" style="53" customWidth="1"/>
    <col min="3657" max="3660" width="1" style="53" customWidth="1"/>
    <col min="3661" max="3661" width="15.140625" style="53" customWidth="1"/>
    <col min="3662" max="3663" width="1" style="53" customWidth="1"/>
    <col min="3664" max="3668" width="0" style="53" hidden="1" customWidth="1"/>
    <col min="3669" max="3670" width="1" style="53" customWidth="1"/>
    <col min="3671" max="3671" width="17.85546875" style="53" customWidth="1"/>
    <col min="3672" max="3673" width="1" style="53" customWidth="1"/>
    <col min="3674" max="3723" width="0" style="53" hidden="1" customWidth="1"/>
    <col min="3724" max="3725" width="1" style="53" customWidth="1"/>
    <col min="3726" max="3726" width="15.7109375" style="53" customWidth="1"/>
    <col min="3727" max="3728" width="1" style="53" customWidth="1"/>
    <col min="3729" max="3729" width="0.7109375" style="53" customWidth="1"/>
    <col min="3730" max="3730" width="3.28515625" style="53" customWidth="1"/>
    <col min="3731" max="3731" width="10" style="53"/>
    <col min="3732" max="3732" width="10.42578125" style="53" bestFit="1" customWidth="1"/>
    <col min="3733" max="3840" width="10" style="53"/>
    <col min="3841" max="3841" width="1.85546875" style="53" customWidth="1"/>
    <col min="3842" max="3842" width="1" style="53" customWidth="1"/>
    <col min="3843" max="3843" width="0.85546875" style="53" customWidth="1"/>
    <col min="3844" max="3844" width="52.28515625" style="53" customWidth="1"/>
    <col min="3845" max="3846" width="1" style="53" customWidth="1"/>
    <col min="3847" max="3847" width="16.85546875" style="53" customWidth="1"/>
    <col min="3848" max="3849" width="1" style="53" customWidth="1"/>
    <col min="3850" max="3854" width="0" style="53" hidden="1" customWidth="1"/>
    <col min="3855" max="3856" width="1" style="53" customWidth="1"/>
    <col min="3857" max="3857" width="17.85546875" style="53" customWidth="1"/>
    <col min="3858" max="3859" width="1" style="53" customWidth="1"/>
    <col min="3860" max="3909" width="0" style="53" hidden="1" customWidth="1"/>
    <col min="3910" max="3911" width="1" style="53" customWidth="1"/>
    <col min="3912" max="3912" width="16.140625" style="53" customWidth="1"/>
    <col min="3913" max="3916" width="1" style="53" customWidth="1"/>
    <col min="3917" max="3917" width="15.140625" style="53" customWidth="1"/>
    <col min="3918" max="3919" width="1" style="53" customWidth="1"/>
    <col min="3920" max="3924" width="0" style="53" hidden="1" customWidth="1"/>
    <col min="3925" max="3926" width="1" style="53" customWidth="1"/>
    <col min="3927" max="3927" width="17.85546875" style="53" customWidth="1"/>
    <col min="3928" max="3929" width="1" style="53" customWidth="1"/>
    <col min="3930" max="3979" width="0" style="53" hidden="1" customWidth="1"/>
    <col min="3980" max="3981" width="1" style="53" customWidth="1"/>
    <col min="3982" max="3982" width="15.7109375" style="53" customWidth="1"/>
    <col min="3983" max="3984" width="1" style="53" customWidth="1"/>
    <col min="3985" max="3985" width="0.7109375" style="53" customWidth="1"/>
    <col min="3986" max="3986" width="3.28515625" style="53" customWidth="1"/>
    <col min="3987" max="3987" width="10" style="53"/>
    <col min="3988" max="3988" width="10.42578125" style="53" bestFit="1" customWidth="1"/>
    <col min="3989" max="4096" width="10" style="53"/>
    <col min="4097" max="4097" width="1.85546875" style="53" customWidth="1"/>
    <col min="4098" max="4098" width="1" style="53" customWidth="1"/>
    <col min="4099" max="4099" width="0.85546875" style="53" customWidth="1"/>
    <col min="4100" max="4100" width="52.28515625" style="53" customWidth="1"/>
    <col min="4101" max="4102" width="1" style="53" customWidth="1"/>
    <col min="4103" max="4103" width="16.85546875" style="53" customWidth="1"/>
    <col min="4104" max="4105" width="1" style="53" customWidth="1"/>
    <col min="4106" max="4110" width="0" style="53" hidden="1" customWidth="1"/>
    <col min="4111" max="4112" width="1" style="53" customWidth="1"/>
    <col min="4113" max="4113" width="17.85546875" style="53" customWidth="1"/>
    <col min="4114" max="4115" width="1" style="53" customWidth="1"/>
    <col min="4116" max="4165" width="0" style="53" hidden="1" customWidth="1"/>
    <col min="4166" max="4167" width="1" style="53" customWidth="1"/>
    <col min="4168" max="4168" width="16.140625" style="53" customWidth="1"/>
    <col min="4169" max="4172" width="1" style="53" customWidth="1"/>
    <col min="4173" max="4173" width="15.140625" style="53" customWidth="1"/>
    <col min="4174" max="4175" width="1" style="53" customWidth="1"/>
    <col min="4176" max="4180" width="0" style="53" hidden="1" customWidth="1"/>
    <col min="4181" max="4182" width="1" style="53" customWidth="1"/>
    <col min="4183" max="4183" width="17.85546875" style="53" customWidth="1"/>
    <col min="4184" max="4185" width="1" style="53" customWidth="1"/>
    <col min="4186" max="4235" width="0" style="53" hidden="1" customWidth="1"/>
    <col min="4236" max="4237" width="1" style="53" customWidth="1"/>
    <col min="4238" max="4238" width="15.7109375" style="53" customWidth="1"/>
    <col min="4239" max="4240" width="1" style="53" customWidth="1"/>
    <col min="4241" max="4241" width="0.7109375" style="53" customWidth="1"/>
    <col min="4242" max="4242" width="3.28515625" style="53" customWidth="1"/>
    <col min="4243" max="4243" width="10" style="53"/>
    <col min="4244" max="4244" width="10.42578125" style="53" bestFit="1" customWidth="1"/>
    <col min="4245" max="4352" width="10" style="53"/>
    <col min="4353" max="4353" width="1.85546875" style="53" customWidth="1"/>
    <col min="4354" max="4354" width="1" style="53" customWidth="1"/>
    <col min="4355" max="4355" width="0.85546875" style="53" customWidth="1"/>
    <col min="4356" max="4356" width="52.28515625" style="53" customWidth="1"/>
    <col min="4357" max="4358" width="1" style="53" customWidth="1"/>
    <col min="4359" max="4359" width="16.85546875" style="53" customWidth="1"/>
    <col min="4360" max="4361" width="1" style="53" customWidth="1"/>
    <col min="4362" max="4366" width="0" style="53" hidden="1" customWidth="1"/>
    <col min="4367" max="4368" width="1" style="53" customWidth="1"/>
    <col min="4369" max="4369" width="17.85546875" style="53" customWidth="1"/>
    <col min="4370" max="4371" width="1" style="53" customWidth="1"/>
    <col min="4372" max="4421" width="0" style="53" hidden="1" customWidth="1"/>
    <col min="4422" max="4423" width="1" style="53" customWidth="1"/>
    <col min="4424" max="4424" width="16.140625" style="53" customWidth="1"/>
    <col min="4425" max="4428" width="1" style="53" customWidth="1"/>
    <col min="4429" max="4429" width="15.140625" style="53" customWidth="1"/>
    <col min="4430" max="4431" width="1" style="53" customWidth="1"/>
    <col min="4432" max="4436" width="0" style="53" hidden="1" customWidth="1"/>
    <col min="4437" max="4438" width="1" style="53" customWidth="1"/>
    <col min="4439" max="4439" width="17.85546875" style="53" customWidth="1"/>
    <col min="4440" max="4441" width="1" style="53" customWidth="1"/>
    <col min="4442" max="4491" width="0" style="53" hidden="1" customWidth="1"/>
    <col min="4492" max="4493" width="1" style="53" customWidth="1"/>
    <col min="4494" max="4494" width="15.7109375" style="53" customWidth="1"/>
    <col min="4495" max="4496" width="1" style="53" customWidth="1"/>
    <col min="4497" max="4497" width="0.7109375" style="53" customWidth="1"/>
    <col min="4498" max="4498" width="3.28515625" style="53" customWidth="1"/>
    <col min="4499" max="4499" width="10" style="53"/>
    <col min="4500" max="4500" width="10.42578125" style="53" bestFit="1" customWidth="1"/>
    <col min="4501" max="4608" width="10" style="53"/>
    <col min="4609" max="4609" width="1.85546875" style="53" customWidth="1"/>
    <col min="4610" max="4610" width="1" style="53" customWidth="1"/>
    <col min="4611" max="4611" width="0.85546875" style="53" customWidth="1"/>
    <col min="4612" max="4612" width="52.28515625" style="53" customWidth="1"/>
    <col min="4613" max="4614" width="1" style="53" customWidth="1"/>
    <col min="4615" max="4615" width="16.85546875" style="53" customWidth="1"/>
    <col min="4616" max="4617" width="1" style="53" customWidth="1"/>
    <col min="4618" max="4622" width="0" style="53" hidden="1" customWidth="1"/>
    <col min="4623" max="4624" width="1" style="53" customWidth="1"/>
    <col min="4625" max="4625" width="17.85546875" style="53" customWidth="1"/>
    <col min="4626" max="4627" width="1" style="53" customWidth="1"/>
    <col min="4628" max="4677" width="0" style="53" hidden="1" customWidth="1"/>
    <col min="4678" max="4679" width="1" style="53" customWidth="1"/>
    <col min="4680" max="4680" width="16.140625" style="53" customWidth="1"/>
    <col min="4681" max="4684" width="1" style="53" customWidth="1"/>
    <col min="4685" max="4685" width="15.140625" style="53" customWidth="1"/>
    <col min="4686" max="4687" width="1" style="53" customWidth="1"/>
    <col min="4688" max="4692" width="0" style="53" hidden="1" customWidth="1"/>
    <col min="4693" max="4694" width="1" style="53" customWidth="1"/>
    <col min="4695" max="4695" width="17.85546875" style="53" customWidth="1"/>
    <col min="4696" max="4697" width="1" style="53" customWidth="1"/>
    <col min="4698" max="4747" width="0" style="53" hidden="1" customWidth="1"/>
    <col min="4748" max="4749" width="1" style="53" customWidth="1"/>
    <col min="4750" max="4750" width="15.7109375" style="53" customWidth="1"/>
    <col min="4751" max="4752" width="1" style="53" customWidth="1"/>
    <col min="4753" max="4753" width="0.7109375" style="53" customWidth="1"/>
    <col min="4754" max="4754" width="3.28515625" style="53" customWidth="1"/>
    <col min="4755" max="4755" width="10" style="53"/>
    <col min="4756" max="4756" width="10.42578125" style="53" bestFit="1" customWidth="1"/>
    <col min="4757" max="4864" width="10" style="53"/>
    <col min="4865" max="4865" width="1.85546875" style="53" customWidth="1"/>
    <col min="4866" max="4866" width="1" style="53" customWidth="1"/>
    <col min="4867" max="4867" width="0.85546875" style="53" customWidth="1"/>
    <col min="4868" max="4868" width="52.28515625" style="53" customWidth="1"/>
    <col min="4869" max="4870" width="1" style="53" customWidth="1"/>
    <col min="4871" max="4871" width="16.85546875" style="53" customWidth="1"/>
    <col min="4872" max="4873" width="1" style="53" customWidth="1"/>
    <col min="4874" max="4878" width="0" style="53" hidden="1" customWidth="1"/>
    <col min="4879" max="4880" width="1" style="53" customWidth="1"/>
    <col min="4881" max="4881" width="17.85546875" style="53" customWidth="1"/>
    <col min="4882" max="4883" width="1" style="53" customWidth="1"/>
    <col min="4884" max="4933" width="0" style="53" hidden="1" customWidth="1"/>
    <col min="4934" max="4935" width="1" style="53" customWidth="1"/>
    <col min="4936" max="4936" width="16.140625" style="53" customWidth="1"/>
    <col min="4937" max="4940" width="1" style="53" customWidth="1"/>
    <col min="4941" max="4941" width="15.140625" style="53" customWidth="1"/>
    <col min="4942" max="4943" width="1" style="53" customWidth="1"/>
    <col min="4944" max="4948" width="0" style="53" hidden="1" customWidth="1"/>
    <col min="4949" max="4950" width="1" style="53" customWidth="1"/>
    <col min="4951" max="4951" width="17.85546875" style="53" customWidth="1"/>
    <col min="4952" max="4953" width="1" style="53" customWidth="1"/>
    <col min="4954" max="5003" width="0" style="53" hidden="1" customWidth="1"/>
    <col min="5004" max="5005" width="1" style="53" customWidth="1"/>
    <col min="5006" max="5006" width="15.7109375" style="53" customWidth="1"/>
    <col min="5007" max="5008" width="1" style="53" customWidth="1"/>
    <col min="5009" max="5009" width="0.7109375" style="53" customWidth="1"/>
    <col min="5010" max="5010" width="3.28515625" style="53" customWidth="1"/>
    <col min="5011" max="5011" width="10" style="53"/>
    <col min="5012" max="5012" width="10.42578125" style="53" bestFit="1" customWidth="1"/>
    <col min="5013" max="5120" width="10" style="53"/>
    <col min="5121" max="5121" width="1.85546875" style="53" customWidth="1"/>
    <col min="5122" max="5122" width="1" style="53" customWidth="1"/>
    <col min="5123" max="5123" width="0.85546875" style="53" customWidth="1"/>
    <col min="5124" max="5124" width="52.28515625" style="53" customWidth="1"/>
    <col min="5125" max="5126" width="1" style="53" customWidth="1"/>
    <col min="5127" max="5127" width="16.85546875" style="53" customWidth="1"/>
    <col min="5128" max="5129" width="1" style="53" customWidth="1"/>
    <col min="5130" max="5134" width="0" style="53" hidden="1" customWidth="1"/>
    <col min="5135" max="5136" width="1" style="53" customWidth="1"/>
    <col min="5137" max="5137" width="17.85546875" style="53" customWidth="1"/>
    <col min="5138" max="5139" width="1" style="53" customWidth="1"/>
    <col min="5140" max="5189" width="0" style="53" hidden="1" customWidth="1"/>
    <col min="5190" max="5191" width="1" style="53" customWidth="1"/>
    <col min="5192" max="5192" width="16.140625" style="53" customWidth="1"/>
    <col min="5193" max="5196" width="1" style="53" customWidth="1"/>
    <col min="5197" max="5197" width="15.140625" style="53" customWidth="1"/>
    <col min="5198" max="5199" width="1" style="53" customWidth="1"/>
    <col min="5200" max="5204" width="0" style="53" hidden="1" customWidth="1"/>
    <col min="5205" max="5206" width="1" style="53" customWidth="1"/>
    <col min="5207" max="5207" width="17.85546875" style="53" customWidth="1"/>
    <col min="5208" max="5209" width="1" style="53" customWidth="1"/>
    <col min="5210" max="5259" width="0" style="53" hidden="1" customWidth="1"/>
    <col min="5260" max="5261" width="1" style="53" customWidth="1"/>
    <col min="5262" max="5262" width="15.7109375" style="53" customWidth="1"/>
    <col min="5263" max="5264" width="1" style="53" customWidth="1"/>
    <col min="5265" max="5265" width="0.7109375" style="53" customWidth="1"/>
    <col min="5266" max="5266" width="3.28515625" style="53" customWidth="1"/>
    <col min="5267" max="5267" width="10" style="53"/>
    <col min="5268" max="5268" width="10.42578125" style="53" bestFit="1" customWidth="1"/>
    <col min="5269" max="5376" width="10" style="53"/>
    <col min="5377" max="5377" width="1.85546875" style="53" customWidth="1"/>
    <col min="5378" max="5378" width="1" style="53" customWidth="1"/>
    <col min="5379" max="5379" width="0.85546875" style="53" customWidth="1"/>
    <col min="5380" max="5380" width="52.28515625" style="53" customWidth="1"/>
    <col min="5381" max="5382" width="1" style="53" customWidth="1"/>
    <col min="5383" max="5383" width="16.85546875" style="53" customWidth="1"/>
    <col min="5384" max="5385" width="1" style="53" customWidth="1"/>
    <col min="5386" max="5390" width="0" style="53" hidden="1" customWidth="1"/>
    <col min="5391" max="5392" width="1" style="53" customWidth="1"/>
    <col min="5393" max="5393" width="17.85546875" style="53" customWidth="1"/>
    <col min="5394" max="5395" width="1" style="53" customWidth="1"/>
    <col min="5396" max="5445" width="0" style="53" hidden="1" customWidth="1"/>
    <col min="5446" max="5447" width="1" style="53" customWidth="1"/>
    <col min="5448" max="5448" width="16.140625" style="53" customWidth="1"/>
    <col min="5449" max="5452" width="1" style="53" customWidth="1"/>
    <col min="5453" max="5453" width="15.140625" style="53" customWidth="1"/>
    <col min="5454" max="5455" width="1" style="53" customWidth="1"/>
    <col min="5456" max="5460" width="0" style="53" hidden="1" customWidth="1"/>
    <col min="5461" max="5462" width="1" style="53" customWidth="1"/>
    <col min="5463" max="5463" width="17.85546875" style="53" customWidth="1"/>
    <col min="5464" max="5465" width="1" style="53" customWidth="1"/>
    <col min="5466" max="5515" width="0" style="53" hidden="1" customWidth="1"/>
    <col min="5516" max="5517" width="1" style="53" customWidth="1"/>
    <col min="5518" max="5518" width="15.7109375" style="53" customWidth="1"/>
    <col min="5519" max="5520" width="1" style="53" customWidth="1"/>
    <col min="5521" max="5521" width="0.7109375" style="53" customWidth="1"/>
    <col min="5522" max="5522" width="3.28515625" style="53" customWidth="1"/>
    <col min="5523" max="5523" width="10" style="53"/>
    <col min="5524" max="5524" width="10.42578125" style="53" bestFit="1" customWidth="1"/>
    <col min="5525" max="5632" width="10" style="53"/>
    <col min="5633" max="5633" width="1.85546875" style="53" customWidth="1"/>
    <col min="5634" max="5634" width="1" style="53" customWidth="1"/>
    <col min="5635" max="5635" width="0.85546875" style="53" customWidth="1"/>
    <col min="5636" max="5636" width="52.28515625" style="53" customWidth="1"/>
    <col min="5637" max="5638" width="1" style="53" customWidth="1"/>
    <col min="5639" max="5639" width="16.85546875" style="53" customWidth="1"/>
    <col min="5640" max="5641" width="1" style="53" customWidth="1"/>
    <col min="5642" max="5646" width="0" style="53" hidden="1" customWidth="1"/>
    <col min="5647" max="5648" width="1" style="53" customWidth="1"/>
    <col min="5649" max="5649" width="17.85546875" style="53" customWidth="1"/>
    <col min="5650" max="5651" width="1" style="53" customWidth="1"/>
    <col min="5652" max="5701" width="0" style="53" hidden="1" customWidth="1"/>
    <col min="5702" max="5703" width="1" style="53" customWidth="1"/>
    <col min="5704" max="5704" width="16.140625" style="53" customWidth="1"/>
    <col min="5705" max="5708" width="1" style="53" customWidth="1"/>
    <col min="5709" max="5709" width="15.140625" style="53" customWidth="1"/>
    <col min="5710" max="5711" width="1" style="53" customWidth="1"/>
    <col min="5712" max="5716" width="0" style="53" hidden="1" customWidth="1"/>
    <col min="5717" max="5718" width="1" style="53" customWidth="1"/>
    <col min="5719" max="5719" width="17.85546875" style="53" customWidth="1"/>
    <col min="5720" max="5721" width="1" style="53" customWidth="1"/>
    <col min="5722" max="5771" width="0" style="53" hidden="1" customWidth="1"/>
    <col min="5772" max="5773" width="1" style="53" customWidth="1"/>
    <col min="5774" max="5774" width="15.7109375" style="53" customWidth="1"/>
    <col min="5775" max="5776" width="1" style="53" customWidth="1"/>
    <col min="5777" max="5777" width="0.7109375" style="53" customWidth="1"/>
    <col min="5778" max="5778" width="3.28515625" style="53" customWidth="1"/>
    <col min="5779" max="5779" width="10" style="53"/>
    <col min="5780" max="5780" width="10.42578125" style="53" bestFit="1" customWidth="1"/>
    <col min="5781" max="5888" width="10" style="53"/>
    <col min="5889" max="5889" width="1.85546875" style="53" customWidth="1"/>
    <col min="5890" max="5890" width="1" style="53" customWidth="1"/>
    <col min="5891" max="5891" width="0.85546875" style="53" customWidth="1"/>
    <col min="5892" max="5892" width="52.28515625" style="53" customWidth="1"/>
    <col min="5893" max="5894" width="1" style="53" customWidth="1"/>
    <col min="5895" max="5895" width="16.85546875" style="53" customWidth="1"/>
    <col min="5896" max="5897" width="1" style="53" customWidth="1"/>
    <col min="5898" max="5902" width="0" style="53" hidden="1" customWidth="1"/>
    <col min="5903" max="5904" width="1" style="53" customWidth="1"/>
    <col min="5905" max="5905" width="17.85546875" style="53" customWidth="1"/>
    <col min="5906" max="5907" width="1" style="53" customWidth="1"/>
    <col min="5908" max="5957" width="0" style="53" hidden="1" customWidth="1"/>
    <col min="5958" max="5959" width="1" style="53" customWidth="1"/>
    <col min="5960" max="5960" width="16.140625" style="53" customWidth="1"/>
    <col min="5961" max="5964" width="1" style="53" customWidth="1"/>
    <col min="5965" max="5965" width="15.140625" style="53" customWidth="1"/>
    <col min="5966" max="5967" width="1" style="53" customWidth="1"/>
    <col min="5968" max="5972" width="0" style="53" hidden="1" customWidth="1"/>
    <col min="5973" max="5974" width="1" style="53" customWidth="1"/>
    <col min="5975" max="5975" width="17.85546875" style="53" customWidth="1"/>
    <col min="5976" max="5977" width="1" style="53" customWidth="1"/>
    <col min="5978" max="6027" width="0" style="53" hidden="1" customWidth="1"/>
    <col min="6028" max="6029" width="1" style="53" customWidth="1"/>
    <col min="6030" max="6030" width="15.7109375" style="53" customWidth="1"/>
    <col min="6031" max="6032" width="1" style="53" customWidth="1"/>
    <col min="6033" max="6033" width="0.7109375" style="53" customWidth="1"/>
    <col min="6034" max="6034" width="3.28515625" style="53" customWidth="1"/>
    <col min="6035" max="6035" width="10" style="53"/>
    <col min="6036" max="6036" width="10.42578125" style="53" bestFit="1" customWidth="1"/>
    <col min="6037" max="6144" width="10" style="53"/>
    <col min="6145" max="6145" width="1.85546875" style="53" customWidth="1"/>
    <col min="6146" max="6146" width="1" style="53" customWidth="1"/>
    <col min="6147" max="6147" width="0.85546875" style="53" customWidth="1"/>
    <col min="6148" max="6148" width="52.28515625" style="53" customWidth="1"/>
    <col min="6149" max="6150" width="1" style="53" customWidth="1"/>
    <col min="6151" max="6151" width="16.85546875" style="53" customWidth="1"/>
    <col min="6152" max="6153" width="1" style="53" customWidth="1"/>
    <col min="6154" max="6158" width="0" style="53" hidden="1" customWidth="1"/>
    <col min="6159" max="6160" width="1" style="53" customWidth="1"/>
    <col min="6161" max="6161" width="17.85546875" style="53" customWidth="1"/>
    <col min="6162" max="6163" width="1" style="53" customWidth="1"/>
    <col min="6164" max="6213" width="0" style="53" hidden="1" customWidth="1"/>
    <col min="6214" max="6215" width="1" style="53" customWidth="1"/>
    <col min="6216" max="6216" width="16.140625" style="53" customWidth="1"/>
    <col min="6217" max="6220" width="1" style="53" customWidth="1"/>
    <col min="6221" max="6221" width="15.140625" style="53" customWidth="1"/>
    <col min="6222" max="6223" width="1" style="53" customWidth="1"/>
    <col min="6224" max="6228" width="0" style="53" hidden="1" customWidth="1"/>
    <col min="6229" max="6230" width="1" style="53" customWidth="1"/>
    <col min="6231" max="6231" width="17.85546875" style="53" customWidth="1"/>
    <col min="6232" max="6233" width="1" style="53" customWidth="1"/>
    <col min="6234" max="6283" width="0" style="53" hidden="1" customWidth="1"/>
    <col min="6284" max="6285" width="1" style="53" customWidth="1"/>
    <col min="6286" max="6286" width="15.7109375" style="53" customWidth="1"/>
    <col min="6287" max="6288" width="1" style="53" customWidth="1"/>
    <col min="6289" max="6289" width="0.7109375" style="53" customWidth="1"/>
    <col min="6290" max="6290" width="3.28515625" style="53" customWidth="1"/>
    <col min="6291" max="6291" width="10" style="53"/>
    <col min="6292" max="6292" width="10.42578125" style="53" bestFit="1" customWidth="1"/>
    <col min="6293" max="6400" width="10" style="53"/>
    <col min="6401" max="6401" width="1.85546875" style="53" customWidth="1"/>
    <col min="6402" max="6402" width="1" style="53" customWidth="1"/>
    <col min="6403" max="6403" width="0.85546875" style="53" customWidth="1"/>
    <col min="6404" max="6404" width="52.28515625" style="53" customWidth="1"/>
    <col min="6405" max="6406" width="1" style="53" customWidth="1"/>
    <col min="6407" max="6407" width="16.85546875" style="53" customWidth="1"/>
    <col min="6408" max="6409" width="1" style="53" customWidth="1"/>
    <col min="6410" max="6414" width="0" style="53" hidden="1" customWidth="1"/>
    <col min="6415" max="6416" width="1" style="53" customWidth="1"/>
    <col min="6417" max="6417" width="17.85546875" style="53" customWidth="1"/>
    <col min="6418" max="6419" width="1" style="53" customWidth="1"/>
    <col min="6420" max="6469" width="0" style="53" hidden="1" customWidth="1"/>
    <col min="6470" max="6471" width="1" style="53" customWidth="1"/>
    <col min="6472" max="6472" width="16.140625" style="53" customWidth="1"/>
    <col min="6473" max="6476" width="1" style="53" customWidth="1"/>
    <col min="6477" max="6477" width="15.140625" style="53" customWidth="1"/>
    <col min="6478" max="6479" width="1" style="53" customWidth="1"/>
    <col min="6480" max="6484" width="0" style="53" hidden="1" customWidth="1"/>
    <col min="6485" max="6486" width="1" style="53" customWidth="1"/>
    <col min="6487" max="6487" width="17.85546875" style="53" customWidth="1"/>
    <col min="6488" max="6489" width="1" style="53" customWidth="1"/>
    <col min="6490" max="6539" width="0" style="53" hidden="1" customWidth="1"/>
    <col min="6540" max="6541" width="1" style="53" customWidth="1"/>
    <col min="6542" max="6542" width="15.7109375" style="53" customWidth="1"/>
    <col min="6543" max="6544" width="1" style="53" customWidth="1"/>
    <col min="6545" max="6545" width="0.7109375" style="53" customWidth="1"/>
    <col min="6546" max="6546" width="3.28515625" style="53" customWidth="1"/>
    <col min="6547" max="6547" width="10" style="53"/>
    <col min="6548" max="6548" width="10.42578125" style="53" bestFit="1" customWidth="1"/>
    <col min="6549" max="6656" width="10" style="53"/>
    <col min="6657" max="6657" width="1.85546875" style="53" customWidth="1"/>
    <col min="6658" max="6658" width="1" style="53" customWidth="1"/>
    <col min="6659" max="6659" width="0.85546875" style="53" customWidth="1"/>
    <col min="6660" max="6660" width="52.28515625" style="53" customWidth="1"/>
    <col min="6661" max="6662" width="1" style="53" customWidth="1"/>
    <col min="6663" max="6663" width="16.85546875" style="53" customWidth="1"/>
    <col min="6664" max="6665" width="1" style="53" customWidth="1"/>
    <col min="6666" max="6670" width="0" style="53" hidden="1" customWidth="1"/>
    <col min="6671" max="6672" width="1" style="53" customWidth="1"/>
    <col min="6673" max="6673" width="17.85546875" style="53" customWidth="1"/>
    <col min="6674" max="6675" width="1" style="53" customWidth="1"/>
    <col min="6676" max="6725" width="0" style="53" hidden="1" customWidth="1"/>
    <col min="6726" max="6727" width="1" style="53" customWidth="1"/>
    <col min="6728" max="6728" width="16.140625" style="53" customWidth="1"/>
    <col min="6729" max="6732" width="1" style="53" customWidth="1"/>
    <col min="6733" max="6733" width="15.140625" style="53" customWidth="1"/>
    <col min="6734" max="6735" width="1" style="53" customWidth="1"/>
    <col min="6736" max="6740" width="0" style="53" hidden="1" customWidth="1"/>
    <col min="6741" max="6742" width="1" style="53" customWidth="1"/>
    <col min="6743" max="6743" width="17.85546875" style="53" customWidth="1"/>
    <col min="6744" max="6745" width="1" style="53" customWidth="1"/>
    <col min="6746" max="6795" width="0" style="53" hidden="1" customWidth="1"/>
    <col min="6796" max="6797" width="1" style="53" customWidth="1"/>
    <col min="6798" max="6798" width="15.7109375" style="53" customWidth="1"/>
    <col min="6799" max="6800" width="1" style="53" customWidth="1"/>
    <col min="6801" max="6801" width="0.7109375" style="53" customWidth="1"/>
    <col min="6802" max="6802" width="3.28515625" style="53" customWidth="1"/>
    <col min="6803" max="6803" width="10" style="53"/>
    <col min="6804" max="6804" width="10.42578125" style="53" bestFit="1" customWidth="1"/>
    <col min="6805" max="6912" width="10" style="53"/>
    <col min="6913" max="6913" width="1.85546875" style="53" customWidth="1"/>
    <col min="6914" max="6914" width="1" style="53" customWidth="1"/>
    <col min="6915" max="6915" width="0.85546875" style="53" customWidth="1"/>
    <col min="6916" max="6916" width="52.28515625" style="53" customWidth="1"/>
    <col min="6917" max="6918" width="1" style="53" customWidth="1"/>
    <col min="6919" max="6919" width="16.85546875" style="53" customWidth="1"/>
    <col min="6920" max="6921" width="1" style="53" customWidth="1"/>
    <col min="6922" max="6926" width="0" style="53" hidden="1" customWidth="1"/>
    <col min="6927" max="6928" width="1" style="53" customWidth="1"/>
    <col min="6929" max="6929" width="17.85546875" style="53" customWidth="1"/>
    <col min="6930" max="6931" width="1" style="53" customWidth="1"/>
    <col min="6932" max="6981" width="0" style="53" hidden="1" customWidth="1"/>
    <col min="6982" max="6983" width="1" style="53" customWidth="1"/>
    <col min="6984" max="6984" width="16.140625" style="53" customWidth="1"/>
    <col min="6985" max="6988" width="1" style="53" customWidth="1"/>
    <col min="6989" max="6989" width="15.140625" style="53" customWidth="1"/>
    <col min="6990" max="6991" width="1" style="53" customWidth="1"/>
    <col min="6992" max="6996" width="0" style="53" hidden="1" customWidth="1"/>
    <col min="6997" max="6998" width="1" style="53" customWidth="1"/>
    <col min="6999" max="6999" width="17.85546875" style="53" customWidth="1"/>
    <col min="7000" max="7001" width="1" style="53" customWidth="1"/>
    <col min="7002" max="7051" width="0" style="53" hidden="1" customWidth="1"/>
    <col min="7052" max="7053" width="1" style="53" customWidth="1"/>
    <col min="7054" max="7054" width="15.7109375" style="53" customWidth="1"/>
    <col min="7055" max="7056" width="1" style="53" customWidth="1"/>
    <col min="7057" max="7057" width="0.7109375" style="53" customWidth="1"/>
    <col min="7058" max="7058" width="3.28515625" style="53" customWidth="1"/>
    <col min="7059" max="7059" width="10" style="53"/>
    <col min="7060" max="7060" width="10.42578125" style="53" bestFit="1" customWidth="1"/>
    <col min="7061" max="7168" width="10" style="53"/>
    <col min="7169" max="7169" width="1.85546875" style="53" customWidth="1"/>
    <col min="7170" max="7170" width="1" style="53" customWidth="1"/>
    <col min="7171" max="7171" width="0.85546875" style="53" customWidth="1"/>
    <col min="7172" max="7172" width="52.28515625" style="53" customWidth="1"/>
    <col min="7173" max="7174" width="1" style="53" customWidth="1"/>
    <col min="7175" max="7175" width="16.85546875" style="53" customWidth="1"/>
    <col min="7176" max="7177" width="1" style="53" customWidth="1"/>
    <col min="7178" max="7182" width="0" style="53" hidden="1" customWidth="1"/>
    <col min="7183" max="7184" width="1" style="53" customWidth="1"/>
    <col min="7185" max="7185" width="17.85546875" style="53" customWidth="1"/>
    <col min="7186" max="7187" width="1" style="53" customWidth="1"/>
    <col min="7188" max="7237" width="0" style="53" hidden="1" customWidth="1"/>
    <col min="7238" max="7239" width="1" style="53" customWidth="1"/>
    <col min="7240" max="7240" width="16.140625" style="53" customWidth="1"/>
    <col min="7241" max="7244" width="1" style="53" customWidth="1"/>
    <col min="7245" max="7245" width="15.140625" style="53" customWidth="1"/>
    <col min="7246" max="7247" width="1" style="53" customWidth="1"/>
    <col min="7248" max="7252" width="0" style="53" hidden="1" customWidth="1"/>
    <col min="7253" max="7254" width="1" style="53" customWidth="1"/>
    <col min="7255" max="7255" width="17.85546875" style="53" customWidth="1"/>
    <col min="7256" max="7257" width="1" style="53" customWidth="1"/>
    <col min="7258" max="7307" width="0" style="53" hidden="1" customWidth="1"/>
    <col min="7308" max="7309" width="1" style="53" customWidth="1"/>
    <col min="7310" max="7310" width="15.7109375" style="53" customWidth="1"/>
    <col min="7311" max="7312" width="1" style="53" customWidth="1"/>
    <col min="7313" max="7313" width="0.7109375" style="53" customWidth="1"/>
    <col min="7314" max="7314" width="3.28515625" style="53" customWidth="1"/>
    <col min="7315" max="7315" width="10" style="53"/>
    <col min="7316" max="7316" width="10.42578125" style="53" bestFit="1" customWidth="1"/>
    <col min="7317" max="7424" width="10" style="53"/>
    <col min="7425" max="7425" width="1.85546875" style="53" customWidth="1"/>
    <col min="7426" max="7426" width="1" style="53" customWidth="1"/>
    <col min="7427" max="7427" width="0.85546875" style="53" customWidth="1"/>
    <col min="7428" max="7428" width="52.28515625" style="53" customWidth="1"/>
    <col min="7429" max="7430" width="1" style="53" customWidth="1"/>
    <col min="7431" max="7431" width="16.85546875" style="53" customWidth="1"/>
    <col min="7432" max="7433" width="1" style="53" customWidth="1"/>
    <col min="7434" max="7438" width="0" style="53" hidden="1" customWidth="1"/>
    <col min="7439" max="7440" width="1" style="53" customWidth="1"/>
    <col min="7441" max="7441" width="17.85546875" style="53" customWidth="1"/>
    <col min="7442" max="7443" width="1" style="53" customWidth="1"/>
    <col min="7444" max="7493" width="0" style="53" hidden="1" customWidth="1"/>
    <col min="7494" max="7495" width="1" style="53" customWidth="1"/>
    <col min="7496" max="7496" width="16.140625" style="53" customWidth="1"/>
    <col min="7497" max="7500" width="1" style="53" customWidth="1"/>
    <col min="7501" max="7501" width="15.140625" style="53" customWidth="1"/>
    <col min="7502" max="7503" width="1" style="53" customWidth="1"/>
    <col min="7504" max="7508" width="0" style="53" hidden="1" customWidth="1"/>
    <col min="7509" max="7510" width="1" style="53" customWidth="1"/>
    <col min="7511" max="7511" width="17.85546875" style="53" customWidth="1"/>
    <col min="7512" max="7513" width="1" style="53" customWidth="1"/>
    <col min="7514" max="7563" width="0" style="53" hidden="1" customWidth="1"/>
    <col min="7564" max="7565" width="1" style="53" customWidth="1"/>
    <col min="7566" max="7566" width="15.7109375" style="53" customWidth="1"/>
    <col min="7567" max="7568" width="1" style="53" customWidth="1"/>
    <col min="7569" max="7569" width="0.7109375" style="53" customWidth="1"/>
    <col min="7570" max="7570" width="3.28515625" style="53" customWidth="1"/>
    <col min="7571" max="7571" width="10" style="53"/>
    <col min="7572" max="7572" width="10.42578125" style="53" bestFit="1" customWidth="1"/>
    <col min="7573" max="7680" width="10" style="53"/>
    <col min="7681" max="7681" width="1.85546875" style="53" customWidth="1"/>
    <col min="7682" max="7682" width="1" style="53" customWidth="1"/>
    <col min="7683" max="7683" width="0.85546875" style="53" customWidth="1"/>
    <col min="7684" max="7684" width="52.28515625" style="53" customWidth="1"/>
    <col min="7685" max="7686" width="1" style="53" customWidth="1"/>
    <col min="7687" max="7687" width="16.85546875" style="53" customWidth="1"/>
    <col min="7688" max="7689" width="1" style="53" customWidth="1"/>
    <col min="7690" max="7694" width="0" style="53" hidden="1" customWidth="1"/>
    <col min="7695" max="7696" width="1" style="53" customWidth="1"/>
    <col min="7697" max="7697" width="17.85546875" style="53" customWidth="1"/>
    <col min="7698" max="7699" width="1" style="53" customWidth="1"/>
    <col min="7700" max="7749" width="0" style="53" hidden="1" customWidth="1"/>
    <col min="7750" max="7751" width="1" style="53" customWidth="1"/>
    <col min="7752" max="7752" width="16.140625" style="53" customWidth="1"/>
    <col min="7753" max="7756" width="1" style="53" customWidth="1"/>
    <col min="7757" max="7757" width="15.140625" style="53" customWidth="1"/>
    <col min="7758" max="7759" width="1" style="53" customWidth="1"/>
    <col min="7760" max="7764" width="0" style="53" hidden="1" customWidth="1"/>
    <col min="7765" max="7766" width="1" style="53" customWidth="1"/>
    <col min="7767" max="7767" width="17.85546875" style="53" customWidth="1"/>
    <col min="7768" max="7769" width="1" style="53" customWidth="1"/>
    <col min="7770" max="7819" width="0" style="53" hidden="1" customWidth="1"/>
    <col min="7820" max="7821" width="1" style="53" customWidth="1"/>
    <col min="7822" max="7822" width="15.7109375" style="53" customWidth="1"/>
    <col min="7823" max="7824" width="1" style="53" customWidth="1"/>
    <col min="7825" max="7825" width="0.7109375" style="53" customWidth="1"/>
    <col min="7826" max="7826" width="3.28515625" style="53" customWidth="1"/>
    <col min="7827" max="7827" width="10" style="53"/>
    <col min="7828" max="7828" width="10.42578125" style="53" bestFit="1" customWidth="1"/>
    <col min="7829" max="7936" width="10" style="53"/>
    <col min="7937" max="7937" width="1.85546875" style="53" customWidth="1"/>
    <col min="7938" max="7938" width="1" style="53" customWidth="1"/>
    <col min="7939" max="7939" width="0.85546875" style="53" customWidth="1"/>
    <col min="7940" max="7940" width="52.28515625" style="53" customWidth="1"/>
    <col min="7941" max="7942" width="1" style="53" customWidth="1"/>
    <col min="7943" max="7943" width="16.85546875" style="53" customWidth="1"/>
    <col min="7944" max="7945" width="1" style="53" customWidth="1"/>
    <col min="7946" max="7950" width="0" style="53" hidden="1" customWidth="1"/>
    <col min="7951" max="7952" width="1" style="53" customWidth="1"/>
    <col min="7953" max="7953" width="17.85546875" style="53" customWidth="1"/>
    <col min="7954" max="7955" width="1" style="53" customWidth="1"/>
    <col min="7956" max="8005" width="0" style="53" hidden="1" customWidth="1"/>
    <col min="8006" max="8007" width="1" style="53" customWidth="1"/>
    <col min="8008" max="8008" width="16.140625" style="53" customWidth="1"/>
    <col min="8009" max="8012" width="1" style="53" customWidth="1"/>
    <col min="8013" max="8013" width="15.140625" style="53" customWidth="1"/>
    <col min="8014" max="8015" width="1" style="53" customWidth="1"/>
    <col min="8016" max="8020" width="0" style="53" hidden="1" customWidth="1"/>
    <col min="8021" max="8022" width="1" style="53" customWidth="1"/>
    <col min="8023" max="8023" width="17.85546875" style="53" customWidth="1"/>
    <col min="8024" max="8025" width="1" style="53" customWidth="1"/>
    <col min="8026" max="8075" width="0" style="53" hidden="1" customWidth="1"/>
    <col min="8076" max="8077" width="1" style="53" customWidth="1"/>
    <col min="8078" max="8078" width="15.7109375" style="53" customWidth="1"/>
    <col min="8079" max="8080" width="1" style="53" customWidth="1"/>
    <col min="8081" max="8081" width="0.7109375" style="53" customWidth="1"/>
    <col min="8082" max="8082" width="3.28515625" style="53" customWidth="1"/>
    <col min="8083" max="8083" width="10" style="53"/>
    <col min="8084" max="8084" width="10.42578125" style="53" bestFit="1" customWidth="1"/>
    <col min="8085" max="8192" width="10" style="53"/>
    <col min="8193" max="8193" width="1.85546875" style="53" customWidth="1"/>
    <col min="8194" max="8194" width="1" style="53" customWidth="1"/>
    <col min="8195" max="8195" width="0.85546875" style="53" customWidth="1"/>
    <col min="8196" max="8196" width="52.28515625" style="53" customWidth="1"/>
    <col min="8197" max="8198" width="1" style="53" customWidth="1"/>
    <col min="8199" max="8199" width="16.85546875" style="53" customWidth="1"/>
    <col min="8200" max="8201" width="1" style="53" customWidth="1"/>
    <col min="8202" max="8206" width="0" style="53" hidden="1" customWidth="1"/>
    <col min="8207" max="8208" width="1" style="53" customWidth="1"/>
    <col min="8209" max="8209" width="17.85546875" style="53" customWidth="1"/>
    <col min="8210" max="8211" width="1" style="53" customWidth="1"/>
    <col min="8212" max="8261" width="0" style="53" hidden="1" customWidth="1"/>
    <col min="8262" max="8263" width="1" style="53" customWidth="1"/>
    <col min="8264" max="8264" width="16.140625" style="53" customWidth="1"/>
    <col min="8265" max="8268" width="1" style="53" customWidth="1"/>
    <col min="8269" max="8269" width="15.140625" style="53" customWidth="1"/>
    <col min="8270" max="8271" width="1" style="53" customWidth="1"/>
    <col min="8272" max="8276" width="0" style="53" hidden="1" customWidth="1"/>
    <col min="8277" max="8278" width="1" style="53" customWidth="1"/>
    <col min="8279" max="8279" width="17.85546875" style="53" customWidth="1"/>
    <col min="8280" max="8281" width="1" style="53" customWidth="1"/>
    <col min="8282" max="8331" width="0" style="53" hidden="1" customWidth="1"/>
    <col min="8332" max="8333" width="1" style="53" customWidth="1"/>
    <col min="8334" max="8334" width="15.7109375" style="53" customWidth="1"/>
    <col min="8335" max="8336" width="1" style="53" customWidth="1"/>
    <col min="8337" max="8337" width="0.7109375" style="53" customWidth="1"/>
    <col min="8338" max="8338" width="3.28515625" style="53" customWidth="1"/>
    <col min="8339" max="8339" width="10" style="53"/>
    <col min="8340" max="8340" width="10.42578125" style="53" bestFit="1" customWidth="1"/>
    <col min="8341" max="8448" width="10" style="53"/>
    <col min="8449" max="8449" width="1.85546875" style="53" customWidth="1"/>
    <col min="8450" max="8450" width="1" style="53" customWidth="1"/>
    <col min="8451" max="8451" width="0.85546875" style="53" customWidth="1"/>
    <col min="8452" max="8452" width="52.28515625" style="53" customWidth="1"/>
    <col min="8453" max="8454" width="1" style="53" customWidth="1"/>
    <col min="8455" max="8455" width="16.85546875" style="53" customWidth="1"/>
    <col min="8456" max="8457" width="1" style="53" customWidth="1"/>
    <col min="8458" max="8462" width="0" style="53" hidden="1" customWidth="1"/>
    <col min="8463" max="8464" width="1" style="53" customWidth="1"/>
    <col min="8465" max="8465" width="17.85546875" style="53" customWidth="1"/>
    <col min="8466" max="8467" width="1" style="53" customWidth="1"/>
    <col min="8468" max="8517" width="0" style="53" hidden="1" customWidth="1"/>
    <col min="8518" max="8519" width="1" style="53" customWidth="1"/>
    <col min="8520" max="8520" width="16.140625" style="53" customWidth="1"/>
    <col min="8521" max="8524" width="1" style="53" customWidth="1"/>
    <col min="8525" max="8525" width="15.140625" style="53" customWidth="1"/>
    <col min="8526" max="8527" width="1" style="53" customWidth="1"/>
    <col min="8528" max="8532" width="0" style="53" hidden="1" customWidth="1"/>
    <col min="8533" max="8534" width="1" style="53" customWidth="1"/>
    <col min="8535" max="8535" width="17.85546875" style="53" customWidth="1"/>
    <col min="8536" max="8537" width="1" style="53" customWidth="1"/>
    <col min="8538" max="8587" width="0" style="53" hidden="1" customWidth="1"/>
    <col min="8588" max="8589" width="1" style="53" customWidth="1"/>
    <col min="8590" max="8590" width="15.7109375" style="53" customWidth="1"/>
    <col min="8591" max="8592" width="1" style="53" customWidth="1"/>
    <col min="8593" max="8593" width="0.7109375" style="53" customWidth="1"/>
    <col min="8594" max="8594" width="3.28515625" style="53" customWidth="1"/>
    <col min="8595" max="8595" width="10" style="53"/>
    <col min="8596" max="8596" width="10.42578125" style="53" bestFit="1" customWidth="1"/>
    <col min="8597" max="8704" width="10" style="53"/>
    <col min="8705" max="8705" width="1.85546875" style="53" customWidth="1"/>
    <col min="8706" max="8706" width="1" style="53" customWidth="1"/>
    <col min="8707" max="8707" width="0.85546875" style="53" customWidth="1"/>
    <col min="8708" max="8708" width="52.28515625" style="53" customWidth="1"/>
    <col min="8709" max="8710" width="1" style="53" customWidth="1"/>
    <col min="8711" max="8711" width="16.85546875" style="53" customWidth="1"/>
    <col min="8712" max="8713" width="1" style="53" customWidth="1"/>
    <col min="8714" max="8718" width="0" style="53" hidden="1" customWidth="1"/>
    <col min="8719" max="8720" width="1" style="53" customWidth="1"/>
    <col min="8721" max="8721" width="17.85546875" style="53" customWidth="1"/>
    <col min="8722" max="8723" width="1" style="53" customWidth="1"/>
    <col min="8724" max="8773" width="0" style="53" hidden="1" customWidth="1"/>
    <col min="8774" max="8775" width="1" style="53" customWidth="1"/>
    <col min="8776" max="8776" width="16.140625" style="53" customWidth="1"/>
    <col min="8777" max="8780" width="1" style="53" customWidth="1"/>
    <col min="8781" max="8781" width="15.140625" style="53" customWidth="1"/>
    <col min="8782" max="8783" width="1" style="53" customWidth="1"/>
    <col min="8784" max="8788" width="0" style="53" hidden="1" customWidth="1"/>
    <col min="8789" max="8790" width="1" style="53" customWidth="1"/>
    <col min="8791" max="8791" width="17.85546875" style="53" customWidth="1"/>
    <col min="8792" max="8793" width="1" style="53" customWidth="1"/>
    <col min="8794" max="8843" width="0" style="53" hidden="1" customWidth="1"/>
    <col min="8844" max="8845" width="1" style="53" customWidth="1"/>
    <col min="8846" max="8846" width="15.7109375" style="53" customWidth="1"/>
    <col min="8847" max="8848" width="1" style="53" customWidth="1"/>
    <col min="8849" max="8849" width="0.7109375" style="53" customWidth="1"/>
    <col min="8850" max="8850" width="3.28515625" style="53" customWidth="1"/>
    <col min="8851" max="8851" width="10" style="53"/>
    <col min="8852" max="8852" width="10.42578125" style="53" bestFit="1" customWidth="1"/>
    <col min="8853" max="8960" width="10" style="53"/>
    <col min="8961" max="8961" width="1.85546875" style="53" customWidth="1"/>
    <col min="8962" max="8962" width="1" style="53" customWidth="1"/>
    <col min="8963" max="8963" width="0.85546875" style="53" customWidth="1"/>
    <col min="8964" max="8964" width="52.28515625" style="53" customWidth="1"/>
    <col min="8965" max="8966" width="1" style="53" customWidth="1"/>
    <col min="8967" max="8967" width="16.85546875" style="53" customWidth="1"/>
    <col min="8968" max="8969" width="1" style="53" customWidth="1"/>
    <col min="8970" max="8974" width="0" style="53" hidden="1" customWidth="1"/>
    <col min="8975" max="8976" width="1" style="53" customWidth="1"/>
    <col min="8977" max="8977" width="17.85546875" style="53" customWidth="1"/>
    <col min="8978" max="8979" width="1" style="53" customWidth="1"/>
    <col min="8980" max="9029" width="0" style="53" hidden="1" customWidth="1"/>
    <col min="9030" max="9031" width="1" style="53" customWidth="1"/>
    <col min="9032" max="9032" width="16.140625" style="53" customWidth="1"/>
    <col min="9033" max="9036" width="1" style="53" customWidth="1"/>
    <col min="9037" max="9037" width="15.140625" style="53" customWidth="1"/>
    <col min="9038" max="9039" width="1" style="53" customWidth="1"/>
    <col min="9040" max="9044" width="0" style="53" hidden="1" customWidth="1"/>
    <col min="9045" max="9046" width="1" style="53" customWidth="1"/>
    <col min="9047" max="9047" width="17.85546875" style="53" customWidth="1"/>
    <col min="9048" max="9049" width="1" style="53" customWidth="1"/>
    <col min="9050" max="9099" width="0" style="53" hidden="1" customWidth="1"/>
    <col min="9100" max="9101" width="1" style="53" customWidth="1"/>
    <col min="9102" max="9102" width="15.7109375" style="53" customWidth="1"/>
    <col min="9103" max="9104" width="1" style="53" customWidth="1"/>
    <col min="9105" max="9105" width="0.7109375" style="53" customWidth="1"/>
    <col min="9106" max="9106" width="3.28515625" style="53" customWidth="1"/>
    <col min="9107" max="9107" width="10" style="53"/>
    <col min="9108" max="9108" width="10.42578125" style="53" bestFit="1" customWidth="1"/>
    <col min="9109" max="9216" width="10" style="53"/>
    <col min="9217" max="9217" width="1.85546875" style="53" customWidth="1"/>
    <col min="9218" max="9218" width="1" style="53" customWidth="1"/>
    <col min="9219" max="9219" width="0.85546875" style="53" customWidth="1"/>
    <col min="9220" max="9220" width="52.28515625" style="53" customWidth="1"/>
    <col min="9221" max="9222" width="1" style="53" customWidth="1"/>
    <col min="9223" max="9223" width="16.85546875" style="53" customWidth="1"/>
    <col min="9224" max="9225" width="1" style="53" customWidth="1"/>
    <col min="9226" max="9230" width="0" style="53" hidden="1" customWidth="1"/>
    <col min="9231" max="9232" width="1" style="53" customWidth="1"/>
    <col min="9233" max="9233" width="17.85546875" style="53" customWidth="1"/>
    <col min="9234" max="9235" width="1" style="53" customWidth="1"/>
    <col min="9236" max="9285" width="0" style="53" hidden="1" customWidth="1"/>
    <col min="9286" max="9287" width="1" style="53" customWidth="1"/>
    <col min="9288" max="9288" width="16.140625" style="53" customWidth="1"/>
    <col min="9289" max="9292" width="1" style="53" customWidth="1"/>
    <col min="9293" max="9293" width="15.140625" style="53" customWidth="1"/>
    <col min="9294" max="9295" width="1" style="53" customWidth="1"/>
    <col min="9296" max="9300" width="0" style="53" hidden="1" customWidth="1"/>
    <col min="9301" max="9302" width="1" style="53" customWidth="1"/>
    <col min="9303" max="9303" width="17.85546875" style="53" customWidth="1"/>
    <col min="9304" max="9305" width="1" style="53" customWidth="1"/>
    <col min="9306" max="9355" width="0" style="53" hidden="1" customWidth="1"/>
    <col min="9356" max="9357" width="1" style="53" customWidth="1"/>
    <col min="9358" max="9358" width="15.7109375" style="53" customWidth="1"/>
    <col min="9359" max="9360" width="1" style="53" customWidth="1"/>
    <col min="9361" max="9361" width="0.7109375" style="53" customWidth="1"/>
    <col min="9362" max="9362" width="3.28515625" style="53" customWidth="1"/>
    <col min="9363" max="9363" width="10" style="53"/>
    <col min="9364" max="9364" width="10.42578125" style="53" bestFit="1" customWidth="1"/>
    <col min="9365" max="9472" width="10" style="53"/>
    <col min="9473" max="9473" width="1.85546875" style="53" customWidth="1"/>
    <col min="9474" max="9474" width="1" style="53" customWidth="1"/>
    <col min="9475" max="9475" width="0.85546875" style="53" customWidth="1"/>
    <col min="9476" max="9476" width="52.28515625" style="53" customWidth="1"/>
    <col min="9477" max="9478" width="1" style="53" customWidth="1"/>
    <col min="9479" max="9479" width="16.85546875" style="53" customWidth="1"/>
    <col min="9480" max="9481" width="1" style="53" customWidth="1"/>
    <col min="9482" max="9486" width="0" style="53" hidden="1" customWidth="1"/>
    <col min="9487" max="9488" width="1" style="53" customWidth="1"/>
    <col min="9489" max="9489" width="17.85546875" style="53" customWidth="1"/>
    <col min="9490" max="9491" width="1" style="53" customWidth="1"/>
    <col min="9492" max="9541" width="0" style="53" hidden="1" customWidth="1"/>
    <col min="9542" max="9543" width="1" style="53" customWidth="1"/>
    <col min="9544" max="9544" width="16.140625" style="53" customWidth="1"/>
    <col min="9545" max="9548" width="1" style="53" customWidth="1"/>
    <col min="9549" max="9549" width="15.140625" style="53" customWidth="1"/>
    <col min="9550" max="9551" width="1" style="53" customWidth="1"/>
    <col min="9552" max="9556" width="0" style="53" hidden="1" customWidth="1"/>
    <col min="9557" max="9558" width="1" style="53" customWidth="1"/>
    <col min="9559" max="9559" width="17.85546875" style="53" customWidth="1"/>
    <col min="9560" max="9561" width="1" style="53" customWidth="1"/>
    <col min="9562" max="9611" width="0" style="53" hidden="1" customWidth="1"/>
    <col min="9612" max="9613" width="1" style="53" customWidth="1"/>
    <col min="9614" max="9614" width="15.7109375" style="53" customWidth="1"/>
    <col min="9615" max="9616" width="1" style="53" customWidth="1"/>
    <col min="9617" max="9617" width="0.7109375" style="53" customWidth="1"/>
    <col min="9618" max="9618" width="3.28515625" style="53" customWidth="1"/>
    <col min="9619" max="9619" width="10" style="53"/>
    <col min="9620" max="9620" width="10.42578125" style="53" bestFit="1" customWidth="1"/>
    <col min="9621" max="9728" width="10" style="53"/>
    <col min="9729" max="9729" width="1.85546875" style="53" customWidth="1"/>
    <col min="9730" max="9730" width="1" style="53" customWidth="1"/>
    <col min="9731" max="9731" width="0.85546875" style="53" customWidth="1"/>
    <col min="9732" max="9732" width="52.28515625" style="53" customWidth="1"/>
    <col min="9733" max="9734" width="1" style="53" customWidth="1"/>
    <col min="9735" max="9735" width="16.85546875" style="53" customWidth="1"/>
    <col min="9736" max="9737" width="1" style="53" customWidth="1"/>
    <col min="9738" max="9742" width="0" style="53" hidden="1" customWidth="1"/>
    <col min="9743" max="9744" width="1" style="53" customWidth="1"/>
    <col min="9745" max="9745" width="17.85546875" style="53" customWidth="1"/>
    <col min="9746" max="9747" width="1" style="53" customWidth="1"/>
    <col min="9748" max="9797" width="0" style="53" hidden="1" customWidth="1"/>
    <col min="9798" max="9799" width="1" style="53" customWidth="1"/>
    <col min="9800" max="9800" width="16.140625" style="53" customWidth="1"/>
    <col min="9801" max="9804" width="1" style="53" customWidth="1"/>
    <col min="9805" max="9805" width="15.140625" style="53" customWidth="1"/>
    <col min="9806" max="9807" width="1" style="53" customWidth="1"/>
    <col min="9808" max="9812" width="0" style="53" hidden="1" customWidth="1"/>
    <col min="9813" max="9814" width="1" style="53" customWidth="1"/>
    <col min="9815" max="9815" width="17.85546875" style="53" customWidth="1"/>
    <col min="9816" max="9817" width="1" style="53" customWidth="1"/>
    <col min="9818" max="9867" width="0" style="53" hidden="1" customWidth="1"/>
    <col min="9868" max="9869" width="1" style="53" customWidth="1"/>
    <col min="9870" max="9870" width="15.7109375" style="53" customWidth="1"/>
    <col min="9871" max="9872" width="1" style="53" customWidth="1"/>
    <col min="9873" max="9873" width="0.7109375" style="53" customWidth="1"/>
    <col min="9874" max="9874" width="3.28515625" style="53" customWidth="1"/>
    <col min="9875" max="9875" width="10" style="53"/>
    <col min="9876" max="9876" width="10.42578125" style="53" bestFit="1" customWidth="1"/>
    <col min="9877" max="9984" width="10" style="53"/>
    <col min="9985" max="9985" width="1.85546875" style="53" customWidth="1"/>
    <col min="9986" max="9986" width="1" style="53" customWidth="1"/>
    <col min="9987" max="9987" width="0.85546875" style="53" customWidth="1"/>
    <col min="9988" max="9988" width="52.28515625" style="53" customWidth="1"/>
    <col min="9989" max="9990" width="1" style="53" customWidth="1"/>
    <col min="9991" max="9991" width="16.85546875" style="53" customWidth="1"/>
    <col min="9992" max="9993" width="1" style="53" customWidth="1"/>
    <col min="9994" max="9998" width="0" style="53" hidden="1" customWidth="1"/>
    <col min="9999" max="10000" width="1" style="53" customWidth="1"/>
    <col min="10001" max="10001" width="17.85546875" style="53" customWidth="1"/>
    <col min="10002" max="10003" width="1" style="53" customWidth="1"/>
    <col min="10004" max="10053" width="0" style="53" hidden="1" customWidth="1"/>
    <col min="10054" max="10055" width="1" style="53" customWidth="1"/>
    <col min="10056" max="10056" width="16.140625" style="53" customWidth="1"/>
    <col min="10057" max="10060" width="1" style="53" customWidth="1"/>
    <col min="10061" max="10061" width="15.140625" style="53" customWidth="1"/>
    <col min="10062" max="10063" width="1" style="53" customWidth="1"/>
    <col min="10064" max="10068" width="0" style="53" hidden="1" customWidth="1"/>
    <col min="10069" max="10070" width="1" style="53" customWidth="1"/>
    <col min="10071" max="10071" width="17.85546875" style="53" customWidth="1"/>
    <col min="10072" max="10073" width="1" style="53" customWidth="1"/>
    <col min="10074" max="10123" width="0" style="53" hidden="1" customWidth="1"/>
    <col min="10124" max="10125" width="1" style="53" customWidth="1"/>
    <col min="10126" max="10126" width="15.7109375" style="53" customWidth="1"/>
    <col min="10127" max="10128" width="1" style="53" customWidth="1"/>
    <col min="10129" max="10129" width="0.7109375" style="53" customWidth="1"/>
    <col min="10130" max="10130" width="3.28515625" style="53" customWidth="1"/>
    <col min="10131" max="10131" width="10" style="53"/>
    <col min="10132" max="10132" width="10.42578125" style="53" bestFit="1" customWidth="1"/>
    <col min="10133" max="10240" width="10" style="53"/>
    <col min="10241" max="10241" width="1.85546875" style="53" customWidth="1"/>
    <col min="10242" max="10242" width="1" style="53" customWidth="1"/>
    <col min="10243" max="10243" width="0.85546875" style="53" customWidth="1"/>
    <col min="10244" max="10244" width="52.28515625" style="53" customWidth="1"/>
    <col min="10245" max="10246" width="1" style="53" customWidth="1"/>
    <col min="10247" max="10247" width="16.85546875" style="53" customWidth="1"/>
    <col min="10248" max="10249" width="1" style="53" customWidth="1"/>
    <col min="10250" max="10254" width="0" style="53" hidden="1" customWidth="1"/>
    <col min="10255" max="10256" width="1" style="53" customWidth="1"/>
    <col min="10257" max="10257" width="17.85546875" style="53" customWidth="1"/>
    <col min="10258" max="10259" width="1" style="53" customWidth="1"/>
    <col min="10260" max="10309" width="0" style="53" hidden="1" customWidth="1"/>
    <col min="10310" max="10311" width="1" style="53" customWidth="1"/>
    <col min="10312" max="10312" width="16.140625" style="53" customWidth="1"/>
    <col min="10313" max="10316" width="1" style="53" customWidth="1"/>
    <col min="10317" max="10317" width="15.140625" style="53" customWidth="1"/>
    <col min="10318" max="10319" width="1" style="53" customWidth="1"/>
    <col min="10320" max="10324" width="0" style="53" hidden="1" customWidth="1"/>
    <col min="10325" max="10326" width="1" style="53" customWidth="1"/>
    <col min="10327" max="10327" width="17.85546875" style="53" customWidth="1"/>
    <col min="10328" max="10329" width="1" style="53" customWidth="1"/>
    <col min="10330" max="10379" width="0" style="53" hidden="1" customWidth="1"/>
    <col min="10380" max="10381" width="1" style="53" customWidth="1"/>
    <col min="10382" max="10382" width="15.7109375" style="53" customWidth="1"/>
    <col min="10383" max="10384" width="1" style="53" customWidth="1"/>
    <col min="10385" max="10385" width="0.7109375" style="53" customWidth="1"/>
    <col min="10386" max="10386" width="3.28515625" style="53" customWidth="1"/>
    <col min="10387" max="10387" width="10" style="53"/>
    <col min="10388" max="10388" width="10.42578125" style="53" bestFit="1" customWidth="1"/>
    <col min="10389" max="10496" width="10" style="53"/>
    <col min="10497" max="10497" width="1.85546875" style="53" customWidth="1"/>
    <col min="10498" max="10498" width="1" style="53" customWidth="1"/>
    <col min="10499" max="10499" width="0.85546875" style="53" customWidth="1"/>
    <col min="10500" max="10500" width="52.28515625" style="53" customWidth="1"/>
    <col min="10501" max="10502" width="1" style="53" customWidth="1"/>
    <col min="10503" max="10503" width="16.85546875" style="53" customWidth="1"/>
    <col min="10504" max="10505" width="1" style="53" customWidth="1"/>
    <col min="10506" max="10510" width="0" style="53" hidden="1" customWidth="1"/>
    <col min="10511" max="10512" width="1" style="53" customWidth="1"/>
    <col min="10513" max="10513" width="17.85546875" style="53" customWidth="1"/>
    <col min="10514" max="10515" width="1" style="53" customWidth="1"/>
    <col min="10516" max="10565" width="0" style="53" hidden="1" customWidth="1"/>
    <col min="10566" max="10567" width="1" style="53" customWidth="1"/>
    <col min="10568" max="10568" width="16.140625" style="53" customWidth="1"/>
    <col min="10569" max="10572" width="1" style="53" customWidth="1"/>
    <col min="10573" max="10573" width="15.140625" style="53" customWidth="1"/>
    <col min="10574" max="10575" width="1" style="53" customWidth="1"/>
    <col min="10576" max="10580" width="0" style="53" hidden="1" customWidth="1"/>
    <col min="10581" max="10582" width="1" style="53" customWidth="1"/>
    <col min="10583" max="10583" width="17.85546875" style="53" customWidth="1"/>
    <col min="10584" max="10585" width="1" style="53" customWidth="1"/>
    <col min="10586" max="10635" width="0" style="53" hidden="1" customWidth="1"/>
    <col min="10636" max="10637" width="1" style="53" customWidth="1"/>
    <col min="10638" max="10638" width="15.7109375" style="53" customWidth="1"/>
    <col min="10639" max="10640" width="1" style="53" customWidth="1"/>
    <col min="10641" max="10641" width="0.7109375" style="53" customWidth="1"/>
    <col min="10642" max="10642" width="3.28515625" style="53" customWidth="1"/>
    <col min="10643" max="10643" width="10" style="53"/>
    <col min="10644" max="10644" width="10.42578125" style="53" bestFit="1" customWidth="1"/>
    <col min="10645" max="10752" width="10" style="53"/>
    <col min="10753" max="10753" width="1.85546875" style="53" customWidth="1"/>
    <col min="10754" max="10754" width="1" style="53" customWidth="1"/>
    <col min="10755" max="10755" width="0.85546875" style="53" customWidth="1"/>
    <col min="10756" max="10756" width="52.28515625" style="53" customWidth="1"/>
    <col min="10757" max="10758" width="1" style="53" customWidth="1"/>
    <col min="10759" max="10759" width="16.85546875" style="53" customWidth="1"/>
    <col min="10760" max="10761" width="1" style="53" customWidth="1"/>
    <col min="10762" max="10766" width="0" style="53" hidden="1" customWidth="1"/>
    <col min="10767" max="10768" width="1" style="53" customWidth="1"/>
    <col min="10769" max="10769" width="17.85546875" style="53" customWidth="1"/>
    <col min="10770" max="10771" width="1" style="53" customWidth="1"/>
    <col min="10772" max="10821" width="0" style="53" hidden="1" customWidth="1"/>
    <col min="10822" max="10823" width="1" style="53" customWidth="1"/>
    <col min="10824" max="10824" width="16.140625" style="53" customWidth="1"/>
    <col min="10825" max="10828" width="1" style="53" customWidth="1"/>
    <col min="10829" max="10829" width="15.140625" style="53" customWidth="1"/>
    <col min="10830" max="10831" width="1" style="53" customWidth="1"/>
    <col min="10832" max="10836" width="0" style="53" hidden="1" customWidth="1"/>
    <col min="10837" max="10838" width="1" style="53" customWidth="1"/>
    <col min="10839" max="10839" width="17.85546875" style="53" customWidth="1"/>
    <col min="10840" max="10841" width="1" style="53" customWidth="1"/>
    <col min="10842" max="10891" width="0" style="53" hidden="1" customWidth="1"/>
    <col min="10892" max="10893" width="1" style="53" customWidth="1"/>
    <col min="10894" max="10894" width="15.7109375" style="53" customWidth="1"/>
    <col min="10895" max="10896" width="1" style="53" customWidth="1"/>
    <col min="10897" max="10897" width="0.7109375" style="53" customWidth="1"/>
    <col min="10898" max="10898" width="3.28515625" style="53" customWidth="1"/>
    <col min="10899" max="10899" width="10" style="53"/>
    <col min="10900" max="10900" width="10.42578125" style="53" bestFit="1" customWidth="1"/>
    <col min="10901" max="11008" width="10" style="53"/>
    <col min="11009" max="11009" width="1.85546875" style="53" customWidth="1"/>
    <col min="11010" max="11010" width="1" style="53" customWidth="1"/>
    <col min="11011" max="11011" width="0.85546875" style="53" customWidth="1"/>
    <col min="11012" max="11012" width="52.28515625" style="53" customWidth="1"/>
    <col min="11013" max="11014" width="1" style="53" customWidth="1"/>
    <col min="11015" max="11015" width="16.85546875" style="53" customWidth="1"/>
    <col min="11016" max="11017" width="1" style="53" customWidth="1"/>
    <col min="11018" max="11022" width="0" style="53" hidden="1" customWidth="1"/>
    <col min="11023" max="11024" width="1" style="53" customWidth="1"/>
    <col min="11025" max="11025" width="17.85546875" style="53" customWidth="1"/>
    <col min="11026" max="11027" width="1" style="53" customWidth="1"/>
    <col min="11028" max="11077" width="0" style="53" hidden="1" customWidth="1"/>
    <col min="11078" max="11079" width="1" style="53" customWidth="1"/>
    <col min="11080" max="11080" width="16.140625" style="53" customWidth="1"/>
    <col min="11081" max="11084" width="1" style="53" customWidth="1"/>
    <col min="11085" max="11085" width="15.140625" style="53" customWidth="1"/>
    <col min="11086" max="11087" width="1" style="53" customWidth="1"/>
    <col min="11088" max="11092" width="0" style="53" hidden="1" customWidth="1"/>
    <col min="11093" max="11094" width="1" style="53" customWidth="1"/>
    <col min="11095" max="11095" width="17.85546875" style="53" customWidth="1"/>
    <col min="11096" max="11097" width="1" style="53" customWidth="1"/>
    <col min="11098" max="11147" width="0" style="53" hidden="1" customWidth="1"/>
    <col min="11148" max="11149" width="1" style="53" customWidth="1"/>
    <col min="11150" max="11150" width="15.7109375" style="53" customWidth="1"/>
    <col min="11151" max="11152" width="1" style="53" customWidth="1"/>
    <col min="11153" max="11153" width="0.7109375" style="53" customWidth="1"/>
    <col min="11154" max="11154" width="3.28515625" style="53" customWidth="1"/>
    <col min="11155" max="11155" width="10" style="53"/>
    <col min="11156" max="11156" width="10.42578125" style="53" bestFit="1" customWidth="1"/>
    <col min="11157" max="11264" width="10" style="53"/>
    <col min="11265" max="11265" width="1.85546875" style="53" customWidth="1"/>
    <col min="11266" max="11266" width="1" style="53" customWidth="1"/>
    <col min="11267" max="11267" width="0.85546875" style="53" customWidth="1"/>
    <col min="11268" max="11268" width="52.28515625" style="53" customWidth="1"/>
    <col min="11269" max="11270" width="1" style="53" customWidth="1"/>
    <col min="11271" max="11271" width="16.85546875" style="53" customWidth="1"/>
    <col min="11272" max="11273" width="1" style="53" customWidth="1"/>
    <col min="11274" max="11278" width="0" style="53" hidden="1" customWidth="1"/>
    <col min="11279" max="11280" width="1" style="53" customWidth="1"/>
    <col min="11281" max="11281" width="17.85546875" style="53" customWidth="1"/>
    <col min="11282" max="11283" width="1" style="53" customWidth="1"/>
    <col min="11284" max="11333" width="0" style="53" hidden="1" customWidth="1"/>
    <col min="11334" max="11335" width="1" style="53" customWidth="1"/>
    <col min="11336" max="11336" width="16.140625" style="53" customWidth="1"/>
    <col min="11337" max="11340" width="1" style="53" customWidth="1"/>
    <col min="11341" max="11341" width="15.140625" style="53" customWidth="1"/>
    <col min="11342" max="11343" width="1" style="53" customWidth="1"/>
    <col min="11344" max="11348" width="0" style="53" hidden="1" customWidth="1"/>
    <col min="11349" max="11350" width="1" style="53" customWidth="1"/>
    <col min="11351" max="11351" width="17.85546875" style="53" customWidth="1"/>
    <col min="11352" max="11353" width="1" style="53" customWidth="1"/>
    <col min="11354" max="11403" width="0" style="53" hidden="1" customWidth="1"/>
    <col min="11404" max="11405" width="1" style="53" customWidth="1"/>
    <col min="11406" max="11406" width="15.7109375" style="53" customWidth="1"/>
    <col min="11407" max="11408" width="1" style="53" customWidth="1"/>
    <col min="11409" max="11409" width="0.7109375" style="53" customWidth="1"/>
    <col min="11410" max="11410" width="3.28515625" style="53" customWidth="1"/>
    <col min="11411" max="11411" width="10" style="53"/>
    <col min="11412" max="11412" width="10.42578125" style="53" bestFit="1" customWidth="1"/>
    <col min="11413" max="11520" width="10" style="53"/>
    <col min="11521" max="11521" width="1.85546875" style="53" customWidth="1"/>
    <col min="11522" max="11522" width="1" style="53" customWidth="1"/>
    <col min="11523" max="11523" width="0.85546875" style="53" customWidth="1"/>
    <col min="11524" max="11524" width="52.28515625" style="53" customWidth="1"/>
    <col min="11525" max="11526" width="1" style="53" customWidth="1"/>
    <col min="11527" max="11527" width="16.85546875" style="53" customWidth="1"/>
    <col min="11528" max="11529" width="1" style="53" customWidth="1"/>
    <col min="11530" max="11534" width="0" style="53" hidden="1" customWidth="1"/>
    <col min="11535" max="11536" width="1" style="53" customWidth="1"/>
    <col min="11537" max="11537" width="17.85546875" style="53" customWidth="1"/>
    <col min="11538" max="11539" width="1" style="53" customWidth="1"/>
    <col min="11540" max="11589" width="0" style="53" hidden="1" customWidth="1"/>
    <col min="11590" max="11591" width="1" style="53" customWidth="1"/>
    <col min="11592" max="11592" width="16.140625" style="53" customWidth="1"/>
    <col min="11593" max="11596" width="1" style="53" customWidth="1"/>
    <col min="11597" max="11597" width="15.140625" style="53" customWidth="1"/>
    <col min="11598" max="11599" width="1" style="53" customWidth="1"/>
    <col min="11600" max="11604" width="0" style="53" hidden="1" customWidth="1"/>
    <col min="11605" max="11606" width="1" style="53" customWidth="1"/>
    <col min="11607" max="11607" width="17.85546875" style="53" customWidth="1"/>
    <col min="11608" max="11609" width="1" style="53" customWidth="1"/>
    <col min="11610" max="11659" width="0" style="53" hidden="1" customWidth="1"/>
    <col min="11660" max="11661" width="1" style="53" customWidth="1"/>
    <col min="11662" max="11662" width="15.7109375" style="53" customWidth="1"/>
    <col min="11663" max="11664" width="1" style="53" customWidth="1"/>
    <col min="11665" max="11665" width="0.7109375" style="53" customWidth="1"/>
    <col min="11666" max="11666" width="3.28515625" style="53" customWidth="1"/>
    <col min="11667" max="11667" width="10" style="53"/>
    <col min="11668" max="11668" width="10.42578125" style="53" bestFit="1" customWidth="1"/>
    <col min="11669" max="11776" width="10" style="53"/>
    <col min="11777" max="11777" width="1.85546875" style="53" customWidth="1"/>
    <col min="11778" max="11778" width="1" style="53" customWidth="1"/>
    <col min="11779" max="11779" width="0.85546875" style="53" customWidth="1"/>
    <col min="11780" max="11780" width="52.28515625" style="53" customWidth="1"/>
    <col min="11781" max="11782" width="1" style="53" customWidth="1"/>
    <col min="11783" max="11783" width="16.85546875" style="53" customWidth="1"/>
    <col min="11784" max="11785" width="1" style="53" customWidth="1"/>
    <col min="11786" max="11790" width="0" style="53" hidden="1" customWidth="1"/>
    <col min="11791" max="11792" width="1" style="53" customWidth="1"/>
    <col min="11793" max="11793" width="17.85546875" style="53" customWidth="1"/>
    <col min="11794" max="11795" width="1" style="53" customWidth="1"/>
    <col min="11796" max="11845" width="0" style="53" hidden="1" customWidth="1"/>
    <col min="11846" max="11847" width="1" style="53" customWidth="1"/>
    <col min="11848" max="11848" width="16.140625" style="53" customWidth="1"/>
    <col min="11849" max="11852" width="1" style="53" customWidth="1"/>
    <col min="11853" max="11853" width="15.140625" style="53" customWidth="1"/>
    <col min="11854" max="11855" width="1" style="53" customWidth="1"/>
    <col min="11856" max="11860" width="0" style="53" hidden="1" customWidth="1"/>
    <col min="11861" max="11862" width="1" style="53" customWidth="1"/>
    <col min="11863" max="11863" width="17.85546875" style="53" customWidth="1"/>
    <col min="11864" max="11865" width="1" style="53" customWidth="1"/>
    <col min="11866" max="11915" width="0" style="53" hidden="1" customWidth="1"/>
    <col min="11916" max="11917" width="1" style="53" customWidth="1"/>
    <col min="11918" max="11918" width="15.7109375" style="53" customWidth="1"/>
    <col min="11919" max="11920" width="1" style="53" customWidth="1"/>
    <col min="11921" max="11921" width="0.7109375" style="53" customWidth="1"/>
    <col min="11922" max="11922" width="3.28515625" style="53" customWidth="1"/>
    <col min="11923" max="11923" width="10" style="53"/>
    <col min="11924" max="11924" width="10.42578125" style="53" bestFit="1" customWidth="1"/>
    <col min="11925" max="12032" width="10" style="53"/>
    <col min="12033" max="12033" width="1.85546875" style="53" customWidth="1"/>
    <col min="12034" max="12034" width="1" style="53" customWidth="1"/>
    <col min="12035" max="12035" width="0.85546875" style="53" customWidth="1"/>
    <col min="12036" max="12036" width="52.28515625" style="53" customWidth="1"/>
    <col min="12037" max="12038" width="1" style="53" customWidth="1"/>
    <col min="12039" max="12039" width="16.85546875" style="53" customWidth="1"/>
    <col min="12040" max="12041" width="1" style="53" customWidth="1"/>
    <col min="12042" max="12046" width="0" style="53" hidden="1" customWidth="1"/>
    <col min="12047" max="12048" width="1" style="53" customWidth="1"/>
    <col min="12049" max="12049" width="17.85546875" style="53" customWidth="1"/>
    <col min="12050" max="12051" width="1" style="53" customWidth="1"/>
    <col min="12052" max="12101" width="0" style="53" hidden="1" customWidth="1"/>
    <col min="12102" max="12103" width="1" style="53" customWidth="1"/>
    <col min="12104" max="12104" width="16.140625" style="53" customWidth="1"/>
    <col min="12105" max="12108" width="1" style="53" customWidth="1"/>
    <col min="12109" max="12109" width="15.140625" style="53" customWidth="1"/>
    <col min="12110" max="12111" width="1" style="53" customWidth="1"/>
    <col min="12112" max="12116" width="0" style="53" hidden="1" customWidth="1"/>
    <col min="12117" max="12118" width="1" style="53" customWidth="1"/>
    <col min="12119" max="12119" width="17.85546875" style="53" customWidth="1"/>
    <col min="12120" max="12121" width="1" style="53" customWidth="1"/>
    <col min="12122" max="12171" width="0" style="53" hidden="1" customWidth="1"/>
    <col min="12172" max="12173" width="1" style="53" customWidth="1"/>
    <col min="12174" max="12174" width="15.7109375" style="53" customWidth="1"/>
    <col min="12175" max="12176" width="1" style="53" customWidth="1"/>
    <col min="12177" max="12177" width="0.7109375" style="53" customWidth="1"/>
    <col min="12178" max="12178" width="3.28515625" style="53" customWidth="1"/>
    <col min="12179" max="12179" width="10" style="53"/>
    <col min="12180" max="12180" width="10.42578125" style="53" bestFit="1" customWidth="1"/>
    <col min="12181" max="12288" width="10" style="53"/>
    <col min="12289" max="12289" width="1.85546875" style="53" customWidth="1"/>
    <col min="12290" max="12290" width="1" style="53" customWidth="1"/>
    <col min="12291" max="12291" width="0.85546875" style="53" customWidth="1"/>
    <col min="12292" max="12292" width="52.28515625" style="53" customWidth="1"/>
    <col min="12293" max="12294" width="1" style="53" customWidth="1"/>
    <col min="12295" max="12295" width="16.85546875" style="53" customWidth="1"/>
    <col min="12296" max="12297" width="1" style="53" customWidth="1"/>
    <col min="12298" max="12302" width="0" style="53" hidden="1" customWidth="1"/>
    <col min="12303" max="12304" width="1" style="53" customWidth="1"/>
    <col min="12305" max="12305" width="17.85546875" style="53" customWidth="1"/>
    <col min="12306" max="12307" width="1" style="53" customWidth="1"/>
    <col min="12308" max="12357" width="0" style="53" hidden="1" customWidth="1"/>
    <col min="12358" max="12359" width="1" style="53" customWidth="1"/>
    <col min="12360" max="12360" width="16.140625" style="53" customWidth="1"/>
    <col min="12361" max="12364" width="1" style="53" customWidth="1"/>
    <col min="12365" max="12365" width="15.140625" style="53" customWidth="1"/>
    <col min="12366" max="12367" width="1" style="53" customWidth="1"/>
    <col min="12368" max="12372" width="0" style="53" hidden="1" customWidth="1"/>
    <col min="12373" max="12374" width="1" style="53" customWidth="1"/>
    <col min="12375" max="12375" width="17.85546875" style="53" customWidth="1"/>
    <col min="12376" max="12377" width="1" style="53" customWidth="1"/>
    <col min="12378" max="12427" width="0" style="53" hidden="1" customWidth="1"/>
    <col min="12428" max="12429" width="1" style="53" customWidth="1"/>
    <col min="12430" max="12430" width="15.7109375" style="53" customWidth="1"/>
    <col min="12431" max="12432" width="1" style="53" customWidth="1"/>
    <col min="12433" max="12433" width="0.7109375" style="53" customWidth="1"/>
    <col min="12434" max="12434" width="3.28515625" style="53" customWidth="1"/>
    <col min="12435" max="12435" width="10" style="53"/>
    <col min="12436" max="12436" width="10.42578125" style="53" bestFit="1" customWidth="1"/>
    <col min="12437" max="12544" width="10" style="53"/>
    <col min="12545" max="12545" width="1.85546875" style="53" customWidth="1"/>
    <col min="12546" max="12546" width="1" style="53" customWidth="1"/>
    <col min="12547" max="12547" width="0.85546875" style="53" customWidth="1"/>
    <col min="12548" max="12548" width="52.28515625" style="53" customWidth="1"/>
    <col min="12549" max="12550" width="1" style="53" customWidth="1"/>
    <col min="12551" max="12551" width="16.85546875" style="53" customWidth="1"/>
    <col min="12552" max="12553" width="1" style="53" customWidth="1"/>
    <col min="12554" max="12558" width="0" style="53" hidden="1" customWidth="1"/>
    <col min="12559" max="12560" width="1" style="53" customWidth="1"/>
    <col min="12561" max="12561" width="17.85546875" style="53" customWidth="1"/>
    <col min="12562" max="12563" width="1" style="53" customWidth="1"/>
    <col min="12564" max="12613" width="0" style="53" hidden="1" customWidth="1"/>
    <col min="12614" max="12615" width="1" style="53" customWidth="1"/>
    <col min="12616" max="12616" width="16.140625" style="53" customWidth="1"/>
    <col min="12617" max="12620" width="1" style="53" customWidth="1"/>
    <col min="12621" max="12621" width="15.140625" style="53" customWidth="1"/>
    <col min="12622" max="12623" width="1" style="53" customWidth="1"/>
    <col min="12624" max="12628" width="0" style="53" hidden="1" customWidth="1"/>
    <col min="12629" max="12630" width="1" style="53" customWidth="1"/>
    <col min="12631" max="12631" width="17.85546875" style="53" customWidth="1"/>
    <col min="12632" max="12633" width="1" style="53" customWidth="1"/>
    <col min="12634" max="12683" width="0" style="53" hidden="1" customWidth="1"/>
    <col min="12684" max="12685" width="1" style="53" customWidth="1"/>
    <col min="12686" max="12686" width="15.7109375" style="53" customWidth="1"/>
    <col min="12687" max="12688" width="1" style="53" customWidth="1"/>
    <col min="12689" max="12689" width="0.7109375" style="53" customWidth="1"/>
    <col min="12690" max="12690" width="3.28515625" style="53" customWidth="1"/>
    <col min="12691" max="12691" width="10" style="53"/>
    <col min="12692" max="12692" width="10.42578125" style="53" bestFit="1" customWidth="1"/>
    <col min="12693" max="12800" width="10" style="53"/>
    <col min="12801" max="12801" width="1.85546875" style="53" customWidth="1"/>
    <col min="12802" max="12802" width="1" style="53" customWidth="1"/>
    <col min="12803" max="12803" width="0.85546875" style="53" customWidth="1"/>
    <col min="12804" max="12804" width="52.28515625" style="53" customWidth="1"/>
    <col min="12805" max="12806" width="1" style="53" customWidth="1"/>
    <col min="12807" max="12807" width="16.85546875" style="53" customWidth="1"/>
    <col min="12808" max="12809" width="1" style="53" customWidth="1"/>
    <col min="12810" max="12814" width="0" style="53" hidden="1" customWidth="1"/>
    <col min="12815" max="12816" width="1" style="53" customWidth="1"/>
    <col min="12817" max="12817" width="17.85546875" style="53" customWidth="1"/>
    <col min="12818" max="12819" width="1" style="53" customWidth="1"/>
    <col min="12820" max="12869" width="0" style="53" hidden="1" customWidth="1"/>
    <col min="12870" max="12871" width="1" style="53" customWidth="1"/>
    <col min="12872" max="12872" width="16.140625" style="53" customWidth="1"/>
    <col min="12873" max="12876" width="1" style="53" customWidth="1"/>
    <col min="12877" max="12877" width="15.140625" style="53" customWidth="1"/>
    <col min="12878" max="12879" width="1" style="53" customWidth="1"/>
    <col min="12880" max="12884" width="0" style="53" hidden="1" customWidth="1"/>
    <col min="12885" max="12886" width="1" style="53" customWidth="1"/>
    <col min="12887" max="12887" width="17.85546875" style="53" customWidth="1"/>
    <col min="12888" max="12889" width="1" style="53" customWidth="1"/>
    <col min="12890" max="12939" width="0" style="53" hidden="1" customWidth="1"/>
    <col min="12940" max="12941" width="1" style="53" customWidth="1"/>
    <col min="12942" max="12942" width="15.7109375" style="53" customWidth="1"/>
    <col min="12943" max="12944" width="1" style="53" customWidth="1"/>
    <col min="12945" max="12945" width="0.7109375" style="53" customWidth="1"/>
    <col min="12946" max="12946" width="3.28515625" style="53" customWidth="1"/>
    <col min="12947" max="12947" width="10" style="53"/>
    <col min="12948" max="12948" width="10.42578125" style="53" bestFit="1" customWidth="1"/>
    <col min="12949" max="13056" width="10" style="53"/>
    <col min="13057" max="13057" width="1.85546875" style="53" customWidth="1"/>
    <col min="13058" max="13058" width="1" style="53" customWidth="1"/>
    <col min="13059" max="13059" width="0.85546875" style="53" customWidth="1"/>
    <col min="13060" max="13060" width="52.28515625" style="53" customWidth="1"/>
    <col min="13061" max="13062" width="1" style="53" customWidth="1"/>
    <col min="13063" max="13063" width="16.85546875" style="53" customWidth="1"/>
    <col min="13064" max="13065" width="1" style="53" customWidth="1"/>
    <col min="13066" max="13070" width="0" style="53" hidden="1" customWidth="1"/>
    <col min="13071" max="13072" width="1" style="53" customWidth="1"/>
    <col min="13073" max="13073" width="17.85546875" style="53" customWidth="1"/>
    <col min="13074" max="13075" width="1" style="53" customWidth="1"/>
    <col min="13076" max="13125" width="0" style="53" hidden="1" customWidth="1"/>
    <col min="13126" max="13127" width="1" style="53" customWidth="1"/>
    <col min="13128" max="13128" width="16.140625" style="53" customWidth="1"/>
    <col min="13129" max="13132" width="1" style="53" customWidth="1"/>
    <col min="13133" max="13133" width="15.140625" style="53" customWidth="1"/>
    <col min="13134" max="13135" width="1" style="53" customWidth="1"/>
    <col min="13136" max="13140" width="0" style="53" hidden="1" customWidth="1"/>
    <col min="13141" max="13142" width="1" style="53" customWidth="1"/>
    <col min="13143" max="13143" width="17.85546875" style="53" customWidth="1"/>
    <col min="13144" max="13145" width="1" style="53" customWidth="1"/>
    <col min="13146" max="13195" width="0" style="53" hidden="1" customWidth="1"/>
    <col min="13196" max="13197" width="1" style="53" customWidth="1"/>
    <col min="13198" max="13198" width="15.7109375" style="53" customWidth="1"/>
    <col min="13199" max="13200" width="1" style="53" customWidth="1"/>
    <col min="13201" max="13201" width="0.7109375" style="53" customWidth="1"/>
    <col min="13202" max="13202" width="3.28515625" style="53" customWidth="1"/>
    <col min="13203" max="13203" width="10" style="53"/>
    <col min="13204" max="13204" width="10.42578125" style="53" bestFit="1" customWidth="1"/>
    <col min="13205" max="13312" width="10" style="53"/>
    <col min="13313" max="13313" width="1.85546875" style="53" customWidth="1"/>
    <col min="13314" max="13314" width="1" style="53" customWidth="1"/>
    <col min="13315" max="13315" width="0.85546875" style="53" customWidth="1"/>
    <col min="13316" max="13316" width="52.28515625" style="53" customWidth="1"/>
    <col min="13317" max="13318" width="1" style="53" customWidth="1"/>
    <col min="13319" max="13319" width="16.85546875" style="53" customWidth="1"/>
    <col min="13320" max="13321" width="1" style="53" customWidth="1"/>
    <col min="13322" max="13326" width="0" style="53" hidden="1" customWidth="1"/>
    <col min="13327" max="13328" width="1" style="53" customWidth="1"/>
    <col min="13329" max="13329" width="17.85546875" style="53" customWidth="1"/>
    <col min="13330" max="13331" width="1" style="53" customWidth="1"/>
    <col min="13332" max="13381" width="0" style="53" hidden="1" customWidth="1"/>
    <col min="13382" max="13383" width="1" style="53" customWidth="1"/>
    <col min="13384" max="13384" width="16.140625" style="53" customWidth="1"/>
    <col min="13385" max="13388" width="1" style="53" customWidth="1"/>
    <col min="13389" max="13389" width="15.140625" style="53" customWidth="1"/>
    <col min="13390" max="13391" width="1" style="53" customWidth="1"/>
    <col min="13392" max="13396" width="0" style="53" hidden="1" customWidth="1"/>
    <col min="13397" max="13398" width="1" style="53" customWidth="1"/>
    <col min="13399" max="13399" width="17.85546875" style="53" customWidth="1"/>
    <col min="13400" max="13401" width="1" style="53" customWidth="1"/>
    <col min="13402" max="13451" width="0" style="53" hidden="1" customWidth="1"/>
    <col min="13452" max="13453" width="1" style="53" customWidth="1"/>
    <col min="13454" max="13454" width="15.7109375" style="53" customWidth="1"/>
    <col min="13455" max="13456" width="1" style="53" customWidth="1"/>
    <col min="13457" max="13457" width="0.7109375" style="53" customWidth="1"/>
    <col min="13458" max="13458" width="3.28515625" style="53" customWidth="1"/>
    <col min="13459" max="13459" width="10" style="53"/>
    <col min="13460" max="13460" width="10.42578125" style="53" bestFit="1" customWidth="1"/>
    <col min="13461" max="13568" width="10" style="53"/>
    <col min="13569" max="13569" width="1.85546875" style="53" customWidth="1"/>
    <col min="13570" max="13570" width="1" style="53" customWidth="1"/>
    <col min="13571" max="13571" width="0.85546875" style="53" customWidth="1"/>
    <col min="13572" max="13572" width="52.28515625" style="53" customWidth="1"/>
    <col min="13573" max="13574" width="1" style="53" customWidth="1"/>
    <col min="13575" max="13575" width="16.85546875" style="53" customWidth="1"/>
    <col min="13576" max="13577" width="1" style="53" customWidth="1"/>
    <col min="13578" max="13582" width="0" style="53" hidden="1" customWidth="1"/>
    <col min="13583" max="13584" width="1" style="53" customWidth="1"/>
    <col min="13585" max="13585" width="17.85546875" style="53" customWidth="1"/>
    <col min="13586" max="13587" width="1" style="53" customWidth="1"/>
    <col min="13588" max="13637" width="0" style="53" hidden="1" customWidth="1"/>
    <col min="13638" max="13639" width="1" style="53" customWidth="1"/>
    <col min="13640" max="13640" width="16.140625" style="53" customWidth="1"/>
    <col min="13641" max="13644" width="1" style="53" customWidth="1"/>
    <col min="13645" max="13645" width="15.140625" style="53" customWidth="1"/>
    <col min="13646" max="13647" width="1" style="53" customWidth="1"/>
    <col min="13648" max="13652" width="0" style="53" hidden="1" customWidth="1"/>
    <col min="13653" max="13654" width="1" style="53" customWidth="1"/>
    <col min="13655" max="13655" width="17.85546875" style="53" customWidth="1"/>
    <col min="13656" max="13657" width="1" style="53" customWidth="1"/>
    <col min="13658" max="13707" width="0" style="53" hidden="1" customWidth="1"/>
    <col min="13708" max="13709" width="1" style="53" customWidth="1"/>
    <col min="13710" max="13710" width="15.7109375" style="53" customWidth="1"/>
    <col min="13711" max="13712" width="1" style="53" customWidth="1"/>
    <col min="13713" max="13713" width="0.7109375" style="53" customWidth="1"/>
    <col min="13714" max="13714" width="3.28515625" style="53" customWidth="1"/>
    <col min="13715" max="13715" width="10" style="53"/>
    <col min="13716" max="13716" width="10.42578125" style="53" bestFit="1" customWidth="1"/>
    <col min="13717" max="13824" width="10" style="53"/>
    <col min="13825" max="13825" width="1.85546875" style="53" customWidth="1"/>
    <col min="13826" max="13826" width="1" style="53" customWidth="1"/>
    <col min="13827" max="13827" width="0.85546875" style="53" customWidth="1"/>
    <col min="13828" max="13828" width="52.28515625" style="53" customWidth="1"/>
    <col min="13829" max="13830" width="1" style="53" customWidth="1"/>
    <col min="13831" max="13831" width="16.85546875" style="53" customWidth="1"/>
    <col min="13832" max="13833" width="1" style="53" customWidth="1"/>
    <col min="13834" max="13838" width="0" style="53" hidden="1" customWidth="1"/>
    <col min="13839" max="13840" width="1" style="53" customWidth="1"/>
    <col min="13841" max="13841" width="17.85546875" style="53" customWidth="1"/>
    <col min="13842" max="13843" width="1" style="53" customWidth="1"/>
    <col min="13844" max="13893" width="0" style="53" hidden="1" customWidth="1"/>
    <col min="13894" max="13895" width="1" style="53" customWidth="1"/>
    <col min="13896" max="13896" width="16.140625" style="53" customWidth="1"/>
    <col min="13897" max="13900" width="1" style="53" customWidth="1"/>
    <col min="13901" max="13901" width="15.140625" style="53" customWidth="1"/>
    <col min="13902" max="13903" width="1" style="53" customWidth="1"/>
    <col min="13904" max="13908" width="0" style="53" hidden="1" customWidth="1"/>
    <col min="13909" max="13910" width="1" style="53" customWidth="1"/>
    <col min="13911" max="13911" width="17.85546875" style="53" customWidth="1"/>
    <col min="13912" max="13913" width="1" style="53" customWidth="1"/>
    <col min="13914" max="13963" width="0" style="53" hidden="1" customWidth="1"/>
    <col min="13964" max="13965" width="1" style="53" customWidth="1"/>
    <col min="13966" max="13966" width="15.7109375" style="53" customWidth="1"/>
    <col min="13967" max="13968" width="1" style="53" customWidth="1"/>
    <col min="13969" max="13969" width="0.7109375" style="53" customWidth="1"/>
    <col min="13970" max="13970" width="3.28515625" style="53" customWidth="1"/>
    <col min="13971" max="13971" width="10" style="53"/>
    <col min="13972" max="13972" width="10.42578125" style="53" bestFit="1" customWidth="1"/>
    <col min="13973" max="14080" width="10" style="53"/>
    <col min="14081" max="14081" width="1.85546875" style="53" customWidth="1"/>
    <col min="14082" max="14082" width="1" style="53" customWidth="1"/>
    <col min="14083" max="14083" width="0.85546875" style="53" customWidth="1"/>
    <col min="14084" max="14084" width="52.28515625" style="53" customWidth="1"/>
    <col min="14085" max="14086" width="1" style="53" customWidth="1"/>
    <col min="14087" max="14087" width="16.85546875" style="53" customWidth="1"/>
    <col min="14088" max="14089" width="1" style="53" customWidth="1"/>
    <col min="14090" max="14094" width="0" style="53" hidden="1" customWidth="1"/>
    <col min="14095" max="14096" width="1" style="53" customWidth="1"/>
    <col min="14097" max="14097" width="17.85546875" style="53" customWidth="1"/>
    <col min="14098" max="14099" width="1" style="53" customWidth="1"/>
    <col min="14100" max="14149" width="0" style="53" hidden="1" customWidth="1"/>
    <col min="14150" max="14151" width="1" style="53" customWidth="1"/>
    <col min="14152" max="14152" width="16.140625" style="53" customWidth="1"/>
    <col min="14153" max="14156" width="1" style="53" customWidth="1"/>
    <col min="14157" max="14157" width="15.140625" style="53" customWidth="1"/>
    <col min="14158" max="14159" width="1" style="53" customWidth="1"/>
    <col min="14160" max="14164" width="0" style="53" hidden="1" customWidth="1"/>
    <col min="14165" max="14166" width="1" style="53" customWidth="1"/>
    <col min="14167" max="14167" width="17.85546875" style="53" customWidth="1"/>
    <col min="14168" max="14169" width="1" style="53" customWidth="1"/>
    <col min="14170" max="14219" width="0" style="53" hidden="1" customWidth="1"/>
    <col min="14220" max="14221" width="1" style="53" customWidth="1"/>
    <col min="14222" max="14222" width="15.7109375" style="53" customWidth="1"/>
    <col min="14223" max="14224" width="1" style="53" customWidth="1"/>
    <col min="14225" max="14225" width="0.7109375" style="53" customWidth="1"/>
    <col min="14226" max="14226" width="3.28515625" style="53" customWidth="1"/>
    <col min="14227" max="14227" width="10" style="53"/>
    <col min="14228" max="14228" width="10.42578125" style="53" bestFit="1" customWidth="1"/>
    <col min="14229" max="14336" width="10" style="53"/>
    <col min="14337" max="14337" width="1.85546875" style="53" customWidth="1"/>
    <col min="14338" max="14338" width="1" style="53" customWidth="1"/>
    <col min="14339" max="14339" width="0.85546875" style="53" customWidth="1"/>
    <col min="14340" max="14340" width="52.28515625" style="53" customWidth="1"/>
    <col min="14341" max="14342" width="1" style="53" customWidth="1"/>
    <col min="14343" max="14343" width="16.85546875" style="53" customWidth="1"/>
    <col min="14344" max="14345" width="1" style="53" customWidth="1"/>
    <col min="14346" max="14350" width="0" style="53" hidden="1" customWidth="1"/>
    <col min="14351" max="14352" width="1" style="53" customWidth="1"/>
    <col min="14353" max="14353" width="17.85546875" style="53" customWidth="1"/>
    <col min="14354" max="14355" width="1" style="53" customWidth="1"/>
    <col min="14356" max="14405" width="0" style="53" hidden="1" customWidth="1"/>
    <col min="14406" max="14407" width="1" style="53" customWidth="1"/>
    <col min="14408" max="14408" width="16.140625" style="53" customWidth="1"/>
    <col min="14409" max="14412" width="1" style="53" customWidth="1"/>
    <col min="14413" max="14413" width="15.140625" style="53" customWidth="1"/>
    <col min="14414" max="14415" width="1" style="53" customWidth="1"/>
    <col min="14416" max="14420" width="0" style="53" hidden="1" customWidth="1"/>
    <col min="14421" max="14422" width="1" style="53" customWidth="1"/>
    <col min="14423" max="14423" width="17.85546875" style="53" customWidth="1"/>
    <col min="14424" max="14425" width="1" style="53" customWidth="1"/>
    <col min="14426" max="14475" width="0" style="53" hidden="1" customWidth="1"/>
    <col min="14476" max="14477" width="1" style="53" customWidth="1"/>
    <col min="14478" max="14478" width="15.7109375" style="53" customWidth="1"/>
    <col min="14479" max="14480" width="1" style="53" customWidth="1"/>
    <col min="14481" max="14481" width="0.7109375" style="53" customWidth="1"/>
    <col min="14482" max="14482" width="3.28515625" style="53" customWidth="1"/>
    <col min="14483" max="14483" width="10" style="53"/>
    <col min="14484" max="14484" width="10.42578125" style="53" bestFit="1" customWidth="1"/>
    <col min="14485" max="14592" width="10" style="53"/>
    <col min="14593" max="14593" width="1.85546875" style="53" customWidth="1"/>
    <col min="14594" max="14594" width="1" style="53" customWidth="1"/>
    <col min="14595" max="14595" width="0.85546875" style="53" customWidth="1"/>
    <col min="14596" max="14596" width="52.28515625" style="53" customWidth="1"/>
    <col min="14597" max="14598" width="1" style="53" customWidth="1"/>
    <col min="14599" max="14599" width="16.85546875" style="53" customWidth="1"/>
    <col min="14600" max="14601" width="1" style="53" customWidth="1"/>
    <col min="14602" max="14606" width="0" style="53" hidden="1" customWidth="1"/>
    <col min="14607" max="14608" width="1" style="53" customWidth="1"/>
    <col min="14609" max="14609" width="17.85546875" style="53" customWidth="1"/>
    <col min="14610" max="14611" width="1" style="53" customWidth="1"/>
    <col min="14612" max="14661" width="0" style="53" hidden="1" customWidth="1"/>
    <col min="14662" max="14663" width="1" style="53" customWidth="1"/>
    <col min="14664" max="14664" width="16.140625" style="53" customWidth="1"/>
    <col min="14665" max="14668" width="1" style="53" customWidth="1"/>
    <col min="14669" max="14669" width="15.140625" style="53" customWidth="1"/>
    <col min="14670" max="14671" width="1" style="53" customWidth="1"/>
    <col min="14672" max="14676" width="0" style="53" hidden="1" customWidth="1"/>
    <col min="14677" max="14678" width="1" style="53" customWidth="1"/>
    <col min="14679" max="14679" width="17.85546875" style="53" customWidth="1"/>
    <col min="14680" max="14681" width="1" style="53" customWidth="1"/>
    <col min="14682" max="14731" width="0" style="53" hidden="1" customWidth="1"/>
    <col min="14732" max="14733" width="1" style="53" customWidth="1"/>
    <col min="14734" max="14734" width="15.7109375" style="53" customWidth="1"/>
    <col min="14735" max="14736" width="1" style="53" customWidth="1"/>
    <col min="14737" max="14737" width="0.7109375" style="53" customWidth="1"/>
    <col min="14738" max="14738" width="3.28515625" style="53" customWidth="1"/>
    <col min="14739" max="14739" width="10" style="53"/>
    <col min="14740" max="14740" width="10.42578125" style="53" bestFit="1" customWidth="1"/>
    <col min="14741" max="14848" width="10" style="53"/>
    <col min="14849" max="14849" width="1.85546875" style="53" customWidth="1"/>
    <col min="14850" max="14850" width="1" style="53" customWidth="1"/>
    <col min="14851" max="14851" width="0.85546875" style="53" customWidth="1"/>
    <col min="14852" max="14852" width="52.28515625" style="53" customWidth="1"/>
    <col min="14853" max="14854" width="1" style="53" customWidth="1"/>
    <col min="14855" max="14855" width="16.85546875" style="53" customWidth="1"/>
    <col min="14856" max="14857" width="1" style="53" customWidth="1"/>
    <col min="14858" max="14862" width="0" style="53" hidden="1" customWidth="1"/>
    <col min="14863" max="14864" width="1" style="53" customWidth="1"/>
    <col min="14865" max="14865" width="17.85546875" style="53" customWidth="1"/>
    <col min="14866" max="14867" width="1" style="53" customWidth="1"/>
    <col min="14868" max="14917" width="0" style="53" hidden="1" customWidth="1"/>
    <col min="14918" max="14919" width="1" style="53" customWidth="1"/>
    <col min="14920" max="14920" width="16.140625" style="53" customWidth="1"/>
    <col min="14921" max="14924" width="1" style="53" customWidth="1"/>
    <col min="14925" max="14925" width="15.140625" style="53" customWidth="1"/>
    <col min="14926" max="14927" width="1" style="53" customWidth="1"/>
    <col min="14928" max="14932" width="0" style="53" hidden="1" customWidth="1"/>
    <col min="14933" max="14934" width="1" style="53" customWidth="1"/>
    <col min="14935" max="14935" width="17.85546875" style="53" customWidth="1"/>
    <col min="14936" max="14937" width="1" style="53" customWidth="1"/>
    <col min="14938" max="14987" width="0" style="53" hidden="1" customWidth="1"/>
    <col min="14988" max="14989" width="1" style="53" customWidth="1"/>
    <col min="14990" max="14990" width="15.7109375" style="53" customWidth="1"/>
    <col min="14991" max="14992" width="1" style="53" customWidth="1"/>
    <col min="14993" max="14993" width="0.7109375" style="53" customWidth="1"/>
    <col min="14994" max="14994" width="3.28515625" style="53" customWidth="1"/>
    <col min="14995" max="14995" width="10" style="53"/>
    <col min="14996" max="14996" width="10.42578125" style="53" bestFit="1" customWidth="1"/>
    <col min="14997" max="15104" width="10" style="53"/>
    <col min="15105" max="15105" width="1.85546875" style="53" customWidth="1"/>
    <col min="15106" max="15106" width="1" style="53" customWidth="1"/>
    <col min="15107" max="15107" width="0.85546875" style="53" customWidth="1"/>
    <col min="15108" max="15108" width="52.28515625" style="53" customWidth="1"/>
    <col min="15109" max="15110" width="1" style="53" customWidth="1"/>
    <col min="15111" max="15111" width="16.85546875" style="53" customWidth="1"/>
    <col min="15112" max="15113" width="1" style="53" customWidth="1"/>
    <col min="15114" max="15118" width="0" style="53" hidden="1" customWidth="1"/>
    <col min="15119" max="15120" width="1" style="53" customWidth="1"/>
    <col min="15121" max="15121" width="17.85546875" style="53" customWidth="1"/>
    <col min="15122" max="15123" width="1" style="53" customWidth="1"/>
    <col min="15124" max="15173" width="0" style="53" hidden="1" customWidth="1"/>
    <col min="15174" max="15175" width="1" style="53" customWidth="1"/>
    <col min="15176" max="15176" width="16.140625" style="53" customWidth="1"/>
    <col min="15177" max="15180" width="1" style="53" customWidth="1"/>
    <col min="15181" max="15181" width="15.140625" style="53" customWidth="1"/>
    <col min="15182" max="15183" width="1" style="53" customWidth="1"/>
    <col min="15184" max="15188" width="0" style="53" hidden="1" customWidth="1"/>
    <col min="15189" max="15190" width="1" style="53" customWidth="1"/>
    <col min="15191" max="15191" width="17.85546875" style="53" customWidth="1"/>
    <col min="15192" max="15193" width="1" style="53" customWidth="1"/>
    <col min="15194" max="15243" width="0" style="53" hidden="1" customWidth="1"/>
    <col min="15244" max="15245" width="1" style="53" customWidth="1"/>
    <col min="15246" max="15246" width="15.7109375" style="53" customWidth="1"/>
    <col min="15247" max="15248" width="1" style="53" customWidth="1"/>
    <col min="15249" max="15249" width="0.7109375" style="53" customWidth="1"/>
    <col min="15250" max="15250" width="3.28515625" style="53" customWidth="1"/>
    <col min="15251" max="15251" width="10" style="53"/>
    <col min="15252" max="15252" width="10.42578125" style="53" bestFit="1" customWidth="1"/>
    <col min="15253" max="15360" width="10" style="53"/>
    <col min="15361" max="15361" width="1.85546875" style="53" customWidth="1"/>
    <col min="15362" max="15362" width="1" style="53" customWidth="1"/>
    <col min="15363" max="15363" width="0.85546875" style="53" customWidth="1"/>
    <col min="15364" max="15364" width="52.28515625" style="53" customWidth="1"/>
    <col min="15365" max="15366" width="1" style="53" customWidth="1"/>
    <col min="15367" max="15367" width="16.85546875" style="53" customWidth="1"/>
    <col min="15368" max="15369" width="1" style="53" customWidth="1"/>
    <col min="15370" max="15374" width="0" style="53" hidden="1" customWidth="1"/>
    <col min="15375" max="15376" width="1" style="53" customWidth="1"/>
    <col min="15377" max="15377" width="17.85546875" style="53" customWidth="1"/>
    <col min="15378" max="15379" width="1" style="53" customWidth="1"/>
    <col min="15380" max="15429" width="0" style="53" hidden="1" customWidth="1"/>
    <col min="15430" max="15431" width="1" style="53" customWidth="1"/>
    <col min="15432" max="15432" width="16.140625" style="53" customWidth="1"/>
    <col min="15433" max="15436" width="1" style="53" customWidth="1"/>
    <col min="15437" max="15437" width="15.140625" style="53" customWidth="1"/>
    <col min="15438" max="15439" width="1" style="53" customWidth="1"/>
    <col min="15440" max="15444" width="0" style="53" hidden="1" customWidth="1"/>
    <col min="15445" max="15446" width="1" style="53" customWidth="1"/>
    <col min="15447" max="15447" width="17.85546875" style="53" customWidth="1"/>
    <col min="15448" max="15449" width="1" style="53" customWidth="1"/>
    <col min="15450" max="15499" width="0" style="53" hidden="1" customWidth="1"/>
    <col min="15500" max="15501" width="1" style="53" customWidth="1"/>
    <col min="15502" max="15502" width="15.7109375" style="53" customWidth="1"/>
    <col min="15503" max="15504" width="1" style="53" customWidth="1"/>
    <col min="15505" max="15505" width="0.7109375" style="53" customWidth="1"/>
    <col min="15506" max="15506" width="3.28515625" style="53" customWidth="1"/>
    <col min="15507" max="15507" width="10" style="53"/>
    <col min="15508" max="15508" width="10.42578125" style="53" bestFit="1" customWidth="1"/>
    <col min="15509" max="15616" width="10" style="53"/>
    <col min="15617" max="15617" width="1.85546875" style="53" customWidth="1"/>
    <col min="15618" max="15618" width="1" style="53" customWidth="1"/>
    <col min="15619" max="15619" width="0.85546875" style="53" customWidth="1"/>
    <col min="15620" max="15620" width="52.28515625" style="53" customWidth="1"/>
    <col min="15621" max="15622" width="1" style="53" customWidth="1"/>
    <col min="15623" max="15623" width="16.85546875" style="53" customWidth="1"/>
    <col min="15624" max="15625" width="1" style="53" customWidth="1"/>
    <col min="15626" max="15630" width="0" style="53" hidden="1" customWidth="1"/>
    <col min="15631" max="15632" width="1" style="53" customWidth="1"/>
    <col min="15633" max="15633" width="17.85546875" style="53" customWidth="1"/>
    <col min="15634" max="15635" width="1" style="53" customWidth="1"/>
    <col min="15636" max="15685" width="0" style="53" hidden="1" customWidth="1"/>
    <col min="15686" max="15687" width="1" style="53" customWidth="1"/>
    <col min="15688" max="15688" width="16.140625" style="53" customWidth="1"/>
    <col min="15689" max="15692" width="1" style="53" customWidth="1"/>
    <col min="15693" max="15693" width="15.140625" style="53" customWidth="1"/>
    <col min="15694" max="15695" width="1" style="53" customWidth="1"/>
    <col min="15696" max="15700" width="0" style="53" hidden="1" customWidth="1"/>
    <col min="15701" max="15702" width="1" style="53" customWidth="1"/>
    <col min="15703" max="15703" width="17.85546875" style="53" customWidth="1"/>
    <col min="15704" max="15705" width="1" style="53" customWidth="1"/>
    <col min="15706" max="15755" width="0" style="53" hidden="1" customWidth="1"/>
    <col min="15756" max="15757" width="1" style="53" customWidth="1"/>
    <col min="15758" max="15758" width="15.7109375" style="53" customWidth="1"/>
    <col min="15759" max="15760" width="1" style="53" customWidth="1"/>
    <col min="15761" max="15761" width="0.7109375" style="53" customWidth="1"/>
    <col min="15762" max="15762" width="3.28515625" style="53" customWidth="1"/>
    <col min="15763" max="15763" width="10" style="53"/>
    <col min="15764" max="15764" width="10.42578125" style="53" bestFit="1" customWidth="1"/>
    <col min="15765" max="15872" width="10" style="53"/>
    <col min="15873" max="15873" width="1.85546875" style="53" customWidth="1"/>
    <col min="15874" max="15874" width="1" style="53" customWidth="1"/>
    <col min="15875" max="15875" width="0.85546875" style="53" customWidth="1"/>
    <col min="15876" max="15876" width="52.28515625" style="53" customWidth="1"/>
    <col min="15877" max="15878" width="1" style="53" customWidth="1"/>
    <col min="15879" max="15879" width="16.85546875" style="53" customWidth="1"/>
    <col min="15880" max="15881" width="1" style="53" customWidth="1"/>
    <col min="15882" max="15886" width="0" style="53" hidden="1" customWidth="1"/>
    <col min="15887" max="15888" width="1" style="53" customWidth="1"/>
    <col min="15889" max="15889" width="17.85546875" style="53" customWidth="1"/>
    <col min="15890" max="15891" width="1" style="53" customWidth="1"/>
    <col min="15892" max="15941" width="0" style="53" hidden="1" customWidth="1"/>
    <col min="15942" max="15943" width="1" style="53" customWidth="1"/>
    <col min="15944" max="15944" width="16.140625" style="53" customWidth="1"/>
    <col min="15945" max="15948" width="1" style="53" customWidth="1"/>
    <col min="15949" max="15949" width="15.140625" style="53" customWidth="1"/>
    <col min="15950" max="15951" width="1" style="53" customWidth="1"/>
    <col min="15952" max="15956" width="0" style="53" hidden="1" customWidth="1"/>
    <col min="15957" max="15958" width="1" style="53" customWidth="1"/>
    <col min="15959" max="15959" width="17.85546875" style="53" customWidth="1"/>
    <col min="15960" max="15961" width="1" style="53" customWidth="1"/>
    <col min="15962" max="16011" width="0" style="53" hidden="1" customWidth="1"/>
    <col min="16012" max="16013" width="1" style="53" customWidth="1"/>
    <col min="16014" max="16014" width="15.7109375" style="53" customWidth="1"/>
    <col min="16015" max="16016" width="1" style="53" customWidth="1"/>
    <col min="16017" max="16017" width="0.7109375" style="53" customWidth="1"/>
    <col min="16018" max="16018" width="3.28515625" style="53" customWidth="1"/>
    <col min="16019" max="16019" width="10" style="53"/>
    <col min="16020" max="16020" width="10.42578125" style="53" bestFit="1" customWidth="1"/>
    <col min="16021" max="16128" width="10" style="53"/>
    <col min="16129" max="16129" width="1.85546875" style="53" customWidth="1"/>
    <col min="16130" max="16130" width="1" style="53" customWidth="1"/>
    <col min="16131" max="16131" width="0.85546875" style="53" customWidth="1"/>
    <col min="16132" max="16132" width="52.28515625" style="53" customWidth="1"/>
    <col min="16133" max="16134" width="1" style="53" customWidth="1"/>
    <col min="16135" max="16135" width="16.85546875" style="53" customWidth="1"/>
    <col min="16136" max="16137" width="1" style="53" customWidth="1"/>
    <col min="16138" max="16142" width="0" style="53" hidden="1" customWidth="1"/>
    <col min="16143" max="16144" width="1" style="53" customWidth="1"/>
    <col min="16145" max="16145" width="17.85546875" style="53" customWidth="1"/>
    <col min="16146" max="16147" width="1" style="53" customWidth="1"/>
    <col min="16148" max="16197" width="0" style="53" hidden="1" customWidth="1"/>
    <col min="16198" max="16199" width="1" style="53" customWidth="1"/>
    <col min="16200" max="16200" width="16.140625" style="53" customWidth="1"/>
    <col min="16201" max="16204" width="1" style="53" customWidth="1"/>
    <col min="16205" max="16205" width="15.140625" style="53" customWidth="1"/>
    <col min="16206" max="16207" width="1" style="53" customWidth="1"/>
    <col min="16208" max="16212" width="0" style="53" hidden="1" customWidth="1"/>
    <col min="16213" max="16214" width="1" style="53" customWidth="1"/>
    <col min="16215" max="16215" width="17.85546875" style="53" customWidth="1"/>
    <col min="16216" max="16217" width="1" style="53" customWidth="1"/>
    <col min="16218" max="16267" width="0" style="53" hidden="1" customWidth="1"/>
    <col min="16268" max="16269" width="1" style="53" customWidth="1"/>
    <col min="16270" max="16270" width="15.7109375" style="53" customWidth="1"/>
    <col min="16271" max="16272" width="1" style="53" customWidth="1"/>
    <col min="16273" max="16273" width="0.7109375" style="53" customWidth="1"/>
    <col min="16274" max="16274" width="3.28515625" style="53" customWidth="1"/>
    <col min="16275" max="16275" width="10" style="53"/>
    <col min="16276" max="16276" width="10.42578125" style="53" bestFit="1" customWidth="1"/>
    <col min="16277" max="16384" width="10" style="53"/>
  </cols>
  <sheetData>
    <row r="1" spans="1:145" x14ac:dyDescent="0.2"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>
        <f>1770000000+11234076861+1105000000</f>
        <v>14109076861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</row>
    <row r="2" spans="1:145" ht="6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</row>
    <row r="3" spans="1:145" x14ac:dyDescent="0.2">
      <c r="A3" s="442"/>
      <c r="B3" s="442"/>
      <c r="EO3" s="442"/>
    </row>
    <row r="4" spans="1:145" x14ac:dyDescent="0.2">
      <c r="A4" s="442"/>
      <c r="B4" s="442"/>
      <c r="D4" s="472"/>
      <c r="E4" s="472"/>
      <c r="F4" s="472"/>
      <c r="EO4" s="442"/>
    </row>
    <row r="5" spans="1:145" x14ac:dyDescent="0.2">
      <c r="A5" s="442"/>
      <c r="B5" s="442"/>
      <c r="EO5" s="442"/>
    </row>
    <row r="6" spans="1:145" x14ac:dyDescent="0.2">
      <c r="A6" s="442"/>
      <c r="B6" s="442"/>
      <c r="EO6" s="442"/>
    </row>
    <row r="7" spans="1:145" ht="15.75" x14ac:dyDescent="0.25">
      <c r="A7" s="442"/>
      <c r="B7" s="442"/>
      <c r="C7" s="442"/>
      <c r="D7" s="532" t="s">
        <v>439</v>
      </c>
      <c r="E7" s="532"/>
      <c r="F7" s="532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/>
      <c r="DL7" s="445"/>
      <c r="DM7" s="445"/>
      <c r="DN7" s="445"/>
      <c r="DO7" s="445"/>
      <c r="DP7" s="445"/>
      <c r="DQ7" s="445"/>
      <c r="DR7" s="445"/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/>
      <c r="EF7" s="445"/>
      <c r="EG7" s="445"/>
      <c r="EH7" s="445"/>
      <c r="EI7" s="445"/>
      <c r="EJ7" s="445"/>
      <c r="EK7" s="445"/>
      <c r="EL7" s="445"/>
      <c r="EM7" s="445"/>
      <c r="EN7" s="445"/>
      <c r="EO7" s="442"/>
    </row>
    <row r="8" spans="1:145" x14ac:dyDescent="0.2">
      <c r="A8" s="442"/>
      <c r="B8" s="442"/>
      <c r="C8" s="573"/>
      <c r="D8" s="466"/>
      <c r="E8" s="533"/>
      <c r="F8" s="534"/>
      <c r="G8" s="144" t="str">
        <f>[12]summary!H8</f>
        <v>2020/21</v>
      </c>
      <c r="H8" s="144"/>
      <c r="I8" s="144"/>
      <c r="J8" s="144"/>
      <c r="K8" s="14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604"/>
      <c r="AJ8" s="604"/>
      <c r="AK8" s="604"/>
      <c r="AL8" s="604"/>
      <c r="AM8" s="604"/>
      <c r="AN8" s="604"/>
      <c r="AO8" s="604"/>
      <c r="AP8" s="604"/>
      <c r="AQ8" s="604"/>
      <c r="AR8" s="604"/>
      <c r="AS8" s="604"/>
      <c r="AT8" s="604"/>
      <c r="AU8" s="604"/>
      <c r="AV8" s="604"/>
      <c r="AW8" s="604"/>
      <c r="AX8" s="604"/>
      <c r="AY8" s="604"/>
      <c r="AZ8" s="604"/>
      <c r="BA8" s="604"/>
      <c r="BB8" s="604"/>
      <c r="BC8" s="604"/>
      <c r="BD8" s="604"/>
      <c r="BE8" s="604"/>
      <c r="BF8" s="604"/>
      <c r="BG8" s="604"/>
      <c r="BH8" s="604"/>
      <c r="BI8" s="604"/>
      <c r="BJ8" s="604"/>
      <c r="BK8" s="604"/>
      <c r="BL8" s="604"/>
      <c r="BM8" s="604"/>
      <c r="BN8" s="604"/>
      <c r="BO8" s="604"/>
      <c r="BP8" s="604"/>
      <c r="BQ8" s="604"/>
      <c r="BR8" s="604"/>
      <c r="BS8" s="604"/>
      <c r="BT8" s="604"/>
      <c r="BU8" s="459"/>
      <c r="BV8" s="459"/>
      <c r="BW8" s="542"/>
      <c r="BX8" s="459"/>
      <c r="BY8" s="605" t="str">
        <f>[12]summary!BZ8</f>
        <v>2019/20</v>
      </c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453"/>
      <c r="EN8" s="454"/>
      <c r="EO8" s="455"/>
    </row>
    <row r="9" spans="1:145" ht="18" customHeight="1" x14ac:dyDescent="0.2">
      <c r="A9" s="442"/>
      <c r="B9" s="442"/>
      <c r="D9" s="455"/>
      <c r="E9" s="465"/>
      <c r="F9" s="442"/>
      <c r="G9" s="158" t="str">
        <f>[12]domredemp!G9</f>
        <v>Budget</v>
      </c>
      <c r="H9" s="158"/>
      <c r="I9" s="158"/>
      <c r="J9" s="177"/>
      <c r="K9" s="158"/>
      <c r="L9" s="158" t="s">
        <v>6</v>
      </c>
      <c r="M9" s="158"/>
      <c r="N9" s="158"/>
      <c r="O9" s="177"/>
      <c r="P9" s="158"/>
      <c r="Q9" s="158" t="s">
        <v>7</v>
      </c>
      <c r="R9" s="158"/>
      <c r="S9" s="158"/>
      <c r="T9" s="177"/>
      <c r="U9" s="158"/>
      <c r="V9" s="158" t="s">
        <v>8</v>
      </c>
      <c r="W9" s="158"/>
      <c r="X9" s="158"/>
      <c r="Y9" s="177"/>
      <c r="Z9" s="158"/>
      <c r="AA9" s="158" t="s">
        <v>9</v>
      </c>
      <c r="AB9" s="158"/>
      <c r="AC9" s="158"/>
      <c r="AD9" s="177"/>
      <c r="AE9" s="158"/>
      <c r="AF9" s="158" t="s">
        <v>10</v>
      </c>
      <c r="AG9" s="158"/>
      <c r="AH9" s="158"/>
      <c r="AI9" s="177"/>
      <c r="AJ9" s="158"/>
      <c r="AK9" s="158" t="s">
        <v>11</v>
      </c>
      <c r="AL9" s="158"/>
      <c r="AM9" s="158"/>
      <c r="AN9" s="177"/>
      <c r="AO9" s="158"/>
      <c r="AP9" s="158" t="s">
        <v>12</v>
      </c>
      <c r="AQ9" s="158"/>
      <c r="AR9" s="158"/>
      <c r="AS9" s="177"/>
      <c r="AT9" s="158"/>
      <c r="AU9" s="158" t="s">
        <v>13</v>
      </c>
      <c r="AV9" s="158"/>
      <c r="AW9" s="158"/>
      <c r="AX9" s="177"/>
      <c r="AY9" s="158"/>
      <c r="AZ9" s="158" t="s">
        <v>14</v>
      </c>
      <c r="BA9" s="158"/>
      <c r="BB9" s="158"/>
      <c r="BC9" s="177"/>
      <c r="BD9" s="158"/>
      <c r="BE9" s="158" t="s">
        <v>15</v>
      </c>
      <c r="BF9" s="158"/>
      <c r="BG9" s="158"/>
      <c r="BH9" s="177"/>
      <c r="BI9" s="158"/>
      <c r="BJ9" s="158" t="s">
        <v>16</v>
      </c>
      <c r="BK9" s="158"/>
      <c r="BL9" s="158"/>
      <c r="BM9" s="177"/>
      <c r="BN9" s="158"/>
      <c r="BO9" s="158" t="s">
        <v>17</v>
      </c>
      <c r="BP9" s="158"/>
      <c r="BQ9" s="158"/>
      <c r="BR9" s="177"/>
      <c r="BS9" s="158"/>
      <c r="BT9" s="158" t="s">
        <v>18</v>
      </c>
      <c r="BU9" s="158"/>
      <c r="BV9" s="158"/>
      <c r="BW9" s="201"/>
      <c r="BX9" s="158"/>
      <c r="BY9" s="176" t="str">
        <f>[12]domredemp!BY9</f>
        <v>Preliminary</v>
      </c>
      <c r="BZ9" s="158"/>
      <c r="CA9" s="158"/>
      <c r="CB9" s="177"/>
      <c r="CC9" s="158"/>
      <c r="CD9" s="158" t="s">
        <v>6</v>
      </c>
      <c r="CE9" s="158"/>
      <c r="CF9" s="158"/>
      <c r="CG9" s="177"/>
      <c r="CH9" s="158"/>
      <c r="CI9" s="158" t="s">
        <v>7</v>
      </c>
      <c r="CJ9" s="158"/>
      <c r="CK9" s="158"/>
      <c r="CL9" s="177"/>
      <c r="CM9" s="158"/>
      <c r="CN9" s="158" t="s">
        <v>8</v>
      </c>
      <c r="CO9" s="158"/>
      <c r="CP9" s="158"/>
      <c r="CQ9" s="177"/>
      <c r="CR9" s="158"/>
      <c r="CS9" s="158" t="s">
        <v>9</v>
      </c>
      <c r="CT9" s="158"/>
      <c r="CU9" s="158"/>
      <c r="CV9" s="177"/>
      <c r="CW9" s="158"/>
      <c r="CX9" s="158" t="s">
        <v>10</v>
      </c>
      <c r="CY9" s="158"/>
      <c r="CZ9" s="158"/>
      <c r="DA9" s="177"/>
      <c r="DB9" s="158"/>
      <c r="DC9" s="158" t="s">
        <v>11</v>
      </c>
      <c r="DD9" s="158"/>
      <c r="DE9" s="158"/>
      <c r="DF9" s="177"/>
      <c r="DG9" s="158"/>
      <c r="DH9" s="158" t="s">
        <v>12</v>
      </c>
      <c r="DI9" s="158"/>
      <c r="DJ9" s="158"/>
      <c r="DK9" s="177"/>
      <c r="DL9" s="158"/>
      <c r="DM9" s="158" t="s">
        <v>13</v>
      </c>
      <c r="DN9" s="158"/>
      <c r="DO9" s="158"/>
      <c r="DP9" s="177"/>
      <c r="DQ9" s="158"/>
      <c r="DR9" s="158" t="s">
        <v>14</v>
      </c>
      <c r="DS9" s="158"/>
      <c r="DT9" s="158"/>
      <c r="DU9" s="177"/>
      <c r="DV9" s="158"/>
      <c r="DW9" s="158" t="s">
        <v>15</v>
      </c>
      <c r="DX9" s="158"/>
      <c r="DY9" s="158"/>
      <c r="DZ9" s="177"/>
      <c r="EA9" s="158"/>
      <c r="EB9" s="158" t="s">
        <v>16</v>
      </c>
      <c r="EC9" s="158"/>
      <c r="ED9" s="158"/>
      <c r="EE9" s="177"/>
      <c r="EF9" s="158"/>
      <c r="EG9" s="158" t="s">
        <v>17</v>
      </c>
      <c r="EH9" s="158"/>
      <c r="EI9" s="158"/>
      <c r="EJ9" s="177"/>
      <c r="EK9" s="158"/>
      <c r="EL9" s="158" t="s">
        <v>18</v>
      </c>
      <c r="EM9" s="158"/>
      <c r="EN9" s="158"/>
      <c r="EO9" s="455"/>
    </row>
    <row r="10" spans="1:145" x14ac:dyDescent="0.2">
      <c r="A10" s="442"/>
      <c r="B10" s="442"/>
      <c r="D10" s="458" t="s">
        <v>20</v>
      </c>
      <c r="E10" s="540"/>
      <c r="F10" s="541"/>
      <c r="G10" s="242" t="s">
        <v>22</v>
      </c>
      <c r="H10" s="242"/>
      <c r="I10" s="242"/>
      <c r="J10" s="460"/>
      <c r="K10" s="242"/>
      <c r="L10" s="459"/>
      <c r="M10" s="459"/>
      <c r="N10" s="459"/>
      <c r="O10" s="542"/>
      <c r="P10" s="459"/>
      <c r="Q10" s="459"/>
      <c r="R10" s="459"/>
      <c r="S10" s="459"/>
      <c r="T10" s="542"/>
      <c r="U10" s="459"/>
      <c r="V10" s="459"/>
      <c r="W10" s="459"/>
      <c r="X10" s="459"/>
      <c r="Y10" s="542"/>
      <c r="Z10" s="459"/>
      <c r="AA10" s="459"/>
      <c r="AB10" s="459"/>
      <c r="AC10" s="459"/>
      <c r="AD10" s="542"/>
      <c r="AE10" s="459"/>
      <c r="AF10" s="459"/>
      <c r="AG10" s="459"/>
      <c r="AH10" s="459"/>
      <c r="AI10" s="542"/>
      <c r="AJ10" s="459"/>
      <c r="AK10" s="459"/>
      <c r="AL10" s="459"/>
      <c r="AM10" s="459"/>
      <c r="AN10" s="542"/>
      <c r="AO10" s="459"/>
      <c r="AP10" s="459"/>
      <c r="AQ10" s="459"/>
      <c r="AR10" s="459"/>
      <c r="AS10" s="542"/>
      <c r="AT10" s="459"/>
      <c r="AU10" s="459"/>
      <c r="AV10" s="459"/>
      <c r="AW10" s="459"/>
      <c r="AX10" s="542"/>
      <c r="AY10" s="459"/>
      <c r="AZ10" s="459"/>
      <c r="BA10" s="459"/>
      <c r="BB10" s="459"/>
      <c r="BC10" s="542"/>
      <c r="BD10" s="459"/>
      <c r="BE10" s="459"/>
      <c r="BF10" s="459"/>
      <c r="BG10" s="459"/>
      <c r="BH10" s="542"/>
      <c r="BI10" s="459"/>
      <c r="BJ10" s="459"/>
      <c r="BK10" s="459"/>
      <c r="BL10" s="459"/>
      <c r="BM10" s="542"/>
      <c r="BN10" s="459"/>
      <c r="BO10" s="459"/>
      <c r="BP10" s="459"/>
      <c r="BQ10" s="459"/>
      <c r="BR10" s="542"/>
      <c r="BS10" s="459"/>
      <c r="BT10" s="459"/>
      <c r="BU10" s="459"/>
      <c r="BV10" s="459"/>
      <c r="BW10" s="542"/>
      <c r="BX10" s="459"/>
      <c r="BY10" s="242" t="s">
        <v>23</v>
      </c>
      <c r="BZ10" s="242"/>
      <c r="CA10" s="242"/>
      <c r="CB10" s="460"/>
      <c r="CC10" s="242"/>
      <c r="CD10" s="459"/>
      <c r="CE10" s="459"/>
      <c r="CF10" s="459"/>
      <c r="CG10" s="542"/>
      <c r="CH10" s="459"/>
      <c r="CI10" s="459"/>
      <c r="CJ10" s="459"/>
      <c r="CK10" s="459"/>
      <c r="CL10" s="542"/>
      <c r="CM10" s="459"/>
      <c r="CN10" s="459"/>
      <c r="CO10" s="459"/>
      <c r="CP10" s="459"/>
      <c r="CQ10" s="542"/>
      <c r="CR10" s="459"/>
      <c r="CS10" s="459"/>
      <c r="CT10" s="459"/>
      <c r="CU10" s="459"/>
      <c r="CV10" s="542"/>
      <c r="CW10" s="459"/>
      <c r="CX10" s="459"/>
      <c r="CY10" s="459"/>
      <c r="CZ10" s="459"/>
      <c r="DA10" s="542"/>
      <c r="DB10" s="459"/>
      <c r="DC10" s="459"/>
      <c r="DD10" s="459"/>
      <c r="DE10" s="459"/>
      <c r="DF10" s="542"/>
      <c r="DG10" s="459"/>
      <c r="DH10" s="459"/>
      <c r="DI10" s="459"/>
      <c r="DJ10" s="459"/>
      <c r="DK10" s="542"/>
      <c r="DL10" s="459"/>
      <c r="DM10" s="459"/>
      <c r="DN10" s="459"/>
      <c r="DO10" s="459"/>
      <c r="DP10" s="542"/>
      <c r="DQ10" s="459"/>
      <c r="DR10" s="459"/>
      <c r="DS10" s="459"/>
      <c r="DT10" s="459"/>
      <c r="DU10" s="542"/>
      <c r="DV10" s="459"/>
      <c r="DW10" s="459"/>
      <c r="DX10" s="459"/>
      <c r="DY10" s="459"/>
      <c r="DZ10" s="542"/>
      <c r="EA10" s="459"/>
      <c r="EB10" s="459"/>
      <c r="EC10" s="459"/>
      <c r="ED10" s="459"/>
      <c r="EE10" s="542"/>
      <c r="EF10" s="459"/>
      <c r="EG10" s="459"/>
      <c r="EH10" s="459"/>
      <c r="EI10" s="459"/>
      <c r="EJ10" s="542"/>
      <c r="EK10" s="459"/>
      <c r="EL10" s="459"/>
      <c r="EM10" s="459"/>
      <c r="EN10" s="606"/>
      <c r="EO10" s="455"/>
    </row>
    <row r="11" spans="1:145" x14ac:dyDescent="0.2">
      <c r="A11" s="442"/>
      <c r="B11" s="442"/>
      <c r="D11" s="455"/>
      <c r="E11" s="465"/>
      <c r="F11" s="442"/>
      <c r="G11" s="442"/>
      <c r="H11" s="442"/>
      <c r="I11" s="442"/>
      <c r="J11" s="465"/>
      <c r="K11" s="442"/>
      <c r="L11" s="442"/>
      <c r="M11" s="442"/>
      <c r="N11" s="442"/>
      <c r="O11" s="465"/>
      <c r="P11" s="442"/>
      <c r="Q11" s="442"/>
      <c r="R11" s="442"/>
      <c r="S11" s="442"/>
      <c r="T11" s="465"/>
      <c r="U11" s="442"/>
      <c r="V11" s="442"/>
      <c r="W11" s="442"/>
      <c r="X11" s="442"/>
      <c r="Y11" s="465"/>
      <c r="Z11" s="442"/>
      <c r="AA11" s="442"/>
      <c r="AB11" s="442"/>
      <c r="AC11" s="442"/>
      <c r="AD11" s="465"/>
      <c r="AE11" s="442"/>
      <c r="AF11" s="442"/>
      <c r="AG11" s="442"/>
      <c r="AH11" s="442"/>
      <c r="AI11" s="465"/>
      <c r="AJ11" s="442"/>
      <c r="AK11" s="442"/>
      <c r="AL11" s="442"/>
      <c r="AM11" s="442"/>
      <c r="AN11" s="465"/>
      <c r="AO11" s="442"/>
      <c r="AP11" s="442"/>
      <c r="AQ11" s="442"/>
      <c r="AR11" s="442"/>
      <c r="AS11" s="465"/>
      <c r="AT11" s="442"/>
      <c r="AU11" s="442"/>
      <c r="AV11" s="442"/>
      <c r="AW11" s="442"/>
      <c r="AX11" s="465"/>
      <c r="AY11" s="442"/>
      <c r="AZ11" s="442"/>
      <c r="BA11" s="442"/>
      <c r="BB11" s="442"/>
      <c r="BC11" s="465"/>
      <c r="BD11" s="442"/>
      <c r="BE11" s="442"/>
      <c r="BF11" s="442"/>
      <c r="BG11" s="442"/>
      <c r="BH11" s="465"/>
      <c r="BI11" s="442"/>
      <c r="BJ11" s="442"/>
      <c r="BK11" s="442"/>
      <c r="BL11" s="442"/>
      <c r="BM11" s="465"/>
      <c r="BN11" s="442"/>
      <c r="BO11" s="442"/>
      <c r="BP11" s="442"/>
      <c r="BQ11" s="442"/>
      <c r="BR11" s="465"/>
      <c r="BS11" s="442"/>
      <c r="BT11" s="442"/>
      <c r="BU11" s="442"/>
      <c r="BV11" s="442"/>
      <c r="BW11" s="465"/>
      <c r="BX11" s="442"/>
      <c r="BY11" s="442"/>
      <c r="BZ11" s="442"/>
      <c r="CA11" s="442"/>
      <c r="CB11" s="465"/>
      <c r="CC11" s="442"/>
      <c r="CD11" s="442"/>
      <c r="CE11" s="442"/>
      <c r="CF11" s="442"/>
      <c r="CG11" s="465"/>
      <c r="CH11" s="442"/>
      <c r="CI11" s="442"/>
      <c r="CJ11" s="442"/>
      <c r="CK11" s="442"/>
      <c r="CL11" s="465"/>
      <c r="CM11" s="442"/>
      <c r="CN11" s="442"/>
      <c r="CO11" s="442"/>
      <c r="CP11" s="442"/>
      <c r="CQ11" s="465"/>
      <c r="CR11" s="442"/>
      <c r="CS11" s="442"/>
      <c r="CT11" s="442"/>
      <c r="CU11" s="442"/>
      <c r="CV11" s="465"/>
      <c r="CW11" s="442"/>
      <c r="CX11" s="442"/>
      <c r="CY11" s="442"/>
      <c r="CZ11" s="442"/>
      <c r="DA11" s="465"/>
      <c r="DB11" s="442"/>
      <c r="DC11" s="442"/>
      <c r="DD11" s="442"/>
      <c r="DE11" s="442"/>
      <c r="DF11" s="465"/>
      <c r="DG11" s="442"/>
      <c r="DH11" s="442"/>
      <c r="DI11" s="442"/>
      <c r="DJ11" s="442"/>
      <c r="DK11" s="465"/>
      <c r="DL11" s="442"/>
      <c r="DM11" s="442"/>
      <c r="DN11" s="442"/>
      <c r="DO11" s="442"/>
      <c r="DP11" s="465"/>
      <c r="DQ11" s="442"/>
      <c r="DR11" s="442"/>
      <c r="DS11" s="442"/>
      <c r="DT11" s="442"/>
      <c r="DU11" s="465"/>
      <c r="DV11" s="442"/>
      <c r="DW11" s="442"/>
      <c r="DX11" s="442"/>
      <c r="DY11" s="442"/>
      <c r="DZ11" s="465"/>
      <c r="EA11" s="442"/>
      <c r="EB11" s="442"/>
      <c r="EC11" s="442"/>
      <c r="ED11" s="442"/>
      <c r="EE11" s="465"/>
      <c r="EF11" s="442"/>
      <c r="EG11" s="442"/>
      <c r="EH11" s="442"/>
      <c r="EI11" s="442"/>
      <c r="EJ11" s="465"/>
      <c r="EK11" s="442"/>
      <c r="EL11" s="442"/>
      <c r="EM11" s="442"/>
      <c r="EN11" s="442"/>
      <c r="EO11" s="455"/>
    </row>
    <row r="12" spans="1:145" x14ac:dyDescent="0.2">
      <c r="A12" s="442"/>
      <c r="B12" s="442"/>
      <c r="C12" s="442"/>
      <c r="D12" s="466" t="s">
        <v>440</v>
      </c>
      <c r="E12" s="465"/>
      <c r="F12" s="442"/>
      <c r="G12" s="58">
        <f>SUM(G13:G15)</f>
        <v>29260000</v>
      </c>
      <c r="H12" s="67"/>
      <c r="I12" s="67"/>
      <c r="J12" s="560"/>
      <c r="K12" s="442"/>
      <c r="L12" s="58">
        <f>SUM(L13:L15)</f>
        <v>0</v>
      </c>
      <c r="M12" s="67"/>
      <c r="N12" s="67"/>
      <c r="O12" s="560"/>
      <c r="P12" s="442"/>
      <c r="Q12" s="58">
        <f>SUM(Q13:Q15)</f>
        <v>0</v>
      </c>
      <c r="R12" s="67"/>
      <c r="S12" s="67"/>
      <c r="T12" s="560"/>
      <c r="U12" s="442"/>
      <c r="V12" s="58">
        <f>SUM(V13:V15)</f>
        <v>0</v>
      </c>
      <c r="W12" s="67"/>
      <c r="X12" s="67"/>
      <c r="Y12" s="560"/>
      <c r="Z12" s="442"/>
      <c r="AA12" s="58">
        <f>SUM(AA13:AA15)</f>
        <v>0</v>
      </c>
      <c r="AB12" s="67"/>
      <c r="AC12" s="67"/>
      <c r="AD12" s="560"/>
      <c r="AE12" s="442"/>
      <c r="AF12" s="58">
        <f>SUM(AF13:AF15)</f>
        <v>0</v>
      </c>
      <c r="AG12" s="67"/>
      <c r="AH12" s="67"/>
      <c r="AI12" s="560"/>
      <c r="AJ12" s="442"/>
      <c r="AK12" s="58">
        <f>SUM(AK13:AK15)</f>
        <v>0</v>
      </c>
      <c r="AL12" s="67"/>
      <c r="AM12" s="67"/>
      <c r="AN12" s="560"/>
      <c r="AO12" s="442"/>
      <c r="AP12" s="58">
        <f>SUM(AP13:AP15)</f>
        <v>0</v>
      </c>
      <c r="AQ12" s="67"/>
      <c r="AR12" s="67"/>
      <c r="AS12" s="560"/>
      <c r="AT12" s="442"/>
      <c r="AU12" s="58">
        <f>SUM(AU13:AU15)</f>
        <v>0</v>
      </c>
      <c r="AV12" s="67"/>
      <c r="AW12" s="67"/>
      <c r="AX12" s="560"/>
      <c r="AY12" s="442"/>
      <c r="AZ12" s="58">
        <f>SUM(AZ13:AZ15)</f>
        <v>0</v>
      </c>
      <c r="BA12" s="67"/>
      <c r="BB12" s="67"/>
      <c r="BC12" s="560"/>
      <c r="BD12" s="442"/>
      <c r="BE12" s="58">
        <f>SUM(BE13:BE15)</f>
        <v>0</v>
      </c>
      <c r="BF12" s="67"/>
      <c r="BG12" s="67"/>
      <c r="BH12" s="560"/>
      <c r="BI12" s="442"/>
      <c r="BJ12" s="58">
        <f>SUM(BJ13:BJ15)</f>
        <v>0</v>
      </c>
      <c r="BK12" s="67"/>
      <c r="BL12" s="67"/>
      <c r="BM12" s="560"/>
      <c r="BN12" s="442"/>
      <c r="BO12" s="58">
        <f>SUM(BO13:BO15)</f>
        <v>0</v>
      </c>
      <c r="BP12" s="67"/>
      <c r="BQ12" s="67"/>
      <c r="BR12" s="560"/>
      <c r="BS12" s="442"/>
      <c r="BT12" s="58">
        <f>SUM(BT13:BT15)</f>
        <v>0</v>
      </c>
      <c r="BU12" s="67"/>
      <c r="BV12" s="67"/>
      <c r="BW12" s="560"/>
      <c r="BX12" s="442"/>
      <c r="BY12" s="58">
        <f>SUM(BY13:BY15)</f>
        <v>76052000</v>
      </c>
      <c r="BZ12" s="67"/>
      <c r="CA12" s="67"/>
      <c r="CB12" s="560"/>
      <c r="CC12" s="442"/>
      <c r="CD12" s="58">
        <f>SUM(CD13:CD15)</f>
        <v>0</v>
      </c>
      <c r="CE12" s="67"/>
      <c r="CF12" s="67"/>
      <c r="CG12" s="560"/>
      <c r="CH12" s="442"/>
      <c r="CI12" s="58">
        <f>SUM(CI13:CI15)</f>
        <v>0</v>
      </c>
      <c r="CJ12" s="67"/>
      <c r="CK12" s="67"/>
      <c r="CL12" s="560"/>
      <c r="CM12" s="442"/>
      <c r="CN12" s="58">
        <f>SUM(CN13:CN15)</f>
        <v>0</v>
      </c>
      <c r="CO12" s="67"/>
      <c r="CP12" s="67"/>
      <c r="CQ12" s="560"/>
      <c r="CR12" s="442"/>
      <c r="CS12" s="58">
        <f>SUM(CS13:CS15)</f>
        <v>0</v>
      </c>
      <c r="CT12" s="67"/>
      <c r="CU12" s="67"/>
      <c r="CV12" s="560"/>
      <c r="CW12" s="442"/>
      <c r="CX12" s="58">
        <f>SUM(CX13:CX15)</f>
        <v>0</v>
      </c>
      <c r="CY12" s="67"/>
      <c r="CZ12" s="67"/>
      <c r="DA12" s="560"/>
      <c r="DB12" s="442"/>
      <c r="DC12" s="58">
        <f>SUM(DC13:DC15)</f>
        <v>76052000</v>
      </c>
      <c r="DD12" s="67"/>
      <c r="DE12" s="67"/>
      <c r="DF12" s="560"/>
      <c r="DG12" s="442"/>
      <c r="DH12" s="58">
        <f>SUM(DH13:DH15)</f>
        <v>0</v>
      </c>
      <c r="DI12" s="67"/>
      <c r="DJ12" s="67"/>
      <c r="DK12" s="560"/>
      <c r="DL12" s="442"/>
      <c r="DM12" s="58">
        <f>SUM(DM13:DM15)</f>
        <v>0</v>
      </c>
      <c r="DN12" s="67"/>
      <c r="DO12" s="67"/>
      <c r="DP12" s="560"/>
      <c r="DQ12" s="442"/>
      <c r="DR12" s="58">
        <f>SUM(DR13:DR15)</f>
        <v>0</v>
      </c>
      <c r="DS12" s="67"/>
      <c r="DT12" s="67"/>
      <c r="DU12" s="560"/>
      <c r="DV12" s="442"/>
      <c r="DW12" s="58">
        <f>SUM(DW13:DW15)</f>
        <v>0</v>
      </c>
      <c r="DX12" s="67"/>
      <c r="DY12" s="67"/>
      <c r="DZ12" s="560"/>
      <c r="EA12" s="442"/>
      <c r="EB12" s="58">
        <f>SUM(EB13:EB15)</f>
        <v>0</v>
      </c>
      <c r="EC12" s="67"/>
      <c r="ED12" s="67"/>
      <c r="EE12" s="560"/>
      <c r="EF12" s="442"/>
      <c r="EG12" s="58">
        <f>SUM(EG13:EG15)</f>
        <v>0</v>
      </c>
      <c r="EH12" s="67"/>
      <c r="EI12" s="67"/>
      <c r="EJ12" s="560"/>
      <c r="EK12" s="442"/>
      <c r="EL12" s="58">
        <f>SUM(EL13:EL15)</f>
        <v>0</v>
      </c>
      <c r="EM12" s="67"/>
      <c r="EN12" s="67"/>
      <c r="EO12" s="455"/>
    </row>
    <row r="13" spans="1:145" x14ac:dyDescent="0.2">
      <c r="A13" s="442"/>
      <c r="B13" s="442"/>
      <c r="C13" s="442"/>
      <c r="D13" s="455" t="s">
        <v>441</v>
      </c>
      <c r="E13" s="465"/>
      <c r="F13" s="561"/>
      <c r="G13" s="558">
        <f>G17</f>
        <v>29260000</v>
      </c>
      <c r="H13" s="559"/>
      <c r="I13" s="67"/>
      <c r="J13" s="560"/>
      <c r="K13" s="561"/>
      <c r="L13" s="558">
        <f>L17</f>
        <v>0</v>
      </c>
      <c r="M13" s="559"/>
      <c r="N13" s="67"/>
      <c r="O13" s="560"/>
      <c r="P13" s="561"/>
      <c r="Q13" s="558">
        <f>Q17</f>
        <v>0</v>
      </c>
      <c r="R13" s="559"/>
      <c r="S13" s="67"/>
      <c r="T13" s="560"/>
      <c r="U13" s="561"/>
      <c r="V13" s="558">
        <f>V17</f>
        <v>0</v>
      </c>
      <c r="W13" s="559"/>
      <c r="X13" s="67"/>
      <c r="Y13" s="560"/>
      <c r="Z13" s="561"/>
      <c r="AA13" s="558">
        <f>AA17</f>
        <v>0</v>
      </c>
      <c r="AB13" s="559"/>
      <c r="AC13" s="67"/>
      <c r="AD13" s="560"/>
      <c r="AE13" s="561"/>
      <c r="AF13" s="558">
        <f>AF17</f>
        <v>0</v>
      </c>
      <c r="AG13" s="559"/>
      <c r="AH13" s="67"/>
      <c r="AI13" s="560"/>
      <c r="AJ13" s="561"/>
      <c r="AK13" s="558">
        <f>AK17</f>
        <v>0</v>
      </c>
      <c r="AL13" s="559"/>
      <c r="AM13" s="67"/>
      <c r="AN13" s="560"/>
      <c r="AO13" s="561"/>
      <c r="AP13" s="558">
        <f>AP17</f>
        <v>0</v>
      </c>
      <c r="AQ13" s="559"/>
      <c r="AR13" s="67"/>
      <c r="AS13" s="560"/>
      <c r="AT13" s="561"/>
      <c r="AU13" s="558">
        <f>AU17</f>
        <v>0</v>
      </c>
      <c r="AV13" s="559"/>
      <c r="AW13" s="67"/>
      <c r="AX13" s="560"/>
      <c r="AY13" s="561"/>
      <c r="AZ13" s="558">
        <f>AZ17</f>
        <v>0</v>
      </c>
      <c r="BA13" s="559"/>
      <c r="BB13" s="67"/>
      <c r="BC13" s="560"/>
      <c r="BD13" s="561"/>
      <c r="BE13" s="558">
        <f>BE17</f>
        <v>0</v>
      </c>
      <c r="BF13" s="559"/>
      <c r="BG13" s="67"/>
      <c r="BH13" s="560"/>
      <c r="BI13" s="561"/>
      <c r="BJ13" s="558">
        <f>BJ17</f>
        <v>0</v>
      </c>
      <c r="BK13" s="559"/>
      <c r="BL13" s="67"/>
      <c r="BM13" s="560"/>
      <c r="BN13" s="561"/>
      <c r="BO13" s="558">
        <f>BO17</f>
        <v>0</v>
      </c>
      <c r="BP13" s="559"/>
      <c r="BQ13" s="67"/>
      <c r="BR13" s="560"/>
      <c r="BS13" s="561"/>
      <c r="BT13" s="558">
        <f>BT17</f>
        <v>0</v>
      </c>
      <c r="BU13" s="559"/>
      <c r="BV13" s="67"/>
      <c r="BW13" s="560"/>
      <c r="BX13" s="561"/>
      <c r="BY13" s="558">
        <f>BY17</f>
        <v>76052000</v>
      </c>
      <c r="BZ13" s="559"/>
      <c r="CA13" s="67"/>
      <c r="CB13" s="560"/>
      <c r="CC13" s="561"/>
      <c r="CD13" s="558">
        <f>CD17</f>
        <v>0</v>
      </c>
      <c r="CE13" s="559"/>
      <c r="CF13" s="67"/>
      <c r="CG13" s="560"/>
      <c r="CH13" s="561"/>
      <c r="CI13" s="558">
        <f>CI17</f>
        <v>0</v>
      </c>
      <c r="CJ13" s="559"/>
      <c r="CK13" s="67"/>
      <c r="CL13" s="560"/>
      <c r="CM13" s="561"/>
      <c r="CN13" s="558">
        <f>CN17</f>
        <v>0</v>
      </c>
      <c r="CO13" s="559"/>
      <c r="CP13" s="67"/>
      <c r="CQ13" s="560"/>
      <c r="CR13" s="561"/>
      <c r="CS13" s="558">
        <f>CS17</f>
        <v>0</v>
      </c>
      <c r="CT13" s="559"/>
      <c r="CU13" s="67"/>
      <c r="CV13" s="560"/>
      <c r="CW13" s="561"/>
      <c r="CX13" s="558">
        <f>CX17</f>
        <v>0</v>
      </c>
      <c r="CY13" s="559"/>
      <c r="CZ13" s="67"/>
      <c r="DA13" s="560"/>
      <c r="DB13" s="561"/>
      <c r="DC13" s="558">
        <f>DC17</f>
        <v>76052000</v>
      </c>
      <c r="DD13" s="559"/>
      <c r="DE13" s="67"/>
      <c r="DF13" s="560"/>
      <c r="DG13" s="561"/>
      <c r="DH13" s="558">
        <f>DH17</f>
        <v>0</v>
      </c>
      <c r="DI13" s="559"/>
      <c r="DJ13" s="67"/>
      <c r="DK13" s="560"/>
      <c r="DL13" s="561"/>
      <c r="DM13" s="558">
        <f>DM17</f>
        <v>0</v>
      </c>
      <c r="DN13" s="559"/>
      <c r="DO13" s="67"/>
      <c r="DP13" s="560"/>
      <c r="DQ13" s="561"/>
      <c r="DR13" s="558">
        <f>DR17</f>
        <v>0</v>
      </c>
      <c r="DS13" s="559"/>
      <c r="DT13" s="67"/>
      <c r="DU13" s="560"/>
      <c r="DV13" s="561"/>
      <c r="DW13" s="558">
        <f>DW17</f>
        <v>0</v>
      </c>
      <c r="DX13" s="559"/>
      <c r="DY13" s="67"/>
      <c r="DZ13" s="560"/>
      <c r="EA13" s="561"/>
      <c r="EB13" s="558">
        <f>EB17</f>
        <v>0</v>
      </c>
      <c r="EC13" s="559"/>
      <c r="ED13" s="67"/>
      <c r="EE13" s="560"/>
      <c r="EF13" s="561"/>
      <c r="EG13" s="558">
        <f>EG17</f>
        <v>0</v>
      </c>
      <c r="EH13" s="559"/>
      <c r="EI13" s="67"/>
      <c r="EJ13" s="560"/>
      <c r="EK13" s="561"/>
      <c r="EL13" s="558">
        <f>EL17</f>
        <v>0</v>
      </c>
      <c r="EM13" s="559"/>
      <c r="EN13" s="67"/>
      <c r="EO13" s="455"/>
    </row>
    <row r="14" spans="1:145" x14ac:dyDescent="0.2">
      <c r="A14" s="442"/>
      <c r="B14" s="442"/>
      <c r="C14" s="442"/>
      <c r="D14" s="455" t="s">
        <v>442</v>
      </c>
      <c r="E14" s="465"/>
      <c r="F14" s="560"/>
      <c r="G14" s="67">
        <f>+G63</f>
        <v>0</v>
      </c>
      <c r="H14" s="66"/>
      <c r="I14" s="67"/>
      <c r="J14" s="560"/>
      <c r="K14" s="560"/>
      <c r="L14" s="67">
        <f>L63</f>
        <v>0</v>
      </c>
      <c r="M14" s="66"/>
      <c r="N14" s="67"/>
      <c r="O14" s="560"/>
      <c r="P14" s="560"/>
      <c r="Q14" s="67">
        <f>Q63</f>
        <v>0</v>
      </c>
      <c r="R14" s="66"/>
      <c r="S14" s="67"/>
      <c r="T14" s="560"/>
      <c r="U14" s="560"/>
      <c r="V14" s="67">
        <f>V63</f>
        <v>0</v>
      </c>
      <c r="W14" s="66"/>
      <c r="X14" s="67"/>
      <c r="Y14" s="560"/>
      <c r="Z14" s="560"/>
      <c r="AA14" s="67">
        <f>AA63</f>
        <v>0</v>
      </c>
      <c r="AB14" s="66"/>
      <c r="AC14" s="67"/>
      <c r="AD14" s="560"/>
      <c r="AE14" s="560"/>
      <c r="AF14" s="67">
        <f>AF63</f>
        <v>0</v>
      </c>
      <c r="AG14" s="66"/>
      <c r="AH14" s="67"/>
      <c r="AI14" s="560"/>
      <c r="AJ14" s="560"/>
      <c r="AK14" s="67">
        <f>AK63</f>
        <v>0</v>
      </c>
      <c r="AL14" s="66"/>
      <c r="AM14" s="67"/>
      <c r="AN14" s="560"/>
      <c r="AO14" s="560"/>
      <c r="AP14" s="67">
        <f>AP63</f>
        <v>0</v>
      </c>
      <c r="AQ14" s="66"/>
      <c r="AR14" s="67"/>
      <c r="AS14" s="560"/>
      <c r="AT14" s="560"/>
      <c r="AU14" s="67">
        <f>AU63</f>
        <v>0</v>
      </c>
      <c r="AV14" s="66"/>
      <c r="AW14" s="67"/>
      <c r="AX14" s="560"/>
      <c r="AY14" s="560"/>
      <c r="AZ14" s="67">
        <f>AZ63</f>
        <v>0</v>
      </c>
      <c r="BA14" s="66"/>
      <c r="BB14" s="67"/>
      <c r="BC14" s="560"/>
      <c r="BD14" s="560"/>
      <c r="BE14" s="67">
        <f>BE63</f>
        <v>0</v>
      </c>
      <c r="BF14" s="66"/>
      <c r="BG14" s="67"/>
      <c r="BH14" s="560"/>
      <c r="BI14" s="560"/>
      <c r="BJ14" s="67">
        <f>BJ63</f>
        <v>0</v>
      </c>
      <c r="BK14" s="66"/>
      <c r="BL14" s="67"/>
      <c r="BM14" s="560"/>
      <c r="BN14" s="560"/>
      <c r="BO14" s="67">
        <f>BO63</f>
        <v>0</v>
      </c>
      <c r="BP14" s="66"/>
      <c r="BQ14" s="67"/>
      <c r="BR14" s="560"/>
      <c r="BS14" s="560"/>
      <c r="BT14" s="67">
        <f>BT63</f>
        <v>0</v>
      </c>
      <c r="BU14" s="66"/>
      <c r="BV14" s="67"/>
      <c r="BW14" s="560"/>
      <c r="BX14" s="560"/>
      <c r="BY14" s="67">
        <f>+BY63</f>
        <v>0</v>
      </c>
      <c r="BZ14" s="66"/>
      <c r="CA14" s="67"/>
      <c r="CB14" s="560"/>
      <c r="CC14" s="560"/>
      <c r="CD14" s="67">
        <f>CD63</f>
        <v>0</v>
      </c>
      <c r="CE14" s="66"/>
      <c r="CF14" s="67"/>
      <c r="CG14" s="560"/>
      <c r="CH14" s="560"/>
      <c r="CI14" s="67">
        <f>CI63</f>
        <v>0</v>
      </c>
      <c r="CJ14" s="66"/>
      <c r="CK14" s="67"/>
      <c r="CL14" s="560"/>
      <c r="CM14" s="560"/>
      <c r="CN14" s="67">
        <f>CN63</f>
        <v>0</v>
      </c>
      <c r="CO14" s="66"/>
      <c r="CP14" s="67"/>
      <c r="CQ14" s="560"/>
      <c r="CR14" s="560"/>
      <c r="CS14" s="67">
        <f>CS63</f>
        <v>0</v>
      </c>
      <c r="CT14" s="66"/>
      <c r="CU14" s="67"/>
      <c r="CV14" s="560"/>
      <c r="CW14" s="560"/>
      <c r="CX14" s="67">
        <f>CX63</f>
        <v>0</v>
      </c>
      <c r="CY14" s="66"/>
      <c r="CZ14" s="67"/>
      <c r="DA14" s="560"/>
      <c r="DB14" s="560"/>
      <c r="DC14" s="67">
        <f>DC63</f>
        <v>0</v>
      </c>
      <c r="DD14" s="66"/>
      <c r="DE14" s="67"/>
      <c r="DF14" s="560"/>
      <c r="DG14" s="560"/>
      <c r="DH14" s="67">
        <f>DH63</f>
        <v>0</v>
      </c>
      <c r="DI14" s="66"/>
      <c r="DJ14" s="67"/>
      <c r="DK14" s="560"/>
      <c r="DL14" s="560"/>
      <c r="DM14" s="67">
        <f>DM63</f>
        <v>0</v>
      </c>
      <c r="DN14" s="66"/>
      <c r="DO14" s="67"/>
      <c r="DP14" s="560"/>
      <c r="DQ14" s="560"/>
      <c r="DR14" s="67">
        <f>DR63</f>
        <v>0</v>
      </c>
      <c r="DS14" s="66"/>
      <c r="DT14" s="67"/>
      <c r="DU14" s="560"/>
      <c r="DV14" s="560"/>
      <c r="DW14" s="67">
        <f>DW63</f>
        <v>0</v>
      </c>
      <c r="DX14" s="66"/>
      <c r="DY14" s="67"/>
      <c r="DZ14" s="560"/>
      <c r="EA14" s="560"/>
      <c r="EB14" s="67">
        <f>EB63</f>
        <v>0</v>
      </c>
      <c r="EC14" s="66"/>
      <c r="ED14" s="67"/>
      <c r="EE14" s="560"/>
      <c r="EF14" s="560"/>
      <c r="EG14" s="67">
        <f>EG63</f>
        <v>0</v>
      </c>
      <c r="EH14" s="66"/>
      <c r="EI14" s="67"/>
      <c r="EJ14" s="560"/>
      <c r="EK14" s="560"/>
      <c r="EL14" s="67">
        <f>EL63</f>
        <v>0</v>
      </c>
      <c r="EM14" s="66"/>
      <c r="EN14" s="67"/>
      <c r="EO14" s="455"/>
    </row>
    <row r="15" spans="1:145" x14ac:dyDescent="0.2">
      <c r="A15" s="442"/>
      <c r="B15" s="442"/>
      <c r="C15" s="442"/>
      <c r="D15" s="455" t="s">
        <v>443</v>
      </c>
      <c r="E15" s="465"/>
      <c r="F15" s="569"/>
      <c r="G15" s="113">
        <v>0</v>
      </c>
      <c r="H15" s="112"/>
      <c r="I15" s="67"/>
      <c r="J15" s="560"/>
      <c r="K15" s="569"/>
      <c r="L15" s="113">
        <f>L73</f>
        <v>0</v>
      </c>
      <c r="M15" s="112"/>
      <c r="N15" s="67"/>
      <c r="O15" s="560"/>
      <c r="P15" s="569"/>
      <c r="Q15" s="113">
        <f>Q73</f>
        <v>0</v>
      </c>
      <c r="R15" s="112"/>
      <c r="S15" s="67"/>
      <c r="T15" s="560"/>
      <c r="U15" s="569"/>
      <c r="V15" s="113">
        <f>V73</f>
        <v>0</v>
      </c>
      <c r="W15" s="112"/>
      <c r="X15" s="67"/>
      <c r="Y15" s="560"/>
      <c r="Z15" s="569"/>
      <c r="AA15" s="113">
        <f>AA73</f>
        <v>0</v>
      </c>
      <c r="AB15" s="112"/>
      <c r="AC15" s="67"/>
      <c r="AD15" s="560"/>
      <c r="AE15" s="569"/>
      <c r="AF15" s="113">
        <f>AF73</f>
        <v>0</v>
      </c>
      <c r="AG15" s="112"/>
      <c r="AH15" s="67"/>
      <c r="AI15" s="560"/>
      <c r="AJ15" s="569"/>
      <c r="AK15" s="113">
        <f>AK73</f>
        <v>0</v>
      </c>
      <c r="AL15" s="112"/>
      <c r="AM15" s="67"/>
      <c r="AN15" s="560"/>
      <c r="AO15" s="569"/>
      <c r="AP15" s="113">
        <f>AP73</f>
        <v>0</v>
      </c>
      <c r="AQ15" s="112"/>
      <c r="AR15" s="67"/>
      <c r="AS15" s="560"/>
      <c r="AT15" s="569"/>
      <c r="AU15" s="113">
        <f>AU73</f>
        <v>0</v>
      </c>
      <c r="AV15" s="112"/>
      <c r="AW15" s="67"/>
      <c r="AX15" s="560"/>
      <c r="AY15" s="569"/>
      <c r="AZ15" s="113">
        <f>AZ73</f>
        <v>0</v>
      </c>
      <c r="BA15" s="112"/>
      <c r="BB15" s="67"/>
      <c r="BC15" s="560"/>
      <c r="BD15" s="569"/>
      <c r="BE15" s="113">
        <f>BE73</f>
        <v>0</v>
      </c>
      <c r="BF15" s="112"/>
      <c r="BG15" s="67"/>
      <c r="BH15" s="560"/>
      <c r="BI15" s="569"/>
      <c r="BJ15" s="113">
        <f>BJ73</f>
        <v>0</v>
      </c>
      <c r="BK15" s="112"/>
      <c r="BL15" s="67"/>
      <c r="BM15" s="560"/>
      <c r="BN15" s="569"/>
      <c r="BO15" s="113">
        <f>BO73</f>
        <v>0</v>
      </c>
      <c r="BP15" s="112"/>
      <c r="BQ15" s="67"/>
      <c r="BR15" s="560"/>
      <c r="BS15" s="569"/>
      <c r="BT15" s="113">
        <f>BT73</f>
        <v>0</v>
      </c>
      <c r="BU15" s="112"/>
      <c r="BV15" s="67"/>
      <c r="BW15" s="560"/>
      <c r="BX15" s="569"/>
      <c r="BY15" s="113">
        <v>0</v>
      </c>
      <c r="BZ15" s="112"/>
      <c r="CA15" s="67"/>
      <c r="CB15" s="560"/>
      <c r="CC15" s="569"/>
      <c r="CD15" s="113">
        <f>CD73</f>
        <v>0</v>
      </c>
      <c r="CE15" s="112"/>
      <c r="CF15" s="67"/>
      <c r="CG15" s="560"/>
      <c r="CH15" s="569"/>
      <c r="CI15" s="113">
        <f>CI73</f>
        <v>0</v>
      </c>
      <c r="CJ15" s="112"/>
      <c r="CK15" s="67"/>
      <c r="CL15" s="560"/>
      <c r="CM15" s="569"/>
      <c r="CN15" s="113">
        <f>CN73</f>
        <v>0</v>
      </c>
      <c r="CO15" s="112"/>
      <c r="CP15" s="67"/>
      <c r="CQ15" s="560"/>
      <c r="CR15" s="569"/>
      <c r="CS15" s="113">
        <f>CS73</f>
        <v>0</v>
      </c>
      <c r="CT15" s="112"/>
      <c r="CU15" s="67"/>
      <c r="CV15" s="560"/>
      <c r="CW15" s="569"/>
      <c r="CX15" s="113">
        <f>CX73</f>
        <v>0</v>
      </c>
      <c r="CY15" s="112"/>
      <c r="CZ15" s="67"/>
      <c r="DA15" s="560"/>
      <c r="DB15" s="569"/>
      <c r="DC15" s="113">
        <f>DC73</f>
        <v>0</v>
      </c>
      <c r="DD15" s="112"/>
      <c r="DE15" s="67"/>
      <c r="DF15" s="560"/>
      <c r="DG15" s="569"/>
      <c r="DH15" s="113">
        <f>DH73</f>
        <v>0</v>
      </c>
      <c r="DI15" s="112"/>
      <c r="DJ15" s="67"/>
      <c r="DK15" s="560"/>
      <c r="DL15" s="569"/>
      <c r="DM15" s="113">
        <f>DM73</f>
        <v>0</v>
      </c>
      <c r="DN15" s="112"/>
      <c r="DO15" s="67"/>
      <c r="DP15" s="560"/>
      <c r="DQ15" s="569"/>
      <c r="DR15" s="113">
        <f>DR73</f>
        <v>0</v>
      </c>
      <c r="DS15" s="112"/>
      <c r="DT15" s="67"/>
      <c r="DU15" s="560"/>
      <c r="DV15" s="569"/>
      <c r="DW15" s="113">
        <f>DW73</f>
        <v>0</v>
      </c>
      <c r="DX15" s="112"/>
      <c r="DY15" s="67"/>
      <c r="DZ15" s="560"/>
      <c r="EA15" s="569"/>
      <c r="EB15" s="113">
        <f>EB73</f>
        <v>0</v>
      </c>
      <c r="EC15" s="112"/>
      <c r="ED15" s="67"/>
      <c r="EE15" s="560"/>
      <c r="EF15" s="569"/>
      <c r="EG15" s="113">
        <f>EG73</f>
        <v>0</v>
      </c>
      <c r="EH15" s="112"/>
      <c r="EI15" s="67"/>
      <c r="EJ15" s="560"/>
      <c r="EK15" s="569"/>
      <c r="EL15" s="113">
        <f>EL73</f>
        <v>0</v>
      </c>
      <c r="EM15" s="112"/>
      <c r="EN15" s="67"/>
      <c r="EO15" s="455"/>
    </row>
    <row r="16" spans="1:145" x14ac:dyDescent="0.2">
      <c r="A16" s="442"/>
      <c r="B16" s="442"/>
      <c r="C16" s="442"/>
      <c r="D16" s="455"/>
      <c r="E16" s="465"/>
      <c r="F16" s="442"/>
      <c r="G16" s="67"/>
      <c r="H16" s="67"/>
      <c r="I16" s="67"/>
      <c r="J16" s="560"/>
      <c r="K16" s="67"/>
      <c r="L16" s="67"/>
      <c r="M16" s="67"/>
      <c r="N16" s="67"/>
      <c r="O16" s="560"/>
      <c r="P16" s="67"/>
      <c r="Q16" s="67"/>
      <c r="R16" s="67"/>
      <c r="S16" s="67"/>
      <c r="T16" s="560"/>
      <c r="U16" s="67"/>
      <c r="V16" s="67"/>
      <c r="W16" s="67"/>
      <c r="X16" s="67"/>
      <c r="Y16" s="560"/>
      <c r="Z16" s="67"/>
      <c r="AA16" s="67"/>
      <c r="AB16" s="67"/>
      <c r="AC16" s="67"/>
      <c r="AD16" s="560"/>
      <c r="AE16" s="67"/>
      <c r="AF16" s="67"/>
      <c r="AG16" s="67"/>
      <c r="AH16" s="67"/>
      <c r="AI16" s="560"/>
      <c r="AJ16" s="67"/>
      <c r="AK16" s="67"/>
      <c r="AL16" s="67"/>
      <c r="AM16" s="67"/>
      <c r="AN16" s="560"/>
      <c r="AO16" s="67"/>
      <c r="AP16" s="67"/>
      <c r="AQ16" s="67"/>
      <c r="AR16" s="67"/>
      <c r="AS16" s="560"/>
      <c r="AT16" s="67"/>
      <c r="AU16" s="67"/>
      <c r="AV16" s="67"/>
      <c r="AW16" s="67"/>
      <c r="AX16" s="560"/>
      <c r="AY16" s="67"/>
      <c r="AZ16" s="67"/>
      <c r="BA16" s="67"/>
      <c r="BB16" s="67"/>
      <c r="BC16" s="560"/>
      <c r="BD16" s="67"/>
      <c r="BE16" s="67"/>
      <c r="BF16" s="67"/>
      <c r="BG16" s="67"/>
      <c r="BH16" s="560"/>
      <c r="BI16" s="67"/>
      <c r="BJ16" s="67"/>
      <c r="BK16" s="67"/>
      <c r="BL16" s="67"/>
      <c r="BM16" s="560"/>
      <c r="BN16" s="67"/>
      <c r="BO16" s="67"/>
      <c r="BP16" s="67"/>
      <c r="BQ16" s="67"/>
      <c r="BR16" s="560"/>
      <c r="BS16" s="67"/>
      <c r="BT16" s="67"/>
      <c r="BU16" s="67"/>
      <c r="BV16" s="67"/>
      <c r="BW16" s="560"/>
      <c r="BX16" s="67"/>
      <c r="BY16" s="67"/>
      <c r="BZ16" s="67"/>
      <c r="CA16" s="67"/>
      <c r="CB16" s="560"/>
      <c r="CC16" s="67"/>
      <c r="CD16" s="67"/>
      <c r="CE16" s="67"/>
      <c r="CF16" s="67"/>
      <c r="CG16" s="560"/>
      <c r="CH16" s="67"/>
      <c r="CI16" s="67"/>
      <c r="CJ16" s="67"/>
      <c r="CK16" s="67"/>
      <c r="CL16" s="560"/>
      <c r="CM16" s="67"/>
      <c r="CN16" s="67"/>
      <c r="CO16" s="67"/>
      <c r="CP16" s="67"/>
      <c r="CQ16" s="560"/>
      <c r="CR16" s="67"/>
      <c r="CS16" s="67"/>
      <c r="CT16" s="67"/>
      <c r="CU16" s="67"/>
      <c r="CV16" s="560"/>
      <c r="CW16" s="67"/>
      <c r="CX16" s="67"/>
      <c r="CY16" s="67"/>
      <c r="CZ16" s="67"/>
      <c r="DA16" s="560"/>
      <c r="DB16" s="67"/>
      <c r="DC16" s="67"/>
      <c r="DD16" s="67"/>
      <c r="DE16" s="67"/>
      <c r="DF16" s="560"/>
      <c r="DG16" s="67"/>
      <c r="DH16" s="67"/>
      <c r="DI16" s="67"/>
      <c r="DJ16" s="67"/>
      <c r="DK16" s="560"/>
      <c r="DL16" s="67"/>
      <c r="DM16" s="67"/>
      <c r="DN16" s="67"/>
      <c r="DO16" s="67"/>
      <c r="DP16" s="560"/>
      <c r="DQ16" s="67"/>
      <c r="DR16" s="67"/>
      <c r="DS16" s="67"/>
      <c r="DT16" s="67"/>
      <c r="DU16" s="560"/>
      <c r="DV16" s="67"/>
      <c r="DW16" s="67"/>
      <c r="DX16" s="67"/>
      <c r="DY16" s="67"/>
      <c r="DZ16" s="560"/>
      <c r="EA16" s="67"/>
      <c r="EB16" s="67"/>
      <c r="EC16" s="67"/>
      <c r="ED16" s="67"/>
      <c r="EE16" s="560"/>
      <c r="EF16" s="67"/>
      <c r="EG16" s="67"/>
      <c r="EH16" s="67"/>
      <c r="EI16" s="67"/>
      <c r="EJ16" s="560"/>
      <c r="EK16" s="67"/>
      <c r="EL16" s="67"/>
      <c r="EM16" s="67"/>
      <c r="EN16" s="67"/>
      <c r="EO16" s="455"/>
    </row>
    <row r="17" spans="1:148" s="472" customFormat="1" x14ac:dyDescent="0.2">
      <c r="A17" s="443"/>
      <c r="B17" s="443"/>
      <c r="C17" s="443"/>
      <c r="D17" s="466" t="s">
        <v>444</v>
      </c>
      <c r="E17" s="468"/>
      <c r="F17" s="443"/>
      <c r="G17" s="58">
        <f>SUM(G18:G20)</f>
        <v>29260000</v>
      </c>
      <c r="H17" s="58"/>
      <c r="I17" s="58"/>
      <c r="J17" s="556"/>
      <c r="K17" s="58"/>
      <c r="L17" s="58">
        <f>SUM(L18:L20)</f>
        <v>0</v>
      </c>
      <c r="M17" s="58"/>
      <c r="N17" s="58"/>
      <c r="O17" s="556"/>
      <c r="P17" s="58"/>
      <c r="Q17" s="58">
        <f>SUM(Q18:Q20)</f>
        <v>0</v>
      </c>
      <c r="R17" s="58"/>
      <c r="S17" s="58"/>
      <c r="T17" s="556"/>
      <c r="U17" s="58"/>
      <c r="V17" s="58">
        <f>SUM(V18:V20)</f>
        <v>0</v>
      </c>
      <c r="W17" s="58"/>
      <c r="X17" s="58"/>
      <c r="Y17" s="556"/>
      <c r="Z17" s="58"/>
      <c r="AA17" s="58">
        <f>SUM(AA18:AA20)</f>
        <v>0</v>
      </c>
      <c r="AB17" s="58"/>
      <c r="AC17" s="58"/>
      <c r="AD17" s="556"/>
      <c r="AE17" s="58"/>
      <c r="AF17" s="58">
        <f>SUM(AF18:AF20)</f>
        <v>0</v>
      </c>
      <c r="AG17" s="58"/>
      <c r="AH17" s="58"/>
      <c r="AI17" s="556"/>
      <c r="AJ17" s="58"/>
      <c r="AK17" s="58">
        <f>SUM(AK18:AK20)</f>
        <v>0</v>
      </c>
      <c r="AL17" s="58"/>
      <c r="AM17" s="58"/>
      <c r="AN17" s="556"/>
      <c r="AO17" s="58"/>
      <c r="AP17" s="58">
        <f>SUM(AP18:AP20)</f>
        <v>0</v>
      </c>
      <c r="AQ17" s="58"/>
      <c r="AR17" s="58"/>
      <c r="AS17" s="556"/>
      <c r="AT17" s="58"/>
      <c r="AU17" s="58">
        <f>SUM(AU18:AU20)</f>
        <v>0</v>
      </c>
      <c r="AV17" s="58"/>
      <c r="AW17" s="58"/>
      <c r="AX17" s="556"/>
      <c r="AY17" s="58"/>
      <c r="AZ17" s="58">
        <f>SUM(AZ18:AZ20)</f>
        <v>0</v>
      </c>
      <c r="BA17" s="58"/>
      <c r="BB17" s="58"/>
      <c r="BC17" s="556"/>
      <c r="BD17" s="58"/>
      <c r="BE17" s="58">
        <f>SUM(BE18:BE20)</f>
        <v>0</v>
      </c>
      <c r="BF17" s="58"/>
      <c r="BG17" s="58"/>
      <c r="BH17" s="556"/>
      <c r="BI17" s="58"/>
      <c r="BJ17" s="58">
        <f>SUM(BJ18:BJ20)</f>
        <v>0</v>
      </c>
      <c r="BK17" s="58"/>
      <c r="BL17" s="58"/>
      <c r="BM17" s="556"/>
      <c r="BN17" s="58"/>
      <c r="BO17" s="58">
        <f>SUM(BO18:BO20)</f>
        <v>0</v>
      </c>
      <c r="BP17" s="58"/>
      <c r="BQ17" s="58"/>
      <c r="BR17" s="556"/>
      <c r="BS17" s="58"/>
      <c r="BT17" s="58">
        <f>SUM(BT18:BT20)</f>
        <v>0</v>
      </c>
      <c r="BU17" s="58"/>
      <c r="BV17" s="58"/>
      <c r="BW17" s="556"/>
      <c r="BX17" s="58"/>
      <c r="BY17" s="58">
        <f>SUM(BY18:BY20)</f>
        <v>76052000</v>
      </c>
      <c r="BZ17" s="58"/>
      <c r="CA17" s="58"/>
      <c r="CB17" s="556"/>
      <c r="CC17" s="58"/>
      <c r="CD17" s="58">
        <f>SUM(CD18:CD20)</f>
        <v>0</v>
      </c>
      <c r="CE17" s="58"/>
      <c r="CF17" s="58"/>
      <c r="CG17" s="556"/>
      <c r="CH17" s="58"/>
      <c r="CI17" s="58">
        <f>SUM(CI18:CI20)</f>
        <v>0</v>
      </c>
      <c r="CJ17" s="58"/>
      <c r="CK17" s="58"/>
      <c r="CL17" s="556"/>
      <c r="CM17" s="58"/>
      <c r="CN17" s="58">
        <f>SUM(CN18:CN20)</f>
        <v>0</v>
      </c>
      <c r="CO17" s="58"/>
      <c r="CP17" s="58"/>
      <c r="CQ17" s="556"/>
      <c r="CR17" s="58"/>
      <c r="CS17" s="58">
        <f>SUM(CS18:CS20)</f>
        <v>0</v>
      </c>
      <c r="CT17" s="58"/>
      <c r="CU17" s="58"/>
      <c r="CV17" s="556"/>
      <c r="CW17" s="58"/>
      <c r="CX17" s="58">
        <f>SUM(CX18:CX20)</f>
        <v>0</v>
      </c>
      <c r="CY17" s="58"/>
      <c r="CZ17" s="58"/>
      <c r="DA17" s="556"/>
      <c r="DB17" s="58"/>
      <c r="DC17" s="58">
        <f>SUM(DC18:DC20)</f>
        <v>76052000</v>
      </c>
      <c r="DD17" s="58"/>
      <c r="DE17" s="58"/>
      <c r="DF17" s="556"/>
      <c r="DG17" s="58"/>
      <c r="DH17" s="58">
        <f>SUM(DH18:DH20)</f>
        <v>0</v>
      </c>
      <c r="DI17" s="58"/>
      <c r="DJ17" s="58"/>
      <c r="DK17" s="556"/>
      <c r="DL17" s="58"/>
      <c r="DM17" s="58">
        <f>SUM(DM18:DM20)</f>
        <v>0</v>
      </c>
      <c r="DN17" s="58"/>
      <c r="DO17" s="58"/>
      <c r="DP17" s="556"/>
      <c r="DQ17" s="58"/>
      <c r="DR17" s="58">
        <f>SUM(DR18:DR20)</f>
        <v>0</v>
      </c>
      <c r="DS17" s="58"/>
      <c r="DT17" s="58"/>
      <c r="DU17" s="556"/>
      <c r="DV17" s="58"/>
      <c r="DW17" s="58">
        <f>SUM(DW18:DW20)</f>
        <v>0</v>
      </c>
      <c r="DX17" s="58"/>
      <c r="DY17" s="58"/>
      <c r="DZ17" s="556"/>
      <c r="EA17" s="58"/>
      <c r="EB17" s="58">
        <f>SUM(EB18:EB20)</f>
        <v>0</v>
      </c>
      <c r="EC17" s="58"/>
      <c r="ED17" s="58"/>
      <c r="EE17" s="556"/>
      <c r="EF17" s="58"/>
      <c r="EG17" s="58">
        <f>SUM(EG18:EG20)</f>
        <v>0</v>
      </c>
      <c r="EH17" s="58"/>
      <c r="EI17" s="58"/>
      <c r="EJ17" s="556"/>
      <c r="EK17" s="58"/>
      <c r="EL17" s="58">
        <f>SUM(EL18:EL20)</f>
        <v>0</v>
      </c>
      <c r="EM17" s="58"/>
      <c r="EN17" s="58"/>
      <c r="EO17" s="466"/>
      <c r="EQ17" s="53"/>
      <c r="ER17" s="53"/>
    </row>
    <row r="18" spans="1:148" x14ac:dyDescent="0.2">
      <c r="A18" s="442"/>
      <c r="B18" s="442"/>
      <c r="C18" s="442"/>
      <c r="D18" s="455" t="s">
        <v>342</v>
      </c>
      <c r="E18" s="465"/>
      <c r="F18" s="473"/>
      <c r="G18" s="558">
        <v>29260000</v>
      </c>
      <c r="H18" s="559"/>
      <c r="I18" s="67"/>
      <c r="J18" s="560"/>
      <c r="K18" s="561"/>
      <c r="L18" s="558">
        <f>+L38+L43+L57+L84+L89+L94+L33+L28+L23</f>
        <v>0</v>
      </c>
      <c r="M18" s="559"/>
      <c r="N18" s="67"/>
      <c r="O18" s="560"/>
      <c r="P18" s="561"/>
      <c r="Q18" s="558">
        <f>+Q38+Q43+Q57+Q84+Q89+Q94+Q33+Q28+Q23</f>
        <v>0</v>
      </c>
      <c r="R18" s="559"/>
      <c r="S18" s="67"/>
      <c r="T18" s="560"/>
      <c r="U18" s="561"/>
      <c r="V18" s="558">
        <f>+V38+V43+V57+V84+V89+V94+V33+V28+V23</f>
        <v>0</v>
      </c>
      <c r="W18" s="559"/>
      <c r="X18" s="67"/>
      <c r="Y18" s="560"/>
      <c r="Z18" s="561"/>
      <c r="AA18" s="558">
        <f>+AA38+AA43+AA57+AA84+AA89+AA94+AA33+AA28+AA23</f>
        <v>0</v>
      </c>
      <c r="AB18" s="559"/>
      <c r="AC18" s="67"/>
      <c r="AD18" s="560"/>
      <c r="AE18" s="561"/>
      <c r="AF18" s="558">
        <f>+AF38+AF43+AF57+AF84+AF89+AF94+AF33+AF28+AF23</f>
        <v>0</v>
      </c>
      <c r="AG18" s="559"/>
      <c r="AH18" s="67"/>
      <c r="AI18" s="560"/>
      <c r="AJ18" s="561"/>
      <c r="AK18" s="558">
        <f>+AK38+AK43+AK57+AK84+AK89+AK94+AK33+AK28+AK23</f>
        <v>0</v>
      </c>
      <c r="AL18" s="559"/>
      <c r="AM18" s="67"/>
      <c r="AN18" s="560"/>
      <c r="AO18" s="561"/>
      <c r="AP18" s="558">
        <f>+AP38+AP43+AP57+AP84+AP89+AP94+AP33+AP28+AP23</f>
        <v>0</v>
      </c>
      <c r="AQ18" s="559"/>
      <c r="AR18" s="67"/>
      <c r="AS18" s="560"/>
      <c r="AT18" s="561"/>
      <c r="AU18" s="558">
        <f>+AU38+AU43+AU57+AU84+AU89+AU94+AU33+AU28+AU23</f>
        <v>0</v>
      </c>
      <c r="AV18" s="559"/>
      <c r="AW18" s="67"/>
      <c r="AX18" s="560"/>
      <c r="AY18" s="561"/>
      <c r="AZ18" s="558">
        <f>+AZ38+AZ43+AZ57+AZ84+AZ89+AZ94+AZ33+AZ28+AZ23</f>
        <v>0</v>
      </c>
      <c r="BA18" s="559"/>
      <c r="BB18" s="67"/>
      <c r="BC18" s="560"/>
      <c r="BD18" s="561"/>
      <c r="BE18" s="558">
        <f>+BE38+BE43+BE57+BE84+BE89+BE94+BE33+BE28+BE23</f>
        <v>0</v>
      </c>
      <c r="BF18" s="559"/>
      <c r="BG18" s="67"/>
      <c r="BH18" s="560"/>
      <c r="BI18" s="561"/>
      <c r="BJ18" s="558">
        <f>+BJ38+BJ43+BJ57+BJ84+BJ89+BJ94+BJ33+BJ28+BJ23</f>
        <v>0</v>
      </c>
      <c r="BK18" s="559"/>
      <c r="BL18" s="67"/>
      <c r="BM18" s="560"/>
      <c r="BN18" s="561"/>
      <c r="BO18" s="558">
        <f>+BO38+BO43+BO57+BO84+BO89+BO94+BO33+BO28+BO23</f>
        <v>0</v>
      </c>
      <c r="BP18" s="559"/>
      <c r="BQ18" s="67"/>
      <c r="BR18" s="560"/>
      <c r="BS18" s="561"/>
      <c r="BT18" s="558">
        <f>+BT38+BT43+BT57+BT84+BT89+BT94+BT33+BT28+BT23</f>
        <v>0</v>
      </c>
      <c r="BU18" s="559"/>
      <c r="BV18" s="67"/>
      <c r="BW18" s="560"/>
      <c r="BX18" s="561"/>
      <c r="BY18" s="558">
        <v>76052000</v>
      </c>
      <c r="BZ18" s="559"/>
      <c r="CA18" s="67"/>
      <c r="CB18" s="560"/>
      <c r="CC18" s="561"/>
      <c r="CD18" s="558">
        <f>+CD38+CD43+CD57+CD84+CD89+CD94+CD33+CD28+CD23</f>
        <v>0</v>
      </c>
      <c r="CE18" s="559"/>
      <c r="CF18" s="67"/>
      <c r="CG18" s="560"/>
      <c r="CH18" s="561"/>
      <c r="CI18" s="558">
        <f>+CI38+CI43+CI57+CI84+CI89+CI94+CI33+CI28+CI23</f>
        <v>0</v>
      </c>
      <c r="CJ18" s="559"/>
      <c r="CK18" s="67"/>
      <c r="CL18" s="560"/>
      <c r="CM18" s="561"/>
      <c r="CN18" s="558">
        <f>+CN38+CN43+CN57+CN84+CN89+CN94+CN33+CN28+CN23</f>
        <v>0</v>
      </c>
      <c r="CO18" s="559"/>
      <c r="CP18" s="67"/>
      <c r="CQ18" s="560"/>
      <c r="CR18" s="561"/>
      <c r="CS18" s="558">
        <f>+CS38+CS43+CS57+CS84+CS89+CS94+CS33+CS28+CS23</f>
        <v>0</v>
      </c>
      <c r="CT18" s="559"/>
      <c r="CU18" s="67"/>
      <c r="CV18" s="560"/>
      <c r="CW18" s="561"/>
      <c r="CX18" s="558">
        <f>+CX38+CX43+CX57+CX84+CX89+CX94+CX33+CX28+CX23</f>
        <v>0</v>
      </c>
      <c r="CY18" s="559"/>
      <c r="CZ18" s="67"/>
      <c r="DA18" s="560"/>
      <c r="DB18" s="561"/>
      <c r="DC18" s="558">
        <f>+DC38+DC43+DC57+DC84+DC89+DC94+DC33+DC28+DC23</f>
        <v>76052000</v>
      </c>
      <c r="DD18" s="559"/>
      <c r="DE18" s="67"/>
      <c r="DF18" s="560"/>
      <c r="DG18" s="561"/>
      <c r="DH18" s="558">
        <f>+DH38+DH43+DH57+DH84+DH89+DH94+DH33+DH28+DH23</f>
        <v>0</v>
      </c>
      <c r="DI18" s="559"/>
      <c r="DJ18" s="67"/>
      <c r="DK18" s="560"/>
      <c r="DL18" s="561"/>
      <c r="DM18" s="558">
        <f>+DM38+DM43+DM57+DM84+DM89+DM94+DM33+DM28+DM23</f>
        <v>0</v>
      </c>
      <c r="DN18" s="559"/>
      <c r="DO18" s="67"/>
      <c r="DP18" s="560"/>
      <c r="DQ18" s="561"/>
      <c r="DR18" s="558">
        <f>+DR38+DR43+DR57+DR84+DR89+DR94+DR33+DR28+DR23</f>
        <v>0</v>
      </c>
      <c r="DS18" s="559"/>
      <c r="DT18" s="67"/>
      <c r="DU18" s="560"/>
      <c r="DV18" s="561"/>
      <c r="DW18" s="558">
        <f>+DW38+DW43+DW57+DW84+DW89+DW94+DW33+DW28+DW23</f>
        <v>0</v>
      </c>
      <c r="DX18" s="559"/>
      <c r="DY18" s="67"/>
      <c r="DZ18" s="560"/>
      <c r="EA18" s="561"/>
      <c r="EB18" s="558">
        <f>+EB38+EB43+EB57+EB84+EB89+EB94+EB33+EB28+EB23</f>
        <v>0</v>
      </c>
      <c r="EC18" s="559"/>
      <c r="ED18" s="67"/>
      <c r="EE18" s="560"/>
      <c r="EF18" s="561"/>
      <c r="EG18" s="558">
        <f>+EG38+EG43+EG57+EG84+EG89+EG94+EG33+EG28+EG23</f>
        <v>0</v>
      </c>
      <c r="EH18" s="559"/>
      <c r="EI18" s="67"/>
      <c r="EJ18" s="560"/>
      <c r="EK18" s="561"/>
      <c r="EL18" s="558">
        <f>+EL38+EL43+EL57+EL84+EL89+EL94+EL33+EL28+EL23</f>
        <v>0</v>
      </c>
      <c r="EM18" s="559"/>
      <c r="EN18" s="67"/>
      <c r="EO18" s="455"/>
    </row>
    <row r="19" spans="1:148" x14ac:dyDescent="0.2">
      <c r="A19" s="442"/>
      <c r="B19" s="442"/>
      <c r="C19" s="442"/>
      <c r="D19" s="455" t="s">
        <v>344</v>
      </c>
      <c r="E19" s="465"/>
      <c r="F19" s="465"/>
      <c r="G19" s="67">
        <v>0</v>
      </c>
      <c r="H19" s="66"/>
      <c r="I19" s="67"/>
      <c r="J19" s="560"/>
      <c r="K19" s="560"/>
      <c r="L19" s="67">
        <f>+L39+L44+L85+L90+L95+L34+L29+L24</f>
        <v>0</v>
      </c>
      <c r="M19" s="66"/>
      <c r="N19" s="67"/>
      <c r="O19" s="560"/>
      <c r="P19" s="560"/>
      <c r="Q19" s="67">
        <f>+Q39+Q44+Q85+Q90+Q95+Q34+Q29+Q24</f>
        <v>0</v>
      </c>
      <c r="R19" s="66"/>
      <c r="S19" s="67"/>
      <c r="T19" s="560"/>
      <c r="U19" s="560"/>
      <c r="V19" s="67">
        <f>+V39+V44+V85+V90+V95+V34+V29+V24</f>
        <v>0</v>
      </c>
      <c r="W19" s="66"/>
      <c r="X19" s="67"/>
      <c r="Y19" s="560"/>
      <c r="Z19" s="560"/>
      <c r="AA19" s="67">
        <f>+AA39+AA44+AA85+AA90+AA95+AA34+AA29+AA24</f>
        <v>0</v>
      </c>
      <c r="AB19" s="66"/>
      <c r="AC19" s="67"/>
      <c r="AD19" s="560"/>
      <c r="AE19" s="560"/>
      <c r="AF19" s="67">
        <f>+AF39+AF44+AF85+AF90+AF95+AF34+AF29+AF24</f>
        <v>0</v>
      </c>
      <c r="AG19" s="66"/>
      <c r="AH19" s="67"/>
      <c r="AI19" s="560"/>
      <c r="AJ19" s="560"/>
      <c r="AK19" s="67">
        <f>+AK39+AK44+AK85+AK90+AK95+AK34+AK29+AK24</f>
        <v>0</v>
      </c>
      <c r="AL19" s="66"/>
      <c r="AM19" s="67"/>
      <c r="AN19" s="560"/>
      <c r="AO19" s="560"/>
      <c r="AP19" s="67">
        <f>+AP39+AP44+AP85+AP90+AP95+AP34+AP29+AP24</f>
        <v>0</v>
      </c>
      <c r="AQ19" s="66"/>
      <c r="AR19" s="67"/>
      <c r="AS19" s="560"/>
      <c r="AT19" s="560"/>
      <c r="AU19" s="67">
        <f>+AU39+AU44+AU85+AU90+AU95+AU34+AU29+AU24</f>
        <v>0</v>
      </c>
      <c r="AV19" s="66"/>
      <c r="AW19" s="67"/>
      <c r="AX19" s="560"/>
      <c r="AY19" s="560"/>
      <c r="AZ19" s="67">
        <f>+AZ39+AZ44+AZ85+AZ90+AZ95+AZ34+AZ29+AZ24</f>
        <v>0</v>
      </c>
      <c r="BA19" s="66"/>
      <c r="BB19" s="67"/>
      <c r="BC19" s="560"/>
      <c r="BD19" s="560"/>
      <c r="BE19" s="67">
        <f>+BE39+BE44+BE85+BE90+BE95+BE34+BE29+BE24</f>
        <v>0</v>
      </c>
      <c r="BF19" s="66"/>
      <c r="BG19" s="67"/>
      <c r="BH19" s="560"/>
      <c r="BI19" s="560"/>
      <c r="BJ19" s="67">
        <f>+BJ39+BJ44+BJ85+BJ90+BJ95+BJ34+BJ29+BJ24</f>
        <v>0</v>
      </c>
      <c r="BK19" s="66"/>
      <c r="BL19" s="67"/>
      <c r="BM19" s="560"/>
      <c r="BN19" s="560"/>
      <c r="BO19" s="67">
        <f>+BO39+BO44+BO85+BO90+BO95+BO34+BO29+BO24</f>
        <v>0</v>
      </c>
      <c r="BP19" s="66"/>
      <c r="BQ19" s="67"/>
      <c r="BR19" s="560"/>
      <c r="BS19" s="560"/>
      <c r="BT19" s="67">
        <f>+BT39+BT44+BT85+BT90+BT95+BT34+BT29+BT24</f>
        <v>0</v>
      </c>
      <c r="BU19" s="66"/>
      <c r="BV19" s="67"/>
      <c r="BW19" s="560"/>
      <c r="BX19" s="560"/>
      <c r="BY19" s="67">
        <f>+BY39+BY44+BY85+BY90+BY95+BY34+BY49+BY54</f>
        <v>0</v>
      </c>
      <c r="BZ19" s="66"/>
      <c r="CA19" s="67"/>
      <c r="CB19" s="560"/>
      <c r="CC19" s="560"/>
      <c r="CD19" s="67">
        <f>+CD39+CD44+CD85+CD90+CD95+CD34+CD29+CD24</f>
        <v>0</v>
      </c>
      <c r="CE19" s="66"/>
      <c r="CF19" s="67"/>
      <c r="CG19" s="560"/>
      <c r="CH19" s="560"/>
      <c r="CI19" s="67">
        <f>+CI39+CI44+CI85+CI90+CI95+CI34+CI29+CI24</f>
        <v>0</v>
      </c>
      <c r="CJ19" s="66"/>
      <c r="CK19" s="67"/>
      <c r="CL19" s="560"/>
      <c r="CM19" s="560"/>
      <c r="CN19" s="67">
        <f>+CN39+CN44+CN85+CN90+CN95+CN34+CN29+CN24</f>
        <v>0</v>
      </c>
      <c r="CO19" s="66"/>
      <c r="CP19" s="67"/>
      <c r="CQ19" s="560"/>
      <c r="CR19" s="560"/>
      <c r="CS19" s="67">
        <f>+CS39+CS44+CS85+CS90+CS95+CS34+CS29+CS24</f>
        <v>0</v>
      </c>
      <c r="CT19" s="66"/>
      <c r="CU19" s="67"/>
      <c r="CV19" s="560"/>
      <c r="CW19" s="560"/>
      <c r="CX19" s="67">
        <f>+CX39+CX44+CX85+CX90+CX95+CX34+CX29+CX24</f>
        <v>0</v>
      </c>
      <c r="CY19" s="66"/>
      <c r="CZ19" s="67"/>
      <c r="DA19" s="560"/>
      <c r="DB19" s="560"/>
      <c r="DC19" s="67">
        <f>+DC39+DC44+DC85+DC90+DC95+DC34+DC29+DC24</f>
        <v>0</v>
      </c>
      <c r="DD19" s="66"/>
      <c r="DE19" s="67"/>
      <c r="DF19" s="560"/>
      <c r="DG19" s="560"/>
      <c r="DH19" s="67">
        <f>+DH39+DH44+DH85+DH90+DH95+DH34+DH29+DH24</f>
        <v>0</v>
      </c>
      <c r="DI19" s="66"/>
      <c r="DJ19" s="67"/>
      <c r="DK19" s="560"/>
      <c r="DL19" s="560"/>
      <c r="DM19" s="67">
        <f>+DM39+DM44+DM85+DM90+DM95+DM34+DM29+DM24</f>
        <v>0</v>
      </c>
      <c r="DN19" s="66"/>
      <c r="DO19" s="67"/>
      <c r="DP19" s="560"/>
      <c r="DQ19" s="560"/>
      <c r="DR19" s="67">
        <f>+DR39+DR44+DR85+DR90+DR95+DR34+DR29+DR24</f>
        <v>0</v>
      </c>
      <c r="DS19" s="66"/>
      <c r="DT19" s="67"/>
      <c r="DU19" s="560"/>
      <c r="DV19" s="560"/>
      <c r="DW19" s="67">
        <f>+DW39+DW44+DW85+DW90+DW95+DW34+DW29+DW24</f>
        <v>0</v>
      </c>
      <c r="DX19" s="66"/>
      <c r="DY19" s="67"/>
      <c r="DZ19" s="560"/>
      <c r="EA19" s="560"/>
      <c r="EB19" s="67">
        <f>+EB39+EB44+EB85+EB90+EB95+EB34+EB29+EB24</f>
        <v>0</v>
      </c>
      <c r="EC19" s="66"/>
      <c r="ED19" s="67"/>
      <c r="EE19" s="560"/>
      <c r="EF19" s="560"/>
      <c r="EG19" s="67">
        <f>+EG39+EG44+EG85+EG90+EG95+EG34+EG29+EG24</f>
        <v>0</v>
      </c>
      <c r="EH19" s="66"/>
      <c r="EI19" s="67"/>
      <c r="EJ19" s="560"/>
      <c r="EK19" s="560"/>
      <c r="EL19" s="67">
        <f>+EL39+EL44+EL85+EL90+EL95+EL34+EL29+EL24</f>
        <v>0</v>
      </c>
      <c r="EM19" s="66"/>
      <c r="EN19" s="67"/>
      <c r="EO19" s="455"/>
    </row>
    <row r="20" spans="1:148" x14ac:dyDescent="0.2">
      <c r="A20" s="442"/>
      <c r="B20" s="442"/>
      <c r="C20" s="442"/>
      <c r="D20" s="455" t="s">
        <v>352</v>
      </c>
      <c r="E20" s="465"/>
      <c r="F20" s="488"/>
      <c r="G20" s="113">
        <v>0</v>
      </c>
      <c r="H20" s="112"/>
      <c r="I20" s="67"/>
      <c r="J20" s="560"/>
      <c r="K20" s="569"/>
      <c r="L20" s="113">
        <f>+L40+L45+L86+L91+L96+L35+L30+L25</f>
        <v>0</v>
      </c>
      <c r="M20" s="112"/>
      <c r="N20" s="67"/>
      <c r="O20" s="560"/>
      <c r="P20" s="569"/>
      <c r="Q20" s="113">
        <f>+Q40+Q45+Q86+Q91+Q96+Q35+Q30+Q25</f>
        <v>0</v>
      </c>
      <c r="R20" s="112"/>
      <c r="S20" s="67"/>
      <c r="T20" s="560"/>
      <c r="U20" s="569"/>
      <c r="V20" s="113">
        <f>+V40+V45+V86+V91+V96+V35+V30+V25</f>
        <v>0</v>
      </c>
      <c r="W20" s="112"/>
      <c r="X20" s="67"/>
      <c r="Y20" s="560"/>
      <c r="Z20" s="569"/>
      <c r="AA20" s="113">
        <f>+AA40+AA45+AA86+AA91+AA96+AA35+AA30+AA25</f>
        <v>0</v>
      </c>
      <c r="AB20" s="112"/>
      <c r="AC20" s="67"/>
      <c r="AD20" s="560"/>
      <c r="AE20" s="569"/>
      <c r="AF20" s="113">
        <f>+AF40+AF45+AF86+AF91+AF96+AF35+AF30+AF25</f>
        <v>0</v>
      </c>
      <c r="AG20" s="112"/>
      <c r="AH20" s="67"/>
      <c r="AI20" s="560"/>
      <c r="AJ20" s="569"/>
      <c r="AK20" s="113">
        <f>+AK40+AK45+AK86+AK91+AK96+AK35+AK30+AK25</f>
        <v>0</v>
      </c>
      <c r="AL20" s="112"/>
      <c r="AM20" s="67"/>
      <c r="AN20" s="560"/>
      <c r="AO20" s="569"/>
      <c r="AP20" s="113">
        <f>+AP40+AP45+AP86+AP91+AP96+AP35+AP30+AP25</f>
        <v>0</v>
      </c>
      <c r="AQ20" s="112"/>
      <c r="AR20" s="67"/>
      <c r="AS20" s="560"/>
      <c r="AT20" s="569"/>
      <c r="AU20" s="113">
        <f>+AU40+AU45+AU86+AU91+AU96+AU35+AU30+AU25</f>
        <v>0</v>
      </c>
      <c r="AV20" s="112"/>
      <c r="AW20" s="67"/>
      <c r="AX20" s="560"/>
      <c r="AY20" s="569"/>
      <c r="AZ20" s="113">
        <f>+AZ40+AZ45+AZ86+AZ91+AZ96+AZ35+AZ30+AZ25</f>
        <v>0</v>
      </c>
      <c r="BA20" s="112"/>
      <c r="BB20" s="67"/>
      <c r="BC20" s="560"/>
      <c r="BD20" s="569"/>
      <c r="BE20" s="113">
        <f>+BE40+BE45+BE86+BE91+BE96+BE35+BE30+BE25</f>
        <v>0</v>
      </c>
      <c r="BF20" s="112"/>
      <c r="BG20" s="67"/>
      <c r="BH20" s="560"/>
      <c r="BI20" s="569"/>
      <c r="BJ20" s="113">
        <f>+BJ40+BJ45+BJ86+BJ91+BJ96+BJ35+BJ30+BJ25</f>
        <v>0</v>
      </c>
      <c r="BK20" s="112"/>
      <c r="BL20" s="67"/>
      <c r="BM20" s="560"/>
      <c r="BN20" s="569"/>
      <c r="BO20" s="113">
        <f>+BO40+BO45+BO86+BO91+BO96+BO35+BO30+BO25</f>
        <v>0</v>
      </c>
      <c r="BP20" s="112"/>
      <c r="BQ20" s="67"/>
      <c r="BR20" s="560"/>
      <c r="BS20" s="569"/>
      <c r="BT20" s="113">
        <f>+BT40+BT45+BT86+BT91+BT96+BT35+BT30+BT25</f>
        <v>0</v>
      </c>
      <c r="BU20" s="112"/>
      <c r="BV20" s="67"/>
      <c r="BW20" s="560"/>
      <c r="BX20" s="569"/>
      <c r="BY20" s="113">
        <v>0</v>
      </c>
      <c r="BZ20" s="112"/>
      <c r="CA20" s="67"/>
      <c r="CB20" s="560"/>
      <c r="CC20" s="569"/>
      <c r="CD20" s="113">
        <f>+CD40+CD45+CD86+CD91+CD96+CD35+CD30+CD25</f>
        <v>0</v>
      </c>
      <c r="CE20" s="112"/>
      <c r="CF20" s="67"/>
      <c r="CG20" s="560"/>
      <c r="CH20" s="569"/>
      <c r="CI20" s="113">
        <f>+CI40+CI45+CI86+CI91+CI96+CI35+CI30+CI25</f>
        <v>0</v>
      </c>
      <c r="CJ20" s="112"/>
      <c r="CK20" s="67"/>
      <c r="CL20" s="560"/>
      <c r="CM20" s="569"/>
      <c r="CN20" s="113">
        <f>+CN40+CN45+CN86+CN91+CN96+CN35+CN30+CN25</f>
        <v>0</v>
      </c>
      <c r="CO20" s="112"/>
      <c r="CP20" s="67"/>
      <c r="CQ20" s="560"/>
      <c r="CR20" s="569"/>
      <c r="CS20" s="113">
        <f>+CS40+CS45+CS86+CS91+CS96+CS35+CS30+CS25</f>
        <v>0</v>
      </c>
      <c r="CT20" s="112"/>
      <c r="CU20" s="67"/>
      <c r="CV20" s="560"/>
      <c r="CW20" s="569"/>
      <c r="CX20" s="113">
        <f>+CX40+CX45+CX86+CX91+CX96+CX35+CX30+CX25</f>
        <v>0</v>
      </c>
      <c r="CY20" s="112"/>
      <c r="CZ20" s="67"/>
      <c r="DA20" s="560"/>
      <c r="DB20" s="569"/>
      <c r="DC20" s="113">
        <f>+DC40+DC45+DC86+DC91+DC96+DC35+DC30+DC25</f>
        <v>0</v>
      </c>
      <c r="DD20" s="112"/>
      <c r="DE20" s="67"/>
      <c r="DF20" s="560"/>
      <c r="DG20" s="569"/>
      <c r="DH20" s="113">
        <f>+DH40+DH45+DH86+DH91+DH96+DH35+DH30+DH25</f>
        <v>0</v>
      </c>
      <c r="DI20" s="112"/>
      <c r="DJ20" s="67"/>
      <c r="DK20" s="560"/>
      <c r="DL20" s="569"/>
      <c r="DM20" s="113">
        <f>+DM40+DM45+DM86+DM91+DM96+DM35+DM30+DM25</f>
        <v>0</v>
      </c>
      <c r="DN20" s="112"/>
      <c r="DO20" s="67"/>
      <c r="DP20" s="560"/>
      <c r="DQ20" s="569"/>
      <c r="DR20" s="113">
        <f>+DR40+DR45+DR86+DR91+DR96+DR35+DR30+DR25</f>
        <v>0</v>
      </c>
      <c r="DS20" s="112"/>
      <c r="DT20" s="67"/>
      <c r="DU20" s="560"/>
      <c r="DV20" s="569"/>
      <c r="DW20" s="113">
        <f>+DW40+DW45+DW86+DW91+DW96+DW35+DW30+DW25</f>
        <v>0</v>
      </c>
      <c r="DX20" s="112"/>
      <c r="DY20" s="67"/>
      <c r="DZ20" s="560"/>
      <c r="EA20" s="569"/>
      <c r="EB20" s="113">
        <f>+EB40+EB45+EB86+EB91+EB96+EB35+EB30+EB25</f>
        <v>0</v>
      </c>
      <c r="EC20" s="112"/>
      <c r="ED20" s="67"/>
      <c r="EE20" s="560"/>
      <c r="EF20" s="569"/>
      <c r="EG20" s="113">
        <f>+EG40+EG45+EG86+EG91+EG96+EG35+EG30+EG25</f>
        <v>0</v>
      </c>
      <c r="EH20" s="112"/>
      <c r="EI20" s="67"/>
      <c r="EJ20" s="560"/>
      <c r="EK20" s="569"/>
      <c r="EL20" s="113">
        <f>+EL40+EL45+EL86+EL91+EL96+EL35+EL30+EL25</f>
        <v>0</v>
      </c>
      <c r="EM20" s="112"/>
      <c r="EN20" s="67"/>
      <c r="EO20" s="455"/>
    </row>
    <row r="21" spans="1:148" x14ac:dyDescent="0.2">
      <c r="A21" s="442"/>
      <c r="B21" s="442"/>
      <c r="C21" s="442"/>
      <c r="D21" s="455"/>
      <c r="E21" s="465"/>
      <c r="F21" s="442"/>
      <c r="G21" s="67"/>
      <c r="H21" s="67"/>
      <c r="I21" s="67"/>
      <c r="J21" s="560"/>
      <c r="K21" s="67"/>
      <c r="L21" s="67"/>
      <c r="M21" s="67"/>
      <c r="N21" s="67"/>
      <c r="O21" s="560"/>
      <c r="P21" s="67"/>
      <c r="Q21" s="67"/>
      <c r="R21" s="67"/>
      <c r="S21" s="67"/>
      <c r="T21" s="560"/>
      <c r="U21" s="67"/>
      <c r="V21" s="67"/>
      <c r="W21" s="67"/>
      <c r="X21" s="67"/>
      <c r="Y21" s="560"/>
      <c r="Z21" s="67"/>
      <c r="AA21" s="67"/>
      <c r="AB21" s="67"/>
      <c r="AC21" s="67"/>
      <c r="AD21" s="560"/>
      <c r="AE21" s="67"/>
      <c r="AF21" s="67"/>
      <c r="AG21" s="67"/>
      <c r="AH21" s="67"/>
      <c r="AI21" s="560"/>
      <c r="AJ21" s="67"/>
      <c r="AK21" s="67"/>
      <c r="AL21" s="67"/>
      <c r="AM21" s="67"/>
      <c r="AN21" s="560"/>
      <c r="AO21" s="67"/>
      <c r="AP21" s="67"/>
      <c r="AQ21" s="67"/>
      <c r="AR21" s="67"/>
      <c r="AS21" s="560"/>
      <c r="AT21" s="67"/>
      <c r="AU21" s="67"/>
      <c r="AV21" s="67"/>
      <c r="AW21" s="67"/>
      <c r="AX21" s="560"/>
      <c r="AY21" s="67"/>
      <c r="AZ21" s="67"/>
      <c r="BA21" s="67"/>
      <c r="BB21" s="67"/>
      <c r="BC21" s="560"/>
      <c r="BD21" s="67"/>
      <c r="BE21" s="67"/>
      <c r="BF21" s="67"/>
      <c r="BG21" s="67"/>
      <c r="BH21" s="560"/>
      <c r="BI21" s="67"/>
      <c r="BJ21" s="67"/>
      <c r="BK21" s="67"/>
      <c r="BL21" s="67"/>
      <c r="BM21" s="560"/>
      <c r="BN21" s="67"/>
      <c r="BO21" s="67"/>
      <c r="BP21" s="67"/>
      <c r="BQ21" s="67"/>
      <c r="BR21" s="560"/>
      <c r="BS21" s="67"/>
      <c r="BT21" s="67"/>
      <c r="BU21" s="67"/>
      <c r="BV21" s="67"/>
      <c r="BW21" s="560"/>
      <c r="BX21" s="67"/>
      <c r="BY21" s="67"/>
      <c r="BZ21" s="67"/>
      <c r="CA21" s="67"/>
      <c r="CB21" s="560"/>
      <c r="CC21" s="67"/>
      <c r="CD21" s="67"/>
      <c r="CE21" s="67"/>
      <c r="CF21" s="67"/>
      <c r="CG21" s="560"/>
      <c r="CH21" s="67"/>
      <c r="CI21" s="67"/>
      <c r="CJ21" s="67"/>
      <c r="CK21" s="67"/>
      <c r="CL21" s="560"/>
      <c r="CM21" s="67"/>
      <c r="CN21" s="67"/>
      <c r="CO21" s="67"/>
      <c r="CP21" s="67"/>
      <c r="CQ21" s="560"/>
      <c r="CR21" s="67"/>
      <c r="CS21" s="67"/>
      <c r="CT21" s="67"/>
      <c r="CU21" s="67"/>
      <c r="CV21" s="560"/>
      <c r="CW21" s="67"/>
      <c r="CX21" s="67"/>
      <c r="CY21" s="67"/>
      <c r="CZ21" s="67"/>
      <c r="DA21" s="560"/>
      <c r="DB21" s="67"/>
      <c r="DC21" s="67"/>
      <c r="DD21" s="67"/>
      <c r="DE21" s="67"/>
      <c r="DF21" s="560"/>
      <c r="DG21" s="67"/>
      <c r="DH21" s="67"/>
      <c r="DI21" s="67"/>
      <c r="DJ21" s="67"/>
      <c r="DK21" s="560"/>
      <c r="DL21" s="67"/>
      <c r="DM21" s="67"/>
      <c r="DN21" s="67"/>
      <c r="DO21" s="67"/>
      <c r="DP21" s="560"/>
      <c r="DQ21" s="67"/>
      <c r="DR21" s="67"/>
      <c r="DS21" s="67"/>
      <c r="DT21" s="67"/>
      <c r="DU21" s="560"/>
      <c r="DV21" s="67"/>
      <c r="DW21" s="67"/>
      <c r="DX21" s="67"/>
      <c r="DY21" s="67"/>
      <c r="DZ21" s="560"/>
      <c r="EA21" s="67"/>
      <c r="EB21" s="67"/>
      <c r="EC21" s="67"/>
      <c r="ED21" s="67"/>
      <c r="EE21" s="560"/>
      <c r="EF21" s="67"/>
      <c r="EG21" s="67"/>
      <c r="EH21" s="67"/>
      <c r="EI21" s="67"/>
      <c r="EJ21" s="560"/>
      <c r="EK21" s="67"/>
      <c r="EL21" s="67"/>
      <c r="EM21" s="67"/>
      <c r="EN21" s="67"/>
      <c r="EO21" s="455"/>
    </row>
    <row r="22" spans="1:148" x14ac:dyDescent="0.2">
      <c r="A22" s="442"/>
      <c r="B22" s="442"/>
      <c r="C22" s="442"/>
      <c r="D22" s="455" t="s">
        <v>445</v>
      </c>
      <c r="E22" s="465"/>
      <c r="F22" s="442"/>
      <c r="G22" s="67">
        <f>SUM(G23:G25)</f>
        <v>0</v>
      </c>
      <c r="H22" s="67"/>
      <c r="I22" s="67"/>
      <c r="J22" s="560"/>
      <c r="K22" s="67"/>
      <c r="L22" s="67">
        <f>L23+L25</f>
        <v>0</v>
      </c>
      <c r="M22" s="67"/>
      <c r="N22" s="67"/>
      <c r="O22" s="560"/>
      <c r="P22" s="67"/>
      <c r="Q22" s="67">
        <f>Q23+Q25</f>
        <v>0</v>
      </c>
      <c r="R22" s="67"/>
      <c r="S22" s="67"/>
      <c r="T22" s="560"/>
      <c r="U22" s="67"/>
      <c r="V22" s="67">
        <f>V23+V25</f>
        <v>0</v>
      </c>
      <c r="W22" s="67"/>
      <c r="X22" s="67"/>
      <c r="Y22" s="560"/>
      <c r="Z22" s="67"/>
      <c r="AA22" s="67">
        <f>AA23+AA25</f>
        <v>0</v>
      </c>
      <c r="AB22" s="67"/>
      <c r="AC22" s="67"/>
      <c r="AD22" s="560"/>
      <c r="AE22" s="67"/>
      <c r="AF22" s="67">
        <f>AF23+AF25</f>
        <v>0</v>
      </c>
      <c r="AG22" s="67"/>
      <c r="AH22" s="67"/>
      <c r="AI22" s="560"/>
      <c r="AJ22" s="67"/>
      <c r="AK22" s="67">
        <f>AK23+AK25</f>
        <v>0</v>
      </c>
      <c r="AL22" s="67"/>
      <c r="AM22" s="67"/>
      <c r="AN22" s="560"/>
      <c r="AO22" s="67"/>
      <c r="AP22" s="67">
        <f>AP23+AP25</f>
        <v>0</v>
      </c>
      <c r="AQ22" s="67"/>
      <c r="AR22" s="67"/>
      <c r="AS22" s="560"/>
      <c r="AT22" s="67"/>
      <c r="AU22" s="67">
        <f>AU23+AU25</f>
        <v>0</v>
      </c>
      <c r="AV22" s="67"/>
      <c r="AW22" s="67"/>
      <c r="AX22" s="560"/>
      <c r="AY22" s="67"/>
      <c r="AZ22" s="67">
        <f>AZ23+AZ25</f>
        <v>0</v>
      </c>
      <c r="BA22" s="67"/>
      <c r="BB22" s="67"/>
      <c r="BC22" s="560"/>
      <c r="BD22" s="67"/>
      <c r="BE22" s="67">
        <f>BE23+BE25</f>
        <v>0</v>
      </c>
      <c r="BF22" s="67"/>
      <c r="BG22" s="67"/>
      <c r="BH22" s="560"/>
      <c r="BI22" s="67"/>
      <c r="BJ22" s="67">
        <f>BJ23+BJ25</f>
        <v>0</v>
      </c>
      <c r="BK22" s="67"/>
      <c r="BL22" s="67"/>
      <c r="BM22" s="560"/>
      <c r="BN22" s="67"/>
      <c r="BO22" s="67">
        <f>BO23+BO25</f>
        <v>0</v>
      </c>
      <c r="BP22" s="67"/>
      <c r="BQ22" s="67"/>
      <c r="BR22" s="560"/>
      <c r="BS22" s="67"/>
      <c r="BT22" s="67">
        <f>SUM(BT23:BT25)</f>
        <v>0</v>
      </c>
      <c r="BU22" s="67"/>
      <c r="BV22" s="67"/>
      <c r="BW22" s="560"/>
      <c r="BX22" s="67"/>
      <c r="BY22" s="67">
        <f>SUM(BY23:BY25)</f>
        <v>30420800</v>
      </c>
      <c r="BZ22" s="67"/>
      <c r="CA22" s="67"/>
      <c r="CB22" s="560"/>
      <c r="CC22" s="67"/>
      <c r="CD22" s="67">
        <f>CD23+CD25</f>
        <v>0</v>
      </c>
      <c r="CE22" s="67"/>
      <c r="CF22" s="67"/>
      <c r="CG22" s="560"/>
      <c r="CH22" s="67"/>
      <c r="CI22" s="67">
        <f>CI23+CI25</f>
        <v>0</v>
      </c>
      <c r="CJ22" s="67"/>
      <c r="CK22" s="67"/>
      <c r="CL22" s="560"/>
      <c r="CM22" s="67"/>
      <c r="CN22" s="67">
        <f>CN23+CN25</f>
        <v>0</v>
      </c>
      <c r="CO22" s="67"/>
      <c r="CP22" s="67"/>
      <c r="CQ22" s="560"/>
      <c r="CR22" s="67"/>
      <c r="CS22" s="67">
        <f>CS23+CS25</f>
        <v>0</v>
      </c>
      <c r="CT22" s="67"/>
      <c r="CU22" s="67"/>
      <c r="CV22" s="560"/>
      <c r="CW22" s="67"/>
      <c r="CX22" s="67">
        <f>CX23+CX25</f>
        <v>0</v>
      </c>
      <c r="CY22" s="67"/>
      <c r="CZ22" s="67"/>
      <c r="DA22" s="560"/>
      <c r="DB22" s="67"/>
      <c r="DC22" s="67">
        <f>DC23+DC25</f>
        <v>30420800</v>
      </c>
      <c r="DD22" s="67"/>
      <c r="DE22" s="67"/>
      <c r="DF22" s="560"/>
      <c r="DG22" s="67"/>
      <c r="DH22" s="67">
        <f>DH23+DH25</f>
        <v>0</v>
      </c>
      <c r="DI22" s="67"/>
      <c r="DJ22" s="67"/>
      <c r="DK22" s="560"/>
      <c r="DL22" s="67"/>
      <c r="DM22" s="67">
        <f>DM23+DM25</f>
        <v>0</v>
      </c>
      <c r="DN22" s="67"/>
      <c r="DO22" s="67"/>
      <c r="DP22" s="560"/>
      <c r="DQ22" s="67"/>
      <c r="DR22" s="67">
        <f>DR23+DR25</f>
        <v>0</v>
      </c>
      <c r="DS22" s="67"/>
      <c r="DT22" s="67"/>
      <c r="DU22" s="560"/>
      <c r="DV22" s="67"/>
      <c r="DW22" s="67">
        <f>DW23+DW25</f>
        <v>0</v>
      </c>
      <c r="DX22" s="67"/>
      <c r="DY22" s="67"/>
      <c r="DZ22" s="560"/>
      <c r="EA22" s="67"/>
      <c r="EB22" s="67">
        <f>EB23+EB25</f>
        <v>0</v>
      </c>
      <c r="EC22" s="67"/>
      <c r="ED22" s="67"/>
      <c r="EE22" s="560"/>
      <c r="EF22" s="67"/>
      <c r="EG22" s="67">
        <f>EG23+EG25</f>
        <v>0</v>
      </c>
      <c r="EH22" s="67"/>
      <c r="EI22" s="67"/>
      <c r="EJ22" s="560"/>
      <c r="EK22" s="67"/>
      <c r="EL22" s="67">
        <f>SUM(EL23:EL25)</f>
        <v>0</v>
      </c>
      <c r="EM22" s="67"/>
      <c r="EN22" s="67"/>
      <c r="EO22" s="455"/>
    </row>
    <row r="23" spans="1:148" x14ac:dyDescent="0.2">
      <c r="A23" s="442"/>
      <c r="B23" s="442"/>
      <c r="C23" s="442"/>
      <c r="D23" s="455" t="s">
        <v>342</v>
      </c>
      <c r="E23" s="465"/>
      <c r="F23" s="473"/>
      <c r="G23" s="558">
        <v>0</v>
      </c>
      <c r="H23" s="559"/>
      <c r="I23" s="67"/>
      <c r="J23" s="560"/>
      <c r="K23" s="561"/>
      <c r="L23" s="558">
        <v>0</v>
      </c>
      <c r="M23" s="559"/>
      <c r="N23" s="67"/>
      <c r="O23" s="560"/>
      <c r="P23" s="561"/>
      <c r="Q23" s="558">
        <v>0</v>
      </c>
      <c r="R23" s="559"/>
      <c r="S23" s="67"/>
      <c r="T23" s="560"/>
      <c r="U23" s="561"/>
      <c r="V23" s="558">
        <v>0</v>
      </c>
      <c r="W23" s="559"/>
      <c r="X23" s="67"/>
      <c r="Y23" s="560"/>
      <c r="Z23" s="561"/>
      <c r="AA23" s="558">
        <v>0</v>
      </c>
      <c r="AB23" s="559"/>
      <c r="AC23" s="67"/>
      <c r="AD23" s="560"/>
      <c r="AE23" s="561"/>
      <c r="AF23" s="558">
        <v>0</v>
      </c>
      <c r="AG23" s="559"/>
      <c r="AH23" s="67"/>
      <c r="AI23" s="560"/>
      <c r="AJ23" s="561"/>
      <c r="AK23" s="558">
        <v>0</v>
      </c>
      <c r="AL23" s="559"/>
      <c r="AM23" s="67"/>
      <c r="AN23" s="560"/>
      <c r="AO23" s="561"/>
      <c r="AP23" s="558">
        <v>0</v>
      </c>
      <c r="AQ23" s="559"/>
      <c r="AR23" s="67"/>
      <c r="AS23" s="560"/>
      <c r="AT23" s="561"/>
      <c r="AU23" s="558">
        <v>0</v>
      </c>
      <c r="AV23" s="559"/>
      <c r="AW23" s="67"/>
      <c r="AX23" s="560"/>
      <c r="AY23" s="561"/>
      <c r="AZ23" s="558">
        <v>0</v>
      </c>
      <c r="BA23" s="559"/>
      <c r="BB23" s="67"/>
      <c r="BC23" s="560"/>
      <c r="BD23" s="561"/>
      <c r="BE23" s="558">
        <v>0</v>
      </c>
      <c r="BF23" s="559"/>
      <c r="BG23" s="67"/>
      <c r="BH23" s="560"/>
      <c r="BI23" s="561"/>
      <c r="BJ23" s="558">
        <v>0</v>
      </c>
      <c r="BK23" s="559"/>
      <c r="BL23" s="67"/>
      <c r="BM23" s="560"/>
      <c r="BN23" s="561"/>
      <c r="BO23" s="558">
        <v>0</v>
      </c>
      <c r="BP23" s="559"/>
      <c r="BQ23" s="67"/>
      <c r="BR23" s="560"/>
      <c r="BS23" s="561"/>
      <c r="BT23" s="558">
        <f>SUM(L23:BO23)</f>
        <v>0</v>
      </c>
      <c r="BU23" s="559"/>
      <c r="BV23" s="67"/>
      <c r="BW23" s="560"/>
      <c r="BX23" s="561"/>
      <c r="BY23" s="558">
        <v>30420800</v>
      </c>
      <c r="BZ23" s="559"/>
      <c r="CA23" s="67"/>
      <c r="CB23" s="560"/>
      <c r="CC23" s="561"/>
      <c r="CD23" s="558">
        <v>0</v>
      </c>
      <c r="CE23" s="559"/>
      <c r="CF23" s="67"/>
      <c r="CG23" s="560"/>
      <c r="CH23" s="561"/>
      <c r="CI23" s="558">
        <v>0</v>
      </c>
      <c r="CJ23" s="559"/>
      <c r="CK23" s="67"/>
      <c r="CL23" s="560"/>
      <c r="CM23" s="561"/>
      <c r="CN23" s="558">
        <v>0</v>
      </c>
      <c r="CO23" s="559"/>
      <c r="CP23" s="67"/>
      <c r="CQ23" s="560"/>
      <c r="CR23" s="561"/>
      <c r="CS23" s="558">
        <v>0</v>
      </c>
      <c r="CT23" s="559"/>
      <c r="CU23" s="67"/>
      <c r="CV23" s="560"/>
      <c r="CW23" s="561"/>
      <c r="CX23" s="558">
        <v>0</v>
      </c>
      <c r="CY23" s="559"/>
      <c r="CZ23" s="67"/>
      <c r="DA23" s="560"/>
      <c r="DB23" s="561"/>
      <c r="DC23" s="558">
        <v>30420800</v>
      </c>
      <c r="DD23" s="559"/>
      <c r="DE23" s="67"/>
      <c r="DF23" s="560"/>
      <c r="DG23" s="561"/>
      <c r="DH23" s="558">
        <v>0</v>
      </c>
      <c r="DI23" s="559"/>
      <c r="DJ23" s="67"/>
      <c r="DK23" s="560"/>
      <c r="DL23" s="561"/>
      <c r="DM23" s="558">
        <v>0</v>
      </c>
      <c r="DN23" s="559"/>
      <c r="DO23" s="67"/>
      <c r="DP23" s="560"/>
      <c r="DQ23" s="561"/>
      <c r="DR23" s="558">
        <v>0</v>
      </c>
      <c r="DS23" s="559"/>
      <c r="DT23" s="67"/>
      <c r="DU23" s="560"/>
      <c r="DV23" s="561"/>
      <c r="DW23" s="558">
        <v>0</v>
      </c>
      <c r="DX23" s="559"/>
      <c r="DY23" s="67"/>
      <c r="DZ23" s="560"/>
      <c r="EA23" s="561"/>
      <c r="EB23" s="558">
        <v>0</v>
      </c>
      <c r="EC23" s="559"/>
      <c r="ED23" s="67"/>
      <c r="EE23" s="560"/>
      <c r="EF23" s="561"/>
      <c r="EG23" s="558">
        <v>0</v>
      </c>
      <c r="EH23" s="559"/>
      <c r="EI23" s="67"/>
      <c r="EJ23" s="560"/>
      <c r="EK23" s="561"/>
      <c r="EL23" s="558">
        <f>SUM(CD23:CI23)</f>
        <v>0</v>
      </c>
      <c r="EM23" s="559"/>
      <c r="EN23" s="67"/>
      <c r="EO23" s="455"/>
    </row>
    <row r="24" spans="1:148" x14ac:dyDescent="0.2">
      <c r="A24" s="442"/>
      <c r="B24" s="442"/>
      <c r="C24" s="442"/>
      <c r="D24" s="455" t="s">
        <v>344</v>
      </c>
      <c r="E24" s="465"/>
      <c r="F24" s="465"/>
      <c r="G24" s="67">
        <v>0</v>
      </c>
      <c r="H24" s="66"/>
      <c r="I24" s="67"/>
      <c r="J24" s="560"/>
      <c r="K24" s="560"/>
      <c r="L24" s="67">
        <v>0</v>
      </c>
      <c r="M24" s="66"/>
      <c r="N24" s="67"/>
      <c r="O24" s="560"/>
      <c r="P24" s="560"/>
      <c r="Q24" s="67">
        <v>0</v>
      </c>
      <c r="R24" s="66"/>
      <c r="S24" s="67"/>
      <c r="T24" s="560"/>
      <c r="U24" s="560"/>
      <c r="V24" s="67">
        <v>0</v>
      </c>
      <c r="W24" s="66"/>
      <c r="X24" s="67"/>
      <c r="Y24" s="560"/>
      <c r="Z24" s="560"/>
      <c r="AA24" s="67">
        <v>0</v>
      </c>
      <c r="AB24" s="66"/>
      <c r="AC24" s="67"/>
      <c r="AD24" s="560"/>
      <c r="AE24" s="560"/>
      <c r="AF24" s="67">
        <v>0</v>
      </c>
      <c r="AG24" s="66"/>
      <c r="AH24" s="67"/>
      <c r="AI24" s="560"/>
      <c r="AJ24" s="560"/>
      <c r="AK24" s="67">
        <v>0</v>
      </c>
      <c r="AL24" s="66"/>
      <c r="AM24" s="67"/>
      <c r="AN24" s="560"/>
      <c r="AO24" s="560"/>
      <c r="AP24" s="67">
        <v>0</v>
      </c>
      <c r="AQ24" s="66"/>
      <c r="AR24" s="67"/>
      <c r="AS24" s="560"/>
      <c r="AT24" s="560"/>
      <c r="AU24" s="67">
        <v>0</v>
      </c>
      <c r="AV24" s="66"/>
      <c r="AW24" s="67"/>
      <c r="AX24" s="560"/>
      <c r="AY24" s="560"/>
      <c r="AZ24" s="67">
        <v>0</v>
      </c>
      <c r="BA24" s="66"/>
      <c r="BB24" s="67"/>
      <c r="BC24" s="560"/>
      <c r="BD24" s="560"/>
      <c r="BE24" s="67">
        <v>0</v>
      </c>
      <c r="BF24" s="66"/>
      <c r="BG24" s="67"/>
      <c r="BH24" s="560"/>
      <c r="BI24" s="560"/>
      <c r="BJ24" s="67">
        <v>0</v>
      </c>
      <c r="BK24" s="66"/>
      <c r="BL24" s="67"/>
      <c r="BM24" s="560"/>
      <c r="BN24" s="560"/>
      <c r="BO24" s="67">
        <v>0</v>
      </c>
      <c r="BP24" s="66"/>
      <c r="BQ24" s="67"/>
      <c r="BR24" s="560"/>
      <c r="BS24" s="560"/>
      <c r="BT24" s="67">
        <f>SUM(L24:BO24)</f>
        <v>0</v>
      </c>
      <c r="BU24" s="66"/>
      <c r="BV24" s="67"/>
      <c r="BW24" s="560"/>
      <c r="BX24" s="560"/>
      <c r="BY24" s="67">
        <v>0</v>
      </c>
      <c r="BZ24" s="66"/>
      <c r="CA24" s="67"/>
      <c r="CB24" s="560"/>
      <c r="CC24" s="560"/>
      <c r="CD24" s="67">
        <v>0</v>
      </c>
      <c r="CE24" s="66"/>
      <c r="CF24" s="67"/>
      <c r="CG24" s="560"/>
      <c r="CH24" s="560"/>
      <c r="CI24" s="67">
        <v>0</v>
      </c>
      <c r="CJ24" s="66"/>
      <c r="CK24" s="67"/>
      <c r="CL24" s="560"/>
      <c r="CM24" s="560"/>
      <c r="CN24" s="67">
        <v>0</v>
      </c>
      <c r="CO24" s="66"/>
      <c r="CP24" s="67"/>
      <c r="CQ24" s="560"/>
      <c r="CR24" s="560"/>
      <c r="CS24" s="67">
        <v>0</v>
      </c>
      <c r="CT24" s="66"/>
      <c r="CU24" s="67"/>
      <c r="CV24" s="560"/>
      <c r="CW24" s="560"/>
      <c r="CX24" s="67">
        <v>0</v>
      </c>
      <c r="CY24" s="66"/>
      <c r="CZ24" s="67"/>
      <c r="DA24" s="560"/>
      <c r="DB24" s="560"/>
      <c r="DC24" s="67">
        <v>0</v>
      </c>
      <c r="DD24" s="66"/>
      <c r="DE24" s="67"/>
      <c r="DF24" s="560"/>
      <c r="DG24" s="560"/>
      <c r="DH24" s="67">
        <v>0</v>
      </c>
      <c r="DI24" s="66"/>
      <c r="DJ24" s="67"/>
      <c r="DK24" s="560"/>
      <c r="DL24" s="560"/>
      <c r="DM24" s="67">
        <v>0</v>
      </c>
      <c r="DN24" s="66"/>
      <c r="DO24" s="67"/>
      <c r="DP24" s="560"/>
      <c r="DQ24" s="560"/>
      <c r="DR24" s="67">
        <v>0</v>
      </c>
      <c r="DS24" s="66"/>
      <c r="DT24" s="67"/>
      <c r="DU24" s="560"/>
      <c r="DV24" s="560"/>
      <c r="DW24" s="67">
        <v>0</v>
      </c>
      <c r="DX24" s="66"/>
      <c r="DY24" s="67"/>
      <c r="DZ24" s="560"/>
      <c r="EA24" s="560"/>
      <c r="EB24" s="67">
        <v>0</v>
      </c>
      <c r="EC24" s="66"/>
      <c r="ED24" s="67"/>
      <c r="EE24" s="560"/>
      <c r="EF24" s="560"/>
      <c r="EG24" s="67">
        <v>0</v>
      </c>
      <c r="EH24" s="66"/>
      <c r="EI24" s="67"/>
      <c r="EJ24" s="560"/>
      <c r="EK24" s="560"/>
      <c r="EL24" s="67">
        <f>SUM(CD24:CI24)</f>
        <v>0</v>
      </c>
      <c r="EM24" s="66"/>
      <c r="EN24" s="67"/>
      <c r="EO24" s="455"/>
    </row>
    <row r="25" spans="1:148" x14ac:dyDescent="0.2">
      <c r="A25" s="442"/>
      <c r="B25" s="442"/>
      <c r="C25" s="442"/>
      <c r="D25" s="455" t="s">
        <v>352</v>
      </c>
      <c r="E25" s="465"/>
      <c r="F25" s="488"/>
      <c r="G25" s="113">
        <v>0</v>
      </c>
      <c r="H25" s="112"/>
      <c r="I25" s="67"/>
      <c r="J25" s="560"/>
      <c r="K25" s="569"/>
      <c r="L25" s="113">
        <v>0</v>
      </c>
      <c r="M25" s="112"/>
      <c r="N25" s="67"/>
      <c r="O25" s="560"/>
      <c r="P25" s="569"/>
      <c r="Q25" s="113">
        <v>0</v>
      </c>
      <c r="R25" s="112"/>
      <c r="S25" s="67"/>
      <c r="T25" s="560"/>
      <c r="U25" s="569"/>
      <c r="V25" s="113">
        <v>0</v>
      </c>
      <c r="W25" s="112"/>
      <c r="X25" s="67"/>
      <c r="Y25" s="560"/>
      <c r="Z25" s="569"/>
      <c r="AA25" s="113">
        <v>0</v>
      </c>
      <c r="AB25" s="112"/>
      <c r="AC25" s="67"/>
      <c r="AD25" s="560"/>
      <c r="AE25" s="569"/>
      <c r="AF25" s="113">
        <v>0</v>
      </c>
      <c r="AG25" s="112"/>
      <c r="AH25" s="67"/>
      <c r="AI25" s="560"/>
      <c r="AJ25" s="569"/>
      <c r="AK25" s="113">
        <v>0</v>
      </c>
      <c r="AL25" s="112"/>
      <c r="AM25" s="67"/>
      <c r="AN25" s="560"/>
      <c r="AO25" s="569"/>
      <c r="AP25" s="113">
        <v>0</v>
      </c>
      <c r="AQ25" s="112"/>
      <c r="AR25" s="67"/>
      <c r="AS25" s="560"/>
      <c r="AT25" s="569"/>
      <c r="AU25" s="113">
        <v>0</v>
      </c>
      <c r="AV25" s="112"/>
      <c r="AW25" s="67"/>
      <c r="AX25" s="560"/>
      <c r="AY25" s="569"/>
      <c r="AZ25" s="113">
        <v>0</v>
      </c>
      <c r="BA25" s="112"/>
      <c r="BB25" s="67"/>
      <c r="BC25" s="560"/>
      <c r="BD25" s="569"/>
      <c r="BE25" s="113">
        <v>0</v>
      </c>
      <c r="BF25" s="112"/>
      <c r="BG25" s="67"/>
      <c r="BH25" s="560"/>
      <c r="BI25" s="569"/>
      <c r="BJ25" s="113">
        <v>0</v>
      </c>
      <c r="BK25" s="112"/>
      <c r="BL25" s="67"/>
      <c r="BM25" s="560"/>
      <c r="BN25" s="569"/>
      <c r="BO25" s="113">
        <v>0</v>
      </c>
      <c r="BP25" s="112"/>
      <c r="BQ25" s="67"/>
      <c r="BR25" s="560"/>
      <c r="BS25" s="569"/>
      <c r="BT25" s="113">
        <f>SUM(L25:BO25)</f>
        <v>0</v>
      </c>
      <c r="BU25" s="112"/>
      <c r="BV25" s="67"/>
      <c r="BW25" s="560"/>
      <c r="BX25" s="569"/>
      <c r="BY25" s="113">
        <v>0</v>
      </c>
      <c r="BZ25" s="112"/>
      <c r="CA25" s="67"/>
      <c r="CB25" s="560"/>
      <c r="CC25" s="569"/>
      <c r="CD25" s="113">
        <v>0</v>
      </c>
      <c r="CE25" s="112"/>
      <c r="CF25" s="67"/>
      <c r="CG25" s="560"/>
      <c r="CH25" s="569"/>
      <c r="CI25" s="113">
        <v>0</v>
      </c>
      <c r="CJ25" s="112"/>
      <c r="CK25" s="67"/>
      <c r="CL25" s="560"/>
      <c r="CM25" s="569"/>
      <c r="CN25" s="113">
        <v>0</v>
      </c>
      <c r="CO25" s="112"/>
      <c r="CP25" s="67"/>
      <c r="CQ25" s="560"/>
      <c r="CR25" s="569"/>
      <c r="CS25" s="113">
        <v>0</v>
      </c>
      <c r="CT25" s="112"/>
      <c r="CU25" s="67"/>
      <c r="CV25" s="560"/>
      <c r="CW25" s="569"/>
      <c r="CX25" s="113">
        <v>0</v>
      </c>
      <c r="CY25" s="112"/>
      <c r="CZ25" s="67"/>
      <c r="DA25" s="560"/>
      <c r="DB25" s="569"/>
      <c r="DC25" s="113">
        <v>0</v>
      </c>
      <c r="DD25" s="112"/>
      <c r="DE25" s="67"/>
      <c r="DF25" s="560"/>
      <c r="DG25" s="569"/>
      <c r="DH25" s="113">
        <v>0</v>
      </c>
      <c r="DI25" s="112"/>
      <c r="DJ25" s="67"/>
      <c r="DK25" s="560"/>
      <c r="DL25" s="569"/>
      <c r="DM25" s="113">
        <v>0</v>
      </c>
      <c r="DN25" s="112"/>
      <c r="DO25" s="67"/>
      <c r="DP25" s="560"/>
      <c r="DQ25" s="569"/>
      <c r="DR25" s="113">
        <v>0</v>
      </c>
      <c r="DS25" s="112"/>
      <c r="DT25" s="67"/>
      <c r="DU25" s="560"/>
      <c r="DV25" s="569"/>
      <c r="DW25" s="113">
        <v>0</v>
      </c>
      <c r="DX25" s="112"/>
      <c r="DY25" s="67"/>
      <c r="DZ25" s="560"/>
      <c r="EA25" s="569"/>
      <c r="EB25" s="113">
        <v>0</v>
      </c>
      <c r="EC25" s="112"/>
      <c r="ED25" s="67"/>
      <c r="EE25" s="560"/>
      <c r="EF25" s="569"/>
      <c r="EG25" s="113">
        <v>0</v>
      </c>
      <c r="EH25" s="112"/>
      <c r="EI25" s="67"/>
      <c r="EJ25" s="560"/>
      <c r="EK25" s="569"/>
      <c r="EL25" s="113">
        <f>SUM(CD25:CI25)</f>
        <v>0</v>
      </c>
      <c r="EM25" s="112"/>
      <c r="EN25" s="67"/>
      <c r="EO25" s="455"/>
    </row>
    <row r="26" spans="1:148" x14ac:dyDescent="0.2">
      <c r="A26" s="442"/>
      <c r="B26" s="442"/>
      <c r="C26" s="442"/>
      <c r="D26" s="455"/>
      <c r="E26" s="465"/>
      <c r="F26" s="442"/>
      <c r="G26" s="67"/>
      <c r="H26" s="67"/>
      <c r="I26" s="67"/>
      <c r="J26" s="560"/>
      <c r="K26" s="67"/>
      <c r="L26" s="67"/>
      <c r="M26" s="67"/>
      <c r="N26" s="67"/>
      <c r="O26" s="560"/>
      <c r="P26" s="67"/>
      <c r="Q26" s="67"/>
      <c r="R26" s="67"/>
      <c r="S26" s="67"/>
      <c r="T26" s="560"/>
      <c r="U26" s="67"/>
      <c r="V26" s="67"/>
      <c r="W26" s="67"/>
      <c r="X26" s="67"/>
      <c r="Y26" s="560"/>
      <c r="Z26" s="67"/>
      <c r="AA26" s="67"/>
      <c r="AB26" s="67"/>
      <c r="AC26" s="67"/>
      <c r="AD26" s="560"/>
      <c r="AE26" s="67"/>
      <c r="AF26" s="67"/>
      <c r="AG26" s="67"/>
      <c r="AH26" s="67"/>
      <c r="AI26" s="560"/>
      <c r="AJ26" s="67"/>
      <c r="AK26" s="67"/>
      <c r="AL26" s="67"/>
      <c r="AM26" s="67"/>
      <c r="AN26" s="560"/>
      <c r="AO26" s="67"/>
      <c r="AP26" s="67"/>
      <c r="AQ26" s="67"/>
      <c r="AR26" s="67"/>
      <c r="AS26" s="560"/>
      <c r="AT26" s="67"/>
      <c r="AU26" s="67"/>
      <c r="AV26" s="67"/>
      <c r="AW26" s="67"/>
      <c r="AX26" s="560"/>
      <c r="AY26" s="67"/>
      <c r="AZ26" s="67"/>
      <c r="BA26" s="67"/>
      <c r="BB26" s="67"/>
      <c r="BC26" s="560"/>
      <c r="BD26" s="67"/>
      <c r="BE26" s="67"/>
      <c r="BF26" s="67"/>
      <c r="BG26" s="67"/>
      <c r="BH26" s="560"/>
      <c r="BI26" s="67"/>
      <c r="BJ26" s="67"/>
      <c r="BK26" s="67"/>
      <c r="BL26" s="67"/>
      <c r="BM26" s="560"/>
      <c r="BN26" s="67"/>
      <c r="BO26" s="67"/>
      <c r="BP26" s="67"/>
      <c r="BQ26" s="67"/>
      <c r="BR26" s="560"/>
      <c r="BS26" s="67"/>
      <c r="BT26" s="67"/>
      <c r="BU26" s="67"/>
      <c r="BV26" s="67"/>
      <c r="BW26" s="560"/>
      <c r="BX26" s="67"/>
      <c r="BY26" s="67"/>
      <c r="BZ26" s="67"/>
      <c r="CA26" s="67"/>
      <c r="CB26" s="560"/>
      <c r="CC26" s="67"/>
      <c r="CD26" s="67"/>
      <c r="CE26" s="67"/>
      <c r="CF26" s="67"/>
      <c r="CG26" s="560"/>
      <c r="CH26" s="67"/>
      <c r="CI26" s="67"/>
      <c r="CJ26" s="67"/>
      <c r="CK26" s="67"/>
      <c r="CL26" s="560"/>
      <c r="CM26" s="67"/>
      <c r="CN26" s="67"/>
      <c r="CO26" s="67"/>
      <c r="CP26" s="67"/>
      <c r="CQ26" s="560"/>
      <c r="CR26" s="67"/>
      <c r="CS26" s="67"/>
      <c r="CT26" s="67"/>
      <c r="CU26" s="67"/>
      <c r="CV26" s="560"/>
      <c r="CW26" s="67"/>
      <c r="CX26" s="67"/>
      <c r="CY26" s="67"/>
      <c r="CZ26" s="67"/>
      <c r="DA26" s="560"/>
      <c r="DB26" s="67"/>
      <c r="DC26" s="67"/>
      <c r="DD26" s="67"/>
      <c r="DE26" s="67"/>
      <c r="DF26" s="560"/>
      <c r="DG26" s="67"/>
      <c r="DH26" s="67"/>
      <c r="DI26" s="67"/>
      <c r="DJ26" s="67"/>
      <c r="DK26" s="560"/>
      <c r="DL26" s="67"/>
      <c r="DM26" s="67"/>
      <c r="DN26" s="67"/>
      <c r="DO26" s="67"/>
      <c r="DP26" s="560"/>
      <c r="DQ26" s="67"/>
      <c r="DR26" s="67"/>
      <c r="DS26" s="67"/>
      <c r="DT26" s="67"/>
      <c r="DU26" s="560"/>
      <c r="DV26" s="67"/>
      <c r="DW26" s="67"/>
      <c r="DX26" s="67"/>
      <c r="DY26" s="67"/>
      <c r="DZ26" s="560"/>
      <c r="EA26" s="67"/>
      <c r="EB26" s="67"/>
      <c r="EC26" s="67"/>
      <c r="ED26" s="67"/>
      <c r="EE26" s="560"/>
      <c r="EF26" s="67"/>
      <c r="EG26" s="67"/>
      <c r="EH26" s="67"/>
      <c r="EI26" s="67"/>
      <c r="EJ26" s="560"/>
      <c r="EK26" s="67"/>
      <c r="EL26" s="67"/>
      <c r="EM26" s="67"/>
      <c r="EN26" s="67"/>
      <c r="EO26" s="455"/>
    </row>
    <row r="27" spans="1:148" x14ac:dyDescent="0.2">
      <c r="A27" s="442"/>
      <c r="B27" s="442"/>
      <c r="C27" s="442"/>
      <c r="D27" s="455" t="s">
        <v>446</v>
      </c>
      <c r="E27" s="465"/>
      <c r="F27" s="442"/>
      <c r="G27" s="67">
        <f>SUM(G28:G30)</f>
        <v>0</v>
      </c>
      <c r="H27" s="67"/>
      <c r="I27" s="67"/>
      <c r="J27" s="560"/>
      <c r="K27" s="67"/>
      <c r="L27" s="67">
        <f>L28+L30</f>
        <v>0</v>
      </c>
      <c r="M27" s="67"/>
      <c r="N27" s="67"/>
      <c r="O27" s="560"/>
      <c r="P27" s="67"/>
      <c r="Q27" s="67">
        <f>Q28+Q30</f>
        <v>0</v>
      </c>
      <c r="R27" s="67"/>
      <c r="S27" s="67"/>
      <c r="T27" s="560"/>
      <c r="U27" s="67"/>
      <c r="V27" s="67">
        <f>V28+V30</f>
        <v>0</v>
      </c>
      <c r="W27" s="67"/>
      <c r="X27" s="67"/>
      <c r="Y27" s="560"/>
      <c r="Z27" s="67"/>
      <c r="AA27" s="67">
        <f>AA28+AA30</f>
        <v>0</v>
      </c>
      <c r="AB27" s="67"/>
      <c r="AC27" s="67"/>
      <c r="AD27" s="560"/>
      <c r="AE27" s="67"/>
      <c r="AF27" s="67">
        <f>AF28+AF30</f>
        <v>0</v>
      </c>
      <c r="AG27" s="67"/>
      <c r="AH27" s="67"/>
      <c r="AI27" s="560"/>
      <c r="AJ27" s="67"/>
      <c r="AK27" s="67">
        <f>AK28+AK30</f>
        <v>0</v>
      </c>
      <c r="AL27" s="67"/>
      <c r="AM27" s="67"/>
      <c r="AN27" s="560"/>
      <c r="AO27" s="67"/>
      <c r="AP27" s="67">
        <f>AP28+AP30</f>
        <v>0</v>
      </c>
      <c r="AQ27" s="67"/>
      <c r="AR27" s="67"/>
      <c r="AS27" s="560"/>
      <c r="AT27" s="67"/>
      <c r="AU27" s="67">
        <f>AU28+AU30</f>
        <v>0</v>
      </c>
      <c r="AV27" s="67"/>
      <c r="AW27" s="67"/>
      <c r="AX27" s="560"/>
      <c r="AY27" s="67"/>
      <c r="AZ27" s="67">
        <f>AZ28+AZ30</f>
        <v>0</v>
      </c>
      <c r="BA27" s="67"/>
      <c r="BB27" s="67"/>
      <c r="BC27" s="560"/>
      <c r="BD27" s="67"/>
      <c r="BE27" s="67">
        <f>BE28+BE30</f>
        <v>0</v>
      </c>
      <c r="BF27" s="67"/>
      <c r="BG27" s="67"/>
      <c r="BH27" s="560"/>
      <c r="BI27" s="67"/>
      <c r="BJ27" s="67">
        <f>BJ28+BJ30</f>
        <v>0</v>
      </c>
      <c r="BK27" s="67"/>
      <c r="BL27" s="67"/>
      <c r="BM27" s="560"/>
      <c r="BN27" s="67"/>
      <c r="BO27" s="67">
        <f>BO28+BO30</f>
        <v>0</v>
      </c>
      <c r="BP27" s="67"/>
      <c r="BQ27" s="67"/>
      <c r="BR27" s="560"/>
      <c r="BS27" s="67"/>
      <c r="BT27" s="67">
        <f>SUM(BT28:BT30)</f>
        <v>0</v>
      </c>
      <c r="BU27" s="67"/>
      <c r="BV27" s="67"/>
      <c r="BW27" s="560"/>
      <c r="BX27" s="67"/>
      <c r="BY27" s="67">
        <f>SUM(BY28:BY30)</f>
        <v>45631200</v>
      </c>
      <c r="BZ27" s="67"/>
      <c r="CA27" s="67"/>
      <c r="CB27" s="560"/>
      <c r="CC27" s="67"/>
      <c r="CD27" s="67">
        <f>CD28+CD30</f>
        <v>0</v>
      </c>
      <c r="CE27" s="67"/>
      <c r="CF27" s="67"/>
      <c r="CG27" s="560"/>
      <c r="CH27" s="67"/>
      <c r="CI27" s="67">
        <f>CI28+CI30</f>
        <v>0</v>
      </c>
      <c r="CJ27" s="67"/>
      <c r="CK27" s="67"/>
      <c r="CL27" s="560"/>
      <c r="CM27" s="67"/>
      <c r="CN27" s="67">
        <f>CN28+CN30</f>
        <v>0</v>
      </c>
      <c r="CO27" s="67"/>
      <c r="CP27" s="67"/>
      <c r="CQ27" s="560"/>
      <c r="CR27" s="67"/>
      <c r="CS27" s="67">
        <f>CS28+CS30</f>
        <v>0</v>
      </c>
      <c r="CT27" s="67"/>
      <c r="CU27" s="67"/>
      <c r="CV27" s="560"/>
      <c r="CW27" s="67"/>
      <c r="CX27" s="67">
        <f>CX28+CX30</f>
        <v>0</v>
      </c>
      <c r="CY27" s="67"/>
      <c r="CZ27" s="67"/>
      <c r="DA27" s="560"/>
      <c r="DB27" s="67"/>
      <c r="DC27" s="67">
        <f>DC28+DC30</f>
        <v>45631200</v>
      </c>
      <c r="DD27" s="67"/>
      <c r="DE27" s="67"/>
      <c r="DF27" s="560"/>
      <c r="DG27" s="67"/>
      <c r="DH27" s="67">
        <f>DH28+DH30</f>
        <v>0</v>
      </c>
      <c r="DI27" s="67"/>
      <c r="DJ27" s="67"/>
      <c r="DK27" s="560"/>
      <c r="DL27" s="67"/>
      <c r="DM27" s="67">
        <f>DM28+DM30</f>
        <v>0</v>
      </c>
      <c r="DN27" s="67"/>
      <c r="DO27" s="67"/>
      <c r="DP27" s="560"/>
      <c r="DQ27" s="67"/>
      <c r="DR27" s="67">
        <f>DR28+DR30</f>
        <v>0</v>
      </c>
      <c r="DS27" s="67"/>
      <c r="DT27" s="67"/>
      <c r="DU27" s="560"/>
      <c r="DV27" s="67"/>
      <c r="DW27" s="67">
        <f>DW28+DW30</f>
        <v>0</v>
      </c>
      <c r="DX27" s="67"/>
      <c r="DY27" s="67"/>
      <c r="DZ27" s="560"/>
      <c r="EA27" s="67"/>
      <c r="EB27" s="67">
        <f>EB28+EB30</f>
        <v>0</v>
      </c>
      <c r="EC27" s="67"/>
      <c r="ED27" s="67"/>
      <c r="EE27" s="560"/>
      <c r="EF27" s="67"/>
      <c r="EG27" s="67">
        <f>EG28+EG30</f>
        <v>0</v>
      </c>
      <c r="EH27" s="67"/>
      <c r="EI27" s="67"/>
      <c r="EJ27" s="560"/>
      <c r="EK27" s="67"/>
      <c r="EL27" s="67">
        <f>SUM(EL28:EL30)</f>
        <v>0</v>
      </c>
      <c r="EM27" s="67"/>
      <c r="EN27" s="67"/>
      <c r="EO27" s="455"/>
    </row>
    <row r="28" spans="1:148" x14ac:dyDescent="0.2">
      <c r="A28" s="442"/>
      <c r="B28" s="442"/>
      <c r="C28" s="442"/>
      <c r="D28" s="455" t="s">
        <v>342</v>
      </c>
      <c r="E28" s="465"/>
      <c r="F28" s="473"/>
      <c r="G28" s="558">
        <v>0</v>
      </c>
      <c r="H28" s="559"/>
      <c r="I28" s="67"/>
      <c r="J28" s="560"/>
      <c r="K28" s="561"/>
      <c r="L28" s="558">
        <v>0</v>
      </c>
      <c r="M28" s="559"/>
      <c r="N28" s="67"/>
      <c r="O28" s="560"/>
      <c r="P28" s="561"/>
      <c r="Q28" s="558">
        <v>0</v>
      </c>
      <c r="R28" s="559"/>
      <c r="S28" s="67"/>
      <c r="T28" s="560"/>
      <c r="U28" s="561"/>
      <c r="V28" s="558">
        <v>0</v>
      </c>
      <c r="W28" s="559"/>
      <c r="X28" s="67"/>
      <c r="Y28" s="560"/>
      <c r="Z28" s="561"/>
      <c r="AA28" s="558">
        <v>0</v>
      </c>
      <c r="AB28" s="559"/>
      <c r="AC28" s="67"/>
      <c r="AD28" s="560"/>
      <c r="AE28" s="561"/>
      <c r="AF28" s="558">
        <v>0</v>
      </c>
      <c r="AG28" s="559"/>
      <c r="AH28" s="67"/>
      <c r="AI28" s="560"/>
      <c r="AJ28" s="561"/>
      <c r="AK28" s="558">
        <v>0</v>
      </c>
      <c r="AL28" s="559"/>
      <c r="AM28" s="67"/>
      <c r="AN28" s="560"/>
      <c r="AO28" s="561"/>
      <c r="AP28" s="558">
        <v>0</v>
      </c>
      <c r="AQ28" s="559"/>
      <c r="AR28" s="67"/>
      <c r="AS28" s="560"/>
      <c r="AT28" s="561"/>
      <c r="AU28" s="558">
        <v>0</v>
      </c>
      <c r="AV28" s="559"/>
      <c r="AW28" s="67"/>
      <c r="AX28" s="560"/>
      <c r="AY28" s="561"/>
      <c r="AZ28" s="558">
        <v>0</v>
      </c>
      <c r="BA28" s="559"/>
      <c r="BB28" s="67"/>
      <c r="BC28" s="560"/>
      <c r="BD28" s="561"/>
      <c r="BE28" s="558">
        <v>0</v>
      </c>
      <c r="BF28" s="559"/>
      <c r="BG28" s="67"/>
      <c r="BH28" s="560"/>
      <c r="BI28" s="561"/>
      <c r="BJ28" s="558">
        <v>0</v>
      </c>
      <c r="BK28" s="559"/>
      <c r="BL28" s="67"/>
      <c r="BM28" s="560"/>
      <c r="BN28" s="561"/>
      <c r="BO28" s="558">
        <v>0</v>
      </c>
      <c r="BP28" s="559"/>
      <c r="BQ28" s="67"/>
      <c r="BR28" s="560"/>
      <c r="BS28" s="561"/>
      <c r="BT28" s="558">
        <f>SUM(L28:BO28)</f>
        <v>0</v>
      </c>
      <c r="BU28" s="559"/>
      <c r="BV28" s="67"/>
      <c r="BW28" s="560"/>
      <c r="BX28" s="561"/>
      <c r="BY28" s="558">
        <v>45631200</v>
      </c>
      <c r="BZ28" s="559"/>
      <c r="CA28" s="67"/>
      <c r="CB28" s="560"/>
      <c r="CC28" s="561"/>
      <c r="CD28" s="558">
        <v>0</v>
      </c>
      <c r="CE28" s="559"/>
      <c r="CF28" s="67"/>
      <c r="CG28" s="560"/>
      <c r="CH28" s="561"/>
      <c r="CI28" s="558">
        <v>0</v>
      </c>
      <c r="CJ28" s="559"/>
      <c r="CK28" s="67"/>
      <c r="CL28" s="560"/>
      <c r="CM28" s="561"/>
      <c r="CN28" s="558">
        <v>0</v>
      </c>
      <c r="CO28" s="559"/>
      <c r="CP28" s="67"/>
      <c r="CQ28" s="560"/>
      <c r="CR28" s="561"/>
      <c r="CS28" s="558">
        <v>0</v>
      </c>
      <c r="CT28" s="559"/>
      <c r="CU28" s="67"/>
      <c r="CV28" s="560"/>
      <c r="CW28" s="561"/>
      <c r="CX28" s="558">
        <v>0</v>
      </c>
      <c r="CY28" s="559"/>
      <c r="CZ28" s="67"/>
      <c r="DA28" s="560"/>
      <c r="DB28" s="561"/>
      <c r="DC28" s="558">
        <v>45631200</v>
      </c>
      <c r="DD28" s="559"/>
      <c r="DE28" s="67"/>
      <c r="DF28" s="560"/>
      <c r="DG28" s="561"/>
      <c r="DH28" s="558">
        <v>0</v>
      </c>
      <c r="DI28" s="559"/>
      <c r="DJ28" s="67"/>
      <c r="DK28" s="560"/>
      <c r="DL28" s="561"/>
      <c r="DM28" s="558">
        <v>0</v>
      </c>
      <c r="DN28" s="559"/>
      <c r="DO28" s="67"/>
      <c r="DP28" s="560"/>
      <c r="DQ28" s="561"/>
      <c r="DR28" s="558">
        <v>0</v>
      </c>
      <c r="DS28" s="559"/>
      <c r="DT28" s="67"/>
      <c r="DU28" s="560"/>
      <c r="DV28" s="561"/>
      <c r="DW28" s="558">
        <v>0</v>
      </c>
      <c r="DX28" s="559"/>
      <c r="DY28" s="67"/>
      <c r="DZ28" s="560"/>
      <c r="EA28" s="561"/>
      <c r="EB28" s="558">
        <v>0</v>
      </c>
      <c r="EC28" s="559"/>
      <c r="ED28" s="67"/>
      <c r="EE28" s="560"/>
      <c r="EF28" s="561"/>
      <c r="EG28" s="558">
        <v>0</v>
      </c>
      <c r="EH28" s="559"/>
      <c r="EI28" s="67"/>
      <c r="EJ28" s="560"/>
      <c r="EK28" s="561"/>
      <c r="EL28" s="558">
        <f>SUM(CD28:CI28)</f>
        <v>0</v>
      </c>
      <c r="EM28" s="559"/>
      <c r="EN28" s="67"/>
      <c r="EO28" s="455"/>
    </row>
    <row r="29" spans="1:148" x14ac:dyDescent="0.2">
      <c r="A29" s="442"/>
      <c r="B29" s="442"/>
      <c r="C29" s="442"/>
      <c r="D29" s="455" t="s">
        <v>344</v>
      </c>
      <c r="E29" s="465"/>
      <c r="F29" s="465"/>
      <c r="G29" s="67">
        <v>0</v>
      </c>
      <c r="H29" s="66"/>
      <c r="I29" s="67"/>
      <c r="J29" s="560"/>
      <c r="K29" s="560"/>
      <c r="L29" s="67">
        <v>0</v>
      </c>
      <c r="M29" s="66"/>
      <c r="N29" s="67"/>
      <c r="O29" s="560"/>
      <c r="P29" s="560"/>
      <c r="Q29" s="67">
        <v>0</v>
      </c>
      <c r="R29" s="66"/>
      <c r="S29" s="67"/>
      <c r="T29" s="560"/>
      <c r="U29" s="560"/>
      <c r="V29" s="67">
        <v>0</v>
      </c>
      <c r="W29" s="66"/>
      <c r="X29" s="67"/>
      <c r="Y29" s="560"/>
      <c r="Z29" s="560"/>
      <c r="AA29" s="67">
        <v>0</v>
      </c>
      <c r="AB29" s="66"/>
      <c r="AC29" s="67"/>
      <c r="AD29" s="560"/>
      <c r="AE29" s="560"/>
      <c r="AF29" s="67">
        <v>0</v>
      </c>
      <c r="AG29" s="66"/>
      <c r="AH29" s="67"/>
      <c r="AI29" s="560"/>
      <c r="AJ29" s="560"/>
      <c r="AK29" s="67">
        <v>0</v>
      </c>
      <c r="AL29" s="66"/>
      <c r="AM29" s="67"/>
      <c r="AN29" s="560"/>
      <c r="AO29" s="560"/>
      <c r="AP29" s="67">
        <v>0</v>
      </c>
      <c r="AQ29" s="66"/>
      <c r="AR29" s="67"/>
      <c r="AS29" s="560"/>
      <c r="AT29" s="560"/>
      <c r="AU29" s="67">
        <v>0</v>
      </c>
      <c r="AV29" s="66"/>
      <c r="AW29" s="67"/>
      <c r="AX29" s="560"/>
      <c r="AY29" s="560"/>
      <c r="AZ29" s="67">
        <v>0</v>
      </c>
      <c r="BA29" s="66"/>
      <c r="BB29" s="67"/>
      <c r="BC29" s="560"/>
      <c r="BD29" s="560"/>
      <c r="BE29" s="67">
        <v>0</v>
      </c>
      <c r="BF29" s="66"/>
      <c r="BG29" s="67"/>
      <c r="BH29" s="560"/>
      <c r="BI29" s="560"/>
      <c r="BJ29" s="67">
        <v>0</v>
      </c>
      <c r="BK29" s="66"/>
      <c r="BL29" s="67"/>
      <c r="BM29" s="560"/>
      <c r="BN29" s="560"/>
      <c r="BO29" s="67">
        <v>0</v>
      </c>
      <c r="BP29" s="66"/>
      <c r="BQ29" s="67"/>
      <c r="BR29" s="560"/>
      <c r="BS29" s="560"/>
      <c r="BT29" s="67">
        <f>SUM(L29:BO29)</f>
        <v>0</v>
      </c>
      <c r="BU29" s="66"/>
      <c r="BV29" s="67"/>
      <c r="BW29" s="560"/>
      <c r="BX29" s="560"/>
      <c r="BY29" s="67">
        <v>0</v>
      </c>
      <c r="BZ29" s="66"/>
      <c r="CA29" s="67"/>
      <c r="CB29" s="560"/>
      <c r="CC29" s="560"/>
      <c r="CD29" s="67">
        <v>0</v>
      </c>
      <c r="CE29" s="66"/>
      <c r="CF29" s="67"/>
      <c r="CG29" s="560"/>
      <c r="CH29" s="560"/>
      <c r="CI29" s="67">
        <v>0</v>
      </c>
      <c r="CJ29" s="66"/>
      <c r="CK29" s="67"/>
      <c r="CL29" s="560"/>
      <c r="CM29" s="560"/>
      <c r="CN29" s="67">
        <v>0</v>
      </c>
      <c r="CO29" s="66"/>
      <c r="CP29" s="67"/>
      <c r="CQ29" s="560"/>
      <c r="CR29" s="560"/>
      <c r="CS29" s="67">
        <v>0</v>
      </c>
      <c r="CT29" s="66"/>
      <c r="CU29" s="67"/>
      <c r="CV29" s="560"/>
      <c r="CW29" s="560"/>
      <c r="CX29" s="67">
        <v>0</v>
      </c>
      <c r="CY29" s="66"/>
      <c r="CZ29" s="67"/>
      <c r="DA29" s="560"/>
      <c r="DB29" s="560"/>
      <c r="DC29" s="67">
        <v>0</v>
      </c>
      <c r="DD29" s="66"/>
      <c r="DE29" s="67"/>
      <c r="DF29" s="560"/>
      <c r="DG29" s="560"/>
      <c r="DH29" s="67">
        <v>0</v>
      </c>
      <c r="DI29" s="66"/>
      <c r="DJ29" s="67"/>
      <c r="DK29" s="560"/>
      <c r="DL29" s="560"/>
      <c r="DM29" s="67">
        <v>0</v>
      </c>
      <c r="DN29" s="66"/>
      <c r="DO29" s="67"/>
      <c r="DP29" s="560"/>
      <c r="DQ29" s="560"/>
      <c r="DR29" s="67">
        <v>0</v>
      </c>
      <c r="DS29" s="66"/>
      <c r="DT29" s="67"/>
      <c r="DU29" s="560"/>
      <c r="DV29" s="560"/>
      <c r="DW29" s="67">
        <v>0</v>
      </c>
      <c r="DX29" s="66"/>
      <c r="DY29" s="67"/>
      <c r="DZ29" s="560"/>
      <c r="EA29" s="560"/>
      <c r="EB29" s="67">
        <v>0</v>
      </c>
      <c r="EC29" s="66"/>
      <c r="ED29" s="67"/>
      <c r="EE29" s="560"/>
      <c r="EF29" s="560"/>
      <c r="EG29" s="67">
        <v>0</v>
      </c>
      <c r="EH29" s="66"/>
      <c r="EI29" s="67"/>
      <c r="EJ29" s="560"/>
      <c r="EK29" s="560"/>
      <c r="EL29" s="67">
        <f>SUM(CD29:CI29)</f>
        <v>0</v>
      </c>
      <c r="EM29" s="66"/>
      <c r="EN29" s="67"/>
      <c r="EO29" s="455"/>
    </row>
    <row r="30" spans="1:148" x14ac:dyDescent="0.2">
      <c r="A30" s="442"/>
      <c r="B30" s="442"/>
      <c r="C30" s="442"/>
      <c r="D30" s="455" t="s">
        <v>352</v>
      </c>
      <c r="E30" s="465"/>
      <c r="F30" s="488"/>
      <c r="G30" s="113">
        <v>0</v>
      </c>
      <c r="H30" s="112"/>
      <c r="I30" s="67"/>
      <c r="J30" s="560"/>
      <c r="K30" s="569"/>
      <c r="L30" s="113">
        <v>0</v>
      </c>
      <c r="M30" s="112"/>
      <c r="N30" s="67"/>
      <c r="O30" s="560"/>
      <c r="P30" s="569"/>
      <c r="Q30" s="113">
        <v>0</v>
      </c>
      <c r="R30" s="112"/>
      <c r="S30" s="67"/>
      <c r="T30" s="560"/>
      <c r="U30" s="569"/>
      <c r="V30" s="113">
        <v>0</v>
      </c>
      <c r="W30" s="112"/>
      <c r="X30" s="67"/>
      <c r="Y30" s="560"/>
      <c r="Z30" s="569"/>
      <c r="AA30" s="113">
        <v>0</v>
      </c>
      <c r="AB30" s="112"/>
      <c r="AC30" s="67"/>
      <c r="AD30" s="560"/>
      <c r="AE30" s="569"/>
      <c r="AF30" s="113">
        <v>0</v>
      </c>
      <c r="AG30" s="112"/>
      <c r="AH30" s="67"/>
      <c r="AI30" s="560"/>
      <c r="AJ30" s="569"/>
      <c r="AK30" s="113">
        <v>0</v>
      </c>
      <c r="AL30" s="112"/>
      <c r="AM30" s="67"/>
      <c r="AN30" s="560"/>
      <c r="AO30" s="569"/>
      <c r="AP30" s="113">
        <v>0</v>
      </c>
      <c r="AQ30" s="112"/>
      <c r="AR30" s="67"/>
      <c r="AS30" s="560"/>
      <c r="AT30" s="569"/>
      <c r="AU30" s="113">
        <v>0</v>
      </c>
      <c r="AV30" s="112"/>
      <c r="AW30" s="67"/>
      <c r="AX30" s="560"/>
      <c r="AY30" s="569"/>
      <c r="AZ30" s="113">
        <v>0</v>
      </c>
      <c r="BA30" s="112"/>
      <c r="BB30" s="67"/>
      <c r="BC30" s="560"/>
      <c r="BD30" s="569"/>
      <c r="BE30" s="113">
        <v>0</v>
      </c>
      <c r="BF30" s="112"/>
      <c r="BG30" s="67"/>
      <c r="BH30" s="560"/>
      <c r="BI30" s="569"/>
      <c r="BJ30" s="113">
        <v>0</v>
      </c>
      <c r="BK30" s="112"/>
      <c r="BL30" s="67"/>
      <c r="BM30" s="560"/>
      <c r="BN30" s="569"/>
      <c r="BO30" s="113">
        <v>0</v>
      </c>
      <c r="BP30" s="112"/>
      <c r="BQ30" s="67"/>
      <c r="BR30" s="560"/>
      <c r="BS30" s="569"/>
      <c r="BT30" s="113">
        <f>SUM(L30:BO30)</f>
        <v>0</v>
      </c>
      <c r="BU30" s="112"/>
      <c r="BV30" s="67"/>
      <c r="BW30" s="560"/>
      <c r="BX30" s="569"/>
      <c r="BY30" s="113">
        <v>0</v>
      </c>
      <c r="BZ30" s="112"/>
      <c r="CA30" s="67"/>
      <c r="CB30" s="560"/>
      <c r="CC30" s="569"/>
      <c r="CD30" s="113">
        <v>0</v>
      </c>
      <c r="CE30" s="112"/>
      <c r="CF30" s="67"/>
      <c r="CG30" s="560"/>
      <c r="CH30" s="569"/>
      <c r="CI30" s="113">
        <v>0</v>
      </c>
      <c r="CJ30" s="112"/>
      <c r="CK30" s="67"/>
      <c r="CL30" s="560"/>
      <c r="CM30" s="569"/>
      <c r="CN30" s="113">
        <v>0</v>
      </c>
      <c r="CO30" s="112"/>
      <c r="CP30" s="67"/>
      <c r="CQ30" s="560"/>
      <c r="CR30" s="569"/>
      <c r="CS30" s="113">
        <v>0</v>
      </c>
      <c r="CT30" s="112"/>
      <c r="CU30" s="67"/>
      <c r="CV30" s="560"/>
      <c r="CW30" s="569"/>
      <c r="CX30" s="113">
        <v>0</v>
      </c>
      <c r="CY30" s="112"/>
      <c r="CZ30" s="67"/>
      <c r="DA30" s="560"/>
      <c r="DB30" s="569"/>
      <c r="DC30" s="113">
        <v>0</v>
      </c>
      <c r="DD30" s="112"/>
      <c r="DE30" s="67"/>
      <c r="DF30" s="560"/>
      <c r="DG30" s="569"/>
      <c r="DH30" s="113">
        <v>0</v>
      </c>
      <c r="DI30" s="112"/>
      <c r="DJ30" s="67"/>
      <c r="DK30" s="560"/>
      <c r="DL30" s="569"/>
      <c r="DM30" s="113">
        <v>0</v>
      </c>
      <c r="DN30" s="112"/>
      <c r="DO30" s="67"/>
      <c r="DP30" s="560"/>
      <c r="DQ30" s="569"/>
      <c r="DR30" s="113">
        <v>0</v>
      </c>
      <c r="DS30" s="112"/>
      <c r="DT30" s="67"/>
      <c r="DU30" s="560"/>
      <c r="DV30" s="569"/>
      <c r="DW30" s="113">
        <v>0</v>
      </c>
      <c r="DX30" s="112"/>
      <c r="DY30" s="67"/>
      <c r="DZ30" s="560"/>
      <c r="EA30" s="569"/>
      <c r="EB30" s="113">
        <v>0</v>
      </c>
      <c r="EC30" s="112"/>
      <c r="ED30" s="67"/>
      <c r="EE30" s="560"/>
      <c r="EF30" s="569"/>
      <c r="EG30" s="113">
        <v>0</v>
      </c>
      <c r="EH30" s="112"/>
      <c r="EI30" s="67"/>
      <c r="EJ30" s="560"/>
      <c r="EK30" s="569"/>
      <c r="EL30" s="113">
        <f>SUM(CD30:CI30)</f>
        <v>0</v>
      </c>
      <c r="EM30" s="112"/>
      <c r="EN30" s="67"/>
      <c r="EO30" s="455"/>
    </row>
    <row r="31" spans="1:148" x14ac:dyDescent="0.2">
      <c r="A31" s="442"/>
      <c r="B31" s="442"/>
      <c r="C31" s="442"/>
      <c r="D31" s="455"/>
      <c r="E31" s="465"/>
      <c r="F31" s="442"/>
      <c r="G31" s="67"/>
      <c r="H31" s="67"/>
      <c r="I31" s="67"/>
      <c r="J31" s="560"/>
      <c r="K31" s="67"/>
      <c r="L31" s="67"/>
      <c r="M31" s="67"/>
      <c r="N31" s="67"/>
      <c r="O31" s="560"/>
      <c r="P31" s="67"/>
      <c r="Q31" s="67"/>
      <c r="R31" s="67"/>
      <c r="S31" s="67"/>
      <c r="T31" s="560"/>
      <c r="U31" s="67"/>
      <c r="V31" s="67"/>
      <c r="W31" s="67"/>
      <c r="X31" s="67"/>
      <c r="Y31" s="560"/>
      <c r="Z31" s="67"/>
      <c r="AA31" s="67"/>
      <c r="AB31" s="67"/>
      <c r="AC31" s="67"/>
      <c r="AD31" s="560"/>
      <c r="AE31" s="67"/>
      <c r="AF31" s="67"/>
      <c r="AG31" s="67"/>
      <c r="AH31" s="67"/>
      <c r="AI31" s="560"/>
      <c r="AJ31" s="67"/>
      <c r="AK31" s="67"/>
      <c r="AL31" s="67"/>
      <c r="AM31" s="67"/>
      <c r="AN31" s="560"/>
      <c r="AO31" s="67"/>
      <c r="AP31" s="67"/>
      <c r="AQ31" s="67"/>
      <c r="AR31" s="67"/>
      <c r="AS31" s="560"/>
      <c r="AT31" s="67"/>
      <c r="AU31" s="67"/>
      <c r="AV31" s="67"/>
      <c r="AW31" s="67"/>
      <c r="AX31" s="560"/>
      <c r="AY31" s="67"/>
      <c r="AZ31" s="67"/>
      <c r="BA31" s="67"/>
      <c r="BB31" s="67"/>
      <c r="BC31" s="560"/>
      <c r="BD31" s="67"/>
      <c r="BE31" s="67"/>
      <c r="BF31" s="67"/>
      <c r="BG31" s="67"/>
      <c r="BH31" s="560"/>
      <c r="BI31" s="67"/>
      <c r="BJ31" s="67"/>
      <c r="BK31" s="67"/>
      <c r="BL31" s="67"/>
      <c r="BM31" s="560"/>
      <c r="BN31" s="67"/>
      <c r="BO31" s="67"/>
      <c r="BP31" s="67"/>
      <c r="BQ31" s="67"/>
      <c r="BR31" s="560"/>
      <c r="BS31" s="67"/>
      <c r="BT31" s="67"/>
      <c r="BU31" s="67"/>
      <c r="BV31" s="67"/>
      <c r="BW31" s="560"/>
      <c r="BX31" s="67"/>
      <c r="BY31" s="67"/>
      <c r="BZ31" s="67"/>
      <c r="CA31" s="67"/>
      <c r="CB31" s="560"/>
      <c r="CC31" s="67"/>
      <c r="CD31" s="67"/>
      <c r="CE31" s="67"/>
      <c r="CF31" s="67"/>
      <c r="CG31" s="560"/>
      <c r="CH31" s="67"/>
      <c r="CI31" s="67"/>
      <c r="CJ31" s="67"/>
      <c r="CK31" s="67"/>
      <c r="CL31" s="560"/>
      <c r="CM31" s="67"/>
      <c r="CN31" s="67"/>
      <c r="CO31" s="67"/>
      <c r="CP31" s="67"/>
      <c r="CQ31" s="560"/>
      <c r="CR31" s="67"/>
      <c r="CS31" s="67"/>
      <c r="CT31" s="67"/>
      <c r="CU31" s="67"/>
      <c r="CV31" s="560"/>
      <c r="CW31" s="67"/>
      <c r="CX31" s="67"/>
      <c r="CY31" s="67"/>
      <c r="CZ31" s="67"/>
      <c r="DA31" s="560"/>
      <c r="DB31" s="67"/>
      <c r="DC31" s="67"/>
      <c r="DD31" s="67"/>
      <c r="DE31" s="67"/>
      <c r="DF31" s="560"/>
      <c r="DG31" s="67"/>
      <c r="DH31" s="67"/>
      <c r="DI31" s="67"/>
      <c r="DJ31" s="67"/>
      <c r="DK31" s="560"/>
      <c r="DL31" s="67"/>
      <c r="DM31" s="67"/>
      <c r="DN31" s="67"/>
      <c r="DO31" s="67"/>
      <c r="DP31" s="560"/>
      <c r="DQ31" s="67"/>
      <c r="DR31" s="67"/>
      <c r="DS31" s="67"/>
      <c r="DT31" s="67"/>
      <c r="DU31" s="560"/>
      <c r="DV31" s="67"/>
      <c r="DW31" s="67"/>
      <c r="DX31" s="67"/>
      <c r="DY31" s="67"/>
      <c r="DZ31" s="560"/>
      <c r="EA31" s="67"/>
      <c r="EB31" s="67"/>
      <c r="EC31" s="67"/>
      <c r="ED31" s="67"/>
      <c r="EE31" s="560"/>
      <c r="EF31" s="67"/>
      <c r="EG31" s="67"/>
      <c r="EH31" s="67"/>
      <c r="EI31" s="67"/>
      <c r="EJ31" s="560"/>
      <c r="EK31" s="67"/>
      <c r="EL31" s="67"/>
      <c r="EM31" s="67"/>
      <c r="EN31" s="67"/>
      <c r="EO31" s="455"/>
    </row>
    <row r="32" spans="1:148" hidden="1" x14ac:dyDescent="0.2">
      <c r="A32" s="442"/>
      <c r="B32" s="442"/>
      <c r="C32" s="442"/>
      <c r="D32" s="455" t="s">
        <v>447</v>
      </c>
      <c r="E32" s="465"/>
      <c r="F32" s="442"/>
      <c r="G32" s="67">
        <v>0</v>
      </c>
      <c r="H32" s="67"/>
      <c r="I32" s="67"/>
      <c r="J32" s="560"/>
      <c r="K32" s="67"/>
      <c r="L32" s="67">
        <f>L33+L35</f>
        <v>0</v>
      </c>
      <c r="M32" s="67"/>
      <c r="N32" s="67"/>
      <c r="O32" s="560"/>
      <c r="P32" s="67"/>
      <c r="Q32" s="67">
        <f>Q33+Q35</f>
        <v>0</v>
      </c>
      <c r="R32" s="67"/>
      <c r="S32" s="67"/>
      <c r="T32" s="560"/>
      <c r="U32" s="67"/>
      <c r="V32" s="67">
        <f>V33+V35</f>
        <v>0</v>
      </c>
      <c r="W32" s="67"/>
      <c r="X32" s="67"/>
      <c r="Y32" s="560"/>
      <c r="Z32" s="67"/>
      <c r="AA32" s="67">
        <f>AA33+AA35</f>
        <v>0</v>
      </c>
      <c r="AB32" s="67"/>
      <c r="AC32" s="67"/>
      <c r="AD32" s="560"/>
      <c r="AE32" s="67"/>
      <c r="AF32" s="67">
        <f>AF33+AF35</f>
        <v>0</v>
      </c>
      <c r="AG32" s="67"/>
      <c r="AH32" s="67"/>
      <c r="AI32" s="560"/>
      <c r="AJ32" s="67"/>
      <c r="AK32" s="67">
        <f>AK33+AK35</f>
        <v>0</v>
      </c>
      <c r="AL32" s="67"/>
      <c r="AM32" s="67"/>
      <c r="AN32" s="560"/>
      <c r="AO32" s="67"/>
      <c r="AP32" s="67">
        <f>AP33+AP35</f>
        <v>0</v>
      </c>
      <c r="AQ32" s="67"/>
      <c r="AR32" s="67"/>
      <c r="AS32" s="560"/>
      <c r="AT32" s="67"/>
      <c r="AU32" s="67">
        <f>AU33+AU35</f>
        <v>0</v>
      </c>
      <c r="AV32" s="67"/>
      <c r="AW32" s="67"/>
      <c r="AX32" s="560"/>
      <c r="AY32" s="67"/>
      <c r="AZ32" s="67">
        <f>AZ33+AZ35</f>
        <v>0</v>
      </c>
      <c r="BA32" s="67"/>
      <c r="BB32" s="67"/>
      <c r="BC32" s="560"/>
      <c r="BD32" s="67"/>
      <c r="BE32" s="67">
        <f>BE33+BE35</f>
        <v>0</v>
      </c>
      <c r="BF32" s="67"/>
      <c r="BG32" s="67"/>
      <c r="BH32" s="560"/>
      <c r="BI32" s="67"/>
      <c r="BJ32" s="67">
        <f>BJ33+BJ35</f>
        <v>0</v>
      </c>
      <c r="BK32" s="67"/>
      <c r="BL32" s="67"/>
      <c r="BM32" s="560"/>
      <c r="BN32" s="67"/>
      <c r="BO32" s="67">
        <f>BO33+BO35</f>
        <v>0</v>
      </c>
      <c r="BP32" s="67"/>
      <c r="BQ32" s="67"/>
      <c r="BR32" s="560"/>
      <c r="BS32" s="67"/>
      <c r="BT32" s="67">
        <f>SUM(BT33:BT35)</f>
        <v>0</v>
      </c>
      <c r="BU32" s="67"/>
      <c r="BV32" s="67"/>
      <c r="BW32" s="560"/>
      <c r="BX32" s="67"/>
      <c r="BY32" s="67">
        <f>SUM(BY33:BY35)</f>
        <v>0</v>
      </c>
      <c r="BZ32" s="67"/>
      <c r="CA32" s="67"/>
      <c r="CB32" s="560"/>
      <c r="CC32" s="67"/>
      <c r="CD32" s="67">
        <f>CD33+CD35</f>
        <v>0</v>
      </c>
      <c r="CE32" s="67"/>
      <c r="CF32" s="67"/>
      <c r="CG32" s="560"/>
      <c r="CH32" s="67"/>
      <c r="CI32" s="67">
        <f>CI33+CI35</f>
        <v>0</v>
      </c>
      <c r="CJ32" s="67"/>
      <c r="CK32" s="67"/>
      <c r="CL32" s="560"/>
      <c r="CM32" s="67"/>
      <c r="CN32" s="67">
        <f>CN33+CN35</f>
        <v>0</v>
      </c>
      <c r="CO32" s="67"/>
      <c r="CP32" s="67"/>
      <c r="CQ32" s="560"/>
      <c r="CR32" s="67"/>
      <c r="CS32" s="67">
        <f>CS33+CS35</f>
        <v>0</v>
      </c>
      <c r="CT32" s="67"/>
      <c r="CU32" s="67"/>
      <c r="CV32" s="560"/>
      <c r="CW32" s="67"/>
      <c r="CX32" s="67">
        <f>CX33+CX35</f>
        <v>0</v>
      </c>
      <c r="CY32" s="67"/>
      <c r="CZ32" s="67"/>
      <c r="DA32" s="560"/>
      <c r="DB32" s="67"/>
      <c r="DC32" s="67">
        <f>DC33+DC35</f>
        <v>0</v>
      </c>
      <c r="DD32" s="67"/>
      <c r="DE32" s="67"/>
      <c r="DF32" s="560"/>
      <c r="DG32" s="67"/>
      <c r="DH32" s="67">
        <f>DH33+DH35</f>
        <v>0</v>
      </c>
      <c r="DI32" s="67"/>
      <c r="DJ32" s="67"/>
      <c r="DK32" s="560"/>
      <c r="DL32" s="67"/>
      <c r="DM32" s="67">
        <f>DM33+DM35</f>
        <v>0</v>
      </c>
      <c r="DN32" s="67"/>
      <c r="DO32" s="67"/>
      <c r="DP32" s="560"/>
      <c r="DQ32" s="67"/>
      <c r="DR32" s="67">
        <f>DR33+DR35</f>
        <v>0</v>
      </c>
      <c r="DS32" s="67"/>
      <c r="DT32" s="67"/>
      <c r="DU32" s="560"/>
      <c r="DV32" s="67"/>
      <c r="DW32" s="67">
        <f>DW33+DW35</f>
        <v>0</v>
      </c>
      <c r="DX32" s="67"/>
      <c r="DY32" s="67"/>
      <c r="DZ32" s="560"/>
      <c r="EA32" s="67"/>
      <c r="EB32" s="67">
        <f>EB33+EB35</f>
        <v>0</v>
      </c>
      <c r="EC32" s="67"/>
      <c r="ED32" s="67"/>
      <c r="EE32" s="560"/>
      <c r="EF32" s="67"/>
      <c r="EG32" s="67">
        <f>EG33+EG35</f>
        <v>0</v>
      </c>
      <c r="EH32" s="67"/>
      <c r="EI32" s="67"/>
      <c r="EJ32" s="560"/>
      <c r="EK32" s="67"/>
      <c r="EL32" s="67">
        <f>SUM(EL33:EL35)</f>
        <v>0</v>
      </c>
      <c r="EM32" s="67"/>
      <c r="EN32" s="67"/>
      <c r="EO32" s="455"/>
    </row>
    <row r="33" spans="1:145" hidden="1" x14ac:dyDescent="0.2">
      <c r="A33" s="442"/>
      <c r="B33" s="442"/>
      <c r="C33" s="442"/>
      <c r="D33" s="455" t="s">
        <v>342</v>
      </c>
      <c r="E33" s="465"/>
      <c r="F33" s="473"/>
      <c r="G33" s="558">
        <v>0</v>
      </c>
      <c r="H33" s="559"/>
      <c r="I33" s="67"/>
      <c r="J33" s="560"/>
      <c r="K33" s="561"/>
      <c r="L33" s="558">
        <v>0</v>
      </c>
      <c r="M33" s="559"/>
      <c r="N33" s="67"/>
      <c r="O33" s="560"/>
      <c r="P33" s="561"/>
      <c r="Q33" s="558">
        <v>0</v>
      </c>
      <c r="R33" s="559"/>
      <c r="S33" s="67"/>
      <c r="T33" s="560"/>
      <c r="U33" s="561"/>
      <c r="V33" s="558">
        <v>0</v>
      </c>
      <c r="W33" s="559"/>
      <c r="X33" s="67"/>
      <c r="Y33" s="560"/>
      <c r="Z33" s="561"/>
      <c r="AA33" s="558">
        <v>0</v>
      </c>
      <c r="AB33" s="559"/>
      <c r="AC33" s="67"/>
      <c r="AD33" s="560"/>
      <c r="AE33" s="561"/>
      <c r="AF33" s="558">
        <v>0</v>
      </c>
      <c r="AG33" s="559"/>
      <c r="AH33" s="67"/>
      <c r="AI33" s="560"/>
      <c r="AJ33" s="561"/>
      <c r="AK33" s="558">
        <v>0</v>
      </c>
      <c r="AL33" s="559"/>
      <c r="AM33" s="67"/>
      <c r="AN33" s="560"/>
      <c r="AO33" s="561"/>
      <c r="AP33" s="558">
        <v>0</v>
      </c>
      <c r="AQ33" s="559"/>
      <c r="AR33" s="67"/>
      <c r="AS33" s="560"/>
      <c r="AT33" s="561"/>
      <c r="AU33" s="558">
        <v>0</v>
      </c>
      <c r="AV33" s="559"/>
      <c r="AW33" s="67"/>
      <c r="AX33" s="560"/>
      <c r="AY33" s="561"/>
      <c r="AZ33" s="558">
        <v>0</v>
      </c>
      <c r="BA33" s="559"/>
      <c r="BB33" s="67"/>
      <c r="BC33" s="560"/>
      <c r="BD33" s="561"/>
      <c r="BE33" s="558">
        <v>0</v>
      </c>
      <c r="BF33" s="559"/>
      <c r="BG33" s="67"/>
      <c r="BH33" s="560"/>
      <c r="BI33" s="561"/>
      <c r="BJ33" s="558">
        <v>0</v>
      </c>
      <c r="BK33" s="559"/>
      <c r="BL33" s="67"/>
      <c r="BM33" s="560"/>
      <c r="BN33" s="561"/>
      <c r="BO33" s="558">
        <v>0</v>
      </c>
      <c r="BP33" s="559"/>
      <c r="BQ33" s="67"/>
      <c r="BR33" s="560"/>
      <c r="BS33" s="561"/>
      <c r="BT33" s="558">
        <f>SUM(L33:BO33)</f>
        <v>0</v>
      </c>
      <c r="BU33" s="559"/>
      <c r="BV33" s="67"/>
      <c r="BW33" s="560"/>
      <c r="BX33" s="561"/>
      <c r="BY33" s="558">
        <v>0</v>
      </c>
      <c r="BZ33" s="559"/>
      <c r="CA33" s="67"/>
      <c r="CB33" s="560"/>
      <c r="CC33" s="561"/>
      <c r="CD33" s="558">
        <v>0</v>
      </c>
      <c r="CE33" s="559"/>
      <c r="CF33" s="67"/>
      <c r="CG33" s="560"/>
      <c r="CH33" s="561"/>
      <c r="CI33" s="558">
        <v>0</v>
      </c>
      <c r="CJ33" s="559"/>
      <c r="CK33" s="67"/>
      <c r="CL33" s="560"/>
      <c r="CM33" s="561"/>
      <c r="CN33" s="558">
        <v>0</v>
      </c>
      <c r="CO33" s="559"/>
      <c r="CP33" s="67"/>
      <c r="CQ33" s="560"/>
      <c r="CR33" s="561"/>
      <c r="CS33" s="558">
        <v>0</v>
      </c>
      <c r="CT33" s="559"/>
      <c r="CU33" s="67"/>
      <c r="CV33" s="560"/>
      <c r="CW33" s="561"/>
      <c r="CX33" s="558">
        <v>0</v>
      </c>
      <c r="CY33" s="559"/>
      <c r="CZ33" s="67"/>
      <c r="DA33" s="560"/>
      <c r="DB33" s="561"/>
      <c r="DC33" s="558">
        <v>0</v>
      </c>
      <c r="DD33" s="559"/>
      <c r="DE33" s="67"/>
      <c r="DF33" s="560"/>
      <c r="DG33" s="561"/>
      <c r="DH33" s="558">
        <v>0</v>
      </c>
      <c r="DI33" s="559"/>
      <c r="DJ33" s="67"/>
      <c r="DK33" s="560"/>
      <c r="DL33" s="561"/>
      <c r="DM33" s="558">
        <v>0</v>
      </c>
      <c r="DN33" s="559"/>
      <c r="DO33" s="67"/>
      <c r="DP33" s="560"/>
      <c r="DQ33" s="561"/>
      <c r="DR33" s="558">
        <v>0</v>
      </c>
      <c r="DS33" s="559"/>
      <c r="DT33" s="67"/>
      <c r="DU33" s="560"/>
      <c r="DV33" s="561"/>
      <c r="DW33" s="558">
        <v>0</v>
      </c>
      <c r="DX33" s="559"/>
      <c r="DY33" s="67"/>
      <c r="DZ33" s="560"/>
      <c r="EA33" s="561"/>
      <c r="EB33" s="558">
        <v>0</v>
      </c>
      <c r="EC33" s="559"/>
      <c r="ED33" s="67"/>
      <c r="EE33" s="560"/>
      <c r="EF33" s="561"/>
      <c r="EG33" s="558">
        <v>0</v>
      </c>
      <c r="EH33" s="559"/>
      <c r="EI33" s="67"/>
      <c r="EJ33" s="560"/>
      <c r="EK33" s="561"/>
      <c r="EL33" s="558">
        <f>SUM(CD33:EG33)</f>
        <v>0</v>
      </c>
      <c r="EM33" s="559"/>
      <c r="EN33" s="67"/>
      <c r="EO33" s="455"/>
    </row>
    <row r="34" spans="1:145" hidden="1" x14ac:dyDescent="0.2">
      <c r="A34" s="442"/>
      <c r="B34" s="442"/>
      <c r="C34" s="442"/>
      <c r="D34" s="455" t="s">
        <v>344</v>
      </c>
      <c r="E34" s="465"/>
      <c r="F34" s="465"/>
      <c r="G34" s="67">
        <v>0</v>
      </c>
      <c r="H34" s="66"/>
      <c r="I34" s="67"/>
      <c r="J34" s="560"/>
      <c r="K34" s="560"/>
      <c r="L34" s="67">
        <v>0</v>
      </c>
      <c r="M34" s="66"/>
      <c r="N34" s="67"/>
      <c r="O34" s="560"/>
      <c r="P34" s="560"/>
      <c r="Q34" s="67">
        <v>0</v>
      </c>
      <c r="R34" s="66"/>
      <c r="S34" s="67"/>
      <c r="T34" s="560"/>
      <c r="U34" s="560"/>
      <c r="V34" s="67">
        <v>0</v>
      </c>
      <c r="W34" s="66"/>
      <c r="X34" s="67"/>
      <c r="Y34" s="560"/>
      <c r="Z34" s="560"/>
      <c r="AA34" s="67">
        <v>0</v>
      </c>
      <c r="AB34" s="66"/>
      <c r="AC34" s="67"/>
      <c r="AD34" s="560"/>
      <c r="AE34" s="560"/>
      <c r="AF34" s="67">
        <v>0</v>
      </c>
      <c r="AG34" s="66"/>
      <c r="AH34" s="67"/>
      <c r="AI34" s="560"/>
      <c r="AJ34" s="560"/>
      <c r="AK34" s="67">
        <v>0</v>
      </c>
      <c r="AL34" s="66"/>
      <c r="AM34" s="67"/>
      <c r="AN34" s="560"/>
      <c r="AO34" s="560"/>
      <c r="AP34" s="67">
        <v>0</v>
      </c>
      <c r="AQ34" s="66"/>
      <c r="AR34" s="67"/>
      <c r="AS34" s="560"/>
      <c r="AT34" s="560"/>
      <c r="AU34" s="67">
        <v>0</v>
      </c>
      <c r="AV34" s="66"/>
      <c r="AW34" s="67"/>
      <c r="AX34" s="560"/>
      <c r="AY34" s="560"/>
      <c r="AZ34" s="67">
        <v>0</v>
      </c>
      <c r="BA34" s="66"/>
      <c r="BB34" s="67"/>
      <c r="BC34" s="560"/>
      <c r="BD34" s="560"/>
      <c r="BE34" s="67">
        <v>0</v>
      </c>
      <c r="BF34" s="66"/>
      <c r="BG34" s="67"/>
      <c r="BH34" s="560"/>
      <c r="BI34" s="560"/>
      <c r="BJ34" s="67">
        <v>0</v>
      </c>
      <c r="BK34" s="66"/>
      <c r="BL34" s="67"/>
      <c r="BM34" s="560"/>
      <c r="BN34" s="560"/>
      <c r="BO34" s="67">
        <v>0</v>
      </c>
      <c r="BP34" s="66"/>
      <c r="BQ34" s="67"/>
      <c r="BR34" s="560"/>
      <c r="BS34" s="560"/>
      <c r="BT34" s="67">
        <f>SUM(L34:BO34)</f>
        <v>0</v>
      </c>
      <c r="BU34" s="66"/>
      <c r="BV34" s="67"/>
      <c r="BW34" s="560"/>
      <c r="BX34" s="560"/>
      <c r="BY34" s="67">
        <v>0</v>
      </c>
      <c r="BZ34" s="66"/>
      <c r="CA34" s="67"/>
      <c r="CB34" s="560"/>
      <c r="CC34" s="560"/>
      <c r="CD34" s="67">
        <v>0</v>
      </c>
      <c r="CE34" s="66"/>
      <c r="CF34" s="67"/>
      <c r="CG34" s="560"/>
      <c r="CH34" s="560"/>
      <c r="CI34" s="67">
        <v>0</v>
      </c>
      <c r="CJ34" s="66"/>
      <c r="CK34" s="67"/>
      <c r="CL34" s="560"/>
      <c r="CM34" s="560"/>
      <c r="CN34" s="67">
        <v>0</v>
      </c>
      <c r="CO34" s="66"/>
      <c r="CP34" s="67"/>
      <c r="CQ34" s="560"/>
      <c r="CR34" s="560"/>
      <c r="CS34" s="67">
        <v>0</v>
      </c>
      <c r="CT34" s="66"/>
      <c r="CU34" s="67"/>
      <c r="CV34" s="560"/>
      <c r="CW34" s="560"/>
      <c r="CX34" s="67">
        <v>0</v>
      </c>
      <c r="CY34" s="66"/>
      <c r="CZ34" s="67"/>
      <c r="DA34" s="560"/>
      <c r="DB34" s="560"/>
      <c r="DC34" s="67">
        <v>0</v>
      </c>
      <c r="DD34" s="66"/>
      <c r="DE34" s="67"/>
      <c r="DF34" s="560"/>
      <c r="DG34" s="560"/>
      <c r="DH34" s="67">
        <v>0</v>
      </c>
      <c r="DI34" s="66"/>
      <c r="DJ34" s="67"/>
      <c r="DK34" s="560"/>
      <c r="DL34" s="560"/>
      <c r="DM34" s="67">
        <v>0</v>
      </c>
      <c r="DN34" s="66"/>
      <c r="DO34" s="67"/>
      <c r="DP34" s="560"/>
      <c r="DQ34" s="560"/>
      <c r="DR34" s="67">
        <v>0</v>
      </c>
      <c r="DS34" s="66"/>
      <c r="DT34" s="67"/>
      <c r="DU34" s="560"/>
      <c r="DV34" s="560"/>
      <c r="DW34" s="67">
        <v>0</v>
      </c>
      <c r="DX34" s="66"/>
      <c r="DY34" s="67"/>
      <c r="DZ34" s="560"/>
      <c r="EA34" s="560"/>
      <c r="EB34" s="67">
        <v>0</v>
      </c>
      <c r="EC34" s="66"/>
      <c r="ED34" s="67"/>
      <c r="EE34" s="560"/>
      <c r="EF34" s="560"/>
      <c r="EG34" s="67">
        <v>0</v>
      </c>
      <c r="EH34" s="66"/>
      <c r="EI34" s="67"/>
      <c r="EJ34" s="560"/>
      <c r="EK34" s="560"/>
      <c r="EL34" s="67">
        <f>SUM(CD34:EG34)</f>
        <v>0</v>
      </c>
      <c r="EM34" s="66"/>
      <c r="EN34" s="67"/>
      <c r="EO34" s="455"/>
    </row>
    <row r="35" spans="1:145" hidden="1" x14ac:dyDescent="0.2">
      <c r="A35" s="442"/>
      <c r="B35" s="442"/>
      <c r="C35" s="442"/>
      <c r="D35" s="455" t="s">
        <v>352</v>
      </c>
      <c r="E35" s="465"/>
      <c r="F35" s="488"/>
      <c r="G35" s="113">
        <v>0</v>
      </c>
      <c r="H35" s="112"/>
      <c r="I35" s="67"/>
      <c r="J35" s="560"/>
      <c r="K35" s="569"/>
      <c r="L35" s="113">
        <v>0</v>
      </c>
      <c r="M35" s="112"/>
      <c r="N35" s="67"/>
      <c r="O35" s="560"/>
      <c r="P35" s="569"/>
      <c r="Q35" s="113">
        <v>0</v>
      </c>
      <c r="R35" s="112"/>
      <c r="S35" s="67"/>
      <c r="T35" s="560"/>
      <c r="U35" s="569"/>
      <c r="V35" s="113">
        <v>0</v>
      </c>
      <c r="W35" s="112"/>
      <c r="X35" s="67"/>
      <c r="Y35" s="560"/>
      <c r="Z35" s="569"/>
      <c r="AA35" s="113">
        <v>0</v>
      </c>
      <c r="AB35" s="112"/>
      <c r="AC35" s="67"/>
      <c r="AD35" s="560"/>
      <c r="AE35" s="569"/>
      <c r="AF35" s="113">
        <v>0</v>
      </c>
      <c r="AG35" s="112"/>
      <c r="AH35" s="67"/>
      <c r="AI35" s="560"/>
      <c r="AJ35" s="569"/>
      <c r="AK35" s="113">
        <v>0</v>
      </c>
      <c r="AL35" s="112"/>
      <c r="AM35" s="67"/>
      <c r="AN35" s="560"/>
      <c r="AO35" s="569"/>
      <c r="AP35" s="113">
        <v>0</v>
      </c>
      <c r="AQ35" s="112"/>
      <c r="AR35" s="67"/>
      <c r="AS35" s="560"/>
      <c r="AT35" s="569"/>
      <c r="AU35" s="113">
        <v>0</v>
      </c>
      <c r="AV35" s="112"/>
      <c r="AW35" s="67"/>
      <c r="AX35" s="560"/>
      <c r="AY35" s="569"/>
      <c r="AZ35" s="113">
        <v>0</v>
      </c>
      <c r="BA35" s="112"/>
      <c r="BB35" s="67"/>
      <c r="BC35" s="560"/>
      <c r="BD35" s="569"/>
      <c r="BE35" s="113">
        <v>0</v>
      </c>
      <c r="BF35" s="112"/>
      <c r="BG35" s="67"/>
      <c r="BH35" s="560"/>
      <c r="BI35" s="569"/>
      <c r="BJ35" s="113">
        <v>0</v>
      </c>
      <c r="BK35" s="112"/>
      <c r="BL35" s="67"/>
      <c r="BM35" s="560"/>
      <c r="BN35" s="569"/>
      <c r="BO35" s="113">
        <v>0</v>
      </c>
      <c r="BP35" s="112"/>
      <c r="BQ35" s="67"/>
      <c r="BR35" s="560"/>
      <c r="BS35" s="569"/>
      <c r="BT35" s="113">
        <f>SUM(L35:BO35)</f>
        <v>0</v>
      </c>
      <c r="BU35" s="112"/>
      <c r="BV35" s="67"/>
      <c r="BW35" s="560"/>
      <c r="BX35" s="569"/>
      <c r="BY35" s="113">
        <v>0</v>
      </c>
      <c r="BZ35" s="112"/>
      <c r="CA35" s="67"/>
      <c r="CB35" s="560"/>
      <c r="CC35" s="569"/>
      <c r="CD35" s="113">
        <v>0</v>
      </c>
      <c r="CE35" s="112"/>
      <c r="CF35" s="67"/>
      <c r="CG35" s="560"/>
      <c r="CH35" s="569"/>
      <c r="CI35" s="113">
        <v>0</v>
      </c>
      <c r="CJ35" s="112"/>
      <c r="CK35" s="67"/>
      <c r="CL35" s="560"/>
      <c r="CM35" s="569"/>
      <c r="CN35" s="113">
        <v>0</v>
      </c>
      <c r="CO35" s="112"/>
      <c r="CP35" s="67"/>
      <c r="CQ35" s="560"/>
      <c r="CR35" s="569"/>
      <c r="CS35" s="113">
        <v>0</v>
      </c>
      <c r="CT35" s="112"/>
      <c r="CU35" s="67"/>
      <c r="CV35" s="560"/>
      <c r="CW35" s="569"/>
      <c r="CX35" s="113">
        <v>0</v>
      </c>
      <c r="CY35" s="112"/>
      <c r="CZ35" s="67"/>
      <c r="DA35" s="560"/>
      <c r="DB35" s="569"/>
      <c r="DC35" s="113">
        <v>0</v>
      </c>
      <c r="DD35" s="112"/>
      <c r="DE35" s="67"/>
      <c r="DF35" s="560"/>
      <c r="DG35" s="569"/>
      <c r="DH35" s="113">
        <v>0</v>
      </c>
      <c r="DI35" s="112"/>
      <c r="DJ35" s="67"/>
      <c r="DK35" s="560"/>
      <c r="DL35" s="569"/>
      <c r="DM35" s="113">
        <v>0</v>
      </c>
      <c r="DN35" s="112"/>
      <c r="DO35" s="67"/>
      <c r="DP35" s="560"/>
      <c r="DQ35" s="569"/>
      <c r="DR35" s="113">
        <v>0</v>
      </c>
      <c r="DS35" s="112"/>
      <c r="DT35" s="67"/>
      <c r="DU35" s="560"/>
      <c r="DV35" s="569"/>
      <c r="DW35" s="113">
        <v>0</v>
      </c>
      <c r="DX35" s="112"/>
      <c r="DY35" s="67"/>
      <c r="DZ35" s="560"/>
      <c r="EA35" s="569"/>
      <c r="EB35" s="113">
        <v>0</v>
      </c>
      <c r="EC35" s="112"/>
      <c r="ED35" s="67"/>
      <c r="EE35" s="560"/>
      <c r="EF35" s="569"/>
      <c r="EG35" s="113">
        <v>0</v>
      </c>
      <c r="EH35" s="112"/>
      <c r="EI35" s="67"/>
      <c r="EJ35" s="560"/>
      <c r="EK35" s="569"/>
      <c r="EL35" s="113">
        <f>SUM(CD35:EG35)</f>
        <v>0</v>
      </c>
      <c r="EM35" s="112"/>
      <c r="EN35" s="67"/>
      <c r="EO35" s="455"/>
    </row>
    <row r="36" spans="1:145" hidden="1" x14ac:dyDescent="0.2">
      <c r="A36" s="442"/>
      <c r="B36" s="442"/>
      <c r="C36" s="442"/>
      <c r="D36" s="455"/>
      <c r="E36" s="465"/>
      <c r="F36" s="442"/>
      <c r="G36" s="67"/>
      <c r="H36" s="67"/>
      <c r="I36" s="67"/>
      <c r="J36" s="560"/>
      <c r="K36" s="67"/>
      <c r="L36" s="67"/>
      <c r="M36" s="67"/>
      <c r="N36" s="67"/>
      <c r="O36" s="560"/>
      <c r="P36" s="67"/>
      <c r="Q36" s="67"/>
      <c r="R36" s="67"/>
      <c r="S36" s="67"/>
      <c r="T36" s="560"/>
      <c r="U36" s="67"/>
      <c r="V36" s="67"/>
      <c r="W36" s="67"/>
      <c r="X36" s="67"/>
      <c r="Y36" s="560"/>
      <c r="Z36" s="67"/>
      <c r="AA36" s="67"/>
      <c r="AB36" s="67"/>
      <c r="AC36" s="67"/>
      <c r="AD36" s="560"/>
      <c r="AE36" s="67"/>
      <c r="AF36" s="67"/>
      <c r="AG36" s="67"/>
      <c r="AH36" s="67"/>
      <c r="AI36" s="560"/>
      <c r="AJ36" s="67"/>
      <c r="AK36" s="67"/>
      <c r="AL36" s="67"/>
      <c r="AM36" s="67"/>
      <c r="AN36" s="560"/>
      <c r="AO36" s="67"/>
      <c r="AP36" s="67"/>
      <c r="AQ36" s="67"/>
      <c r="AR36" s="67"/>
      <c r="AS36" s="560"/>
      <c r="AT36" s="67"/>
      <c r="AU36" s="67"/>
      <c r="AV36" s="67"/>
      <c r="AW36" s="67"/>
      <c r="AX36" s="560"/>
      <c r="AY36" s="67"/>
      <c r="AZ36" s="67"/>
      <c r="BA36" s="67"/>
      <c r="BB36" s="67"/>
      <c r="BC36" s="560"/>
      <c r="BD36" s="67"/>
      <c r="BE36" s="67"/>
      <c r="BF36" s="67"/>
      <c r="BG36" s="67"/>
      <c r="BH36" s="560"/>
      <c r="BI36" s="67"/>
      <c r="BJ36" s="67"/>
      <c r="BK36" s="67"/>
      <c r="BL36" s="67"/>
      <c r="BM36" s="560"/>
      <c r="BN36" s="67"/>
      <c r="BO36" s="67"/>
      <c r="BP36" s="67"/>
      <c r="BQ36" s="67"/>
      <c r="BR36" s="560"/>
      <c r="BS36" s="67"/>
      <c r="BT36" s="67"/>
      <c r="BU36" s="67"/>
      <c r="BV36" s="67"/>
      <c r="BW36" s="560"/>
      <c r="BX36" s="67"/>
      <c r="BY36" s="67"/>
      <c r="BZ36" s="67"/>
      <c r="CA36" s="67"/>
      <c r="CB36" s="560"/>
      <c r="CC36" s="67"/>
      <c r="CD36" s="67"/>
      <c r="CE36" s="67"/>
      <c r="CF36" s="67"/>
      <c r="CG36" s="560"/>
      <c r="CH36" s="67"/>
      <c r="CI36" s="67"/>
      <c r="CJ36" s="67"/>
      <c r="CK36" s="67"/>
      <c r="CL36" s="560"/>
      <c r="CM36" s="67"/>
      <c r="CN36" s="67"/>
      <c r="CO36" s="67"/>
      <c r="CP36" s="67"/>
      <c r="CQ36" s="560"/>
      <c r="CR36" s="67"/>
      <c r="CS36" s="67"/>
      <c r="CT36" s="67"/>
      <c r="CU36" s="67"/>
      <c r="CV36" s="560"/>
      <c r="CW36" s="67"/>
      <c r="CX36" s="67"/>
      <c r="CY36" s="67"/>
      <c r="CZ36" s="67"/>
      <c r="DA36" s="560"/>
      <c r="DB36" s="67"/>
      <c r="DC36" s="67"/>
      <c r="DD36" s="67"/>
      <c r="DE36" s="67"/>
      <c r="DF36" s="560"/>
      <c r="DG36" s="67"/>
      <c r="DH36" s="67"/>
      <c r="DI36" s="67"/>
      <c r="DJ36" s="67"/>
      <c r="DK36" s="560"/>
      <c r="DL36" s="67"/>
      <c r="DM36" s="67"/>
      <c r="DN36" s="67"/>
      <c r="DO36" s="67"/>
      <c r="DP36" s="560"/>
      <c r="DQ36" s="67"/>
      <c r="DR36" s="67"/>
      <c r="DS36" s="67"/>
      <c r="DT36" s="67"/>
      <c r="DU36" s="560"/>
      <c r="DV36" s="67"/>
      <c r="DW36" s="67"/>
      <c r="DX36" s="67"/>
      <c r="DY36" s="67"/>
      <c r="DZ36" s="560"/>
      <c r="EA36" s="67"/>
      <c r="EB36" s="67"/>
      <c r="EC36" s="67"/>
      <c r="ED36" s="67"/>
      <c r="EE36" s="560"/>
      <c r="EF36" s="67"/>
      <c r="EG36" s="67"/>
      <c r="EH36" s="67"/>
      <c r="EI36" s="67"/>
      <c r="EJ36" s="560"/>
      <c r="EK36" s="67"/>
      <c r="EL36" s="67"/>
      <c r="EM36" s="67"/>
      <c r="EN36" s="67"/>
      <c r="EO36" s="455"/>
    </row>
    <row r="37" spans="1:145" x14ac:dyDescent="0.2">
      <c r="A37" s="442"/>
      <c r="B37" s="442"/>
      <c r="C37" s="442"/>
      <c r="D37" s="455" t="s">
        <v>448</v>
      </c>
      <c r="E37" s="465"/>
      <c r="F37" s="442"/>
      <c r="G37" s="67">
        <v>0</v>
      </c>
      <c r="H37" s="67"/>
      <c r="I37" s="67"/>
      <c r="J37" s="560"/>
      <c r="K37" s="67"/>
      <c r="L37" s="67">
        <f>L38+L40</f>
        <v>0</v>
      </c>
      <c r="M37" s="67"/>
      <c r="N37" s="67"/>
      <c r="O37" s="560"/>
      <c r="P37" s="67"/>
      <c r="Q37" s="67">
        <f>SUM(Q38:Q40)</f>
        <v>0</v>
      </c>
      <c r="R37" s="67"/>
      <c r="S37" s="67"/>
      <c r="T37" s="560"/>
      <c r="U37" s="67"/>
      <c r="V37" s="67">
        <f>V38+V40</f>
        <v>0</v>
      </c>
      <c r="W37" s="67"/>
      <c r="X37" s="67"/>
      <c r="Y37" s="560"/>
      <c r="Z37" s="67"/>
      <c r="AA37" s="67">
        <f>AA38+AA40</f>
        <v>0</v>
      </c>
      <c r="AB37" s="67"/>
      <c r="AC37" s="67"/>
      <c r="AD37" s="560"/>
      <c r="AE37" s="67"/>
      <c r="AF37" s="67">
        <f>AF38+AF40</f>
        <v>0</v>
      </c>
      <c r="AG37" s="67"/>
      <c r="AH37" s="67"/>
      <c r="AI37" s="560"/>
      <c r="AJ37" s="67"/>
      <c r="AK37" s="67">
        <f>AK38+AK40</f>
        <v>0</v>
      </c>
      <c r="AL37" s="67"/>
      <c r="AM37" s="67"/>
      <c r="AN37" s="560"/>
      <c r="AO37" s="67"/>
      <c r="AP37" s="67">
        <f>AP38+AP40</f>
        <v>0</v>
      </c>
      <c r="AQ37" s="67"/>
      <c r="AR37" s="67"/>
      <c r="AS37" s="560"/>
      <c r="AT37" s="67"/>
      <c r="AU37" s="67">
        <f>AU38+AU40</f>
        <v>0</v>
      </c>
      <c r="AV37" s="67"/>
      <c r="AW37" s="67"/>
      <c r="AX37" s="560"/>
      <c r="AY37" s="67"/>
      <c r="AZ37" s="67">
        <f>AZ38+AZ40</f>
        <v>0</v>
      </c>
      <c r="BA37" s="67"/>
      <c r="BB37" s="67"/>
      <c r="BC37" s="560"/>
      <c r="BD37" s="67"/>
      <c r="BE37" s="67">
        <f>BE38+BE40</f>
        <v>0</v>
      </c>
      <c r="BF37" s="67"/>
      <c r="BG37" s="67"/>
      <c r="BH37" s="560"/>
      <c r="BI37" s="67"/>
      <c r="BJ37" s="67">
        <f>BJ38+BJ40</f>
        <v>0</v>
      </c>
      <c r="BK37" s="67"/>
      <c r="BL37" s="67"/>
      <c r="BM37" s="560"/>
      <c r="BN37" s="67"/>
      <c r="BO37" s="67">
        <f>BO38+BO40</f>
        <v>0</v>
      </c>
      <c r="BP37" s="67"/>
      <c r="BQ37" s="67"/>
      <c r="BR37" s="560"/>
      <c r="BS37" s="67"/>
      <c r="BT37" s="67">
        <f>SUM(BT38:BT40)</f>
        <v>0</v>
      </c>
      <c r="BU37" s="67"/>
      <c r="BV37" s="67"/>
      <c r="BW37" s="560"/>
      <c r="BX37" s="67"/>
      <c r="BY37" s="67">
        <f>SUM(BY38:BY40)</f>
        <v>0</v>
      </c>
      <c r="BZ37" s="67"/>
      <c r="CA37" s="67"/>
      <c r="CB37" s="560"/>
      <c r="CC37" s="67"/>
      <c r="CD37" s="67">
        <f>CD38+CD40</f>
        <v>0</v>
      </c>
      <c r="CE37" s="67"/>
      <c r="CF37" s="67"/>
      <c r="CG37" s="560"/>
      <c r="CH37" s="67"/>
      <c r="CI37" s="67">
        <f>SUM(CI38:CI40)</f>
        <v>0</v>
      </c>
      <c r="CJ37" s="67"/>
      <c r="CK37" s="67"/>
      <c r="CL37" s="560"/>
      <c r="CM37" s="67"/>
      <c r="CN37" s="67">
        <f>CN38+CN40</f>
        <v>0</v>
      </c>
      <c r="CO37" s="67"/>
      <c r="CP37" s="67"/>
      <c r="CQ37" s="560"/>
      <c r="CR37" s="67"/>
      <c r="CS37" s="67">
        <f>CS38+CS40</f>
        <v>0</v>
      </c>
      <c r="CT37" s="67"/>
      <c r="CU37" s="67"/>
      <c r="CV37" s="560"/>
      <c r="CW37" s="67"/>
      <c r="CX37" s="67">
        <f>CX38+CX40</f>
        <v>0</v>
      </c>
      <c r="CY37" s="67"/>
      <c r="CZ37" s="67"/>
      <c r="DA37" s="560"/>
      <c r="DB37" s="67"/>
      <c r="DC37" s="67">
        <f>DC38+DC40</f>
        <v>0</v>
      </c>
      <c r="DD37" s="67"/>
      <c r="DE37" s="67"/>
      <c r="DF37" s="560"/>
      <c r="DG37" s="67"/>
      <c r="DH37" s="67">
        <f>DH38+DH40</f>
        <v>0</v>
      </c>
      <c r="DI37" s="67"/>
      <c r="DJ37" s="67"/>
      <c r="DK37" s="560"/>
      <c r="DL37" s="67"/>
      <c r="DM37" s="67">
        <f>DM38+DM40</f>
        <v>0</v>
      </c>
      <c r="DN37" s="67"/>
      <c r="DO37" s="67"/>
      <c r="DP37" s="560"/>
      <c r="DQ37" s="67"/>
      <c r="DR37" s="67">
        <f>DR38+DR40</f>
        <v>0</v>
      </c>
      <c r="DS37" s="67"/>
      <c r="DT37" s="67"/>
      <c r="DU37" s="560"/>
      <c r="DV37" s="67"/>
      <c r="DW37" s="67">
        <f>DW38+DW40</f>
        <v>0</v>
      </c>
      <c r="DX37" s="67"/>
      <c r="DY37" s="67"/>
      <c r="DZ37" s="560"/>
      <c r="EA37" s="67"/>
      <c r="EB37" s="67">
        <f>EB38+EB40</f>
        <v>0</v>
      </c>
      <c r="EC37" s="67"/>
      <c r="ED37" s="67"/>
      <c r="EE37" s="560"/>
      <c r="EF37" s="67"/>
      <c r="EG37" s="67">
        <f>EG38+EG40</f>
        <v>0</v>
      </c>
      <c r="EH37" s="67"/>
      <c r="EI37" s="67"/>
      <c r="EJ37" s="560"/>
      <c r="EK37" s="67"/>
      <c r="EL37" s="67">
        <f>SUM(EL38:EL40)</f>
        <v>0</v>
      </c>
      <c r="EM37" s="67"/>
      <c r="EN37" s="67"/>
      <c r="EO37" s="455"/>
    </row>
    <row r="38" spans="1:145" x14ac:dyDescent="0.2">
      <c r="A38" s="442"/>
      <c r="B38" s="442"/>
      <c r="C38" s="442"/>
      <c r="D38" s="455" t="s">
        <v>342</v>
      </c>
      <c r="E38" s="465"/>
      <c r="F38" s="473"/>
      <c r="G38" s="558">
        <v>0</v>
      </c>
      <c r="H38" s="559"/>
      <c r="I38" s="67"/>
      <c r="J38" s="560"/>
      <c r="K38" s="561"/>
      <c r="L38" s="558">
        <v>0</v>
      </c>
      <c r="M38" s="559"/>
      <c r="N38" s="67"/>
      <c r="O38" s="560"/>
      <c r="P38" s="561"/>
      <c r="Q38" s="558">
        <v>0</v>
      </c>
      <c r="R38" s="559"/>
      <c r="S38" s="67"/>
      <c r="T38" s="560"/>
      <c r="U38" s="561"/>
      <c r="V38" s="558">
        <v>0</v>
      </c>
      <c r="W38" s="559"/>
      <c r="X38" s="67"/>
      <c r="Y38" s="560"/>
      <c r="Z38" s="561"/>
      <c r="AA38" s="558">
        <v>0</v>
      </c>
      <c r="AB38" s="559"/>
      <c r="AC38" s="67"/>
      <c r="AD38" s="560"/>
      <c r="AE38" s="561"/>
      <c r="AF38" s="558">
        <v>0</v>
      </c>
      <c r="AG38" s="559"/>
      <c r="AH38" s="67"/>
      <c r="AI38" s="560"/>
      <c r="AJ38" s="561"/>
      <c r="AK38" s="558">
        <v>0</v>
      </c>
      <c r="AL38" s="559"/>
      <c r="AM38" s="67"/>
      <c r="AN38" s="560"/>
      <c r="AO38" s="561"/>
      <c r="AP38" s="558">
        <v>0</v>
      </c>
      <c r="AQ38" s="559"/>
      <c r="AR38" s="67"/>
      <c r="AS38" s="560"/>
      <c r="AT38" s="561"/>
      <c r="AU38" s="558">
        <v>0</v>
      </c>
      <c r="AV38" s="559"/>
      <c r="AW38" s="67"/>
      <c r="AX38" s="560"/>
      <c r="AY38" s="561"/>
      <c r="AZ38" s="558">
        <v>0</v>
      </c>
      <c r="BA38" s="559"/>
      <c r="BB38" s="67"/>
      <c r="BC38" s="560"/>
      <c r="BD38" s="561"/>
      <c r="BE38" s="558">
        <v>0</v>
      </c>
      <c r="BF38" s="559"/>
      <c r="BG38" s="67"/>
      <c r="BH38" s="560"/>
      <c r="BI38" s="561"/>
      <c r="BJ38" s="558">
        <v>0</v>
      </c>
      <c r="BK38" s="559"/>
      <c r="BL38" s="67"/>
      <c r="BM38" s="560"/>
      <c r="BN38" s="561"/>
      <c r="BO38" s="558">
        <v>0</v>
      </c>
      <c r="BP38" s="559"/>
      <c r="BQ38" s="67"/>
      <c r="BR38" s="560"/>
      <c r="BS38" s="561"/>
      <c r="BT38" s="558">
        <f>SUM(L38:BO38)</f>
        <v>0</v>
      </c>
      <c r="BU38" s="559"/>
      <c r="BV38" s="67"/>
      <c r="BW38" s="560"/>
      <c r="BX38" s="561"/>
      <c r="BY38" s="558">
        <f>SUM(Q38:BT38)</f>
        <v>0</v>
      </c>
      <c r="BZ38" s="559"/>
      <c r="CA38" s="67"/>
      <c r="CB38" s="560"/>
      <c r="CC38" s="561"/>
      <c r="CD38" s="558">
        <v>0</v>
      </c>
      <c r="CE38" s="559"/>
      <c r="CF38" s="67"/>
      <c r="CG38" s="560"/>
      <c r="CH38" s="561"/>
      <c r="CI38" s="558">
        <v>0</v>
      </c>
      <c r="CJ38" s="559"/>
      <c r="CK38" s="67"/>
      <c r="CL38" s="560"/>
      <c r="CM38" s="561"/>
      <c r="CN38" s="558">
        <v>0</v>
      </c>
      <c r="CO38" s="559"/>
      <c r="CP38" s="67"/>
      <c r="CQ38" s="560"/>
      <c r="CR38" s="561"/>
      <c r="CS38" s="558">
        <v>0</v>
      </c>
      <c r="CT38" s="559"/>
      <c r="CU38" s="67"/>
      <c r="CV38" s="560"/>
      <c r="CW38" s="561"/>
      <c r="CX38" s="558">
        <v>0</v>
      </c>
      <c r="CY38" s="559"/>
      <c r="CZ38" s="67"/>
      <c r="DA38" s="560"/>
      <c r="DB38" s="561"/>
      <c r="DC38" s="558">
        <v>0</v>
      </c>
      <c r="DD38" s="559"/>
      <c r="DE38" s="67"/>
      <c r="DF38" s="560"/>
      <c r="DG38" s="561"/>
      <c r="DH38" s="558">
        <v>0</v>
      </c>
      <c r="DI38" s="559"/>
      <c r="DJ38" s="67"/>
      <c r="DK38" s="560"/>
      <c r="DL38" s="561"/>
      <c r="DM38" s="558">
        <v>0</v>
      </c>
      <c r="DN38" s="559"/>
      <c r="DO38" s="67"/>
      <c r="DP38" s="560"/>
      <c r="DQ38" s="561"/>
      <c r="DR38" s="558">
        <v>0</v>
      </c>
      <c r="DS38" s="559"/>
      <c r="DT38" s="67"/>
      <c r="DU38" s="560"/>
      <c r="DV38" s="561"/>
      <c r="DW38" s="558">
        <v>0</v>
      </c>
      <c r="DX38" s="559"/>
      <c r="DY38" s="67"/>
      <c r="DZ38" s="560"/>
      <c r="EA38" s="561"/>
      <c r="EB38" s="558">
        <v>0</v>
      </c>
      <c r="EC38" s="559"/>
      <c r="ED38" s="67"/>
      <c r="EE38" s="560"/>
      <c r="EF38" s="561"/>
      <c r="EG38" s="558">
        <v>0</v>
      </c>
      <c r="EH38" s="559"/>
      <c r="EI38" s="67"/>
      <c r="EJ38" s="560"/>
      <c r="EK38" s="561"/>
      <c r="EL38" s="558">
        <f>SUM(CD38:CI38)</f>
        <v>0</v>
      </c>
      <c r="EM38" s="559"/>
      <c r="EN38" s="67"/>
      <c r="EO38" s="455"/>
    </row>
    <row r="39" spans="1:145" x14ac:dyDescent="0.2">
      <c r="A39" s="442"/>
      <c r="B39" s="442"/>
      <c r="C39" s="442"/>
      <c r="D39" s="455" t="s">
        <v>344</v>
      </c>
      <c r="E39" s="465"/>
      <c r="F39" s="465"/>
      <c r="G39" s="67">
        <v>0</v>
      </c>
      <c r="H39" s="66"/>
      <c r="I39" s="67"/>
      <c r="J39" s="560"/>
      <c r="K39" s="560"/>
      <c r="L39" s="67">
        <v>0</v>
      </c>
      <c r="M39" s="66"/>
      <c r="N39" s="67"/>
      <c r="O39" s="560"/>
      <c r="P39" s="560"/>
      <c r="Q39" s="67">
        <v>0</v>
      </c>
      <c r="R39" s="66"/>
      <c r="S39" s="67"/>
      <c r="T39" s="560"/>
      <c r="U39" s="560"/>
      <c r="V39" s="67">
        <v>0</v>
      </c>
      <c r="W39" s="66"/>
      <c r="X39" s="67"/>
      <c r="Y39" s="560"/>
      <c r="Z39" s="560"/>
      <c r="AA39" s="67">
        <v>0</v>
      </c>
      <c r="AB39" s="66"/>
      <c r="AC39" s="67"/>
      <c r="AD39" s="560"/>
      <c r="AE39" s="560"/>
      <c r="AF39" s="67">
        <v>0</v>
      </c>
      <c r="AG39" s="66"/>
      <c r="AH39" s="67"/>
      <c r="AI39" s="560"/>
      <c r="AJ39" s="560"/>
      <c r="AK39" s="67">
        <v>0</v>
      </c>
      <c r="AL39" s="66"/>
      <c r="AM39" s="67"/>
      <c r="AN39" s="560"/>
      <c r="AO39" s="560"/>
      <c r="AP39" s="67">
        <v>0</v>
      </c>
      <c r="AQ39" s="66"/>
      <c r="AR39" s="67"/>
      <c r="AS39" s="560"/>
      <c r="AT39" s="560"/>
      <c r="AU39" s="67">
        <v>0</v>
      </c>
      <c r="AV39" s="66"/>
      <c r="AW39" s="67"/>
      <c r="AX39" s="560"/>
      <c r="AY39" s="560"/>
      <c r="AZ39" s="67">
        <v>0</v>
      </c>
      <c r="BA39" s="66"/>
      <c r="BB39" s="67"/>
      <c r="BC39" s="560"/>
      <c r="BD39" s="560"/>
      <c r="BE39" s="67">
        <v>0</v>
      </c>
      <c r="BF39" s="66"/>
      <c r="BG39" s="67"/>
      <c r="BH39" s="560"/>
      <c r="BI39" s="560"/>
      <c r="BJ39" s="67">
        <v>0</v>
      </c>
      <c r="BK39" s="66"/>
      <c r="BL39" s="67"/>
      <c r="BM39" s="560"/>
      <c r="BN39" s="560"/>
      <c r="BO39" s="67">
        <v>0</v>
      </c>
      <c r="BP39" s="66"/>
      <c r="BQ39" s="67"/>
      <c r="BR39" s="560"/>
      <c r="BS39" s="560"/>
      <c r="BT39" s="67">
        <f>SUM(L39:BO39)</f>
        <v>0</v>
      </c>
      <c r="BU39" s="66"/>
      <c r="BV39" s="67"/>
      <c r="BW39" s="560"/>
      <c r="BX39" s="560"/>
      <c r="BY39" s="67">
        <f>SUM(Q39:BT39)</f>
        <v>0</v>
      </c>
      <c r="BZ39" s="66"/>
      <c r="CA39" s="67"/>
      <c r="CB39" s="560"/>
      <c r="CC39" s="560"/>
      <c r="CD39" s="67">
        <v>0</v>
      </c>
      <c r="CE39" s="66"/>
      <c r="CF39" s="67"/>
      <c r="CG39" s="560"/>
      <c r="CH39" s="560"/>
      <c r="CI39" s="67">
        <v>0</v>
      </c>
      <c r="CJ39" s="66"/>
      <c r="CK39" s="67"/>
      <c r="CL39" s="560"/>
      <c r="CM39" s="560"/>
      <c r="CN39" s="67">
        <v>0</v>
      </c>
      <c r="CO39" s="66"/>
      <c r="CP39" s="67"/>
      <c r="CQ39" s="560"/>
      <c r="CR39" s="560"/>
      <c r="CS39" s="67">
        <v>0</v>
      </c>
      <c r="CT39" s="66"/>
      <c r="CU39" s="67"/>
      <c r="CV39" s="560"/>
      <c r="CW39" s="560"/>
      <c r="CX39" s="67">
        <v>0</v>
      </c>
      <c r="CY39" s="66"/>
      <c r="CZ39" s="67"/>
      <c r="DA39" s="560"/>
      <c r="DB39" s="560"/>
      <c r="DC39" s="67">
        <v>0</v>
      </c>
      <c r="DD39" s="66"/>
      <c r="DE39" s="67"/>
      <c r="DF39" s="560"/>
      <c r="DG39" s="560"/>
      <c r="DH39" s="67">
        <v>0</v>
      </c>
      <c r="DI39" s="66"/>
      <c r="DJ39" s="67"/>
      <c r="DK39" s="560"/>
      <c r="DL39" s="560"/>
      <c r="DM39" s="67">
        <v>0</v>
      </c>
      <c r="DN39" s="66"/>
      <c r="DO39" s="67"/>
      <c r="DP39" s="560"/>
      <c r="DQ39" s="560"/>
      <c r="DR39" s="67">
        <v>0</v>
      </c>
      <c r="DS39" s="66"/>
      <c r="DT39" s="67"/>
      <c r="DU39" s="560"/>
      <c r="DV39" s="560"/>
      <c r="DW39" s="67">
        <v>0</v>
      </c>
      <c r="DX39" s="66"/>
      <c r="DY39" s="67"/>
      <c r="DZ39" s="560"/>
      <c r="EA39" s="560"/>
      <c r="EB39" s="67">
        <v>0</v>
      </c>
      <c r="EC39" s="66"/>
      <c r="ED39" s="67"/>
      <c r="EE39" s="560"/>
      <c r="EF39" s="560"/>
      <c r="EG39" s="67">
        <v>0</v>
      </c>
      <c r="EH39" s="66"/>
      <c r="EI39" s="67"/>
      <c r="EJ39" s="560"/>
      <c r="EK39" s="560"/>
      <c r="EL39" s="67">
        <f>SUM(CD39:CI39)</f>
        <v>0</v>
      </c>
      <c r="EM39" s="66"/>
      <c r="EN39" s="67"/>
      <c r="EO39" s="455"/>
    </row>
    <row r="40" spans="1:145" x14ac:dyDescent="0.2">
      <c r="A40" s="442"/>
      <c r="B40" s="442"/>
      <c r="C40" s="442"/>
      <c r="D40" s="455" t="s">
        <v>352</v>
      </c>
      <c r="E40" s="465"/>
      <c r="F40" s="488"/>
      <c r="G40" s="113">
        <v>0</v>
      </c>
      <c r="H40" s="112"/>
      <c r="I40" s="67"/>
      <c r="J40" s="560"/>
      <c r="K40" s="569"/>
      <c r="L40" s="113">
        <v>0</v>
      </c>
      <c r="M40" s="112"/>
      <c r="N40" s="67"/>
      <c r="O40" s="560"/>
      <c r="P40" s="569"/>
      <c r="Q40" s="113">
        <v>0</v>
      </c>
      <c r="R40" s="112"/>
      <c r="S40" s="67"/>
      <c r="T40" s="560"/>
      <c r="U40" s="569"/>
      <c r="V40" s="113">
        <v>0</v>
      </c>
      <c r="W40" s="112"/>
      <c r="X40" s="67"/>
      <c r="Y40" s="560"/>
      <c r="Z40" s="569"/>
      <c r="AA40" s="113">
        <v>0</v>
      </c>
      <c r="AB40" s="112"/>
      <c r="AC40" s="67"/>
      <c r="AD40" s="560"/>
      <c r="AE40" s="569"/>
      <c r="AF40" s="113">
        <v>0</v>
      </c>
      <c r="AG40" s="112"/>
      <c r="AH40" s="67"/>
      <c r="AI40" s="560"/>
      <c r="AJ40" s="569"/>
      <c r="AK40" s="113">
        <v>0</v>
      </c>
      <c r="AL40" s="112"/>
      <c r="AM40" s="67"/>
      <c r="AN40" s="560"/>
      <c r="AO40" s="569"/>
      <c r="AP40" s="113">
        <v>0</v>
      </c>
      <c r="AQ40" s="112"/>
      <c r="AR40" s="67"/>
      <c r="AS40" s="560"/>
      <c r="AT40" s="569"/>
      <c r="AU40" s="113">
        <v>0</v>
      </c>
      <c r="AV40" s="112"/>
      <c r="AW40" s="67"/>
      <c r="AX40" s="560"/>
      <c r="AY40" s="569"/>
      <c r="AZ40" s="113">
        <v>0</v>
      </c>
      <c r="BA40" s="112"/>
      <c r="BB40" s="67"/>
      <c r="BC40" s="560"/>
      <c r="BD40" s="569"/>
      <c r="BE40" s="113">
        <v>0</v>
      </c>
      <c r="BF40" s="112"/>
      <c r="BG40" s="67"/>
      <c r="BH40" s="560"/>
      <c r="BI40" s="569"/>
      <c r="BJ40" s="113">
        <v>0</v>
      </c>
      <c r="BK40" s="112"/>
      <c r="BL40" s="67"/>
      <c r="BM40" s="560"/>
      <c r="BN40" s="569"/>
      <c r="BO40" s="113">
        <v>0</v>
      </c>
      <c r="BP40" s="112"/>
      <c r="BQ40" s="67"/>
      <c r="BR40" s="560"/>
      <c r="BS40" s="569"/>
      <c r="BT40" s="113">
        <f>SUM(L40:BO40)</f>
        <v>0</v>
      </c>
      <c r="BU40" s="112"/>
      <c r="BV40" s="67"/>
      <c r="BW40" s="560"/>
      <c r="BX40" s="569"/>
      <c r="BY40" s="113">
        <f>SUM(Q40:BT40)</f>
        <v>0</v>
      </c>
      <c r="BZ40" s="112"/>
      <c r="CA40" s="67"/>
      <c r="CB40" s="560"/>
      <c r="CC40" s="569"/>
      <c r="CD40" s="113">
        <v>0</v>
      </c>
      <c r="CE40" s="112"/>
      <c r="CF40" s="67"/>
      <c r="CG40" s="560"/>
      <c r="CH40" s="569"/>
      <c r="CI40" s="113">
        <v>0</v>
      </c>
      <c r="CJ40" s="112"/>
      <c r="CK40" s="67"/>
      <c r="CL40" s="560"/>
      <c r="CM40" s="569"/>
      <c r="CN40" s="113">
        <v>0</v>
      </c>
      <c r="CO40" s="112"/>
      <c r="CP40" s="67"/>
      <c r="CQ40" s="560"/>
      <c r="CR40" s="569"/>
      <c r="CS40" s="113">
        <v>0</v>
      </c>
      <c r="CT40" s="112"/>
      <c r="CU40" s="67"/>
      <c r="CV40" s="560"/>
      <c r="CW40" s="569"/>
      <c r="CX40" s="113">
        <v>0</v>
      </c>
      <c r="CY40" s="112"/>
      <c r="CZ40" s="67"/>
      <c r="DA40" s="560"/>
      <c r="DB40" s="569"/>
      <c r="DC40" s="113">
        <v>0</v>
      </c>
      <c r="DD40" s="112"/>
      <c r="DE40" s="67"/>
      <c r="DF40" s="560"/>
      <c r="DG40" s="569"/>
      <c r="DH40" s="113">
        <v>0</v>
      </c>
      <c r="DI40" s="112"/>
      <c r="DJ40" s="67"/>
      <c r="DK40" s="560"/>
      <c r="DL40" s="569"/>
      <c r="DM40" s="113">
        <v>0</v>
      </c>
      <c r="DN40" s="112"/>
      <c r="DO40" s="67"/>
      <c r="DP40" s="560"/>
      <c r="DQ40" s="569"/>
      <c r="DR40" s="113">
        <v>0</v>
      </c>
      <c r="DS40" s="112"/>
      <c r="DT40" s="67"/>
      <c r="DU40" s="560"/>
      <c r="DV40" s="569"/>
      <c r="DW40" s="113">
        <v>0</v>
      </c>
      <c r="DX40" s="112"/>
      <c r="DY40" s="67"/>
      <c r="DZ40" s="560"/>
      <c r="EA40" s="569"/>
      <c r="EB40" s="113">
        <v>0</v>
      </c>
      <c r="EC40" s="112"/>
      <c r="ED40" s="67"/>
      <c r="EE40" s="560"/>
      <c r="EF40" s="569"/>
      <c r="EG40" s="113">
        <v>0</v>
      </c>
      <c r="EH40" s="112"/>
      <c r="EI40" s="67"/>
      <c r="EJ40" s="560"/>
      <c r="EK40" s="569"/>
      <c r="EL40" s="113">
        <f>SUM(CD40:CI40)</f>
        <v>0</v>
      </c>
      <c r="EM40" s="112"/>
      <c r="EN40" s="67"/>
      <c r="EO40" s="455"/>
    </row>
    <row r="41" spans="1:145" ht="12.75" customHeight="1" x14ac:dyDescent="0.2">
      <c r="A41" s="442"/>
      <c r="B41" s="442"/>
      <c r="C41" s="442"/>
      <c r="D41" s="607"/>
      <c r="E41" s="608"/>
      <c r="F41" s="609"/>
      <c r="G41" s="67"/>
      <c r="H41" s="67"/>
      <c r="I41" s="67"/>
      <c r="J41" s="560"/>
      <c r="K41" s="67"/>
      <c r="L41" s="67"/>
      <c r="M41" s="67"/>
      <c r="N41" s="67"/>
      <c r="O41" s="560"/>
      <c r="P41" s="67"/>
      <c r="Q41" s="67"/>
      <c r="R41" s="67"/>
      <c r="S41" s="67"/>
      <c r="T41" s="560"/>
      <c r="U41" s="67"/>
      <c r="V41" s="67"/>
      <c r="W41" s="67"/>
      <c r="X41" s="67"/>
      <c r="Y41" s="560"/>
      <c r="Z41" s="67"/>
      <c r="AA41" s="67"/>
      <c r="AB41" s="67"/>
      <c r="AC41" s="67"/>
      <c r="AD41" s="560"/>
      <c r="AE41" s="67"/>
      <c r="AF41" s="67"/>
      <c r="AG41" s="67"/>
      <c r="AH41" s="67"/>
      <c r="AI41" s="560"/>
      <c r="AJ41" s="67"/>
      <c r="AK41" s="67"/>
      <c r="AL41" s="67"/>
      <c r="AM41" s="67"/>
      <c r="AN41" s="560"/>
      <c r="AO41" s="67"/>
      <c r="AP41" s="67"/>
      <c r="AQ41" s="67"/>
      <c r="AR41" s="67"/>
      <c r="AS41" s="560"/>
      <c r="AT41" s="67"/>
      <c r="AU41" s="67"/>
      <c r="AV41" s="67"/>
      <c r="AW41" s="67"/>
      <c r="AX41" s="560"/>
      <c r="AY41" s="67"/>
      <c r="AZ41" s="67"/>
      <c r="BA41" s="67"/>
      <c r="BB41" s="67"/>
      <c r="BC41" s="560"/>
      <c r="BD41" s="67"/>
      <c r="BE41" s="67"/>
      <c r="BF41" s="67"/>
      <c r="BG41" s="67"/>
      <c r="BH41" s="560"/>
      <c r="BI41" s="67"/>
      <c r="BJ41" s="67"/>
      <c r="BK41" s="67"/>
      <c r="BL41" s="67"/>
      <c r="BM41" s="560"/>
      <c r="BN41" s="67"/>
      <c r="BO41" s="67"/>
      <c r="BP41" s="67"/>
      <c r="BQ41" s="67"/>
      <c r="BR41" s="560"/>
      <c r="BS41" s="67"/>
      <c r="BT41" s="67"/>
      <c r="BU41" s="67"/>
      <c r="BV41" s="67"/>
      <c r="BW41" s="560"/>
      <c r="BX41" s="67"/>
      <c r="BY41" s="67"/>
      <c r="BZ41" s="67"/>
      <c r="CA41" s="67"/>
      <c r="CB41" s="560"/>
      <c r="CC41" s="67"/>
      <c r="CD41" s="67"/>
      <c r="CE41" s="67"/>
      <c r="CF41" s="67"/>
      <c r="CG41" s="560"/>
      <c r="CH41" s="67"/>
      <c r="CI41" s="67"/>
      <c r="CJ41" s="67"/>
      <c r="CK41" s="67"/>
      <c r="CL41" s="560"/>
      <c r="CM41" s="67"/>
      <c r="CN41" s="67"/>
      <c r="CO41" s="67"/>
      <c r="CP41" s="67"/>
      <c r="CQ41" s="560"/>
      <c r="CR41" s="67"/>
      <c r="CS41" s="67"/>
      <c r="CT41" s="67"/>
      <c r="CU41" s="67"/>
      <c r="CV41" s="560"/>
      <c r="CW41" s="67"/>
      <c r="CX41" s="67"/>
      <c r="CY41" s="67"/>
      <c r="CZ41" s="67"/>
      <c r="DA41" s="560"/>
      <c r="DB41" s="67"/>
      <c r="DC41" s="67"/>
      <c r="DD41" s="67"/>
      <c r="DE41" s="67"/>
      <c r="DF41" s="560"/>
      <c r="DG41" s="67"/>
      <c r="DH41" s="67"/>
      <c r="DI41" s="67"/>
      <c r="DJ41" s="67"/>
      <c r="DK41" s="560"/>
      <c r="DL41" s="67"/>
      <c r="DM41" s="67"/>
      <c r="DN41" s="67"/>
      <c r="DO41" s="67"/>
      <c r="DP41" s="560"/>
      <c r="DQ41" s="67"/>
      <c r="DR41" s="67"/>
      <c r="DS41" s="67"/>
      <c r="DT41" s="67"/>
      <c r="DU41" s="560"/>
      <c r="DV41" s="67"/>
      <c r="DW41" s="67"/>
      <c r="DX41" s="67"/>
      <c r="DY41" s="67"/>
      <c r="DZ41" s="560"/>
      <c r="EA41" s="67"/>
      <c r="EB41" s="67"/>
      <c r="EC41" s="67"/>
      <c r="ED41" s="67"/>
      <c r="EE41" s="560"/>
      <c r="EF41" s="67"/>
      <c r="EG41" s="67"/>
      <c r="EH41" s="67"/>
      <c r="EI41" s="67"/>
      <c r="EJ41" s="560"/>
      <c r="EK41" s="67"/>
      <c r="EL41" s="67"/>
      <c r="EM41" s="67"/>
      <c r="EN41" s="67"/>
      <c r="EO41" s="455"/>
    </row>
    <row r="42" spans="1:145" ht="12.75" customHeight="1" x14ac:dyDescent="0.2">
      <c r="A42" s="442"/>
      <c r="B42" s="442"/>
      <c r="C42" s="442"/>
      <c r="D42" s="455" t="s">
        <v>449</v>
      </c>
      <c r="E42" s="465"/>
      <c r="F42" s="442"/>
      <c r="G42" s="67">
        <v>0</v>
      </c>
      <c r="H42" s="67"/>
      <c r="I42" s="67"/>
      <c r="J42" s="560"/>
      <c r="K42" s="67"/>
      <c r="L42" s="67">
        <f>L43+L45</f>
        <v>0</v>
      </c>
      <c r="M42" s="67"/>
      <c r="N42" s="67"/>
      <c r="O42" s="560"/>
      <c r="P42" s="67"/>
      <c r="Q42" s="67">
        <f>SUM(Q43:Q45)</f>
        <v>0</v>
      </c>
      <c r="R42" s="67"/>
      <c r="S42" s="67"/>
      <c r="T42" s="560"/>
      <c r="U42" s="67"/>
      <c r="V42" s="67">
        <f>V43+V45</f>
        <v>0</v>
      </c>
      <c r="W42" s="67"/>
      <c r="X42" s="67"/>
      <c r="Y42" s="560"/>
      <c r="Z42" s="67"/>
      <c r="AA42" s="67">
        <f>AA43+AA45</f>
        <v>0</v>
      </c>
      <c r="AB42" s="67"/>
      <c r="AC42" s="67"/>
      <c r="AD42" s="560"/>
      <c r="AE42" s="67"/>
      <c r="AF42" s="67">
        <f>AF43+AF45</f>
        <v>0</v>
      </c>
      <c r="AG42" s="67"/>
      <c r="AH42" s="67"/>
      <c r="AI42" s="560"/>
      <c r="AJ42" s="67"/>
      <c r="AK42" s="67">
        <f>AK43+AK45</f>
        <v>0</v>
      </c>
      <c r="AL42" s="67"/>
      <c r="AM42" s="67"/>
      <c r="AN42" s="560"/>
      <c r="AO42" s="67"/>
      <c r="AP42" s="67">
        <f>AP43+AP45</f>
        <v>0</v>
      </c>
      <c r="AQ42" s="67"/>
      <c r="AR42" s="67"/>
      <c r="AS42" s="560"/>
      <c r="AT42" s="67"/>
      <c r="AU42" s="67">
        <f>AU43+AU45</f>
        <v>0</v>
      </c>
      <c r="AV42" s="67"/>
      <c r="AW42" s="67"/>
      <c r="AX42" s="560"/>
      <c r="AY42" s="67"/>
      <c r="AZ42" s="67">
        <f>AZ43+AZ45</f>
        <v>0</v>
      </c>
      <c r="BA42" s="67"/>
      <c r="BB42" s="67"/>
      <c r="BC42" s="560"/>
      <c r="BD42" s="67"/>
      <c r="BE42" s="67">
        <f>BE43+BE45</f>
        <v>0</v>
      </c>
      <c r="BF42" s="67"/>
      <c r="BG42" s="67"/>
      <c r="BH42" s="560"/>
      <c r="BI42" s="67"/>
      <c r="BJ42" s="67">
        <f>BJ43+BJ45</f>
        <v>0</v>
      </c>
      <c r="BK42" s="67"/>
      <c r="BL42" s="67"/>
      <c r="BM42" s="560"/>
      <c r="BN42" s="67"/>
      <c r="BO42" s="67">
        <f>BO43+BO45</f>
        <v>0</v>
      </c>
      <c r="BP42" s="67"/>
      <c r="BQ42" s="67"/>
      <c r="BR42" s="560"/>
      <c r="BS42" s="67"/>
      <c r="BT42" s="67">
        <f>SUM(BT43:BT45)</f>
        <v>0</v>
      </c>
      <c r="BU42" s="67"/>
      <c r="BV42" s="67"/>
      <c r="BW42" s="560"/>
      <c r="BX42" s="67"/>
      <c r="BY42" s="67">
        <f>SUM(BY43:BY45)</f>
        <v>0</v>
      </c>
      <c r="BZ42" s="67"/>
      <c r="CA42" s="67"/>
      <c r="CB42" s="560"/>
      <c r="CC42" s="67"/>
      <c r="CD42" s="67">
        <f>CD43+CD45</f>
        <v>0</v>
      </c>
      <c r="CE42" s="67"/>
      <c r="CF42" s="67"/>
      <c r="CG42" s="560"/>
      <c r="CH42" s="67"/>
      <c r="CI42" s="67">
        <f>SUM(CI43:CI45)</f>
        <v>0</v>
      </c>
      <c r="CJ42" s="67"/>
      <c r="CK42" s="67"/>
      <c r="CL42" s="560"/>
      <c r="CM42" s="67"/>
      <c r="CN42" s="67">
        <f>CN43+CN45</f>
        <v>0</v>
      </c>
      <c r="CO42" s="67"/>
      <c r="CP42" s="67"/>
      <c r="CQ42" s="560"/>
      <c r="CR42" s="67"/>
      <c r="CS42" s="67">
        <f>CS43+CS45</f>
        <v>0</v>
      </c>
      <c r="CT42" s="67"/>
      <c r="CU42" s="67"/>
      <c r="CV42" s="560"/>
      <c r="CW42" s="67"/>
      <c r="CX42" s="67">
        <f>CX43+CX45</f>
        <v>0</v>
      </c>
      <c r="CY42" s="67"/>
      <c r="CZ42" s="67"/>
      <c r="DA42" s="560"/>
      <c r="DB42" s="67"/>
      <c r="DC42" s="67">
        <f>DC43+DC45</f>
        <v>0</v>
      </c>
      <c r="DD42" s="67"/>
      <c r="DE42" s="67"/>
      <c r="DF42" s="560"/>
      <c r="DG42" s="67"/>
      <c r="DH42" s="67">
        <f>DH43+DH45</f>
        <v>0</v>
      </c>
      <c r="DI42" s="67"/>
      <c r="DJ42" s="67"/>
      <c r="DK42" s="560"/>
      <c r="DL42" s="67"/>
      <c r="DM42" s="67">
        <f>DM43+DM45</f>
        <v>0</v>
      </c>
      <c r="DN42" s="67"/>
      <c r="DO42" s="67"/>
      <c r="DP42" s="560"/>
      <c r="DQ42" s="67"/>
      <c r="DR42" s="67">
        <f>DR43+DR45</f>
        <v>0</v>
      </c>
      <c r="DS42" s="67"/>
      <c r="DT42" s="67"/>
      <c r="DU42" s="560"/>
      <c r="DV42" s="67"/>
      <c r="DW42" s="67">
        <f>DW43+DW45</f>
        <v>0</v>
      </c>
      <c r="DX42" s="67"/>
      <c r="DY42" s="67"/>
      <c r="DZ42" s="560"/>
      <c r="EA42" s="67"/>
      <c r="EB42" s="67">
        <f>EB43+EB45</f>
        <v>0</v>
      </c>
      <c r="EC42" s="67"/>
      <c r="ED42" s="67"/>
      <c r="EE42" s="560"/>
      <c r="EF42" s="67"/>
      <c r="EG42" s="67">
        <f>EG43+EG45</f>
        <v>0</v>
      </c>
      <c r="EH42" s="67"/>
      <c r="EI42" s="67"/>
      <c r="EJ42" s="560"/>
      <c r="EK42" s="67"/>
      <c r="EL42" s="67">
        <f>SUM(EL43:EL45)</f>
        <v>0</v>
      </c>
      <c r="EM42" s="67"/>
      <c r="EN42" s="67"/>
      <c r="EO42" s="455"/>
    </row>
    <row r="43" spans="1:145" ht="12.75" customHeight="1" x14ac:dyDescent="0.2">
      <c r="A43" s="442"/>
      <c r="B43" s="442"/>
      <c r="C43" s="442"/>
      <c r="D43" s="455" t="s">
        <v>342</v>
      </c>
      <c r="E43" s="465"/>
      <c r="F43" s="473"/>
      <c r="G43" s="558">
        <v>0</v>
      </c>
      <c r="H43" s="559"/>
      <c r="I43" s="67"/>
      <c r="J43" s="560"/>
      <c r="K43" s="561"/>
      <c r="L43" s="558">
        <v>0</v>
      </c>
      <c r="M43" s="559"/>
      <c r="N43" s="67"/>
      <c r="O43" s="560"/>
      <c r="P43" s="561"/>
      <c r="Q43" s="558">
        <v>0</v>
      </c>
      <c r="R43" s="559"/>
      <c r="S43" s="67"/>
      <c r="T43" s="560"/>
      <c r="U43" s="561"/>
      <c r="V43" s="558">
        <v>0</v>
      </c>
      <c r="W43" s="559"/>
      <c r="X43" s="67"/>
      <c r="Y43" s="560"/>
      <c r="Z43" s="561"/>
      <c r="AA43" s="558">
        <v>0</v>
      </c>
      <c r="AB43" s="559"/>
      <c r="AC43" s="67"/>
      <c r="AD43" s="560"/>
      <c r="AE43" s="561"/>
      <c r="AF43" s="558">
        <v>0</v>
      </c>
      <c r="AG43" s="559"/>
      <c r="AH43" s="67"/>
      <c r="AI43" s="560"/>
      <c r="AJ43" s="561"/>
      <c r="AK43" s="558">
        <v>0</v>
      </c>
      <c r="AL43" s="559"/>
      <c r="AM43" s="67"/>
      <c r="AN43" s="560"/>
      <c r="AO43" s="561"/>
      <c r="AP43" s="558">
        <v>0</v>
      </c>
      <c r="AQ43" s="559"/>
      <c r="AR43" s="67"/>
      <c r="AS43" s="560"/>
      <c r="AT43" s="561"/>
      <c r="AU43" s="558">
        <v>0</v>
      </c>
      <c r="AV43" s="559"/>
      <c r="AW43" s="67"/>
      <c r="AX43" s="560"/>
      <c r="AY43" s="561"/>
      <c r="AZ43" s="558">
        <v>0</v>
      </c>
      <c r="BA43" s="559"/>
      <c r="BB43" s="67"/>
      <c r="BC43" s="560"/>
      <c r="BD43" s="561"/>
      <c r="BE43" s="558">
        <v>0</v>
      </c>
      <c r="BF43" s="559"/>
      <c r="BG43" s="67"/>
      <c r="BH43" s="560"/>
      <c r="BI43" s="561"/>
      <c r="BJ43" s="558">
        <v>0</v>
      </c>
      <c r="BK43" s="559"/>
      <c r="BL43" s="67"/>
      <c r="BM43" s="560"/>
      <c r="BN43" s="561"/>
      <c r="BO43" s="558">
        <v>0</v>
      </c>
      <c r="BP43" s="559"/>
      <c r="BQ43" s="67"/>
      <c r="BR43" s="560"/>
      <c r="BS43" s="561"/>
      <c r="BT43" s="558">
        <f>SUM(L43:BO43)</f>
        <v>0</v>
      </c>
      <c r="BU43" s="559"/>
      <c r="BV43" s="67"/>
      <c r="BW43" s="560"/>
      <c r="BX43" s="561"/>
      <c r="BY43" s="558">
        <f>SUM(Q43:BT43)</f>
        <v>0</v>
      </c>
      <c r="BZ43" s="559"/>
      <c r="CA43" s="67"/>
      <c r="CB43" s="560"/>
      <c r="CC43" s="561"/>
      <c r="CD43" s="558">
        <v>0</v>
      </c>
      <c r="CE43" s="559"/>
      <c r="CF43" s="67"/>
      <c r="CG43" s="560"/>
      <c r="CH43" s="561"/>
      <c r="CI43" s="558">
        <v>0</v>
      </c>
      <c r="CJ43" s="559"/>
      <c r="CK43" s="67"/>
      <c r="CL43" s="560"/>
      <c r="CM43" s="561"/>
      <c r="CN43" s="558">
        <v>0</v>
      </c>
      <c r="CO43" s="559"/>
      <c r="CP43" s="67"/>
      <c r="CQ43" s="560"/>
      <c r="CR43" s="561"/>
      <c r="CS43" s="558">
        <v>0</v>
      </c>
      <c r="CT43" s="559"/>
      <c r="CU43" s="67"/>
      <c r="CV43" s="560"/>
      <c r="CW43" s="561"/>
      <c r="CX43" s="558">
        <v>0</v>
      </c>
      <c r="CY43" s="559"/>
      <c r="CZ43" s="67"/>
      <c r="DA43" s="560"/>
      <c r="DB43" s="561"/>
      <c r="DC43" s="558">
        <v>0</v>
      </c>
      <c r="DD43" s="559"/>
      <c r="DE43" s="67"/>
      <c r="DF43" s="560"/>
      <c r="DG43" s="561"/>
      <c r="DH43" s="558">
        <v>0</v>
      </c>
      <c r="DI43" s="559"/>
      <c r="DJ43" s="67"/>
      <c r="DK43" s="560"/>
      <c r="DL43" s="561"/>
      <c r="DM43" s="558">
        <v>0</v>
      </c>
      <c r="DN43" s="559"/>
      <c r="DO43" s="67"/>
      <c r="DP43" s="560"/>
      <c r="DQ43" s="561"/>
      <c r="DR43" s="558">
        <v>0</v>
      </c>
      <c r="DS43" s="559"/>
      <c r="DT43" s="67"/>
      <c r="DU43" s="560"/>
      <c r="DV43" s="561"/>
      <c r="DW43" s="558">
        <v>0</v>
      </c>
      <c r="DX43" s="559"/>
      <c r="DY43" s="67"/>
      <c r="DZ43" s="560"/>
      <c r="EA43" s="561"/>
      <c r="EB43" s="558">
        <v>0</v>
      </c>
      <c r="EC43" s="559"/>
      <c r="ED43" s="67"/>
      <c r="EE43" s="560"/>
      <c r="EF43" s="561"/>
      <c r="EG43" s="558">
        <v>0</v>
      </c>
      <c r="EH43" s="559"/>
      <c r="EI43" s="67"/>
      <c r="EJ43" s="560"/>
      <c r="EK43" s="561"/>
      <c r="EL43" s="558">
        <f>SUM(CD43:CI43)</f>
        <v>0</v>
      </c>
      <c r="EM43" s="559"/>
      <c r="EN43" s="67"/>
      <c r="EO43" s="455"/>
    </row>
    <row r="44" spans="1:145" ht="12.75" customHeight="1" x14ac:dyDescent="0.2">
      <c r="A44" s="442"/>
      <c r="B44" s="442"/>
      <c r="C44" s="442"/>
      <c r="D44" s="455" t="s">
        <v>344</v>
      </c>
      <c r="E44" s="465"/>
      <c r="F44" s="465"/>
      <c r="G44" s="67">
        <v>0</v>
      </c>
      <c r="H44" s="66"/>
      <c r="I44" s="67"/>
      <c r="J44" s="560"/>
      <c r="K44" s="560"/>
      <c r="L44" s="67">
        <v>0</v>
      </c>
      <c r="M44" s="66"/>
      <c r="N44" s="67"/>
      <c r="O44" s="560"/>
      <c r="P44" s="560"/>
      <c r="Q44" s="67">
        <v>0</v>
      </c>
      <c r="R44" s="66"/>
      <c r="S44" s="67"/>
      <c r="T44" s="560"/>
      <c r="U44" s="560"/>
      <c r="V44" s="67">
        <v>0</v>
      </c>
      <c r="W44" s="66"/>
      <c r="X44" s="67"/>
      <c r="Y44" s="560"/>
      <c r="Z44" s="560"/>
      <c r="AA44" s="67">
        <v>0</v>
      </c>
      <c r="AB44" s="66"/>
      <c r="AC44" s="67"/>
      <c r="AD44" s="560"/>
      <c r="AE44" s="560"/>
      <c r="AF44" s="67">
        <v>0</v>
      </c>
      <c r="AG44" s="66"/>
      <c r="AH44" s="67"/>
      <c r="AI44" s="560"/>
      <c r="AJ44" s="560"/>
      <c r="AK44" s="67">
        <v>0</v>
      </c>
      <c r="AL44" s="66"/>
      <c r="AM44" s="67"/>
      <c r="AN44" s="560"/>
      <c r="AO44" s="560"/>
      <c r="AP44" s="67">
        <v>0</v>
      </c>
      <c r="AQ44" s="66"/>
      <c r="AR44" s="67"/>
      <c r="AS44" s="560"/>
      <c r="AT44" s="560"/>
      <c r="AU44" s="67">
        <v>0</v>
      </c>
      <c r="AV44" s="66"/>
      <c r="AW44" s="67"/>
      <c r="AX44" s="560"/>
      <c r="AY44" s="560"/>
      <c r="AZ44" s="67">
        <v>0</v>
      </c>
      <c r="BA44" s="66"/>
      <c r="BB44" s="67"/>
      <c r="BC44" s="560"/>
      <c r="BD44" s="560"/>
      <c r="BE44" s="67">
        <v>0</v>
      </c>
      <c r="BF44" s="66"/>
      <c r="BG44" s="67"/>
      <c r="BH44" s="560"/>
      <c r="BI44" s="560"/>
      <c r="BJ44" s="67">
        <v>0</v>
      </c>
      <c r="BK44" s="66"/>
      <c r="BL44" s="67"/>
      <c r="BM44" s="560"/>
      <c r="BN44" s="560"/>
      <c r="BO44" s="67">
        <v>0</v>
      </c>
      <c r="BP44" s="66"/>
      <c r="BQ44" s="67"/>
      <c r="BR44" s="560"/>
      <c r="BS44" s="560"/>
      <c r="BT44" s="67">
        <f>SUM(L44:BO44)</f>
        <v>0</v>
      </c>
      <c r="BU44" s="66"/>
      <c r="BV44" s="67"/>
      <c r="BW44" s="560"/>
      <c r="BX44" s="560"/>
      <c r="BY44" s="67">
        <f>SUM(Q44:BT44)</f>
        <v>0</v>
      </c>
      <c r="BZ44" s="66"/>
      <c r="CA44" s="67"/>
      <c r="CB44" s="560"/>
      <c r="CC44" s="560"/>
      <c r="CD44" s="67">
        <v>0</v>
      </c>
      <c r="CE44" s="66"/>
      <c r="CF44" s="67"/>
      <c r="CG44" s="560"/>
      <c r="CH44" s="560"/>
      <c r="CI44" s="67">
        <v>0</v>
      </c>
      <c r="CJ44" s="66"/>
      <c r="CK44" s="67"/>
      <c r="CL44" s="560"/>
      <c r="CM44" s="560"/>
      <c r="CN44" s="67">
        <v>0</v>
      </c>
      <c r="CO44" s="66"/>
      <c r="CP44" s="67"/>
      <c r="CQ44" s="560"/>
      <c r="CR44" s="560"/>
      <c r="CS44" s="67">
        <v>0</v>
      </c>
      <c r="CT44" s="66"/>
      <c r="CU44" s="67"/>
      <c r="CV44" s="560"/>
      <c r="CW44" s="560"/>
      <c r="CX44" s="67">
        <v>0</v>
      </c>
      <c r="CY44" s="66"/>
      <c r="CZ44" s="67"/>
      <c r="DA44" s="560"/>
      <c r="DB44" s="560"/>
      <c r="DC44" s="67">
        <v>0</v>
      </c>
      <c r="DD44" s="66"/>
      <c r="DE44" s="67"/>
      <c r="DF44" s="560"/>
      <c r="DG44" s="560"/>
      <c r="DH44" s="67">
        <v>0</v>
      </c>
      <c r="DI44" s="66"/>
      <c r="DJ44" s="67"/>
      <c r="DK44" s="560"/>
      <c r="DL44" s="560"/>
      <c r="DM44" s="67">
        <v>0</v>
      </c>
      <c r="DN44" s="66"/>
      <c r="DO44" s="67"/>
      <c r="DP44" s="560"/>
      <c r="DQ44" s="560"/>
      <c r="DR44" s="67">
        <v>0</v>
      </c>
      <c r="DS44" s="66"/>
      <c r="DT44" s="67"/>
      <c r="DU44" s="560"/>
      <c r="DV44" s="560"/>
      <c r="DW44" s="67">
        <v>0</v>
      </c>
      <c r="DX44" s="66"/>
      <c r="DY44" s="67"/>
      <c r="DZ44" s="560"/>
      <c r="EA44" s="560"/>
      <c r="EB44" s="67">
        <v>0</v>
      </c>
      <c r="EC44" s="66"/>
      <c r="ED44" s="67"/>
      <c r="EE44" s="560"/>
      <c r="EF44" s="560"/>
      <c r="EG44" s="67">
        <v>0</v>
      </c>
      <c r="EH44" s="66"/>
      <c r="EI44" s="67"/>
      <c r="EJ44" s="560"/>
      <c r="EK44" s="560"/>
      <c r="EL44" s="67">
        <f>SUM(CD44:CI44)</f>
        <v>0</v>
      </c>
      <c r="EM44" s="66"/>
      <c r="EN44" s="67"/>
      <c r="EO44" s="455"/>
    </row>
    <row r="45" spans="1:145" ht="12.75" customHeight="1" x14ac:dyDescent="0.2">
      <c r="A45" s="442"/>
      <c r="B45" s="442"/>
      <c r="C45" s="442"/>
      <c r="D45" s="455" t="s">
        <v>352</v>
      </c>
      <c r="E45" s="465"/>
      <c r="F45" s="488"/>
      <c r="G45" s="113">
        <v>0</v>
      </c>
      <c r="H45" s="112"/>
      <c r="I45" s="67"/>
      <c r="J45" s="560"/>
      <c r="K45" s="569"/>
      <c r="L45" s="113">
        <v>0</v>
      </c>
      <c r="M45" s="112"/>
      <c r="N45" s="67"/>
      <c r="O45" s="560"/>
      <c r="P45" s="569"/>
      <c r="Q45" s="113">
        <v>0</v>
      </c>
      <c r="R45" s="112"/>
      <c r="S45" s="67"/>
      <c r="T45" s="560"/>
      <c r="U45" s="569"/>
      <c r="V45" s="113">
        <v>0</v>
      </c>
      <c r="W45" s="112"/>
      <c r="X45" s="67"/>
      <c r="Y45" s="560"/>
      <c r="Z45" s="569"/>
      <c r="AA45" s="113">
        <v>0</v>
      </c>
      <c r="AB45" s="112"/>
      <c r="AC45" s="67"/>
      <c r="AD45" s="560"/>
      <c r="AE45" s="569"/>
      <c r="AF45" s="113">
        <v>0</v>
      </c>
      <c r="AG45" s="112"/>
      <c r="AH45" s="67"/>
      <c r="AI45" s="560"/>
      <c r="AJ45" s="569"/>
      <c r="AK45" s="113">
        <v>0</v>
      </c>
      <c r="AL45" s="112"/>
      <c r="AM45" s="67"/>
      <c r="AN45" s="560"/>
      <c r="AO45" s="569"/>
      <c r="AP45" s="113">
        <v>0</v>
      </c>
      <c r="AQ45" s="112"/>
      <c r="AR45" s="67"/>
      <c r="AS45" s="560"/>
      <c r="AT45" s="569"/>
      <c r="AU45" s="113">
        <v>0</v>
      </c>
      <c r="AV45" s="112"/>
      <c r="AW45" s="67"/>
      <c r="AX45" s="560"/>
      <c r="AY45" s="569"/>
      <c r="AZ45" s="113">
        <v>0</v>
      </c>
      <c r="BA45" s="112"/>
      <c r="BB45" s="67"/>
      <c r="BC45" s="560"/>
      <c r="BD45" s="569"/>
      <c r="BE45" s="113">
        <v>0</v>
      </c>
      <c r="BF45" s="112"/>
      <c r="BG45" s="67"/>
      <c r="BH45" s="560"/>
      <c r="BI45" s="569"/>
      <c r="BJ45" s="113">
        <v>0</v>
      </c>
      <c r="BK45" s="112"/>
      <c r="BL45" s="67"/>
      <c r="BM45" s="560"/>
      <c r="BN45" s="569"/>
      <c r="BO45" s="113">
        <v>0</v>
      </c>
      <c r="BP45" s="112"/>
      <c r="BQ45" s="67"/>
      <c r="BR45" s="560"/>
      <c r="BS45" s="569"/>
      <c r="BT45" s="113">
        <f>SUM(L45:BO45)</f>
        <v>0</v>
      </c>
      <c r="BU45" s="112"/>
      <c r="BV45" s="67"/>
      <c r="BW45" s="560"/>
      <c r="BX45" s="569"/>
      <c r="BY45" s="113">
        <f>SUM(Q45:BT45)</f>
        <v>0</v>
      </c>
      <c r="BZ45" s="112"/>
      <c r="CA45" s="67"/>
      <c r="CB45" s="560"/>
      <c r="CC45" s="569"/>
      <c r="CD45" s="113">
        <v>0</v>
      </c>
      <c r="CE45" s="112"/>
      <c r="CF45" s="67"/>
      <c r="CG45" s="560"/>
      <c r="CH45" s="569"/>
      <c r="CI45" s="113">
        <v>0</v>
      </c>
      <c r="CJ45" s="112"/>
      <c r="CK45" s="67"/>
      <c r="CL45" s="560"/>
      <c r="CM45" s="569"/>
      <c r="CN45" s="113">
        <v>0</v>
      </c>
      <c r="CO45" s="112"/>
      <c r="CP45" s="67"/>
      <c r="CQ45" s="560"/>
      <c r="CR45" s="569"/>
      <c r="CS45" s="113">
        <v>0</v>
      </c>
      <c r="CT45" s="112"/>
      <c r="CU45" s="67"/>
      <c r="CV45" s="560"/>
      <c r="CW45" s="569"/>
      <c r="CX45" s="113">
        <v>0</v>
      </c>
      <c r="CY45" s="112"/>
      <c r="CZ45" s="67"/>
      <c r="DA45" s="560"/>
      <c r="DB45" s="569"/>
      <c r="DC45" s="113">
        <v>0</v>
      </c>
      <c r="DD45" s="112"/>
      <c r="DE45" s="67"/>
      <c r="DF45" s="560"/>
      <c r="DG45" s="569"/>
      <c r="DH45" s="113">
        <v>0</v>
      </c>
      <c r="DI45" s="112"/>
      <c r="DJ45" s="67"/>
      <c r="DK45" s="560"/>
      <c r="DL45" s="569"/>
      <c r="DM45" s="113">
        <v>0</v>
      </c>
      <c r="DN45" s="112"/>
      <c r="DO45" s="67"/>
      <c r="DP45" s="560"/>
      <c r="DQ45" s="569"/>
      <c r="DR45" s="113">
        <v>0</v>
      </c>
      <c r="DS45" s="112"/>
      <c r="DT45" s="67"/>
      <c r="DU45" s="560"/>
      <c r="DV45" s="569"/>
      <c r="DW45" s="113">
        <v>0</v>
      </c>
      <c r="DX45" s="112"/>
      <c r="DY45" s="67"/>
      <c r="DZ45" s="560"/>
      <c r="EA45" s="569"/>
      <c r="EB45" s="113">
        <v>0</v>
      </c>
      <c r="EC45" s="112"/>
      <c r="ED45" s="67"/>
      <c r="EE45" s="560"/>
      <c r="EF45" s="569"/>
      <c r="EG45" s="113">
        <v>0</v>
      </c>
      <c r="EH45" s="112"/>
      <c r="EI45" s="67"/>
      <c r="EJ45" s="560"/>
      <c r="EK45" s="569"/>
      <c r="EL45" s="113">
        <f>SUM(CD45:CI45)</f>
        <v>0</v>
      </c>
      <c r="EM45" s="112"/>
      <c r="EN45" s="67"/>
      <c r="EO45" s="455"/>
    </row>
    <row r="46" spans="1:145" ht="12.75" hidden="1" customHeight="1" x14ac:dyDescent="0.2">
      <c r="A46" s="442"/>
      <c r="B46" s="442"/>
      <c r="C46" s="442"/>
      <c r="D46" s="607"/>
      <c r="E46" s="608"/>
      <c r="F46" s="609"/>
      <c r="G46" s="67"/>
      <c r="H46" s="67"/>
      <c r="I46" s="67"/>
      <c r="J46" s="560"/>
      <c r="K46" s="67"/>
      <c r="L46" s="67"/>
      <c r="M46" s="67"/>
      <c r="N46" s="67"/>
      <c r="O46" s="560"/>
      <c r="P46" s="67"/>
      <c r="Q46" s="67"/>
      <c r="R46" s="67"/>
      <c r="S46" s="67"/>
      <c r="T46" s="560"/>
      <c r="U46" s="67"/>
      <c r="V46" s="67"/>
      <c r="W46" s="67"/>
      <c r="X46" s="67"/>
      <c r="Y46" s="560"/>
      <c r="Z46" s="67"/>
      <c r="AA46" s="67"/>
      <c r="AB46" s="67"/>
      <c r="AC46" s="67"/>
      <c r="AD46" s="560"/>
      <c r="AE46" s="67"/>
      <c r="AF46" s="67"/>
      <c r="AG46" s="67"/>
      <c r="AH46" s="67"/>
      <c r="AI46" s="560"/>
      <c r="AJ46" s="67"/>
      <c r="AK46" s="67"/>
      <c r="AL46" s="67"/>
      <c r="AM46" s="67"/>
      <c r="AN46" s="560"/>
      <c r="AO46" s="67"/>
      <c r="AP46" s="67"/>
      <c r="AQ46" s="67"/>
      <c r="AR46" s="67"/>
      <c r="AS46" s="560"/>
      <c r="AT46" s="67"/>
      <c r="AU46" s="67"/>
      <c r="AV46" s="67"/>
      <c r="AW46" s="67"/>
      <c r="AX46" s="560"/>
      <c r="AY46" s="67"/>
      <c r="AZ46" s="67"/>
      <c r="BA46" s="67"/>
      <c r="BB46" s="67"/>
      <c r="BC46" s="560"/>
      <c r="BD46" s="67"/>
      <c r="BE46" s="67"/>
      <c r="BF46" s="67"/>
      <c r="BG46" s="67"/>
      <c r="BH46" s="560"/>
      <c r="BI46" s="67"/>
      <c r="BJ46" s="67"/>
      <c r="BK46" s="67"/>
      <c r="BL46" s="67"/>
      <c r="BM46" s="560"/>
      <c r="BN46" s="67"/>
      <c r="BO46" s="67"/>
      <c r="BP46" s="67"/>
      <c r="BQ46" s="67"/>
      <c r="BR46" s="560"/>
      <c r="BS46" s="67"/>
      <c r="BT46" s="67"/>
      <c r="BU46" s="67"/>
      <c r="BV46" s="67"/>
      <c r="BW46" s="560"/>
      <c r="BX46" s="67"/>
      <c r="BY46" s="67"/>
      <c r="BZ46" s="67"/>
      <c r="CA46" s="67"/>
      <c r="CB46" s="560"/>
      <c r="CC46" s="67"/>
      <c r="CD46" s="67"/>
      <c r="CE46" s="67"/>
      <c r="CF46" s="67"/>
      <c r="CG46" s="560"/>
      <c r="CH46" s="67"/>
      <c r="CI46" s="67"/>
      <c r="CJ46" s="67"/>
      <c r="CK46" s="67"/>
      <c r="CL46" s="560"/>
      <c r="CM46" s="67"/>
      <c r="CN46" s="67"/>
      <c r="CO46" s="67"/>
      <c r="CP46" s="67"/>
      <c r="CQ46" s="560"/>
      <c r="CR46" s="67"/>
      <c r="CS46" s="67"/>
      <c r="CT46" s="67"/>
      <c r="CU46" s="67"/>
      <c r="CV46" s="560"/>
      <c r="CW46" s="67"/>
      <c r="CX46" s="67"/>
      <c r="CY46" s="67"/>
      <c r="CZ46" s="67"/>
      <c r="DA46" s="560"/>
      <c r="DB46" s="67"/>
      <c r="DC46" s="67"/>
      <c r="DD46" s="67"/>
      <c r="DE46" s="67"/>
      <c r="DF46" s="560"/>
      <c r="DG46" s="67"/>
      <c r="DH46" s="67"/>
      <c r="DI46" s="67"/>
      <c r="DJ46" s="67"/>
      <c r="DK46" s="560"/>
      <c r="DL46" s="67"/>
      <c r="DM46" s="67"/>
      <c r="DN46" s="67"/>
      <c r="DO46" s="67"/>
      <c r="DP46" s="560"/>
      <c r="DQ46" s="67"/>
      <c r="DR46" s="67"/>
      <c r="DS46" s="67"/>
      <c r="DT46" s="67"/>
      <c r="DU46" s="560"/>
      <c r="DV46" s="67"/>
      <c r="DW46" s="67"/>
      <c r="DX46" s="67"/>
      <c r="DY46" s="67"/>
      <c r="DZ46" s="560"/>
      <c r="EA46" s="67"/>
      <c r="EB46" s="67"/>
      <c r="EC46" s="67"/>
      <c r="ED46" s="67"/>
      <c r="EE46" s="560"/>
      <c r="EF46" s="67"/>
      <c r="EG46" s="67"/>
      <c r="EH46" s="67"/>
      <c r="EI46" s="67"/>
      <c r="EJ46" s="560"/>
      <c r="EK46" s="67"/>
      <c r="EL46" s="67"/>
      <c r="EM46" s="67"/>
      <c r="EN46" s="67"/>
      <c r="EO46" s="455"/>
    </row>
    <row r="47" spans="1:145" ht="12.75" hidden="1" customHeight="1" x14ac:dyDescent="0.2">
      <c r="A47" s="442"/>
      <c r="B47" s="442"/>
      <c r="C47" s="442"/>
      <c r="D47" s="455" t="s">
        <v>450</v>
      </c>
      <c r="E47" s="465"/>
      <c r="F47" s="442"/>
      <c r="G47" s="67">
        <v>0</v>
      </c>
      <c r="H47" s="67"/>
      <c r="I47" s="67"/>
      <c r="J47" s="560"/>
      <c r="K47" s="67"/>
      <c r="L47" s="67">
        <f>L48+L50</f>
        <v>0</v>
      </c>
      <c r="M47" s="67"/>
      <c r="N47" s="67"/>
      <c r="O47" s="560"/>
      <c r="P47" s="67"/>
      <c r="Q47" s="67">
        <f>Q48+Q50</f>
        <v>0</v>
      </c>
      <c r="R47" s="67"/>
      <c r="S47" s="67"/>
      <c r="T47" s="560"/>
      <c r="U47" s="67"/>
      <c r="V47" s="67">
        <f>V48+V50</f>
        <v>0</v>
      </c>
      <c r="W47" s="67"/>
      <c r="X47" s="67"/>
      <c r="Y47" s="560"/>
      <c r="Z47" s="67"/>
      <c r="AA47" s="67">
        <f>AA48+AA50</f>
        <v>0</v>
      </c>
      <c r="AB47" s="67"/>
      <c r="AC47" s="67"/>
      <c r="AD47" s="560"/>
      <c r="AE47" s="67"/>
      <c r="AF47" s="67">
        <f>AF48+AF50</f>
        <v>0</v>
      </c>
      <c r="AG47" s="67"/>
      <c r="AH47" s="67"/>
      <c r="AI47" s="560"/>
      <c r="AJ47" s="67"/>
      <c r="AK47" s="67">
        <f>AK48+AK50</f>
        <v>0</v>
      </c>
      <c r="AL47" s="67"/>
      <c r="AM47" s="67"/>
      <c r="AN47" s="560"/>
      <c r="AO47" s="67"/>
      <c r="AP47" s="67">
        <f>AP48+AP50</f>
        <v>0</v>
      </c>
      <c r="AQ47" s="67"/>
      <c r="AR47" s="67"/>
      <c r="AS47" s="560"/>
      <c r="AT47" s="67"/>
      <c r="AU47" s="67">
        <f>AU48+AU50</f>
        <v>0</v>
      </c>
      <c r="AV47" s="67"/>
      <c r="AW47" s="67"/>
      <c r="AX47" s="560"/>
      <c r="AY47" s="67"/>
      <c r="AZ47" s="67">
        <f>AZ48+AZ50</f>
        <v>0</v>
      </c>
      <c r="BA47" s="67"/>
      <c r="BB47" s="67"/>
      <c r="BC47" s="560"/>
      <c r="BD47" s="67"/>
      <c r="BE47" s="67">
        <f>BE48+BE50</f>
        <v>0</v>
      </c>
      <c r="BF47" s="67"/>
      <c r="BG47" s="67"/>
      <c r="BH47" s="560"/>
      <c r="BI47" s="67"/>
      <c r="BJ47" s="67">
        <f>BJ48+BJ50</f>
        <v>0</v>
      </c>
      <c r="BK47" s="67"/>
      <c r="BL47" s="67"/>
      <c r="BM47" s="560"/>
      <c r="BN47" s="67"/>
      <c r="BO47" s="67">
        <f>BO48+BO50</f>
        <v>0</v>
      </c>
      <c r="BP47" s="67"/>
      <c r="BQ47" s="67"/>
      <c r="BR47" s="560"/>
      <c r="BS47" s="67"/>
      <c r="BT47" s="67">
        <f>SUM(BT48:BT50)</f>
        <v>0</v>
      </c>
      <c r="BU47" s="67"/>
      <c r="BV47" s="67"/>
      <c r="BW47" s="560"/>
      <c r="BX47" s="67"/>
      <c r="BY47" s="67">
        <f>SUM(BY48:BY50)</f>
        <v>0</v>
      </c>
      <c r="BZ47" s="67"/>
      <c r="CA47" s="67"/>
      <c r="CB47" s="560"/>
      <c r="CC47" s="67"/>
      <c r="CD47" s="67">
        <f>CD48+CD50</f>
        <v>0</v>
      </c>
      <c r="CE47" s="67"/>
      <c r="CF47" s="67"/>
      <c r="CG47" s="560"/>
      <c r="CH47" s="67"/>
      <c r="CI47" s="67">
        <f>CI48+CI50</f>
        <v>0</v>
      </c>
      <c r="CJ47" s="67"/>
      <c r="CK47" s="67"/>
      <c r="CL47" s="560"/>
      <c r="CM47" s="67"/>
      <c r="CN47" s="67">
        <f>CN48+CN50</f>
        <v>0</v>
      </c>
      <c r="CO47" s="67"/>
      <c r="CP47" s="67"/>
      <c r="CQ47" s="560"/>
      <c r="CR47" s="67"/>
      <c r="CS47" s="67">
        <f>CS48+CS50</f>
        <v>0</v>
      </c>
      <c r="CT47" s="67"/>
      <c r="CU47" s="67"/>
      <c r="CV47" s="560"/>
      <c r="CW47" s="67"/>
      <c r="CX47" s="67">
        <f>CX48+CX50</f>
        <v>0</v>
      </c>
      <c r="CY47" s="67"/>
      <c r="CZ47" s="67"/>
      <c r="DA47" s="560"/>
      <c r="DB47" s="67"/>
      <c r="DC47" s="67">
        <f>DC48+DC50</f>
        <v>0</v>
      </c>
      <c r="DD47" s="67"/>
      <c r="DE47" s="67"/>
      <c r="DF47" s="560"/>
      <c r="DG47" s="67"/>
      <c r="DH47" s="67">
        <f>DH48+DH50</f>
        <v>0</v>
      </c>
      <c r="DI47" s="67"/>
      <c r="DJ47" s="67"/>
      <c r="DK47" s="560"/>
      <c r="DL47" s="67"/>
      <c r="DM47" s="67">
        <f>DM48+DM50</f>
        <v>0</v>
      </c>
      <c r="DN47" s="67"/>
      <c r="DO47" s="67"/>
      <c r="DP47" s="560"/>
      <c r="DQ47" s="67"/>
      <c r="DR47" s="67">
        <f>DR48+DR50</f>
        <v>0</v>
      </c>
      <c r="DS47" s="67"/>
      <c r="DT47" s="67"/>
      <c r="DU47" s="560"/>
      <c r="DV47" s="67"/>
      <c r="DW47" s="67">
        <f>DW48+DW50</f>
        <v>0</v>
      </c>
      <c r="DX47" s="67"/>
      <c r="DY47" s="67"/>
      <c r="DZ47" s="560"/>
      <c r="EA47" s="67"/>
      <c r="EB47" s="67">
        <f>EB48+EB50</f>
        <v>0</v>
      </c>
      <c r="EC47" s="67"/>
      <c r="ED47" s="67"/>
      <c r="EE47" s="560"/>
      <c r="EF47" s="67"/>
      <c r="EG47" s="67">
        <f>EG48+EG50</f>
        <v>0</v>
      </c>
      <c r="EH47" s="67"/>
      <c r="EI47" s="67"/>
      <c r="EJ47" s="560"/>
      <c r="EK47" s="67"/>
      <c r="EL47" s="67">
        <f>SUM(EL48:EL50)</f>
        <v>0</v>
      </c>
      <c r="EM47" s="67"/>
      <c r="EN47" s="67"/>
      <c r="EO47" s="455"/>
    </row>
    <row r="48" spans="1:145" ht="12.75" hidden="1" customHeight="1" x14ac:dyDescent="0.2">
      <c r="A48" s="442"/>
      <c r="B48" s="442"/>
      <c r="C48" s="442"/>
      <c r="D48" s="455" t="s">
        <v>342</v>
      </c>
      <c r="E48" s="465"/>
      <c r="F48" s="473"/>
      <c r="G48" s="558">
        <v>0</v>
      </c>
      <c r="H48" s="559"/>
      <c r="I48" s="67"/>
      <c r="J48" s="560"/>
      <c r="K48" s="561"/>
      <c r="L48" s="558">
        <v>0</v>
      </c>
      <c r="M48" s="559"/>
      <c r="N48" s="67"/>
      <c r="O48" s="560"/>
      <c r="P48" s="561"/>
      <c r="Q48" s="558">
        <v>0</v>
      </c>
      <c r="R48" s="559"/>
      <c r="S48" s="67"/>
      <c r="T48" s="560"/>
      <c r="U48" s="561"/>
      <c r="V48" s="558">
        <v>0</v>
      </c>
      <c r="W48" s="559"/>
      <c r="X48" s="67"/>
      <c r="Y48" s="560"/>
      <c r="Z48" s="561"/>
      <c r="AA48" s="558">
        <v>0</v>
      </c>
      <c r="AB48" s="559"/>
      <c r="AC48" s="67"/>
      <c r="AD48" s="560"/>
      <c r="AE48" s="561"/>
      <c r="AF48" s="558">
        <v>0</v>
      </c>
      <c r="AG48" s="559"/>
      <c r="AH48" s="67"/>
      <c r="AI48" s="560"/>
      <c r="AJ48" s="561"/>
      <c r="AK48" s="558">
        <v>0</v>
      </c>
      <c r="AL48" s="559"/>
      <c r="AM48" s="67"/>
      <c r="AN48" s="560"/>
      <c r="AO48" s="561"/>
      <c r="AP48" s="558">
        <v>0</v>
      </c>
      <c r="AQ48" s="559"/>
      <c r="AR48" s="67"/>
      <c r="AS48" s="560"/>
      <c r="AT48" s="561"/>
      <c r="AU48" s="558">
        <v>0</v>
      </c>
      <c r="AV48" s="559"/>
      <c r="AW48" s="67"/>
      <c r="AX48" s="560"/>
      <c r="AY48" s="561"/>
      <c r="AZ48" s="558">
        <v>0</v>
      </c>
      <c r="BA48" s="559"/>
      <c r="BB48" s="67"/>
      <c r="BC48" s="560"/>
      <c r="BD48" s="561"/>
      <c r="BE48" s="558">
        <v>0</v>
      </c>
      <c r="BF48" s="559"/>
      <c r="BG48" s="67"/>
      <c r="BH48" s="560"/>
      <c r="BI48" s="561"/>
      <c r="BJ48" s="558">
        <v>0</v>
      </c>
      <c r="BK48" s="559"/>
      <c r="BL48" s="67"/>
      <c r="BM48" s="560"/>
      <c r="BN48" s="561"/>
      <c r="BO48" s="558">
        <v>0</v>
      </c>
      <c r="BP48" s="559"/>
      <c r="BQ48" s="67"/>
      <c r="BR48" s="560"/>
      <c r="BS48" s="561"/>
      <c r="BT48" s="558">
        <f>SUM(L48:BO48)</f>
        <v>0</v>
      </c>
      <c r="BU48" s="559"/>
      <c r="BV48" s="67"/>
      <c r="BW48" s="560"/>
      <c r="BX48" s="561"/>
      <c r="BY48" s="558">
        <f>SUM(Q48:BT48)</f>
        <v>0</v>
      </c>
      <c r="BZ48" s="559"/>
      <c r="CA48" s="67"/>
      <c r="CB48" s="560"/>
      <c r="CC48" s="561"/>
      <c r="CD48" s="558">
        <v>0</v>
      </c>
      <c r="CE48" s="559"/>
      <c r="CF48" s="67"/>
      <c r="CG48" s="560"/>
      <c r="CH48" s="561"/>
      <c r="CI48" s="558">
        <v>0</v>
      </c>
      <c r="CJ48" s="559"/>
      <c r="CK48" s="67"/>
      <c r="CL48" s="560"/>
      <c r="CM48" s="561"/>
      <c r="CN48" s="558">
        <v>0</v>
      </c>
      <c r="CO48" s="559"/>
      <c r="CP48" s="67"/>
      <c r="CQ48" s="560"/>
      <c r="CR48" s="561"/>
      <c r="CS48" s="558">
        <v>0</v>
      </c>
      <c r="CT48" s="559"/>
      <c r="CU48" s="67"/>
      <c r="CV48" s="560"/>
      <c r="CW48" s="561"/>
      <c r="CX48" s="558">
        <v>0</v>
      </c>
      <c r="CY48" s="559"/>
      <c r="CZ48" s="67"/>
      <c r="DA48" s="560"/>
      <c r="DB48" s="561"/>
      <c r="DC48" s="558">
        <v>0</v>
      </c>
      <c r="DD48" s="559"/>
      <c r="DE48" s="67"/>
      <c r="DF48" s="560"/>
      <c r="DG48" s="561"/>
      <c r="DH48" s="558">
        <v>0</v>
      </c>
      <c r="DI48" s="559"/>
      <c r="DJ48" s="67"/>
      <c r="DK48" s="560"/>
      <c r="DL48" s="561"/>
      <c r="DM48" s="558">
        <v>0</v>
      </c>
      <c r="DN48" s="559"/>
      <c r="DO48" s="67"/>
      <c r="DP48" s="560"/>
      <c r="DQ48" s="561"/>
      <c r="DR48" s="558">
        <v>0</v>
      </c>
      <c r="DS48" s="559"/>
      <c r="DT48" s="67"/>
      <c r="DU48" s="560"/>
      <c r="DV48" s="561"/>
      <c r="DW48" s="558">
        <v>0</v>
      </c>
      <c r="DX48" s="559"/>
      <c r="DY48" s="67"/>
      <c r="DZ48" s="560"/>
      <c r="EA48" s="561"/>
      <c r="EB48" s="558">
        <v>0</v>
      </c>
      <c r="EC48" s="559"/>
      <c r="ED48" s="67"/>
      <c r="EE48" s="560"/>
      <c r="EF48" s="561"/>
      <c r="EG48" s="558">
        <v>0</v>
      </c>
      <c r="EH48" s="559"/>
      <c r="EI48" s="67"/>
      <c r="EJ48" s="560"/>
      <c r="EK48" s="561"/>
      <c r="EL48" s="558">
        <f>SUM(CD48:EG48)</f>
        <v>0</v>
      </c>
      <c r="EM48" s="559"/>
      <c r="EN48" s="67"/>
      <c r="EO48" s="455"/>
    </row>
    <row r="49" spans="1:148" ht="12.75" hidden="1" customHeight="1" x14ac:dyDescent="0.2">
      <c r="A49" s="442"/>
      <c r="B49" s="442"/>
      <c r="C49" s="442"/>
      <c r="D49" s="455" t="s">
        <v>344</v>
      </c>
      <c r="E49" s="465"/>
      <c r="F49" s="465"/>
      <c r="G49" s="67">
        <v>0</v>
      </c>
      <c r="H49" s="66"/>
      <c r="I49" s="67"/>
      <c r="J49" s="560"/>
      <c r="K49" s="560"/>
      <c r="L49" s="67">
        <v>0</v>
      </c>
      <c r="M49" s="66"/>
      <c r="N49" s="67"/>
      <c r="O49" s="560"/>
      <c r="P49" s="560"/>
      <c r="Q49" s="67">
        <v>0</v>
      </c>
      <c r="R49" s="66"/>
      <c r="S49" s="67"/>
      <c r="T49" s="560"/>
      <c r="U49" s="560"/>
      <c r="V49" s="67">
        <v>0</v>
      </c>
      <c r="W49" s="66"/>
      <c r="X49" s="67"/>
      <c r="Y49" s="560"/>
      <c r="Z49" s="560"/>
      <c r="AA49" s="67">
        <v>0</v>
      </c>
      <c r="AB49" s="66"/>
      <c r="AC49" s="67"/>
      <c r="AD49" s="560"/>
      <c r="AE49" s="560"/>
      <c r="AF49" s="67">
        <v>0</v>
      </c>
      <c r="AG49" s="66"/>
      <c r="AH49" s="67"/>
      <c r="AI49" s="560"/>
      <c r="AJ49" s="560"/>
      <c r="AK49" s="67">
        <v>0</v>
      </c>
      <c r="AL49" s="66"/>
      <c r="AM49" s="67"/>
      <c r="AN49" s="560"/>
      <c r="AO49" s="560"/>
      <c r="AP49" s="67">
        <v>0</v>
      </c>
      <c r="AQ49" s="66"/>
      <c r="AR49" s="67"/>
      <c r="AS49" s="560"/>
      <c r="AT49" s="560"/>
      <c r="AU49" s="67">
        <v>0</v>
      </c>
      <c r="AV49" s="66"/>
      <c r="AW49" s="67"/>
      <c r="AX49" s="560"/>
      <c r="AY49" s="560"/>
      <c r="AZ49" s="67">
        <v>0</v>
      </c>
      <c r="BA49" s="66"/>
      <c r="BB49" s="67"/>
      <c r="BC49" s="560"/>
      <c r="BD49" s="560"/>
      <c r="BE49" s="67">
        <v>0</v>
      </c>
      <c r="BF49" s="66"/>
      <c r="BG49" s="67"/>
      <c r="BH49" s="560"/>
      <c r="BI49" s="560"/>
      <c r="BJ49" s="67">
        <v>0</v>
      </c>
      <c r="BK49" s="66"/>
      <c r="BL49" s="67"/>
      <c r="BM49" s="560"/>
      <c r="BN49" s="560"/>
      <c r="BO49" s="67">
        <v>0</v>
      </c>
      <c r="BP49" s="66"/>
      <c r="BQ49" s="67"/>
      <c r="BR49" s="560"/>
      <c r="BS49" s="560"/>
      <c r="BT49" s="67">
        <f>SUM(L49:BO49)</f>
        <v>0</v>
      </c>
      <c r="BU49" s="66"/>
      <c r="BV49" s="67"/>
      <c r="BW49" s="560"/>
      <c r="BX49" s="560"/>
      <c r="BY49" s="67">
        <f>SUM(Q49:BT49)</f>
        <v>0</v>
      </c>
      <c r="BZ49" s="66"/>
      <c r="CA49" s="67"/>
      <c r="CB49" s="560"/>
      <c r="CC49" s="560"/>
      <c r="CD49" s="67">
        <v>0</v>
      </c>
      <c r="CE49" s="66"/>
      <c r="CF49" s="67"/>
      <c r="CG49" s="560"/>
      <c r="CH49" s="560"/>
      <c r="CI49" s="67">
        <v>0</v>
      </c>
      <c r="CJ49" s="66"/>
      <c r="CK49" s="67"/>
      <c r="CL49" s="560"/>
      <c r="CM49" s="560"/>
      <c r="CN49" s="67">
        <v>0</v>
      </c>
      <c r="CO49" s="66"/>
      <c r="CP49" s="67"/>
      <c r="CQ49" s="560"/>
      <c r="CR49" s="560"/>
      <c r="CS49" s="67">
        <v>0</v>
      </c>
      <c r="CT49" s="66"/>
      <c r="CU49" s="67"/>
      <c r="CV49" s="560"/>
      <c r="CW49" s="560"/>
      <c r="CX49" s="67">
        <v>0</v>
      </c>
      <c r="CY49" s="66"/>
      <c r="CZ49" s="67"/>
      <c r="DA49" s="560"/>
      <c r="DB49" s="560"/>
      <c r="DC49" s="67">
        <v>0</v>
      </c>
      <c r="DD49" s="66"/>
      <c r="DE49" s="67"/>
      <c r="DF49" s="560"/>
      <c r="DG49" s="560"/>
      <c r="DH49" s="67">
        <v>0</v>
      </c>
      <c r="DI49" s="66"/>
      <c r="DJ49" s="67"/>
      <c r="DK49" s="560"/>
      <c r="DL49" s="560"/>
      <c r="DM49" s="67">
        <v>0</v>
      </c>
      <c r="DN49" s="66"/>
      <c r="DO49" s="67"/>
      <c r="DP49" s="560"/>
      <c r="DQ49" s="560"/>
      <c r="DR49" s="67">
        <v>0</v>
      </c>
      <c r="DS49" s="66"/>
      <c r="DT49" s="67"/>
      <c r="DU49" s="560"/>
      <c r="DV49" s="560"/>
      <c r="DW49" s="67">
        <v>0</v>
      </c>
      <c r="DX49" s="66"/>
      <c r="DY49" s="67"/>
      <c r="DZ49" s="560"/>
      <c r="EA49" s="560"/>
      <c r="EB49" s="67">
        <v>0</v>
      </c>
      <c r="EC49" s="66"/>
      <c r="ED49" s="67"/>
      <c r="EE49" s="560"/>
      <c r="EF49" s="560"/>
      <c r="EG49" s="67">
        <v>0</v>
      </c>
      <c r="EH49" s="66"/>
      <c r="EI49" s="67"/>
      <c r="EJ49" s="560"/>
      <c r="EK49" s="560"/>
      <c r="EL49" s="67">
        <f>SUM(CD49:EG49)</f>
        <v>0</v>
      </c>
      <c r="EM49" s="66"/>
      <c r="EN49" s="67"/>
      <c r="EO49" s="455"/>
    </row>
    <row r="50" spans="1:148" ht="12.75" hidden="1" customHeight="1" x14ac:dyDescent="0.2">
      <c r="A50" s="442"/>
      <c r="B50" s="442"/>
      <c r="C50" s="442"/>
      <c r="D50" s="455" t="s">
        <v>352</v>
      </c>
      <c r="E50" s="465"/>
      <c r="F50" s="488"/>
      <c r="G50" s="113">
        <v>0</v>
      </c>
      <c r="H50" s="112"/>
      <c r="I50" s="67"/>
      <c r="J50" s="560"/>
      <c r="K50" s="569"/>
      <c r="L50" s="113">
        <v>0</v>
      </c>
      <c r="M50" s="112"/>
      <c r="N50" s="67"/>
      <c r="O50" s="560"/>
      <c r="P50" s="569"/>
      <c r="Q50" s="113">
        <v>0</v>
      </c>
      <c r="R50" s="112"/>
      <c r="S50" s="67"/>
      <c r="T50" s="560"/>
      <c r="U50" s="569"/>
      <c r="V50" s="113">
        <v>0</v>
      </c>
      <c r="W50" s="112"/>
      <c r="X50" s="67"/>
      <c r="Y50" s="560"/>
      <c r="Z50" s="569"/>
      <c r="AA50" s="113">
        <v>0</v>
      </c>
      <c r="AB50" s="112"/>
      <c r="AC50" s="67"/>
      <c r="AD50" s="560"/>
      <c r="AE50" s="569"/>
      <c r="AF50" s="113">
        <v>0</v>
      </c>
      <c r="AG50" s="112"/>
      <c r="AH50" s="67"/>
      <c r="AI50" s="560"/>
      <c r="AJ50" s="569"/>
      <c r="AK50" s="113">
        <v>0</v>
      </c>
      <c r="AL50" s="112"/>
      <c r="AM50" s="67"/>
      <c r="AN50" s="560"/>
      <c r="AO50" s="569"/>
      <c r="AP50" s="113">
        <v>0</v>
      </c>
      <c r="AQ50" s="112"/>
      <c r="AR50" s="67"/>
      <c r="AS50" s="560"/>
      <c r="AT50" s="569"/>
      <c r="AU50" s="113">
        <v>0</v>
      </c>
      <c r="AV50" s="112"/>
      <c r="AW50" s="67"/>
      <c r="AX50" s="560"/>
      <c r="AY50" s="569"/>
      <c r="AZ50" s="113">
        <v>0</v>
      </c>
      <c r="BA50" s="112"/>
      <c r="BB50" s="67"/>
      <c r="BC50" s="560"/>
      <c r="BD50" s="569"/>
      <c r="BE50" s="113">
        <v>0</v>
      </c>
      <c r="BF50" s="112"/>
      <c r="BG50" s="67"/>
      <c r="BH50" s="560"/>
      <c r="BI50" s="569"/>
      <c r="BJ50" s="113">
        <v>0</v>
      </c>
      <c r="BK50" s="112"/>
      <c r="BL50" s="67"/>
      <c r="BM50" s="560"/>
      <c r="BN50" s="569"/>
      <c r="BO50" s="113">
        <v>0</v>
      </c>
      <c r="BP50" s="112"/>
      <c r="BQ50" s="67"/>
      <c r="BR50" s="560"/>
      <c r="BS50" s="569"/>
      <c r="BT50" s="113">
        <f>SUM(L50:BO50)</f>
        <v>0</v>
      </c>
      <c r="BU50" s="112"/>
      <c r="BV50" s="67"/>
      <c r="BW50" s="560"/>
      <c r="BX50" s="569"/>
      <c r="BY50" s="113">
        <f>SUM(Q50:BT50)</f>
        <v>0</v>
      </c>
      <c r="BZ50" s="112"/>
      <c r="CA50" s="67"/>
      <c r="CB50" s="560"/>
      <c r="CC50" s="569"/>
      <c r="CD50" s="113">
        <v>0</v>
      </c>
      <c r="CE50" s="112"/>
      <c r="CF50" s="67"/>
      <c r="CG50" s="560"/>
      <c r="CH50" s="569"/>
      <c r="CI50" s="113">
        <v>0</v>
      </c>
      <c r="CJ50" s="112"/>
      <c r="CK50" s="67"/>
      <c r="CL50" s="560"/>
      <c r="CM50" s="569"/>
      <c r="CN50" s="113">
        <v>0</v>
      </c>
      <c r="CO50" s="112"/>
      <c r="CP50" s="67"/>
      <c r="CQ50" s="560"/>
      <c r="CR50" s="569"/>
      <c r="CS50" s="113">
        <v>0</v>
      </c>
      <c r="CT50" s="112"/>
      <c r="CU50" s="67"/>
      <c r="CV50" s="560"/>
      <c r="CW50" s="569"/>
      <c r="CX50" s="113">
        <v>0</v>
      </c>
      <c r="CY50" s="112"/>
      <c r="CZ50" s="67"/>
      <c r="DA50" s="560"/>
      <c r="DB50" s="569"/>
      <c r="DC50" s="113">
        <v>0</v>
      </c>
      <c r="DD50" s="112"/>
      <c r="DE50" s="67"/>
      <c r="DF50" s="560"/>
      <c r="DG50" s="569"/>
      <c r="DH50" s="113">
        <v>0</v>
      </c>
      <c r="DI50" s="112"/>
      <c r="DJ50" s="67"/>
      <c r="DK50" s="560"/>
      <c r="DL50" s="569"/>
      <c r="DM50" s="113">
        <v>0</v>
      </c>
      <c r="DN50" s="112"/>
      <c r="DO50" s="67"/>
      <c r="DP50" s="560"/>
      <c r="DQ50" s="569"/>
      <c r="DR50" s="113">
        <v>0</v>
      </c>
      <c r="DS50" s="112"/>
      <c r="DT50" s="67"/>
      <c r="DU50" s="560"/>
      <c r="DV50" s="569"/>
      <c r="DW50" s="113">
        <v>0</v>
      </c>
      <c r="DX50" s="112"/>
      <c r="DY50" s="67"/>
      <c r="DZ50" s="560"/>
      <c r="EA50" s="569"/>
      <c r="EB50" s="113">
        <v>0</v>
      </c>
      <c r="EC50" s="112"/>
      <c r="ED50" s="67"/>
      <c r="EE50" s="560"/>
      <c r="EF50" s="569"/>
      <c r="EG50" s="113">
        <v>0</v>
      </c>
      <c r="EH50" s="112"/>
      <c r="EI50" s="67"/>
      <c r="EJ50" s="560"/>
      <c r="EK50" s="569"/>
      <c r="EL50" s="113">
        <f>SUM(CD50:EG50)</f>
        <v>0</v>
      </c>
      <c r="EM50" s="112"/>
      <c r="EN50" s="67"/>
      <c r="EO50" s="455"/>
    </row>
    <row r="51" spans="1:148" ht="12.75" hidden="1" customHeight="1" x14ac:dyDescent="0.2">
      <c r="A51" s="442"/>
      <c r="B51" s="442"/>
      <c r="C51" s="442"/>
      <c r="D51" s="607"/>
      <c r="E51" s="608"/>
      <c r="F51" s="609"/>
      <c r="G51" s="67"/>
      <c r="H51" s="67"/>
      <c r="I51" s="67"/>
      <c r="J51" s="560"/>
      <c r="K51" s="67"/>
      <c r="L51" s="67"/>
      <c r="M51" s="67"/>
      <c r="N51" s="67"/>
      <c r="O51" s="560"/>
      <c r="P51" s="67"/>
      <c r="Q51" s="67"/>
      <c r="R51" s="67"/>
      <c r="S51" s="67"/>
      <c r="T51" s="560"/>
      <c r="U51" s="67"/>
      <c r="V51" s="67"/>
      <c r="W51" s="67"/>
      <c r="X51" s="67"/>
      <c r="Y51" s="560"/>
      <c r="Z51" s="67"/>
      <c r="AA51" s="67"/>
      <c r="AB51" s="67"/>
      <c r="AC51" s="67"/>
      <c r="AD51" s="560"/>
      <c r="AE51" s="67"/>
      <c r="AF51" s="67"/>
      <c r="AG51" s="67"/>
      <c r="AH51" s="67"/>
      <c r="AI51" s="560"/>
      <c r="AJ51" s="67"/>
      <c r="AK51" s="67"/>
      <c r="AL51" s="67"/>
      <c r="AM51" s="67"/>
      <c r="AN51" s="560"/>
      <c r="AO51" s="67"/>
      <c r="AP51" s="67"/>
      <c r="AQ51" s="67"/>
      <c r="AR51" s="67"/>
      <c r="AS51" s="560"/>
      <c r="AT51" s="67"/>
      <c r="AU51" s="67"/>
      <c r="AV51" s="67"/>
      <c r="AW51" s="67"/>
      <c r="AX51" s="560"/>
      <c r="AY51" s="67"/>
      <c r="AZ51" s="67"/>
      <c r="BA51" s="67"/>
      <c r="BB51" s="67"/>
      <c r="BC51" s="560"/>
      <c r="BD51" s="67"/>
      <c r="BE51" s="67"/>
      <c r="BF51" s="67"/>
      <c r="BG51" s="67"/>
      <c r="BH51" s="560"/>
      <c r="BI51" s="67"/>
      <c r="BJ51" s="67"/>
      <c r="BK51" s="67"/>
      <c r="BL51" s="67"/>
      <c r="BM51" s="560"/>
      <c r="BN51" s="67"/>
      <c r="BO51" s="67"/>
      <c r="BP51" s="67"/>
      <c r="BQ51" s="67"/>
      <c r="BR51" s="560"/>
      <c r="BS51" s="67"/>
      <c r="BT51" s="67"/>
      <c r="BU51" s="67"/>
      <c r="BV51" s="67"/>
      <c r="BW51" s="560"/>
      <c r="BX51" s="67"/>
      <c r="BY51" s="67"/>
      <c r="BZ51" s="67"/>
      <c r="CA51" s="67"/>
      <c r="CB51" s="560"/>
      <c r="CC51" s="67"/>
      <c r="CD51" s="67"/>
      <c r="CE51" s="67"/>
      <c r="CF51" s="67"/>
      <c r="CG51" s="560"/>
      <c r="CH51" s="67"/>
      <c r="CI51" s="67"/>
      <c r="CJ51" s="67"/>
      <c r="CK51" s="67"/>
      <c r="CL51" s="560"/>
      <c r="CM51" s="67"/>
      <c r="CN51" s="67"/>
      <c r="CO51" s="67"/>
      <c r="CP51" s="67"/>
      <c r="CQ51" s="560"/>
      <c r="CR51" s="67"/>
      <c r="CS51" s="67"/>
      <c r="CT51" s="67"/>
      <c r="CU51" s="67"/>
      <c r="CV51" s="560"/>
      <c r="CW51" s="67"/>
      <c r="CX51" s="67"/>
      <c r="CY51" s="67"/>
      <c r="CZ51" s="67"/>
      <c r="DA51" s="560"/>
      <c r="DB51" s="67"/>
      <c r="DC51" s="67"/>
      <c r="DD51" s="67"/>
      <c r="DE51" s="67"/>
      <c r="DF51" s="560"/>
      <c r="DG51" s="67"/>
      <c r="DH51" s="67"/>
      <c r="DI51" s="67"/>
      <c r="DJ51" s="67"/>
      <c r="DK51" s="560"/>
      <c r="DL51" s="67"/>
      <c r="DM51" s="67"/>
      <c r="DN51" s="67"/>
      <c r="DO51" s="67"/>
      <c r="DP51" s="560"/>
      <c r="DQ51" s="67"/>
      <c r="DR51" s="67"/>
      <c r="DS51" s="67"/>
      <c r="DT51" s="67"/>
      <c r="DU51" s="560"/>
      <c r="DV51" s="67"/>
      <c r="DW51" s="67"/>
      <c r="DX51" s="67"/>
      <c r="DY51" s="67"/>
      <c r="DZ51" s="560"/>
      <c r="EA51" s="67"/>
      <c r="EB51" s="67"/>
      <c r="EC51" s="67"/>
      <c r="ED51" s="67"/>
      <c r="EE51" s="560"/>
      <c r="EF51" s="67"/>
      <c r="EG51" s="67"/>
      <c r="EH51" s="67"/>
      <c r="EI51" s="67"/>
      <c r="EJ51" s="560"/>
      <c r="EK51" s="67"/>
      <c r="EL51" s="67"/>
      <c r="EM51" s="67"/>
      <c r="EN51" s="67"/>
      <c r="EO51" s="455"/>
    </row>
    <row r="52" spans="1:148" ht="12.75" hidden="1" customHeight="1" x14ac:dyDescent="0.2">
      <c r="A52" s="442"/>
      <c r="B52" s="442"/>
      <c r="C52" s="442"/>
      <c r="D52" s="455" t="s">
        <v>451</v>
      </c>
      <c r="E52" s="465"/>
      <c r="F52" s="442"/>
      <c r="G52" s="67">
        <v>0</v>
      </c>
      <c r="H52" s="67"/>
      <c r="I52" s="67"/>
      <c r="J52" s="560"/>
      <c r="K52" s="67"/>
      <c r="L52" s="67">
        <f>L53+L55</f>
        <v>0</v>
      </c>
      <c r="M52" s="67"/>
      <c r="N52" s="67"/>
      <c r="O52" s="560"/>
      <c r="P52" s="67"/>
      <c r="Q52" s="67">
        <f>Q53+Q55</f>
        <v>0</v>
      </c>
      <c r="R52" s="67"/>
      <c r="S52" s="67"/>
      <c r="T52" s="560"/>
      <c r="U52" s="67"/>
      <c r="V52" s="67">
        <f>V53+V55</f>
        <v>0</v>
      </c>
      <c r="W52" s="67"/>
      <c r="X52" s="67"/>
      <c r="Y52" s="560"/>
      <c r="Z52" s="67"/>
      <c r="AA52" s="67">
        <f>AA53+AA55</f>
        <v>0</v>
      </c>
      <c r="AB52" s="67"/>
      <c r="AC52" s="67"/>
      <c r="AD52" s="560"/>
      <c r="AE52" s="67"/>
      <c r="AF52" s="67">
        <f>AF53+AF55</f>
        <v>0</v>
      </c>
      <c r="AG52" s="67"/>
      <c r="AH52" s="67"/>
      <c r="AI52" s="560"/>
      <c r="AJ52" s="67"/>
      <c r="AK52" s="67">
        <f>AK53+AK55</f>
        <v>0</v>
      </c>
      <c r="AL52" s="67"/>
      <c r="AM52" s="67"/>
      <c r="AN52" s="560"/>
      <c r="AO52" s="67"/>
      <c r="AP52" s="67">
        <f>AP53+AP55</f>
        <v>0</v>
      </c>
      <c r="AQ52" s="67"/>
      <c r="AR52" s="67"/>
      <c r="AS52" s="560"/>
      <c r="AT52" s="67"/>
      <c r="AU52" s="67">
        <f>AU53+AU55</f>
        <v>0</v>
      </c>
      <c r="AV52" s="67"/>
      <c r="AW52" s="67"/>
      <c r="AX52" s="560"/>
      <c r="AY52" s="67"/>
      <c r="AZ52" s="67">
        <f>AZ53+AZ55</f>
        <v>0</v>
      </c>
      <c r="BA52" s="67"/>
      <c r="BB52" s="67"/>
      <c r="BC52" s="560"/>
      <c r="BD52" s="67"/>
      <c r="BE52" s="67">
        <f>BE53+BE55</f>
        <v>0</v>
      </c>
      <c r="BF52" s="67"/>
      <c r="BG52" s="67"/>
      <c r="BH52" s="560"/>
      <c r="BI52" s="67"/>
      <c r="BJ52" s="67">
        <f>BJ53+BJ55</f>
        <v>0</v>
      </c>
      <c r="BK52" s="67"/>
      <c r="BL52" s="67"/>
      <c r="BM52" s="560"/>
      <c r="BN52" s="67"/>
      <c r="BO52" s="67">
        <f>BO53+BO55</f>
        <v>0</v>
      </c>
      <c r="BP52" s="67"/>
      <c r="BQ52" s="67"/>
      <c r="BR52" s="560"/>
      <c r="BS52" s="67"/>
      <c r="BT52" s="67">
        <f>SUM(BT53:BT55)</f>
        <v>0</v>
      </c>
      <c r="BU52" s="67"/>
      <c r="BV52" s="67"/>
      <c r="BW52" s="560"/>
      <c r="BX52" s="67"/>
      <c r="BY52" s="67">
        <f>SUM(BY53:BY55)</f>
        <v>0</v>
      </c>
      <c r="BZ52" s="67"/>
      <c r="CA52" s="67"/>
      <c r="CB52" s="560"/>
      <c r="CC52" s="67"/>
      <c r="CD52" s="67">
        <f>CD53+CD55</f>
        <v>0</v>
      </c>
      <c r="CE52" s="67"/>
      <c r="CF52" s="67"/>
      <c r="CG52" s="560"/>
      <c r="CH52" s="67"/>
      <c r="CI52" s="67">
        <f>CI53+CI55</f>
        <v>0</v>
      </c>
      <c r="CJ52" s="67"/>
      <c r="CK52" s="67"/>
      <c r="CL52" s="560"/>
      <c r="CM52" s="67"/>
      <c r="CN52" s="67">
        <f>CN53+CN55</f>
        <v>0</v>
      </c>
      <c r="CO52" s="67"/>
      <c r="CP52" s="67"/>
      <c r="CQ52" s="560"/>
      <c r="CR52" s="67"/>
      <c r="CS52" s="67">
        <f>CS53+CS55</f>
        <v>0</v>
      </c>
      <c r="CT52" s="67"/>
      <c r="CU52" s="67"/>
      <c r="CV52" s="560"/>
      <c r="CW52" s="67"/>
      <c r="CX52" s="67">
        <f>CX53+CX55</f>
        <v>0</v>
      </c>
      <c r="CY52" s="67"/>
      <c r="CZ52" s="67"/>
      <c r="DA52" s="560"/>
      <c r="DB52" s="67"/>
      <c r="DC52" s="67">
        <f>DC53+DC55</f>
        <v>0</v>
      </c>
      <c r="DD52" s="67"/>
      <c r="DE52" s="67"/>
      <c r="DF52" s="560"/>
      <c r="DG52" s="67"/>
      <c r="DH52" s="67">
        <f>DH53+DH55</f>
        <v>0</v>
      </c>
      <c r="DI52" s="67"/>
      <c r="DJ52" s="67"/>
      <c r="DK52" s="560"/>
      <c r="DL52" s="67"/>
      <c r="DM52" s="67">
        <f>DM53+DM55</f>
        <v>0</v>
      </c>
      <c r="DN52" s="67"/>
      <c r="DO52" s="67"/>
      <c r="DP52" s="560"/>
      <c r="DQ52" s="67"/>
      <c r="DR52" s="67">
        <f>DR53+DR55</f>
        <v>0</v>
      </c>
      <c r="DS52" s="67"/>
      <c r="DT52" s="67"/>
      <c r="DU52" s="560"/>
      <c r="DV52" s="67"/>
      <c r="DW52" s="67">
        <f>DW53+DW55</f>
        <v>0</v>
      </c>
      <c r="DX52" s="67"/>
      <c r="DY52" s="67"/>
      <c r="DZ52" s="560"/>
      <c r="EA52" s="67"/>
      <c r="EB52" s="67">
        <f>EB53+EB55</f>
        <v>0</v>
      </c>
      <c r="EC52" s="67"/>
      <c r="ED52" s="67"/>
      <c r="EE52" s="560"/>
      <c r="EF52" s="67"/>
      <c r="EG52" s="67">
        <f>EG53+EG55</f>
        <v>0</v>
      </c>
      <c r="EH52" s="67"/>
      <c r="EI52" s="67"/>
      <c r="EJ52" s="560"/>
      <c r="EK52" s="67"/>
      <c r="EL52" s="67">
        <f>SUM(EL53:EL55)</f>
        <v>0</v>
      </c>
      <c r="EM52" s="67"/>
      <c r="EN52" s="67"/>
      <c r="EO52" s="455"/>
    </row>
    <row r="53" spans="1:148" ht="12.75" hidden="1" customHeight="1" x14ac:dyDescent="0.2">
      <c r="A53" s="442"/>
      <c r="B53" s="442"/>
      <c r="C53" s="442"/>
      <c r="D53" s="455" t="s">
        <v>342</v>
      </c>
      <c r="E53" s="465"/>
      <c r="F53" s="473"/>
      <c r="G53" s="558">
        <v>0</v>
      </c>
      <c r="H53" s="559"/>
      <c r="I53" s="67"/>
      <c r="J53" s="560"/>
      <c r="K53" s="561"/>
      <c r="L53" s="558">
        <v>0</v>
      </c>
      <c r="M53" s="559"/>
      <c r="N53" s="67"/>
      <c r="O53" s="560"/>
      <c r="P53" s="561"/>
      <c r="Q53" s="558">
        <v>0</v>
      </c>
      <c r="R53" s="559"/>
      <c r="S53" s="67"/>
      <c r="T53" s="560"/>
      <c r="U53" s="561"/>
      <c r="V53" s="558">
        <v>0</v>
      </c>
      <c r="W53" s="559"/>
      <c r="X53" s="67"/>
      <c r="Y53" s="560"/>
      <c r="Z53" s="561"/>
      <c r="AA53" s="558">
        <v>0</v>
      </c>
      <c r="AB53" s="559"/>
      <c r="AC53" s="67"/>
      <c r="AD53" s="560"/>
      <c r="AE53" s="561"/>
      <c r="AF53" s="558">
        <v>0</v>
      </c>
      <c r="AG53" s="559"/>
      <c r="AH53" s="67"/>
      <c r="AI53" s="560"/>
      <c r="AJ53" s="561"/>
      <c r="AK53" s="558">
        <v>0</v>
      </c>
      <c r="AL53" s="559"/>
      <c r="AM53" s="67"/>
      <c r="AN53" s="560"/>
      <c r="AO53" s="561"/>
      <c r="AP53" s="558">
        <v>0</v>
      </c>
      <c r="AQ53" s="559"/>
      <c r="AR53" s="67"/>
      <c r="AS53" s="560"/>
      <c r="AT53" s="561"/>
      <c r="AU53" s="558">
        <v>0</v>
      </c>
      <c r="AV53" s="559"/>
      <c r="AW53" s="67"/>
      <c r="AX53" s="560"/>
      <c r="AY53" s="561"/>
      <c r="AZ53" s="558">
        <v>0</v>
      </c>
      <c r="BA53" s="559"/>
      <c r="BB53" s="67"/>
      <c r="BC53" s="560"/>
      <c r="BD53" s="561"/>
      <c r="BE53" s="558">
        <v>0</v>
      </c>
      <c r="BF53" s="559"/>
      <c r="BG53" s="67"/>
      <c r="BH53" s="560"/>
      <c r="BI53" s="561"/>
      <c r="BJ53" s="558">
        <v>0</v>
      </c>
      <c r="BK53" s="559"/>
      <c r="BL53" s="67"/>
      <c r="BM53" s="560"/>
      <c r="BN53" s="561"/>
      <c r="BO53" s="558">
        <v>0</v>
      </c>
      <c r="BP53" s="559"/>
      <c r="BQ53" s="67"/>
      <c r="BR53" s="560"/>
      <c r="BS53" s="561"/>
      <c r="BT53" s="558">
        <f>SUM(L53:BO53)</f>
        <v>0</v>
      </c>
      <c r="BU53" s="559"/>
      <c r="BV53" s="67"/>
      <c r="BW53" s="560"/>
      <c r="BX53" s="561"/>
      <c r="BY53" s="558">
        <f>SUM(Q53:BT53)</f>
        <v>0</v>
      </c>
      <c r="BZ53" s="559"/>
      <c r="CA53" s="67"/>
      <c r="CB53" s="560"/>
      <c r="CC53" s="561"/>
      <c r="CD53" s="558">
        <v>0</v>
      </c>
      <c r="CE53" s="559"/>
      <c r="CF53" s="67"/>
      <c r="CG53" s="560"/>
      <c r="CH53" s="561"/>
      <c r="CI53" s="558">
        <v>0</v>
      </c>
      <c r="CJ53" s="559"/>
      <c r="CK53" s="67"/>
      <c r="CL53" s="560"/>
      <c r="CM53" s="561"/>
      <c r="CN53" s="558">
        <v>0</v>
      </c>
      <c r="CO53" s="559"/>
      <c r="CP53" s="67"/>
      <c r="CQ53" s="560"/>
      <c r="CR53" s="561"/>
      <c r="CS53" s="558">
        <v>0</v>
      </c>
      <c r="CT53" s="559"/>
      <c r="CU53" s="67"/>
      <c r="CV53" s="560"/>
      <c r="CW53" s="561"/>
      <c r="CX53" s="558">
        <v>0</v>
      </c>
      <c r="CY53" s="559"/>
      <c r="CZ53" s="67"/>
      <c r="DA53" s="560"/>
      <c r="DB53" s="561"/>
      <c r="DC53" s="558">
        <v>0</v>
      </c>
      <c r="DD53" s="559"/>
      <c r="DE53" s="67"/>
      <c r="DF53" s="560"/>
      <c r="DG53" s="561"/>
      <c r="DH53" s="558">
        <v>0</v>
      </c>
      <c r="DI53" s="559"/>
      <c r="DJ53" s="67"/>
      <c r="DK53" s="560"/>
      <c r="DL53" s="561"/>
      <c r="DM53" s="558">
        <v>0</v>
      </c>
      <c r="DN53" s="559"/>
      <c r="DO53" s="67"/>
      <c r="DP53" s="560"/>
      <c r="DQ53" s="561"/>
      <c r="DR53" s="558">
        <v>0</v>
      </c>
      <c r="DS53" s="559"/>
      <c r="DT53" s="67"/>
      <c r="DU53" s="560"/>
      <c r="DV53" s="561"/>
      <c r="DW53" s="558">
        <v>0</v>
      </c>
      <c r="DX53" s="559"/>
      <c r="DY53" s="67"/>
      <c r="DZ53" s="560"/>
      <c r="EA53" s="561"/>
      <c r="EB53" s="558">
        <v>0</v>
      </c>
      <c r="EC53" s="559"/>
      <c r="ED53" s="67"/>
      <c r="EE53" s="560"/>
      <c r="EF53" s="561"/>
      <c r="EG53" s="558">
        <v>0</v>
      </c>
      <c r="EH53" s="559"/>
      <c r="EI53" s="67"/>
      <c r="EJ53" s="560"/>
      <c r="EK53" s="561"/>
      <c r="EL53" s="558">
        <f>SUM(CD53:EG53)</f>
        <v>0</v>
      </c>
      <c r="EM53" s="559"/>
      <c r="EN53" s="67"/>
      <c r="EO53" s="455"/>
    </row>
    <row r="54" spans="1:148" ht="12.75" hidden="1" customHeight="1" x14ac:dyDescent="0.2">
      <c r="A54" s="442"/>
      <c r="B54" s="442"/>
      <c r="C54" s="442"/>
      <c r="D54" s="455" t="s">
        <v>344</v>
      </c>
      <c r="E54" s="465"/>
      <c r="F54" s="465"/>
      <c r="G54" s="67">
        <v>0</v>
      </c>
      <c r="H54" s="66"/>
      <c r="I54" s="67"/>
      <c r="J54" s="560"/>
      <c r="K54" s="560"/>
      <c r="L54" s="67">
        <v>0</v>
      </c>
      <c r="M54" s="66"/>
      <c r="N54" s="67"/>
      <c r="O54" s="560"/>
      <c r="P54" s="560"/>
      <c r="Q54" s="67">
        <v>0</v>
      </c>
      <c r="R54" s="66"/>
      <c r="S54" s="67"/>
      <c r="T54" s="560"/>
      <c r="U54" s="560"/>
      <c r="V54" s="67">
        <v>0</v>
      </c>
      <c r="W54" s="66"/>
      <c r="X54" s="67"/>
      <c r="Y54" s="560"/>
      <c r="Z54" s="560"/>
      <c r="AA54" s="67">
        <v>0</v>
      </c>
      <c r="AB54" s="66"/>
      <c r="AC54" s="67"/>
      <c r="AD54" s="560"/>
      <c r="AE54" s="560"/>
      <c r="AF54" s="67">
        <v>0</v>
      </c>
      <c r="AG54" s="66"/>
      <c r="AH54" s="67"/>
      <c r="AI54" s="560"/>
      <c r="AJ54" s="560"/>
      <c r="AK54" s="67">
        <v>0</v>
      </c>
      <c r="AL54" s="66"/>
      <c r="AM54" s="67"/>
      <c r="AN54" s="560"/>
      <c r="AO54" s="560"/>
      <c r="AP54" s="67">
        <v>0</v>
      </c>
      <c r="AQ54" s="66"/>
      <c r="AR54" s="67"/>
      <c r="AS54" s="560"/>
      <c r="AT54" s="560"/>
      <c r="AU54" s="67">
        <v>0</v>
      </c>
      <c r="AV54" s="66"/>
      <c r="AW54" s="67"/>
      <c r="AX54" s="560"/>
      <c r="AY54" s="560"/>
      <c r="AZ54" s="67">
        <v>0</v>
      </c>
      <c r="BA54" s="66"/>
      <c r="BB54" s="67"/>
      <c r="BC54" s="560"/>
      <c r="BD54" s="560"/>
      <c r="BE54" s="67">
        <v>0</v>
      </c>
      <c r="BF54" s="66"/>
      <c r="BG54" s="67"/>
      <c r="BH54" s="560"/>
      <c r="BI54" s="560"/>
      <c r="BJ54" s="67">
        <v>0</v>
      </c>
      <c r="BK54" s="66"/>
      <c r="BL54" s="67"/>
      <c r="BM54" s="560"/>
      <c r="BN54" s="560"/>
      <c r="BO54" s="67">
        <v>0</v>
      </c>
      <c r="BP54" s="66"/>
      <c r="BQ54" s="67"/>
      <c r="BR54" s="560"/>
      <c r="BS54" s="560"/>
      <c r="BT54" s="67">
        <f>SUM(L54:BO54)</f>
        <v>0</v>
      </c>
      <c r="BU54" s="66"/>
      <c r="BV54" s="67"/>
      <c r="BW54" s="560"/>
      <c r="BX54" s="560"/>
      <c r="BY54" s="67">
        <f>SUM(Q54:BT54)</f>
        <v>0</v>
      </c>
      <c r="BZ54" s="66"/>
      <c r="CA54" s="67"/>
      <c r="CB54" s="560"/>
      <c r="CC54" s="560"/>
      <c r="CD54" s="67">
        <v>0</v>
      </c>
      <c r="CE54" s="66"/>
      <c r="CF54" s="67"/>
      <c r="CG54" s="560"/>
      <c r="CH54" s="560"/>
      <c r="CI54" s="67">
        <v>0</v>
      </c>
      <c r="CJ54" s="66"/>
      <c r="CK54" s="67"/>
      <c r="CL54" s="560"/>
      <c r="CM54" s="560"/>
      <c r="CN54" s="67">
        <v>0</v>
      </c>
      <c r="CO54" s="66"/>
      <c r="CP54" s="67"/>
      <c r="CQ54" s="560"/>
      <c r="CR54" s="560"/>
      <c r="CS54" s="67">
        <v>0</v>
      </c>
      <c r="CT54" s="66"/>
      <c r="CU54" s="67"/>
      <c r="CV54" s="560"/>
      <c r="CW54" s="560"/>
      <c r="CX54" s="67">
        <v>0</v>
      </c>
      <c r="CY54" s="66"/>
      <c r="CZ54" s="67"/>
      <c r="DA54" s="560"/>
      <c r="DB54" s="560"/>
      <c r="DC54" s="67">
        <v>0</v>
      </c>
      <c r="DD54" s="66"/>
      <c r="DE54" s="67"/>
      <c r="DF54" s="560"/>
      <c r="DG54" s="560"/>
      <c r="DH54" s="67">
        <v>0</v>
      </c>
      <c r="DI54" s="66"/>
      <c r="DJ54" s="67"/>
      <c r="DK54" s="560"/>
      <c r="DL54" s="560"/>
      <c r="DM54" s="67">
        <v>0</v>
      </c>
      <c r="DN54" s="66"/>
      <c r="DO54" s="67"/>
      <c r="DP54" s="560"/>
      <c r="DQ54" s="560"/>
      <c r="DR54" s="67">
        <v>0</v>
      </c>
      <c r="DS54" s="66"/>
      <c r="DT54" s="67"/>
      <c r="DU54" s="560"/>
      <c r="DV54" s="560"/>
      <c r="DW54" s="67">
        <v>0</v>
      </c>
      <c r="DX54" s="66"/>
      <c r="DY54" s="67"/>
      <c r="DZ54" s="560"/>
      <c r="EA54" s="560"/>
      <c r="EB54" s="67">
        <v>0</v>
      </c>
      <c r="EC54" s="66"/>
      <c r="ED54" s="67"/>
      <c r="EE54" s="560"/>
      <c r="EF54" s="560"/>
      <c r="EG54" s="67">
        <v>0</v>
      </c>
      <c r="EH54" s="66"/>
      <c r="EI54" s="67"/>
      <c r="EJ54" s="560"/>
      <c r="EK54" s="560"/>
      <c r="EL54" s="67">
        <f>SUM(CD54:EG54)</f>
        <v>0</v>
      </c>
      <c r="EM54" s="66"/>
      <c r="EN54" s="67"/>
      <c r="EO54" s="455"/>
    </row>
    <row r="55" spans="1:148" ht="12.75" hidden="1" customHeight="1" x14ac:dyDescent="0.2">
      <c r="A55" s="442"/>
      <c r="B55" s="442"/>
      <c r="C55" s="442"/>
      <c r="D55" s="455" t="s">
        <v>352</v>
      </c>
      <c r="E55" s="465"/>
      <c r="F55" s="488"/>
      <c r="G55" s="113">
        <v>0</v>
      </c>
      <c r="H55" s="112"/>
      <c r="I55" s="67"/>
      <c r="J55" s="560"/>
      <c r="K55" s="569"/>
      <c r="L55" s="113">
        <v>0</v>
      </c>
      <c r="M55" s="112"/>
      <c r="N55" s="67"/>
      <c r="O55" s="560"/>
      <c r="P55" s="569"/>
      <c r="Q55" s="113">
        <v>0</v>
      </c>
      <c r="R55" s="112"/>
      <c r="S55" s="67"/>
      <c r="T55" s="560"/>
      <c r="U55" s="569"/>
      <c r="V55" s="113">
        <v>0</v>
      </c>
      <c r="W55" s="112"/>
      <c r="X55" s="67"/>
      <c r="Y55" s="560"/>
      <c r="Z55" s="569"/>
      <c r="AA55" s="113">
        <v>0</v>
      </c>
      <c r="AB55" s="112"/>
      <c r="AC55" s="67"/>
      <c r="AD55" s="560"/>
      <c r="AE55" s="569"/>
      <c r="AF55" s="113">
        <v>0</v>
      </c>
      <c r="AG55" s="112"/>
      <c r="AH55" s="67"/>
      <c r="AI55" s="560"/>
      <c r="AJ55" s="569"/>
      <c r="AK55" s="113">
        <v>0</v>
      </c>
      <c r="AL55" s="112"/>
      <c r="AM55" s="67"/>
      <c r="AN55" s="560"/>
      <c r="AO55" s="569"/>
      <c r="AP55" s="113">
        <v>0</v>
      </c>
      <c r="AQ55" s="112"/>
      <c r="AR55" s="67"/>
      <c r="AS55" s="560"/>
      <c r="AT55" s="569"/>
      <c r="AU55" s="113">
        <v>0</v>
      </c>
      <c r="AV55" s="112"/>
      <c r="AW55" s="67"/>
      <c r="AX55" s="560"/>
      <c r="AY55" s="569"/>
      <c r="AZ55" s="113">
        <v>0</v>
      </c>
      <c r="BA55" s="112"/>
      <c r="BB55" s="67"/>
      <c r="BC55" s="560"/>
      <c r="BD55" s="569"/>
      <c r="BE55" s="113">
        <v>0</v>
      </c>
      <c r="BF55" s="112"/>
      <c r="BG55" s="67"/>
      <c r="BH55" s="560"/>
      <c r="BI55" s="569"/>
      <c r="BJ55" s="113">
        <v>0</v>
      </c>
      <c r="BK55" s="112"/>
      <c r="BL55" s="67"/>
      <c r="BM55" s="560"/>
      <c r="BN55" s="569"/>
      <c r="BO55" s="113">
        <v>0</v>
      </c>
      <c r="BP55" s="112"/>
      <c r="BQ55" s="67"/>
      <c r="BR55" s="560"/>
      <c r="BS55" s="569"/>
      <c r="BT55" s="113">
        <f>SUM(L55:BO55)</f>
        <v>0</v>
      </c>
      <c r="BU55" s="112"/>
      <c r="BV55" s="67"/>
      <c r="BW55" s="560"/>
      <c r="BX55" s="569"/>
      <c r="BY55" s="113">
        <f>SUM(Q55:BT55)</f>
        <v>0</v>
      </c>
      <c r="BZ55" s="112"/>
      <c r="CA55" s="67"/>
      <c r="CB55" s="560"/>
      <c r="CC55" s="569"/>
      <c r="CD55" s="113">
        <v>0</v>
      </c>
      <c r="CE55" s="112"/>
      <c r="CF55" s="67"/>
      <c r="CG55" s="560"/>
      <c r="CH55" s="569"/>
      <c r="CI55" s="113">
        <v>0</v>
      </c>
      <c r="CJ55" s="112"/>
      <c r="CK55" s="67"/>
      <c r="CL55" s="560"/>
      <c r="CM55" s="569"/>
      <c r="CN55" s="113">
        <v>0</v>
      </c>
      <c r="CO55" s="112"/>
      <c r="CP55" s="67"/>
      <c r="CQ55" s="560"/>
      <c r="CR55" s="569"/>
      <c r="CS55" s="113">
        <v>0</v>
      </c>
      <c r="CT55" s="112"/>
      <c r="CU55" s="67"/>
      <c r="CV55" s="560"/>
      <c r="CW55" s="569"/>
      <c r="CX55" s="113">
        <v>0</v>
      </c>
      <c r="CY55" s="112"/>
      <c r="CZ55" s="67"/>
      <c r="DA55" s="560"/>
      <c r="DB55" s="569"/>
      <c r="DC55" s="113">
        <v>0</v>
      </c>
      <c r="DD55" s="112"/>
      <c r="DE55" s="67"/>
      <c r="DF55" s="560"/>
      <c r="DG55" s="569"/>
      <c r="DH55" s="113">
        <v>0</v>
      </c>
      <c r="DI55" s="112"/>
      <c r="DJ55" s="67"/>
      <c r="DK55" s="560"/>
      <c r="DL55" s="569"/>
      <c r="DM55" s="113">
        <v>0</v>
      </c>
      <c r="DN55" s="112"/>
      <c r="DO55" s="67"/>
      <c r="DP55" s="560"/>
      <c r="DQ55" s="569"/>
      <c r="DR55" s="113">
        <v>0</v>
      </c>
      <c r="DS55" s="112"/>
      <c r="DT55" s="67"/>
      <c r="DU55" s="560"/>
      <c r="DV55" s="569"/>
      <c r="DW55" s="113">
        <v>0</v>
      </c>
      <c r="DX55" s="112"/>
      <c r="DY55" s="67"/>
      <c r="DZ55" s="560"/>
      <c r="EA55" s="569"/>
      <c r="EB55" s="113">
        <v>0</v>
      </c>
      <c r="EC55" s="112"/>
      <c r="ED55" s="67"/>
      <c r="EE55" s="560"/>
      <c r="EF55" s="569"/>
      <c r="EG55" s="113">
        <v>0</v>
      </c>
      <c r="EH55" s="112"/>
      <c r="EI55" s="67"/>
      <c r="EJ55" s="560"/>
      <c r="EK55" s="569"/>
      <c r="EL55" s="113">
        <f>SUM(CD55:EG55)</f>
        <v>0</v>
      </c>
      <c r="EM55" s="112"/>
      <c r="EN55" s="67"/>
      <c r="EO55" s="455"/>
    </row>
    <row r="56" spans="1:148" hidden="1" x14ac:dyDescent="0.2">
      <c r="A56" s="442"/>
      <c r="B56" s="442"/>
      <c r="C56" s="442"/>
      <c r="D56" s="455"/>
      <c r="E56" s="465"/>
      <c r="F56" s="442"/>
      <c r="G56" s="67"/>
      <c r="H56" s="67"/>
      <c r="I56" s="67"/>
      <c r="J56" s="560"/>
      <c r="K56" s="67"/>
      <c r="L56" s="67"/>
      <c r="M56" s="67"/>
      <c r="N56" s="67"/>
      <c r="O56" s="560"/>
      <c r="P56" s="67"/>
      <c r="Q56" s="67"/>
      <c r="R56" s="67"/>
      <c r="S56" s="67"/>
      <c r="T56" s="560"/>
      <c r="U56" s="67"/>
      <c r="V56" s="67"/>
      <c r="W56" s="67"/>
      <c r="X56" s="67"/>
      <c r="Y56" s="560"/>
      <c r="Z56" s="67"/>
      <c r="AA56" s="67"/>
      <c r="AB56" s="67"/>
      <c r="AC56" s="67"/>
      <c r="AD56" s="560"/>
      <c r="AE56" s="67"/>
      <c r="AF56" s="67"/>
      <c r="AG56" s="67"/>
      <c r="AH56" s="67"/>
      <c r="AI56" s="560"/>
      <c r="AJ56" s="67"/>
      <c r="AK56" s="67"/>
      <c r="AL56" s="67"/>
      <c r="AM56" s="67"/>
      <c r="AN56" s="560"/>
      <c r="AO56" s="67"/>
      <c r="AP56" s="67"/>
      <c r="AQ56" s="67"/>
      <c r="AR56" s="67"/>
      <c r="AS56" s="560"/>
      <c r="AT56" s="67"/>
      <c r="AU56" s="67"/>
      <c r="AV56" s="67"/>
      <c r="AW56" s="67"/>
      <c r="AX56" s="560"/>
      <c r="AY56" s="67"/>
      <c r="AZ56" s="67"/>
      <c r="BA56" s="67"/>
      <c r="BB56" s="67"/>
      <c r="BC56" s="560"/>
      <c r="BD56" s="67"/>
      <c r="BE56" s="67"/>
      <c r="BF56" s="67"/>
      <c r="BG56" s="67"/>
      <c r="BH56" s="560"/>
      <c r="BI56" s="67"/>
      <c r="BJ56" s="67"/>
      <c r="BK56" s="67"/>
      <c r="BL56" s="67"/>
      <c r="BM56" s="560"/>
      <c r="BN56" s="67"/>
      <c r="BO56" s="67"/>
      <c r="BP56" s="67"/>
      <c r="BQ56" s="67"/>
      <c r="BR56" s="560"/>
      <c r="BS56" s="67"/>
      <c r="BT56" s="67"/>
      <c r="BU56" s="67"/>
      <c r="BV56" s="67"/>
      <c r="BW56" s="560"/>
      <c r="BX56" s="67"/>
      <c r="BY56" s="67"/>
      <c r="BZ56" s="67"/>
      <c r="CA56" s="67"/>
      <c r="CB56" s="560"/>
      <c r="CC56" s="67"/>
      <c r="CD56" s="67"/>
      <c r="CE56" s="67"/>
      <c r="CF56" s="67"/>
      <c r="CG56" s="560"/>
      <c r="CH56" s="67"/>
      <c r="CI56" s="67"/>
      <c r="CJ56" s="67"/>
      <c r="CK56" s="67"/>
      <c r="CL56" s="560"/>
      <c r="CM56" s="67"/>
      <c r="CN56" s="67"/>
      <c r="CO56" s="67"/>
      <c r="CP56" s="67"/>
      <c r="CQ56" s="560"/>
      <c r="CR56" s="67"/>
      <c r="CS56" s="67"/>
      <c r="CT56" s="67"/>
      <c r="CU56" s="67"/>
      <c r="CV56" s="560"/>
      <c r="CW56" s="67"/>
      <c r="CX56" s="67"/>
      <c r="CY56" s="67"/>
      <c r="CZ56" s="67"/>
      <c r="DA56" s="560"/>
      <c r="DB56" s="67"/>
      <c r="DC56" s="67"/>
      <c r="DD56" s="67"/>
      <c r="DE56" s="67"/>
      <c r="DF56" s="560"/>
      <c r="DG56" s="67"/>
      <c r="DH56" s="67"/>
      <c r="DI56" s="67"/>
      <c r="DJ56" s="67"/>
      <c r="DK56" s="560"/>
      <c r="DL56" s="67"/>
      <c r="DM56" s="67"/>
      <c r="DN56" s="67"/>
      <c r="DO56" s="67"/>
      <c r="DP56" s="560"/>
      <c r="DQ56" s="67"/>
      <c r="DR56" s="67"/>
      <c r="DS56" s="67"/>
      <c r="DT56" s="67"/>
      <c r="DU56" s="560"/>
      <c r="DV56" s="67"/>
      <c r="DW56" s="67"/>
      <c r="DX56" s="67"/>
      <c r="DY56" s="67"/>
      <c r="DZ56" s="560"/>
      <c r="EA56" s="67"/>
      <c r="EB56" s="67"/>
      <c r="EC56" s="67"/>
      <c r="ED56" s="67"/>
      <c r="EE56" s="560"/>
      <c r="EF56" s="67"/>
      <c r="EG56" s="67"/>
      <c r="EH56" s="67"/>
      <c r="EI56" s="67"/>
      <c r="EJ56" s="560"/>
      <c r="EK56" s="67"/>
      <c r="EL56" s="67"/>
      <c r="EM56" s="67"/>
      <c r="EN56" s="67"/>
      <c r="EO56" s="455"/>
    </row>
    <row r="57" spans="1:148" hidden="1" x14ac:dyDescent="0.2">
      <c r="A57" s="442"/>
      <c r="B57" s="442"/>
      <c r="C57" s="442"/>
      <c r="D57" s="455" t="s">
        <v>452</v>
      </c>
      <c r="E57" s="465"/>
      <c r="F57" s="442"/>
      <c r="G57" s="67">
        <v>0</v>
      </c>
      <c r="H57" s="67"/>
      <c r="I57" s="67"/>
      <c r="J57" s="560"/>
      <c r="K57" s="67"/>
      <c r="L57" s="67">
        <f>SUM(L58:L61)</f>
        <v>0</v>
      </c>
      <c r="M57" s="67"/>
      <c r="N57" s="67"/>
      <c r="O57" s="560"/>
      <c r="P57" s="67"/>
      <c r="Q57" s="67">
        <f>SUM(Q58:Q61)</f>
        <v>0</v>
      </c>
      <c r="R57" s="67"/>
      <c r="S57" s="67"/>
      <c r="T57" s="560"/>
      <c r="U57" s="67"/>
      <c r="V57" s="67">
        <f>SUM(V58:V61)</f>
        <v>0</v>
      </c>
      <c r="W57" s="67"/>
      <c r="X57" s="67"/>
      <c r="Y57" s="560"/>
      <c r="Z57" s="67"/>
      <c r="AA57" s="67">
        <f>SUM(AA58:AA61)</f>
        <v>0</v>
      </c>
      <c r="AB57" s="67"/>
      <c r="AC57" s="67"/>
      <c r="AD57" s="560"/>
      <c r="AE57" s="67"/>
      <c r="AF57" s="67">
        <f>SUM(AF58:AF61)</f>
        <v>0</v>
      </c>
      <c r="AG57" s="67"/>
      <c r="AH57" s="67"/>
      <c r="AI57" s="560"/>
      <c r="AJ57" s="67"/>
      <c r="AK57" s="67">
        <f>SUM(AK58:AK61)</f>
        <v>0</v>
      </c>
      <c r="AL57" s="67"/>
      <c r="AM57" s="67"/>
      <c r="AN57" s="560"/>
      <c r="AO57" s="67"/>
      <c r="AP57" s="67">
        <f>SUM(AP58:AP61)</f>
        <v>0</v>
      </c>
      <c r="AQ57" s="67"/>
      <c r="AR57" s="67"/>
      <c r="AS57" s="560"/>
      <c r="AT57" s="67"/>
      <c r="AU57" s="67">
        <f>SUM(AU58:AU61)</f>
        <v>0</v>
      </c>
      <c r="AV57" s="67"/>
      <c r="AW57" s="67"/>
      <c r="AX57" s="560"/>
      <c r="AY57" s="67"/>
      <c r="AZ57" s="67">
        <f>SUM(AZ58:AZ61)</f>
        <v>0</v>
      </c>
      <c r="BA57" s="67"/>
      <c r="BB57" s="67"/>
      <c r="BC57" s="560"/>
      <c r="BD57" s="67"/>
      <c r="BE57" s="67">
        <f>SUM(BE58:BE61)</f>
        <v>0</v>
      </c>
      <c r="BF57" s="67"/>
      <c r="BG57" s="67"/>
      <c r="BH57" s="560"/>
      <c r="BI57" s="67"/>
      <c r="BJ57" s="67">
        <f>SUM(BJ58:BJ61)</f>
        <v>0</v>
      </c>
      <c r="BK57" s="67"/>
      <c r="BL57" s="67"/>
      <c r="BM57" s="560"/>
      <c r="BN57" s="67"/>
      <c r="BO57" s="67">
        <f>SUM(BO58:BO61)</f>
        <v>0</v>
      </c>
      <c r="BP57" s="67"/>
      <c r="BQ57" s="67"/>
      <c r="BR57" s="560"/>
      <c r="BS57" s="67"/>
      <c r="BT57" s="67">
        <f>SUM(BT58:BT61)</f>
        <v>0</v>
      </c>
      <c r="BU57" s="67"/>
      <c r="BV57" s="67"/>
      <c r="BW57" s="560"/>
      <c r="BX57" s="67"/>
      <c r="BY57" s="67">
        <f>SUM(BY58:BY61)</f>
        <v>0</v>
      </c>
      <c r="BZ57" s="67"/>
      <c r="CA57" s="67"/>
      <c r="CB57" s="560"/>
      <c r="CC57" s="67"/>
      <c r="CD57" s="67">
        <f>SUM(CD58:CD61)</f>
        <v>0</v>
      </c>
      <c r="CE57" s="67"/>
      <c r="CF57" s="67"/>
      <c r="CG57" s="560"/>
      <c r="CH57" s="67"/>
      <c r="CI57" s="67">
        <f>SUM(CI58:CI61)</f>
        <v>0</v>
      </c>
      <c r="CJ57" s="67"/>
      <c r="CK57" s="67"/>
      <c r="CL57" s="560"/>
      <c r="CM57" s="67"/>
      <c r="CN57" s="67">
        <f>SUM(CN58:CN61)</f>
        <v>0</v>
      </c>
      <c r="CO57" s="67"/>
      <c r="CP57" s="67"/>
      <c r="CQ57" s="560"/>
      <c r="CR57" s="67"/>
      <c r="CS57" s="67">
        <f>SUM(CS58:CS61)</f>
        <v>0</v>
      </c>
      <c r="CT57" s="67"/>
      <c r="CU57" s="67"/>
      <c r="CV57" s="560"/>
      <c r="CW57" s="67"/>
      <c r="CX57" s="67">
        <f>SUM(CX58:CX61)</f>
        <v>0</v>
      </c>
      <c r="CY57" s="67"/>
      <c r="CZ57" s="67"/>
      <c r="DA57" s="560"/>
      <c r="DB57" s="67"/>
      <c r="DC57" s="67">
        <f>SUM(DC58:DC61)</f>
        <v>0</v>
      </c>
      <c r="DD57" s="67"/>
      <c r="DE57" s="67"/>
      <c r="DF57" s="560"/>
      <c r="DG57" s="67"/>
      <c r="DH57" s="67">
        <f>SUM(DH58:DH61)</f>
        <v>0</v>
      </c>
      <c r="DI57" s="67"/>
      <c r="DJ57" s="67"/>
      <c r="DK57" s="560"/>
      <c r="DL57" s="67"/>
      <c r="DM57" s="67">
        <f>SUM(DM58:DM61)</f>
        <v>0</v>
      </c>
      <c r="DN57" s="67"/>
      <c r="DO57" s="67"/>
      <c r="DP57" s="560"/>
      <c r="DQ57" s="67"/>
      <c r="DR57" s="67">
        <f>SUM(DR58:DR61)</f>
        <v>0</v>
      </c>
      <c r="DS57" s="67"/>
      <c r="DT57" s="67"/>
      <c r="DU57" s="560"/>
      <c r="DV57" s="67"/>
      <c r="DW57" s="67">
        <f>SUM(DW58:DW61)</f>
        <v>0</v>
      </c>
      <c r="DX57" s="67"/>
      <c r="DY57" s="67"/>
      <c r="DZ57" s="560"/>
      <c r="EA57" s="67"/>
      <c r="EB57" s="67">
        <f>SUM(EB58:EB61)</f>
        <v>0</v>
      </c>
      <c r="EC57" s="67"/>
      <c r="ED57" s="67"/>
      <c r="EE57" s="560"/>
      <c r="EF57" s="67"/>
      <c r="EG57" s="67">
        <f>SUM(EG58:EG61)</f>
        <v>0</v>
      </c>
      <c r="EH57" s="67"/>
      <c r="EI57" s="67"/>
      <c r="EJ57" s="560"/>
      <c r="EK57" s="67"/>
      <c r="EL57" s="67">
        <f>SUM(EL58:EL61)</f>
        <v>0</v>
      </c>
      <c r="EM57" s="67"/>
      <c r="EN57" s="67"/>
      <c r="EO57" s="455"/>
    </row>
    <row r="58" spans="1:148" hidden="1" x14ac:dyDescent="0.2">
      <c r="A58" s="442"/>
      <c r="B58" s="442"/>
      <c r="C58" s="442"/>
      <c r="D58" s="455" t="s">
        <v>453</v>
      </c>
      <c r="E58" s="465"/>
      <c r="F58" s="561"/>
      <c r="G58" s="558">
        <v>0</v>
      </c>
      <c r="H58" s="559"/>
      <c r="I58" s="67"/>
      <c r="J58" s="560"/>
      <c r="K58" s="561"/>
      <c r="L58" s="558">
        <v>0</v>
      </c>
      <c r="M58" s="559"/>
      <c r="N58" s="67"/>
      <c r="O58" s="560"/>
      <c r="P58" s="561"/>
      <c r="Q58" s="558">
        <v>0</v>
      </c>
      <c r="R58" s="559"/>
      <c r="S58" s="67"/>
      <c r="T58" s="560"/>
      <c r="U58" s="561"/>
      <c r="V58" s="558">
        <v>0</v>
      </c>
      <c r="W58" s="559"/>
      <c r="X58" s="67"/>
      <c r="Y58" s="560"/>
      <c r="Z58" s="561"/>
      <c r="AA58" s="558">
        <v>0</v>
      </c>
      <c r="AB58" s="559"/>
      <c r="AC58" s="67"/>
      <c r="AD58" s="560"/>
      <c r="AE58" s="561"/>
      <c r="AF58" s="558">
        <v>0</v>
      </c>
      <c r="AG58" s="559"/>
      <c r="AH58" s="67"/>
      <c r="AI58" s="560"/>
      <c r="AJ58" s="561"/>
      <c r="AK58" s="558">
        <v>0</v>
      </c>
      <c r="AL58" s="559"/>
      <c r="AM58" s="67"/>
      <c r="AN58" s="560"/>
      <c r="AO58" s="561"/>
      <c r="AP58" s="558">
        <v>0</v>
      </c>
      <c r="AQ58" s="559"/>
      <c r="AR58" s="67"/>
      <c r="AS58" s="560"/>
      <c r="AT58" s="561"/>
      <c r="AU58" s="558">
        <v>0</v>
      </c>
      <c r="AV58" s="559"/>
      <c r="AW58" s="67"/>
      <c r="AX58" s="560"/>
      <c r="AY58" s="561"/>
      <c r="AZ58" s="558">
        <v>0</v>
      </c>
      <c r="BA58" s="559"/>
      <c r="BB58" s="67"/>
      <c r="BC58" s="560"/>
      <c r="BD58" s="561"/>
      <c r="BE58" s="558">
        <v>0</v>
      </c>
      <c r="BF58" s="559"/>
      <c r="BG58" s="67"/>
      <c r="BH58" s="560"/>
      <c r="BI58" s="561"/>
      <c r="BJ58" s="558">
        <v>0</v>
      </c>
      <c r="BK58" s="559"/>
      <c r="BL58" s="67"/>
      <c r="BM58" s="560"/>
      <c r="BN58" s="561"/>
      <c r="BO58" s="558">
        <v>0</v>
      </c>
      <c r="BP58" s="559"/>
      <c r="BQ58" s="67"/>
      <c r="BR58" s="560"/>
      <c r="BS58" s="561"/>
      <c r="BT58" s="558">
        <f>SUM(L58:BO58)</f>
        <v>0</v>
      </c>
      <c r="BU58" s="559"/>
      <c r="BV58" s="67"/>
      <c r="BW58" s="560"/>
      <c r="BX58" s="561"/>
      <c r="BY58" s="558">
        <f>SUM(Q58:BT58)</f>
        <v>0</v>
      </c>
      <c r="BZ58" s="559"/>
      <c r="CA58" s="67"/>
      <c r="CB58" s="560"/>
      <c r="CC58" s="561"/>
      <c r="CD58" s="558">
        <v>0</v>
      </c>
      <c r="CE58" s="559"/>
      <c r="CF58" s="67"/>
      <c r="CG58" s="560"/>
      <c r="CH58" s="561"/>
      <c r="CI58" s="558">
        <v>0</v>
      </c>
      <c r="CJ58" s="559"/>
      <c r="CK58" s="67"/>
      <c r="CL58" s="560"/>
      <c r="CM58" s="561"/>
      <c r="CN58" s="558">
        <v>0</v>
      </c>
      <c r="CO58" s="559"/>
      <c r="CP58" s="67"/>
      <c r="CQ58" s="560"/>
      <c r="CR58" s="561"/>
      <c r="CS58" s="558">
        <v>0</v>
      </c>
      <c r="CT58" s="559"/>
      <c r="CU58" s="67"/>
      <c r="CV58" s="560"/>
      <c r="CW58" s="561"/>
      <c r="CX58" s="558">
        <v>0</v>
      </c>
      <c r="CY58" s="559"/>
      <c r="CZ58" s="67"/>
      <c r="DA58" s="560"/>
      <c r="DB58" s="561"/>
      <c r="DC58" s="558">
        <v>0</v>
      </c>
      <c r="DD58" s="559"/>
      <c r="DE58" s="67"/>
      <c r="DF58" s="560"/>
      <c r="DG58" s="561"/>
      <c r="DH58" s="558">
        <v>0</v>
      </c>
      <c r="DI58" s="559"/>
      <c r="DJ58" s="67"/>
      <c r="DK58" s="560"/>
      <c r="DL58" s="561"/>
      <c r="DM58" s="558">
        <v>0</v>
      </c>
      <c r="DN58" s="559"/>
      <c r="DO58" s="67"/>
      <c r="DP58" s="560"/>
      <c r="DQ58" s="561"/>
      <c r="DR58" s="558">
        <v>0</v>
      </c>
      <c r="DS58" s="559"/>
      <c r="DT58" s="67"/>
      <c r="DU58" s="560"/>
      <c r="DV58" s="561"/>
      <c r="DW58" s="558">
        <v>0</v>
      </c>
      <c r="DX58" s="559"/>
      <c r="DY58" s="67"/>
      <c r="DZ58" s="560"/>
      <c r="EA58" s="561"/>
      <c r="EB58" s="558">
        <v>0</v>
      </c>
      <c r="EC58" s="559"/>
      <c r="ED58" s="67"/>
      <c r="EE58" s="560"/>
      <c r="EF58" s="561"/>
      <c r="EG58" s="558">
        <v>0</v>
      </c>
      <c r="EH58" s="559"/>
      <c r="EI58" s="67"/>
      <c r="EJ58" s="560"/>
      <c r="EK58" s="561"/>
      <c r="EL58" s="558">
        <f>SUM(CD58:EG58)</f>
        <v>0</v>
      </c>
      <c r="EM58" s="559"/>
      <c r="EN58" s="67"/>
      <c r="EO58" s="455"/>
    </row>
    <row r="59" spans="1:148" hidden="1" x14ac:dyDescent="0.2">
      <c r="A59" s="442"/>
      <c r="B59" s="442"/>
      <c r="C59" s="442"/>
      <c r="D59" s="455" t="s">
        <v>454</v>
      </c>
      <c r="E59" s="465"/>
      <c r="F59" s="560"/>
      <c r="G59" s="67">
        <v>0</v>
      </c>
      <c r="H59" s="66"/>
      <c r="I59" s="67"/>
      <c r="J59" s="560"/>
      <c r="K59" s="560"/>
      <c r="L59" s="67">
        <v>0</v>
      </c>
      <c r="M59" s="66"/>
      <c r="N59" s="67"/>
      <c r="O59" s="560"/>
      <c r="P59" s="560"/>
      <c r="Q59" s="67">
        <v>0</v>
      </c>
      <c r="R59" s="66"/>
      <c r="S59" s="67"/>
      <c r="T59" s="560"/>
      <c r="U59" s="560"/>
      <c r="V59" s="67">
        <v>0</v>
      </c>
      <c r="W59" s="66"/>
      <c r="X59" s="67"/>
      <c r="Y59" s="560"/>
      <c r="Z59" s="560"/>
      <c r="AA59" s="67">
        <v>0</v>
      </c>
      <c r="AB59" s="66"/>
      <c r="AC59" s="67"/>
      <c r="AD59" s="560"/>
      <c r="AE59" s="560"/>
      <c r="AF59" s="67">
        <v>0</v>
      </c>
      <c r="AG59" s="66"/>
      <c r="AH59" s="67"/>
      <c r="AI59" s="560"/>
      <c r="AJ59" s="560"/>
      <c r="AK59" s="67">
        <v>0</v>
      </c>
      <c r="AL59" s="66"/>
      <c r="AM59" s="67"/>
      <c r="AN59" s="560"/>
      <c r="AO59" s="560"/>
      <c r="AP59" s="67">
        <v>0</v>
      </c>
      <c r="AQ59" s="66"/>
      <c r="AR59" s="67"/>
      <c r="AS59" s="560"/>
      <c r="AT59" s="560"/>
      <c r="AU59" s="67">
        <v>0</v>
      </c>
      <c r="AV59" s="66"/>
      <c r="AW59" s="67"/>
      <c r="AX59" s="560"/>
      <c r="AY59" s="560"/>
      <c r="AZ59" s="67">
        <v>0</v>
      </c>
      <c r="BA59" s="66"/>
      <c r="BB59" s="67"/>
      <c r="BC59" s="560"/>
      <c r="BD59" s="560"/>
      <c r="BE59" s="67">
        <v>0</v>
      </c>
      <c r="BF59" s="66"/>
      <c r="BG59" s="67"/>
      <c r="BH59" s="560"/>
      <c r="BI59" s="560"/>
      <c r="BJ59" s="67">
        <v>0</v>
      </c>
      <c r="BK59" s="66"/>
      <c r="BL59" s="67"/>
      <c r="BM59" s="560"/>
      <c r="BN59" s="560"/>
      <c r="BO59" s="67">
        <v>0</v>
      </c>
      <c r="BP59" s="66"/>
      <c r="BQ59" s="67"/>
      <c r="BR59" s="560"/>
      <c r="BS59" s="560"/>
      <c r="BT59" s="67">
        <f>SUM(L59:BO59)</f>
        <v>0</v>
      </c>
      <c r="BU59" s="66"/>
      <c r="BV59" s="67"/>
      <c r="BW59" s="560"/>
      <c r="BX59" s="560"/>
      <c r="BY59" s="67">
        <f>SUM(Q59:BT59)</f>
        <v>0</v>
      </c>
      <c r="BZ59" s="66"/>
      <c r="CA59" s="67"/>
      <c r="CB59" s="560"/>
      <c r="CC59" s="560"/>
      <c r="CD59" s="67">
        <v>0</v>
      </c>
      <c r="CE59" s="66"/>
      <c r="CF59" s="67"/>
      <c r="CG59" s="560"/>
      <c r="CH59" s="560"/>
      <c r="CI59" s="67">
        <v>0</v>
      </c>
      <c r="CJ59" s="66"/>
      <c r="CK59" s="67"/>
      <c r="CL59" s="560"/>
      <c r="CM59" s="560"/>
      <c r="CN59" s="67">
        <v>0</v>
      </c>
      <c r="CO59" s="66"/>
      <c r="CP59" s="67"/>
      <c r="CQ59" s="560"/>
      <c r="CR59" s="560"/>
      <c r="CS59" s="67">
        <v>0</v>
      </c>
      <c r="CT59" s="66"/>
      <c r="CU59" s="67"/>
      <c r="CV59" s="560"/>
      <c r="CW59" s="560"/>
      <c r="CX59" s="67">
        <v>0</v>
      </c>
      <c r="CY59" s="66"/>
      <c r="CZ59" s="67"/>
      <c r="DA59" s="560"/>
      <c r="DB59" s="560"/>
      <c r="DC59" s="67">
        <v>0</v>
      </c>
      <c r="DD59" s="66"/>
      <c r="DE59" s="67"/>
      <c r="DF59" s="560"/>
      <c r="DG59" s="560"/>
      <c r="DH59" s="67">
        <v>0</v>
      </c>
      <c r="DI59" s="66"/>
      <c r="DJ59" s="67"/>
      <c r="DK59" s="560"/>
      <c r="DL59" s="560"/>
      <c r="DM59" s="67">
        <v>0</v>
      </c>
      <c r="DN59" s="66"/>
      <c r="DO59" s="67"/>
      <c r="DP59" s="560"/>
      <c r="DQ59" s="560"/>
      <c r="DR59" s="67">
        <v>0</v>
      </c>
      <c r="DS59" s="66"/>
      <c r="DT59" s="67"/>
      <c r="DU59" s="560"/>
      <c r="DV59" s="560"/>
      <c r="DW59" s="67">
        <v>0</v>
      </c>
      <c r="DX59" s="66"/>
      <c r="DY59" s="67"/>
      <c r="DZ59" s="560"/>
      <c r="EA59" s="560"/>
      <c r="EB59" s="67">
        <v>0</v>
      </c>
      <c r="EC59" s="66"/>
      <c r="ED59" s="67"/>
      <c r="EE59" s="560"/>
      <c r="EF59" s="560"/>
      <c r="EG59" s="67">
        <v>0</v>
      </c>
      <c r="EH59" s="66"/>
      <c r="EI59" s="67"/>
      <c r="EJ59" s="560"/>
      <c r="EK59" s="560"/>
      <c r="EL59" s="67">
        <f>SUM(CD59:EG59)</f>
        <v>0</v>
      </c>
      <c r="EM59" s="66"/>
      <c r="EN59" s="67"/>
      <c r="EO59" s="455"/>
    </row>
    <row r="60" spans="1:148" hidden="1" x14ac:dyDescent="0.2">
      <c r="A60" s="442"/>
      <c r="B60" s="442"/>
      <c r="C60" s="442"/>
      <c r="D60" s="455" t="s">
        <v>455</v>
      </c>
      <c r="E60" s="465"/>
      <c r="F60" s="560"/>
      <c r="G60" s="67">
        <v>0</v>
      </c>
      <c r="H60" s="66"/>
      <c r="I60" s="67"/>
      <c r="J60" s="560"/>
      <c r="K60" s="560"/>
      <c r="L60" s="67">
        <v>0</v>
      </c>
      <c r="M60" s="66"/>
      <c r="N60" s="67"/>
      <c r="O60" s="560"/>
      <c r="P60" s="560"/>
      <c r="Q60" s="67">
        <v>0</v>
      </c>
      <c r="R60" s="66"/>
      <c r="S60" s="67"/>
      <c r="T60" s="560"/>
      <c r="U60" s="560"/>
      <c r="V60" s="67">
        <v>0</v>
      </c>
      <c r="W60" s="66"/>
      <c r="X60" s="67"/>
      <c r="Y60" s="560"/>
      <c r="Z60" s="560"/>
      <c r="AA60" s="67">
        <v>0</v>
      </c>
      <c r="AB60" s="66"/>
      <c r="AC60" s="67"/>
      <c r="AD60" s="560"/>
      <c r="AE60" s="560"/>
      <c r="AF60" s="67">
        <v>0</v>
      </c>
      <c r="AG60" s="66"/>
      <c r="AH60" s="67"/>
      <c r="AI60" s="560"/>
      <c r="AJ60" s="560"/>
      <c r="AK60" s="67">
        <v>0</v>
      </c>
      <c r="AL60" s="66"/>
      <c r="AM60" s="67"/>
      <c r="AN60" s="560"/>
      <c r="AO60" s="560"/>
      <c r="AP60" s="67">
        <v>0</v>
      </c>
      <c r="AQ60" s="66"/>
      <c r="AR60" s="67"/>
      <c r="AS60" s="560"/>
      <c r="AT60" s="560"/>
      <c r="AU60" s="67">
        <v>0</v>
      </c>
      <c r="AV60" s="66"/>
      <c r="AW60" s="67"/>
      <c r="AX60" s="560"/>
      <c r="AY60" s="560"/>
      <c r="AZ60" s="67">
        <v>0</v>
      </c>
      <c r="BA60" s="66"/>
      <c r="BB60" s="67"/>
      <c r="BC60" s="560"/>
      <c r="BD60" s="560"/>
      <c r="BE60" s="67">
        <v>0</v>
      </c>
      <c r="BF60" s="66"/>
      <c r="BG60" s="67"/>
      <c r="BH60" s="560"/>
      <c r="BI60" s="560"/>
      <c r="BJ60" s="67">
        <v>0</v>
      </c>
      <c r="BK60" s="66"/>
      <c r="BL60" s="67"/>
      <c r="BM60" s="560"/>
      <c r="BN60" s="560"/>
      <c r="BO60" s="67">
        <v>0</v>
      </c>
      <c r="BP60" s="66"/>
      <c r="BQ60" s="67"/>
      <c r="BR60" s="560"/>
      <c r="BS60" s="560"/>
      <c r="BT60" s="67">
        <f>SUM(L60:BO60)</f>
        <v>0</v>
      </c>
      <c r="BU60" s="66"/>
      <c r="BV60" s="67"/>
      <c r="BW60" s="560"/>
      <c r="BX60" s="560"/>
      <c r="BY60" s="67">
        <f>SUM(Q60:BT60)</f>
        <v>0</v>
      </c>
      <c r="BZ60" s="66"/>
      <c r="CA60" s="67"/>
      <c r="CB60" s="560"/>
      <c r="CC60" s="560"/>
      <c r="CD60" s="67">
        <v>0</v>
      </c>
      <c r="CE60" s="66"/>
      <c r="CF60" s="67"/>
      <c r="CG60" s="560"/>
      <c r="CH60" s="560"/>
      <c r="CI60" s="67">
        <v>0</v>
      </c>
      <c r="CJ60" s="66"/>
      <c r="CK60" s="67"/>
      <c r="CL60" s="560"/>
      <c r="CM60" s="560"/>
      <c r="CN60" s="67">
        <v>0</v>
      </c>
      <c r="CO60" s="66"/>
      <c r="CP60" s="67"/>
      <c r="CQ60" s="560"/>
      <c r="CR60" s="560"/>
      <c r="CS60" s="67">
        <v>0</v>
      </c>
      <c r="CT60" s="66"/>
      <c r="CU60" s="67"/>
      <c r="CV60" s="560"/>
      <c r="CW60" s="560"/>
      <c r="CX60" s="67">
        <v>0</v>
      </c>
      <c r="CY60" s="66"/>
      <c r="CZ60" s="67"/>
      <c r="DA60" s="560"/>
      <c r="DB60" s="560"/>
      <c r="DC60" s="67">
        <v>0</v>
      </c>
      <c r="DD60" s="66"/>
      <c r="DE60" s="67"/>
      <c r="DF60" s="560"/>
      <c r="DG60" s="560"/>
      <c r="DH60" s="67">
        <v>0</v>
      </c>
      <c r="DI60" s="66"/>
      <c r="DJ60" s="67"/>
      <c r="DK60" s="560"/>
      <c r="DL60" s="560"/>
      <c r="DM60" s="67">
        <v>0</v>
      </c>
      <c r="DN60" s="66"/>
      <c r="DO60" s="67"/>
      <c r="DP60" s="560"/>
      <c r="DQ60" s="560"/>
      <c r="DR60" s="67">
        <v>0</v>
      </c>
      <c r="DS60" s="66"/>
      <c r="DT60" s="67"/>
      <c r="DU60" s="560"/>
      <c r="DV60" s="560"/>
      <c r="DW60" s="67">
        <v>0</v>
      </c>
      <c r="DX60" s="66"/>
      <c r="DY60" s="67"/>
      <c r="DZ60" s="560"/>
      <c r="EA60" s="560"/>
      <c r="EB60" s="67">
        <v>0</v>
      </c>
      <c r="EC60" s="66"/>
      <c r="ED60" s="67"/>
      <c r="EE60" s="560"/>
      <c r="EF60" s="560"/>
      <c r="EG60" s="67">
        <v>0</v>
      </c>
      <c r="EH60" s="66"/>
      <c r="EI60" s="67"/>
      <c r="EJ60" s="560"/>
      <c r="EK60" s="560"/>
      <c r="EL60" s="67">
        <f>SUM(CD60:EG60)</f>
        <v>0</v>
      </c>
      <c r="EM60" s="66"/>
      <c r="EN60" s="67"/>
      <c r="EO60" s="455"/>
    </row>
    <row r="61" spans="1:148" hidden="1" x14ac:dyDescent="0.2">
      <c r="A61" s="442"/>
      <c r="B61" s="442"/>
      <c r="C61" s="442"/>
      <c r="D61" s="455" t="s">
        <v>456</v>
      </c>
      <c r="E61" s="465"/>
      <c r="F61" s="569"/>
      <c r="G61" s="113">
        <v>0</v>
      </c>
      <c r="H61" s="112"/>
      <c r="I61" s="67"/>
      <c r="J61" s="560"/>
      <c r="K61" s="569"/>
      <c r="L61" s="113">
        <v>0</v>
      </c>
      <c r="M61" s="112"/>
      <c r="N61" s="67"/>
      <c r="O61" s="560"/>
      <c r="P61" s="569"/>
      <c r="Q61" s="113">
        <v>0</v>
      </c>
      <c r="R61" s="112"/>
      <c r="S61" s="67"/>
      <c r="T61" s="560"/>
      <c r="U61" s="569"/>
      <c r="V61" s="113">
        <v>0</v>
      </c>
      <c r="W61" s="112"/>
      <c r="X61" s="67"/>
      <c r="Y61" s="560"/>
      <c r="Z61" s="569"/>
      <c r="AA61" s="113">
        <v>0</v>
      </c>
      <c r="AB61" s="112"/>
      <c r="AC61" s="67"/>
      <c r="AD61" s="560"/>
      <c r="AE61" s="569"/>
      <c r="AF61" s="113">
        <v>0</v>
      </c>
      <c r="AG61" s="112"/>
      <c r="AH61" s="67"/>
      <c r="AI61" s="560"/>
      <c r="AJ61" s="569"/>
      <c r="AK61" s="113">
        <v>0</v>
      </c>
      <c r="AL61" s="112"/>
      <c r="AM61" s="67"/>
      <c r="AN61" s="560"/>
      <c r="AO61" s="569"/>
      <c r="AP61" s="113">
        <v>0</v>
      </c>
      <c r="AQ61" s="112"/>
      <c r="AR61" s="67"/>
      <c r="AS61" s="560"/>
      <c r="AT61" s="569"/>
      <c r="AU61" s="113">
        <v>0</v>
      </c>
      <c r="AV61" s="112"/>
      <c r="AW61" s="67"/>
      <c r="AX61" s="560"/>
      <c r="AY61" s="569"/>
      <c r="AZ61" s="113">
        <v>0</v>
      </c>
      <c r="BA61" s="112"/>
      <c r="BB61" s="67"/>
      <c r="BC61" s="560"/>
      <c r="BD61" s="569"/>
      <c r="BE61" s="113">
        <v>0</v>
      </c>
      <c r="BF61" s="112"/>
      <c r="BG61" s="67"/>
      <c r="BH61" s="560"/>
      <c r="BI61" s="569"/>
      <c r="BJ61" s="113">
        <v>0</v>
      </c>
      <c r="BK61" s="112"/>
      <c r="BL61" s="67"/>
      <c r="BM61" s="560"/>
      <c r="BN61" s="569"/>
      <c r="BO61" s="113">
        <v>0</v>
      </c>
      <c r="BP61" s="112"/>
      <c r="BQ61" s="67"/>
      <c r="BR61" s="560"/>
      <c r="BS61" s="569"/>
      <c r="BT61" s="113">
        <f>SUM(L61:BO61)</f>
        <v>0</v>
      </c>
      <c r="BU61" s="112"/>
      <c r="BV61" s="67"/>
      <c r="BW61" s="560"/>
      <c r="BX61" s="569"/>
      <c r="BY61" s="113">
        <f>SUM(Q61:BT61)</f>
        <v>0</v>
      </c>
      <c r="BZ61" s="112"/>
      <c r="CA61" s="67"/>
      <c r="CB61" s="560"/>
      <c r="CC61" s="569"/>
      <c r="CD61" s="113">
        <v>0</v>
      </c>
      <c r="CE61" s="112"/>
      <c r="CF61" s="67"/>
      <c r="CG61" s="560"/>
      <c r="CH61" s="569"/>
      <c r="CI61" s="113">
        <v>0</v>
      </c>
      <c r="CJ61" s="112"/>
      <c r="CK61" s="67"/>
      <c r="CL61" s="560"/>
      <c r="CM61" s="569"/>
      <c r="CN61" s="113">
        <v>0</v>
      </c>
      <c r="CO61" s="112"/>
      <c r="CP61" s="67"/>
      <c r="CQ61" s="560"/>
      <c r="CR61" s="569"/>
      <c r="CS61" s="113">
        <v>0</v>
      </c>
      <c r="CT61" s="112"/>
      <c r="CU61" s="67"/>
      <c r="CV61" s="560"/>
      <c r="CW61" s="569"/>
      <c r="CX61" s="113">
        <v>0</v>
      </c>
      <c r="CY61" s="112"/>
      <c r="CZ61" s="67"/>
      <c r="DA61" s="560"/>
      <c r="DB61" s="569"/>
      <c r="DC61" s="113">
        <v>0</v>
      </c>
      <c r="DD61" s="112"/>
      <c r="DE61" s="67"/>
      <c r="DF61" s="560"/>
      <c r="DG61" s="569"/>
      <c r="DH61" s="113">
        <v>0</v>
      </c>
      <c r="DI61" s="112"/>
      <c r="DJ61" s="67"/>
      <c r="DK61" s="560"/>
      <c r="DL61" s="569"/>
      <c r="DM61" s="113">
        <v>0</v>
      </c>
      <c r="DN61" s="112"/>
      <c r="DO61" s="67"/>
      <c r="DP61" s="560"/>
      <c r="DQ61" s="569"/>
      <c r="DR61" s="113">
        <v>0</v>
      </c>
      <c r="DS61" s="112"/>
      <c r="DT61" s="67"/>
      <c r="DU61" s="560"/>
      <c r="DV61" s="569"/>
      <c r="DW61" s="113">
        <v>0</v>
      </c>
      <c r="DX61" s="112"/>
      <c r="DY61" s="67"/>
      <c r="DZ61" s="560"/>
      <c r="EA61" s="569"/>
      <c r="EB61" s="113">
        <v>0</v>
      </c>
      <c r="EC61" s="112"/>
      <c r="ED61" s="67"/>
      <c r="EE61" s="560"/>
      <c r="EF61" s="569"/>
      <c r="EG61" s="113">
        <v>0</v>
      </c>
      <c r="EH61" s="112"/>
      <c r="EI61" s="67"/>
      <c r="EJ61" s="560"/>
      <c r="EK61" s="569"/>
      <c r="EL61" s="113">
        <f>SUM(CD61:EG61)</f>
        <v>0</v>
      </c>
      <c r="EM61" s="112"/>
      <c r="EN61" s="67"/>
      <c r="EO61" s="455"/>
    </row>
    <row r="62" spans="1:148" ht="12.75" hidden="1" customHeight="1" x14ac:dyDescent="0.2">
      <c r="A62" s="442"/>
      <c r="B62" s="442"/>
      <c r="C62" s="442"/>
      <c r="D62" s="455"/>
      <c r="E62" s="465"/>
      <c r="F62" s="442"/>
      <c r="G62" s="67"/>
      <c r="H62" s="67"/>
      <c r="I62" s="67"/>
      <c r="J62" s="560"/>
      <c r="K62" s="67"/>
      <c r="L62" s="67"/>
      <c r="M62" s="67"/>
      <c r="N62" s="67"/>
      <c r="O62" s="560"/>
      <c r="P62" s="67"/>
      <c r="Q62" s="67"/>
      <c r="R62" s="67"/>
      <c r="S62" s="67"/>
      <c r="T62" s="560"/>
      <c r="U62" s="67"/>
      <c r="V62" s="67"/>
      <c r="W62" s="67"/>
      <c r="X62" s="67"/>
      <c r="Y62" s="560"/>
      <c r="Z62" s="67"/>
      <c r="AA62" s="67"/>
      <c r="AB62" s="67"/>
      <c r="AC62" s="67"/>
      <c r="AD62" s="560"/>
      <c r="AE62" s="67"/>
      <c r="AF62" s="67"/>
      <c r="AG62" s="67"/>
      <c r="AH62" s="67"/>
      <c r="AI62" s="560"/>
      <c r="AJ62" s="67"/>
      <c r="AK62" s="67"/>
      <c r="AL62" s="67"/>
      <c r="AM62" s="67"/>
      <c r="AN62" s="560"/>
      <c r="AO62" s="67"/>
      <c r="AP62" s="67"/>
      <c r="AQ62" s="67"/>
      <c r="AR62" s="67"/>
      <c r="AS62" s="560"/>
      <c r="AT62" s="67"/>
      <c r="AU62" s="67"/>
      <c r="AV62" s="67"/>
      <c r="AW62" s="67"/>
      <c r="AX62" s="560"/>
      <c r="AY62" s="67"/>
      <c r="AZ62" s="67"/>
      <c r="BA62" s="67"/>
      <c r="BB62" s="67"/>
      <c r="BC62" s="560"/>
      <c r="BD62" s="67"/>
      <c r="BE62" s="67"/>
      <c r="BF62" s="67"/>
      <c r="BG62" s="67"/>
      <c r="BH62" s="560"/>
      <c r="BI62" s="67"/>
      <c r="BJ62" s="67"/>
      <c r="BK62" s="67"/>
      <c r="BL62" s="67"/>
      <c r="BM62" s="560"/>
      <c r="BN62" s="67"/>
      <c r="BO62" s="67"/>
      <c r="BP62" s="67"/>
      <c r="BQ62" s="67"/>
      <c r="BR62" s="560"/>
      <c r="BS62" s="67"/>
      <c r="BT62" s="67"/>
      <c r="BU62" s="67"/>
      <c r="BV62" s="67"/>
      <c r="BW62" s="560"/>
      <c r="BX62" s="67"/>
      <c r="BY62" s="67"/>
      <c r="BZ62" s="67"/>
      <c r="CA62" s="67"/>
      <c r="CB62" s="560"/>
      <c r="CC62" s="67"/>
      <c r="CD62" s="67"/>
      <c r="CE62" s="67"/>
      <c r="CF62" s="67"/>
      <c r="CG62" s="560"/>
      <c r="CH62" s="67"/>
      <c r="CI62" s="67"/>
      <c r="CJ62" s="67"/>
      <c r="CK62" s="67"/>
      <c r="CL62" s="560"/>
      <c r="CM62" s="67"/>
      <c r="CN62" s="67"/>
      <c r="CO62" s="67"/>
      <c r="CP62" s="67"/>
      <c r="CQ62" s="560"/>
      <c r="CR62" s="67"/>
      <c r="CS62" s="67"/>
      <c r="CT62" s="67"/>
      <c r="CU62" s="67"/>
      <c r="CV62" s="560"/>
      <c r="CW62" s="67"/>
      <c r="CX62" s="67"/>
      <c r="CY62" s="67"/>
      <c r="CZ62" s="67"/>
      <c r="DA62" s="560"/>
      <c r="DB62" s="67"/>
      <c r="DC62" s="67"/>
      <c r="DD62" s="67"/>
      <c r="DE62" s="67"/>
      <c r="DF62" s="560"/>
      <c r="DG62" s="67"/>
      <c r="DH62" s="67"/>
      <c r="DI62" s="67"/>
      <c r="DJ62" s="67"/>
      <c r="DK62" s="560"/>
      <c r="DL62" s="67"/>
      <c r="DM62" s="67"/>
      <c r="DN62" s="67"/>
      <c r="DO62" s="67"/>
      <c r="DP62" s="560"/>
      <c r="DQ62" s="67"/>
      <c r="DR62" s="67"/>
      <c r="DS62" s="67"/>
      <c r="DT62" s="67"/>
      <c r="DU62" s="560"/>
      <c r="DV62" s="67"/>
      <c r="DW62" s="67"/>
      <c r="DX62" s="67"/>
      <c r="DY62" s="67"/>
      <c r="DZ62" s="560"/>
      <c r="EA62" s="67"/>
      <c r="EB62" s="67"/>
      <c r="EC62" s="67"/>
      <c r="ED62" s="67"/>
      <c r="EE62" s="560"/>
      <c r="EF62" s="67"/>
      <c r="EG62" s="67"/>
      <c r="EH62" s="67"/>
      <c r="EI62" s="67"/>
      <c r="EJ62" s="560"/>
      <c r="EK62" s="67"/>
      <c r="EL62" s="67"/>
      <c r="EM62" s="67"/>
      <c r="EN62" s="67"/>
      <c r="EO62" s="455"/>
    </row>
    <row r="63" spans="1:148" s="472" customFormat="1" ht="12.75" hidden="1" customHeight="1" x14ac:dyDescent="0.2">
      <c r="A63" s="443"/>
      <c r="B63" s="443"/>
      <c r="C63" s="443"/>
      <c r="D63" s="466" t="s">
        <v>457</v>
      </c>
      <c r="E63" s="468"/>
      <c r="F63" s="443"/>
      <c r="G63" s="58">
        <f>SUM(G64:G66)</f>
        <v>0</v>
      </c>
      <c r="H63" s="58"/>
      <c r="I63" s="58"/>
      <c r="J63" s="556"/>
      <c r="K63" s="58"/>
      <c r="L63" s="58">
        <f>SUM(L64:L66)</f>
        <v>0</v>
      </c>
      <c r="M63" s="58"/>
      <c r="N63" s="58"/>
      <c r="O63" s="556"/>
      <c r="P63" s="58"/>
      <c r="Q63" s="58">
        <f>SUM(Q64:Q66)</f>
        <v>0</v>
      </c>
      <c r="R63" s="58"/>
      <c r="S63" s="58"/>
      <c r="T63" s="556"/>
      <c r="U63" s="58"/>
      <c r="V63" s="58">
        <f>SUM(V64:V66)</f>
        <v>0</v>
      </c>
      <c r="W63" s="58"/>
      <c r="X63" s="58"/>
      <c r="Y63" s="556"/>
      <c r="Z63" s="58"/>
      <c r="AA63" s="58">
        <f>SUM(AA64:AA66)</f>
        <v>0</v>
      </c>
      <c r="AB63" s="58"/>
      <c r="AC63" s="58"/>
      <c r="AD63" s="556"/>
      <c r="AE63" s="58"/>
      <c r="AF63" s="58">
        <f>SUM(AF64:AF66)</f>
        <v>0</v>
      </c>
      <c r="AG63" s="58"/>
      <c r="AH63" s="58"/>
      <c r="AI63" s="556"/>
      <c r="AJ63" s="58"/>
      <c r="AK63" s="58">
        <f>SUM(AK64:AK66)</f>
        <v>0</v>
      </c>
      <c r="AL63" s="58"/>
      <c r="AM63" s="58"/>
      <c r="AN63" s="556"/>
      <c r="AO63" s="58"/>
      <c r="AP63" s="58">
        <f>SUM(AP64:AP66)</f>
        <v>0</v>
      </c>
      <c r="AQ63" s="58"/>
      <c r="AR63" s="58"/>
      <c r="AS63" s="556"/>
      <c r="AT63" s="58"/>
      <c r="AU63" s="58">
        <f>SUM(AU64:AU66)</f>
        <v>0</v>
      </c>
      <c r="AV63" s="58"/>
      <c r="AW63" s="58"/>
      <c r="AX63" s="556"/>
      <c r="AY63" s="58"/>
      <c r="AZ63" s="58">
        <f>SUM(AZ64:AZ66)</f>
        <v>0</v>
      </c>
      <c r="BA63" s="58"/>
      <c r="BB63" s="58"/>
      <c r="BC63" s="556"/>
      <c r="BD63" s="58"/>
      <c r="BE63" s="58">
        <f>SUM(BE64:BE66)</f>
        <v>0</v>
      </c>
      <c r="BF63" s="58"/>
      <c r="BG63" s="58"/>
      <c r="BH63" s="556"/>
      <c r="BI63" s="58"/>
      <c r="BJ63" s="58">
        <f>SUM(BJ64:BJ66)</f>
        <v>0</v>
      </c>
      <c r="BK63" s="58"/>
      <c r="BL63" s="58"/>
      <c r="BM63" s="556"/>
      <c r="BN63" s="58"/>
      <c r="BO63" s="58">
        <f>SUM(BO64:BO66)</f>
        <v>0</v>
      </c>
      <c r="BP63" s="58"/>
      <c r="BQ63" s="58"/>
      <c r="BR63" s="556"/>
      <c r="BS63" s="58"/>
      <c r="BT63" s="58">
        <f>SUM(BT64:BT66)</f>
        <v>0</v>
      </c>
      <c r="BU63" s="58"/>
      <c r="BV63" s="58"/>
      <c r="BW63" s="556"/>
      <c r="BX63" s="58"/>
      <c r="BY63" s="58">
        <f>SUM(BY64:BY66)</f>
        <v>0</v>
      </c>
      <c r="BZ63" s="58"/>
      <c r="CA63" s="58"/>
      <c r="CB63" s="556"/>
      <c r="CC63" s="58"/>
      <c r="CD63" s="58">
        <f>SUM(CD64:CD66)</f>
        <v>0</v>
      </c>
      <c r="CE63" s="58"/>
      <c r="CF63" s="58"/>
      <c r="CG63" s="556"/>
      <c r="CH63" s="58"/>
      <c r="CI63" s="58">
        <f>SUM(CI64:CI66)</f>
        <v>0</v>
      </c>
      <c r="CJ63" s="58"/>
      <c r="CK63" s="58"/>
      <c r="CL63" s="556"/>
      <c r="CM63" s="58"/>
      <c r="CN63" s="58">
        <f>SUM(CN64:CN66)</f>
        <v>0</v>
      </c>
      <c r="CO63" s="58"/>
      <c r="CP63" s="58"/>
      <c r="CQ63" s="556"/>
      <c r="CR63" s="58"/>
      <c r="CS63" s="58">
        <f>SUM(CS64:CS66)</f>
        <v>0</v>
      </c>
      <c r="CT63" s="58"/>
      <c r="CU63" s="58"/>
      <c r="CV63" s="556"/>
      <c r="CW63" s="58"/>
      <c r="CX63" s="58">
        <f>SUM(CX64:CX66)</f>
        <v>0</v>
      </c>
      <c r="CY63" s="58"/>
      <c r="CZ63" s="58"/>
      <c r="DA63" s="556"/>
      <c r="DB63" s="58"/>
      <c r="DC63" s="58">
        <f>SUM(DC64:DC66)</f>
        <v>0</v>
      </c>
      <c r="DD63" s="58"/>
      <c r="DE63" s="58"/>
      <c r="DF63" s="556"/>
      <c r="DG63" s="58"/>
      <c r="DH63" s="58">
        <f>SUM(DH64:DH66)</f>
        <v>0</v>
      </c>
      <c r="DI63" s="58"/>
      <c r="DJ63" s="58"/>
      <c r="DK63" s="556"/>
      <c r="DL63" s="58"/>
      <c r="DM63" s="58">
        <f>SUM(DM64:DM66)</f>
        <v>0</v>
      </c>
      <c r="DN63" s="58"/>
      <c r="DO63" s="58"/>
      <c r="DP63" s="556"/>
      <c r="DQ63" s="58"/>
      <c r="DR63" s="58">
        <f>SUM(DR64:DR66)</f>
        <v>0</v>
      </c>
      <c r="DS63" s="58"/>
      <c r="DT63" s="58"/>
      <c r="DU63" s="556"/>
      <c r="DV63" s="58"/>
      <c r="DW63" s="58">
        <f>SUM(DW64:DW66)</f>
        <v>0</v>
      </c>
      <c r="DX63" s="58"/>
      <c r="DY63" s="58"/>
      <c r="DZ63" s="556"/>
      <c r="EA63" s="58"/>
      <c r="EB63" s="58">
        <f>SUM(EB64:EB66)</f>
        <v>0</v>
      </c>
      <c r="EC63" s="58"/>
      <c r="ED63" s="58"/>
      <c r="EE63" s="556"/>
      <c r="EF63" s="58"/>
      <c r="EG63" s="58">
        <f>SUM(EG64:EG66)</f>
        <v>0</v>
      </c>
      <c r="EH63" s="58"/>
      <c r="EI63" s="58"/>
      <c r="EJ63" s="556"/>
      <c r="EK63" s="58"/>
      <c r="EL63" s="58">
        <f>SUM(EL64:EL66)</f>
        <v>0</v>
      </c>
      <c r="EM63" s="58"/>
      <c r="EN63" s="58"/>
      <c r="EO63" s="466"/>
      <c r="EQ63" s="53"/>
      <c r="ER63" s="53"/>
    </row>
    <row r="64" spans="1:148" ht="12.75" hidden="1" customHeight="1" x14ac:dyDescent="0.2">
      <c r="A64" s="442"/>
      <c r="B64" s="442"/>
      <c r="C64" s="442"/>
      <c r="D64" s="455" t="s">
        <v>342</v>
      </c>
      <c r="E64" s="465"/>
      <c r="F64" s="473"/>
      <c r="G64" s="558">
        <v>0</v>
      </c>
      <c r="H64" s="559"/>
      <c r="I64" s="67"/>
      <c r="J64" s="560"/>
      <c r="K64" s="561"/>
      <c r="L64" s="558">
        <f>L69</f>
        <v>0</v>
      </c>
      <c r="M64" s="559"/>
      <c r="N64" s="67"/>
      <c r="O64" s="560"/>
      <c r="P64" s="561"/>
      <c r="Q64" s="558">
        <f>Q69</f>
        <v>0</v>
      </c>
      <c r="R64" s="559"/>
      <c r="S64" s="67"/>
      <c r="T64" s="560"/>
      <c r="U64" s="561"/>
      <c r="V64" s="558">
        <f>V69</f>
        <v>0</v>
      </c>
      <c r="W64" s="559"/>
      <c r="X64" s="67"/>
      <c r="Y64" s="560"/>
      <c r="Z64" s="561"/>
      <c r="AA64" s="558">
        <f>AA69</f>
        <v>0</v>
      </c>
      <c r="AB64" s="559"/>
      <c r="AC64" s="67"/>
      <c r="AD64" s="560"/>
      <c r="AE64" s="561"/>
      <c r="AF64" s="558">
        <f>AF69</f>
        <v>0</v>
      </c>
      <c r="AG64" s="559"/>
      <c r="AH64" s="67"/>
      <c r="AI64" s="560"/>
      <c r="AJ64" s="561"/>
      <c r="AK64" s="558">
        <f>AK69</f>
        <v>0</v>
      </c>
      <c r="AL64" s="559"/>
      <c r="AM64" s="67"/>
      <c r="AN64" s="560"/>
      <c r="AO64" s="561"/>
      <c r="AP64" s="558">
        <f>AP69</f>
        <v>0</v>
      </c>
      <c r="AQ64" s="559"/>
      <c r="AR64" s="67"/>
      <c r="AS64" s="560"/>
      <c r="AT64" s="561"/>
      <c r="AU64" s="558">
        <f>AU69</f>
        <v>0</v>
      </c>
      <c r="AV64" s="559"/>
      <c r="AW64" s="67"/>
      <c r="AX64" s="560"/>
      <c r="AY64" s="561"/>
      <c r="AZ64" s="558">
        <f>AZ69</f>
        <v>0</v>
      </c>
      <c r="BA64" s="559"/>
      <c r="BB64" s="67"/>
      <c r="BC64" s="560"/>
      <c r="BD64" s="561"/>
      <c r="BE64" s="558">
        <f>BE69</f>
        <v>0</v>
      </c>
      <c r="BF64" s="559"/>
      <c r="BG64" s="67"/>
      <c r="BH64" s="560"/>
      <c r="BI64" s="561"/>
      <c r="BJ64" s="558">
        <f>BJ69</f>
        <v>0</v>
      </c>
      <c r="BK64" s="559"/>
      <c r="BL64" s="67"/>
      <c r="BM64" s="560"/>
      <c r="BN64" s="561"/>
      <c r="BO64" s="558">
        <f>BO69</f>
        <v>0</v>
      </c>
      <c r="BP64" s="559"/>
      <c r="BQ64" s="67"/>
      <c r="BR64" s="560"/>
      <c r="BS64" s="561"/>
      <c r="BT64" s="558">
        <f>BT69</f>
        <v>0</v>
      </c>
      <c r="BU64" s="559"/>
      <c r="BV64" s="67"/>
      <c r="BW64" s="560"/>
      <c r="BX64" s="561"/>
      <c r="BY64" s="558">
        <f>BY69</f>
        <v>0</v>
      </c>
      <c r="BZ64" s="559"/>
      <c r="CA64" s="67"/>
      <c r="CB64" s="560"/>
      <c r="CC64" s="561"/>
      <c r="CD64" s="558">
        <f>CD69</f>
        <v>0</v>
      </c>
      <c r="CE64" s="559"/>
      <c r="CF64" s="67"/>
      <c r="CG64" s="560"/>
      <c r="CH64" s="561"/>
      <c r="CI64" s="558">
        <f>CI69</f>
        <v>0</v>
      </c>
      <c r="CJ64" s="559"/>
      <c r="CK64" s="67"/>
      <c r="CL64" s="560"/>
      <c r="CM64" s="561"/>
      <c r="CN64" s="558">
        <f>CN69</f>
        <v>0</v>
      </c>
      <c r="CO64" s="559"/>
      <c r="CP64" s="67"/>
      <c r="CQ64" s="560"/>
      <c r="CR64" s="561"/>
      <c r="CS64" s="558">
        <f>CS69</f>
        <v>0</v>
      </c>
      <c r="CT64" s="559"/>
      <c r="CU64" s="67"/>
      <c r="CV64" s="560"/>
      <c r="CW64" s="561"/>
      <c r="CX64" s="558">
        <f>CX69</f>
        <v>0</v>
      </c>
      <c r="CY64" s="559"/>
      <c r="CZ64" s="67"/>
      <c r="DA64" s="560"/>
      <c r="DB64" s="561"/>
      <c r="DC64" s="558">
        <f>DC69</f>
        <v>0</v>
      </c>
      <c r="DD64" s="559"/>
      <c r="DE64" s="67"/>
      <c r="DF64" s="560"/>
      <c r="DG64" s="561"/>
      <c r="DH64" s="558">
        <f>DH69</f>
        <v>0</v>
      </c>
      <c r="DI64" s="559"/>
      <c r="DJ64" s="67"/>
      <c r="DK64" s="560"/>
      <c r="DL64" s="561"/>
      <c r="DM64" s="558">
        <f>DM69</f>
        <v>0</v>
      </c>
      <c r="DN64" s="559"/>
      <c r="DO64" s="67"/>
      <c r="DP64" s="560"/>
      <c r="DQ64" s="561"/>
      <c r="DR64" s="558">
        <f>DR69</f>
        <v>0</v>
      </c>
      <c r="DS64" s="559"/>
      <c r="DT64" s="67"/>
      <c r="DU64" s="560"/>
      <c r="DV64" s="561"/>
      <c r="DW64" s="558">
        <f>DW69</f>
        <v>0</v>
      </c>
      <c r="DX64" s="559"/>
      <c r="DY64" s="67"/>
      <c r="DZ64" s="560"/>
      <c r="EA64" s="561"/>
      <c r="EB64" s="558">
        <f>EB69</f>
        <v>0</v>
      </c>
      <c r="EC64" s="559"/>
      <c r="ED64" s="67"/>
      <c r="EE64" s="560"/>
      <c r="EF64" s="561"/>
      <c r="EG64" s="558">
        <f>EG69</f>
        <v>0</v>
      </c>
      <c r="EH64" s="559"/>
      <c r="EI64" s="67"/>
      <c r="EJ64" s="560"/>
      <c r="EK64" s="561"/>
      <c r="EL64" s="558">
        <f>EL69</f>
        <v>0</v>
      </c>
      <c r="EM64" s="559"/>
      <c r="EN64" s="67"/>
      <c r="EO64" s="455"/>
    </row>
    <row r="65" spans="1:148" ht="12.75" hidden="1" customHeight="1" x14ac:dyDescent="0.2">
      <c r="A65" s="442"/>
      <c r="B65" s="442"/>
      <c r="C65" s="442"/>
      <c r="D65" s="455" t="s">
        <v>344</v>
      </c>
      <c r="E65" s="465"/>
      <c r="F65" s="465"/>
      <c r="G65" s="67">
        <v>0</v>
      </c>
      <c r="H65" s="66"/>
      <c r="I65" s="67"/>
      <c r="J65" s="560"/>
      <c r="K65" s="560"/>
      <c r="L65" s="67">
        <f>L70</f>
        <v>0</v>
      </c>
      <c r="M65" s="66"/>
      <c r="N65" s="67"/>
      <c r="O65" s="560"/>
      <c r="P65" s="560"/>
      <c r="Q65" s="67">
        <f>Q70</f>
        <v>0</v>
      </c>
      <c r="R65" s="66"/>
      <c r="S65" s="67"/>
      <c r="T65" s="560"/>
      <c r="U65" s="560"/>
      <c r="V65" s="67">
        <f>V70</f>
        <v>0</v>
      </c>
      <c r="W65" s="66"/>
      <c r="X65" s="67"/>
      <c r="Y65" s="560"/>
      <c r="Z65" s="560"/>
      <c r="AA65" s="67">
        <f>AA70</f>
        <v>0</v>
      </c>
      <c r="AB65" s="66"/>
      <c r="AC65" s="67"/>
      <c r="AD65" s="560"/>
      <c r="AE65" s="560"/>
      <c r="AF65" s="67">
        <f>AF70</f>
        <v>0</v>
      </c>
      <c r="AG65" s="66"/>
      <c r="AH65" s="67"/>
      <c r="AI65" s="560"/>
      <c r="AJ65" s="560"/>
      <c r="AK65" s="67">
        <f>AK70</f>
        <v>0</v>
      </c>
      <c r="AL65" s="66"/>
      <c r="AM65" s="67"/>
      <c r="AN65" s="560"/>
      <c r="AO65" s="560"/>
      <c r="AP65" s="67">
        <f>AP70</f>
        <v>0</v>
      </c>
      <c r="AQ65" s="66"/>
      <c r="AR65" s="67"/>
      <c r="AS65" s="560"/>
      <c r="AT65" s="560"/>
      <c r="AU65" s="67">
        <f>AU70</f>
        <v>0</v>
      </c>
      <c r="AV65" s="66"/>
      <c r="AW65" s="67"/>
      <c r="AX65" s="560"/>
      <c r="AY65" s="560"/>
      <c r="AZ65" s="67">
        <f>AZ70</f>
        <v>0</v>
      </c>
      <c r="BA65" s="66"/>
      <c r="BB65" s="67"/>
      <c r="BC65" s="560"/>
      <c r="BD65" s="560"/>
      <c r="BE65" s="67">
        <f>BE70</f>
        <v>0</v>
      </c>
      <c r="BF65" s="66"/>
      <c r="BG65" s="67"/>
      <c r="BH65" s="560"/>
      <c r="BI65" s="560"/>
      <c r="BJ65" s="67">
        <f>BJ70</f>
        <v>0</v>
      </c>
      <c r="BK65" s="66"/>
      <c r="BL65" s="67"/>
      <c r="BM65" s="560"/>
      <c r="BN65" s="560"/>
      <c r="BO65" s="67">
        <f>BO70</f>
        <v>0</v>
      </c>
      <c r="BP65" s="66"/>
      <c r="BQ65" s="67"/>
      <c r="BR65" s="560"/>
      <c r="BS65" s="560"/>
      <c r="BT65" s="67">
        <f>BT70</f>
        <v>0</v>
      </c>
      <c r="BU65" s="66"/>
      <c r="BV65" s="67"/>
      <c r="BW65" s="560"/>
      <c r="BX65" s="560"/>
      <c r="BY65" s="67">
        <f>BY70</f>
        <v>0</v>
      </c>
      <c r="BZ65" s="66"/>
      <c r="CA65" s="67"/>
      <c r="CB65" s="560"/>
      <c r="CC65" s="560"/>
      <c r="CD65" s="67">
        <f>CD70</f>
        <v>0</v>
      </c>
      <c r="CE65" s="66"/>
      <c r="CF65" s="67"/>
      <c r="CG65" s="560"/>
      <c r="CH65" s="560"/>
      <c r="CI65" s="67">
        <f>CI70</f>
        <v>0</v>
      </c>
      <c r="CJ65" s="66"/>
      <c r="CK65" s="67"/>
      <c r="CL65" s="560"/>
      <c r="CM65" s="560"/>
      <c r="CN65" s="67">
        <f>CN70</f>
        <v>0</v>
      </c>
      <c r="CO65" s="66"/>
      <c r="CP65" s="67"/>
      <c r="CQ65" s="560"/>
      <c r="CR65" s="560"/>
      <c r="CS65" s="67">
        <f>CS70</f>
        <v>0</v>
      </c>
      <c r="CT65" s="66"/>
      <c r="CU65" s="67"/>
      <c r="CV65" s="560"/>
      <c r="CW65" s="560"/>
      <c r="CX65" s="67">
        <f>CX70</f>
        <v>0</v>
      </c>
      <c r="CY65" s="66"/>
      <c r="CZ65" s="67"/>
      <c r="DA65" s="560"/>
      <c r="DB65" s="560"/>
      <c r="DC65" s="67">
        <f>DC70</f>
        <v>0</v>
      </c>
      <c r="DD65" s="66"/>
      <c r="DE65" s="67"/>
      <c r="DF65" s="560"/>
      <c r="DG65" s="560"/>
      <c r="DH65" s="67">
        <f>DH70</f>
        <v>0</v>
      </c>
      <c r="DI65" s="66"/>
      <c r="DJ65" s="67"/>
      <c r="DK65" s="560"/>
      <c r="DL65" s="560"/>
      <c r="DM65" s="67">
        <f>DM70</f>
        <v>0</v>
      </c>
      <c r="DN65" s="66"/>
      <c r="DO65" s="67"/>
      <c r="DP65" s="560"/>
      <c r="DQ65" s="560"/>
      <c r="DR65" s="67">
        <f>DR70</f>
        <v>0</v>
      </c>
      <c r="DS65" s="66"/>
      <c r="DT65" s="67"/>
      <c r="DU65" s="560"/>
      <c r="DV65" s="560"/>
      <c r="DW65" s="67">
        <f>DW70</f>
        <v>0</v>
      </c>
      <c r="DX65" s="66"/>
      <c r="DY65" s="67"/>
      <c r="DZ65" s="560"/>
      <c r="EA65" s="560"/>
      <c r="EB65" s="67">
        <f>EB70</f>
        <v>0</v>
      </c>
      <c r="EC65" s="66"/>
      <c r="ED65" s="67"/>
      <c r="EE65" s="560"/>
      <c r="EF65" s="560"/>
      <c r="EG65" s="67">
        <f>EG70</f>
        <v>0</v>
      </c>
      <c r="EH65" s="66"/>
      <c r="EI65" s="67"/>
      <c r="EJ65" s="560"/>
      <c r="EK65" s="560"/>
      <c r="EL65" s="67">
        <f>EL70</f>
        <v>0</v>
      </c>
      <c r="EM65" s="66"/>
      <c r="EN65" s="67"/>
      <c r="EO65" s="455"/>
    </row>
    <row r="66" spans="1:148" ht="12.75" hidden="1" customHeight="1" x14ac:dyDescent="0.2">
      <c r="A66" s="442"/>
      <c r="B66" s="442"/>
      <c r="C66" s="442"/>
      <c r="D66" s="455" t="s">
        <v>352</v>
      </c>
      <c r="E66" s="465"/>
      <c r="F66" s="488"/>
      <c r="G66" s="113">
        <v>0</v>
      </c>
      <c r="H66" s="112"/>
      <c r="I66" s="67"/>
      <c r="J66" s="560"/>
      <c r="K66" s="569"/>
      <c r="L66" s="113">
        <f>L71</f>
        <v>0</v>
      </c>
      <c r="M66" s="112"/>
      <c r="N66" s="67"/>
      <c r="O66" s="560"/>
      <c r="P66" s="569"/>
      <c r="Q66" s="113">
        <f>Q71</f>
        <v>0</v>
      </c>
      <c r="R66" s="112"/>
      <c r="S66" s="67"/>
      <c r="T66" s="560"/>
      <c r="U66" s="569"/>
      <c r="V66" s="113">
        <f>V71</f>
        <v>0</v>
      </c>
      <c r="W66" s="112"/>
      <c r="X66" s="67"/>
      <c r="Y66" s="560"/>
      <c r="Z66" s="569"/>
      <c r="AA66" s="113">
        <f>AA71</f>
        <v>0</v>
      </c>
      <c r="AB66" s="112"/>
      <c r="AC66" s="67"/>
      <c r="AD66" s="560"/>
      <c r="AE66" s="569"/>
      <c r="AF66" s="113">
        <f>AF71</f>
        <v>0</v>
      </c>
      <c r="AG66" s="112"/>
      <c r="AH66" s="67"/>
      <c r="AI66" s="560"/>
      <c r="AJ66" s="569"/>
      <c r="AK66" s="113">
        <f>AK71</f>
        <v>0</v>
      </c>
      <c r="AL66" s="112"/>
      <c r="AM66" s="67"/>
      <c r="AN66" s="560"/>
      <c r="AO66" s="569"/>
      <c r="AP66" s="113">
        <f>AP71</f>
        <v>0</v>
      </c>
      <c r="AQ66" s="112"/>
      <c r="AR66" s="67"/>
      <c r="AS66" s="560"/>
      <c r="AT66" s="569"/>
      <c r="AU66" s="113">
        <f>AU71</f>
        <v>0</v>
      </c>
      <c r="AV66" s="112"/>
      <c r="AW66" s="67"/>
      <c r="AX66" s="560"/>
      <c r="AY66" s="569"/>
      <c r="AZ66" s="113">
        <f>AZ71</f>
        <v>0</v>
      </c>
      <c r="BA66" s="112"/>
      <c r="BB66" s="67"/>
      <c r="BC66" s="560"/>
      <c r="BD66" s="569"/>
      <c r="BE66" s="113">
        <f>BE71</f>
        <v>0</v>
      </c>
      <c r="BF66" s="112"/>
      <c r="BG66" s="67"/>
      <c r="BH66" s="560"/>
      <c r="BI66" s="569"/>
      <c r="BJ66" s="113">
        <f>BJ71</f>
        <v>0</v>
      </c>
      <c r="BK66" s="112"/>
      <c r="BL66" s="67"/>
      <c r="BM66" s="560"/>
      <c r="BN66" s="569"/>
      <c r="BO66" s="113">
        <f>BO71</f>
        <v>0</v>
      </c>
      <c r="BP66" s="112"/>
      <c r="BQ66" s="67"/>
      <c r="BR66" s="560"/>
      <c r="BS66" s="569"/>
      <c r="BT66" s="113">
        <f>BT71</f>
        <v>0</v>
      </c>
      <c r="BU66" s="112"/>
      <c r="BV66" s="67"/>
      <c r="BW66" s="560"/>
      <c r="BX66" s="569"/>
      <c r="BY66" s="113">
        <f>BY71</f>
        <v>0</v>
      </c>
      <c r="BZ66" s="112"/>
      <c r="CA66" s="67"/>
      <c r="CB66" s="560"/>
      <c r="CC66" s="569"/>
      <c r="CD66" s="113">
        <f>CD71</f>
        <v>0</v>
      </c>
      <c r="CE66" s="112"/>
      <c r="CF66" s="67"/>
      <c r="CG66" s="560"/>
      <c r="CH66" s="569"/>
      <c r="CI66" s="113">
        <f>CI71</f>
        <v>0</v>
      </c>
      <c r="CJ66" s="112"/>
      <c r="CK66" s="67"/>
      <c r="CL66" s="560"/>
      <c r="CM66" s="569"/>
      <c r="CN66" s="113">
        <f>CN71</f>
        <v>0</v>
      </c>
      <c r="CO66" s="112"/>
      <c r="CP66" s="67"/>
      <c r="CQ66" s="560"/>
      <c r="CR66" s="569"/>
      <c r="CS66" s="113">
        <f>CS71</f>
        <v>0</v>
      </c>
      <c r="CT66" s="112"/>
      <c r="CU66" s="67"/>
      <c r="CV66" s="560"/>
      <c r="CW66" s="569"/>
      <c r="CX66" s="113">
        <f>CX71</f>
        <v>0</v>
      </c>
      <c r="CY66" s="112"/>
      <c r="CZ66" s="67"/>
      <c r="DA66" s="560"/>
      <c r="DB66" s="569"/>
      <c r="DC66" s="113">
        <f>DC71</f>
        <v>0</v>
      </c>
      <c r="DD66" s="112"/>
      <c r="DE66" s="67"/>
      <c r="DF66" s="560"/>
      <c r="DG66" s="569"/>
      <c r="DH66" s="113">
        <f>DH71</f>
        <v>0</v>
      </c>
      <c r="DI66" s="112"/>
      <c r="DJ66" s="67"/>
      <c r="DK66" s="560"/>
      <c r="DL66" s="569"/>
      <c r="DM66" s="113">
        <f>DM71</f>
        <v>0</v>
      </c>
      <c r="DN66" s="112"/>
      <c r="DO66" s="67"/>
      <c r="DP66" s="560"/>
      <c r="DQ66" s="569"/>
      <c r="DR66" s="113">
        <f>DR71</f>
        <v>0</v>
      </c>
      <c r="DS66" s="112"/>
      <c r="DT66" s="67"/>
      <c r="DU66" s="560"/>
      <c r="DV66" s="569"/>
      <c r="DW66" s="113">
        <f>DW71</f>
        <v>0</v>
      </c>
      <c r="DX66" s="112"/>
      <c r="DY66" s="67"/>
      <c r="DZ66" s="560"/>
      <c r="EA66" s="569"/>
      <c r="EB66" s="113">
        <f>EB71</f>
        <v>0</v>
      </c>
      <c r="EC66" s="112"/>
      <c r="ED66" s="67"/>
      <c r="EE66" s="560"/>
      <c r="EF66" s="569"/>
      <c r="EG66" s="113">
        <f>EG71</f>
        <v>0</v>
      </c>
      <c r="EH66" s="112"/>
      <c r="EI66" s="67"/>
      <c r="EJ66" s="560"/>
      <c r="EK66" s="569"/>
      <c r="EL66" s="113">
        <f>EL71</f>
        <v>0</v>
      </c>
      <c r="EM66" s="112"/>
      <c r="EN66" s="67"/>
      <c r="EO66" s="455"/>
    </row>
    <row r="67" spans="1:148" ht="12.75" hidden="1" customHeight="1" x14ac:dyDescent="0.2">
      <c r="A67" s="442"/>
      <c r="B67" s="442"/>
      <c r="C67" s="442"/>
      <c r="D67" s="455"/>
      <c r="E67" s="465"/>
      <c r="F67" s="442"/>
      <c r="G67" s="67"/>
      <c r="H67" s="67"/>
      <c r="I67" s="67"/>
      <c r="J67" s="560"/>
      <c r="K67" s="67"/>
      <c r="L67" s="67"/>
      <c r="M67" s="67"/>
      <c r="N67" s="67"/>
      <c r="O67" s="560"/>
      <c r="P67" s="67"/>
      <c r="Q67" s="67"/>
      <c r="R67" s="67"/>
      <c r="S67" s="67"/>
      <c r="T67" s="560"/>
      <c r="U67" s="67"/>
      <c r="V67" s="67"/>
      <c r="W67" s="67"/>
      <c r="X67" s="67"/>
      <c r="Y67" s="560"/>
      <c r="Z67" s="67"/>
      <c r="AA67" s="67"/>
      <c r="AB67" s="67"/>
      <c r="AC67" s="67"/>
      <c r="AD67" s="560"/>
      <c r="AE67" s="67"/>
      <c r="AF67" s="67"/>
      <c r="AG67" s="67"/>
      <c r="AH67" s="67"/>
      <c r="AI67" s="560"/>
      <c r="AJ67" s="67"/>
      <c r="AK67" s="67"/>
      <c r="AL67" s="67"/>
      <c r="AM67" s="67"/>
      <c r="AN67" s="560"/>
      <c r="AO67" s="67"/>
      <c r="AP67" s="67"/>
      <c r="AQ67" s="67"/>
      <c r="AR67" s="67"/>
      <c r="AS67" s="560"/>
      <c r="AT67" s="67"/>
      <c r="AU67" s="67"/>
      <c r="AV67" s="67"/>
      <c r="AW67" s="67"/>
      <c r="AX67" s="560"/>
      <c r="AY67" s="67"/>
      <c r="AZ67" s="67"/>
      <c r="BA67" s="67"/>
      <c r="BB67" s="67"/>
      <c r="BC67" s="560"/>
      <c r="BD67" s="67"/>
      <c r="BE67" s="67"/>
      <c r="BF67" s="67"/>
      <c r="BG67" s="67"/>
      <c r="BH67" s="560"/>
      <c r="BI67" s="67"/>
      <c r="BJ67" s="67"/>
      <c r="BK67" s="67"/>
      <c r="BL67" s="67"/>
      <c r="BM67" s="560"/>
      <c r="BN67" s="67"/>
      <c r="BO67" s="67"/>
      <c r="BP67" s="67"/>
      <c r="BQ67" s="67"/>
      <c r="BR67" s="560"/>
      <c r="BS67" s="67"/>
      <c r="BT67" s="67"/>
      <c r="BU67" s="67"/>
      <c r="BV67" s="67"/>
      <c r="BW67" s="560"/>
      <c r="BX67" s="67"/>
      <c r="BY67" s="67"/>
      <c r="BZ67" s="67"/>
      <c r="CA67" s="67"/>
      <c r="CB67" s="560"/>
      <c r="CC67" s="67"/>
      <c r="CD67" s="67"/>
      <c r="CE67" s="67"/>
      <c r="CF67" s="67"/>
      <c r="CG67" s="560"/>
      <c r="CH67" s="67"/>
      <c r="CI67" s="67"/>
      <c r="CJ67" s="67"/>
      <c r="CK67" s="67"/>
      <c r="CL67" s="560"/>
      <c r="CM67" s="67"/>
      <c r="CN67" s="67"/>
      <c r="CO67" s="67"/>
      <c r="CP67" s="67"/>
      <c r="CQ67" s="560"/>
      <c r="CR67" s="67"/>
      <c r="CS67" s="67"/>
      <c r="CT67" s="67"/>
      <c r="CU67" s="67"/>
      <c r="CV67" s="560"/>
      <c r="CW67" s="67"/>
      <c r="CX67" s="67"/>
      <c r="CY67" s="67"/>
      <c r="CZ67" s="67"/>
      <c r="DA67" s="560"/>
      <c r="DB67" s="67"/>
      <c r="DC67" s="67"/>
      <c r="DD67" s="67"/>
      <c r="DE67" s="67"/>
      <c r="DF67" s="560"/>
      <c r="DG67" s="67"/>
      <c r="DH67" s="67"/>
      <c r="DI67" s="67"/>
      <c r="DJ67" s="67"/>
      <c r="DK67" s="560"/>
      <c r="DL67" s="67"/>
      <c r="DM67" s="67"/>
      <c r="DN67" s="67"/>
      <c r="DO67" s="67"/>
      <c r="DP67" s="560"/>
      <c r="DQ67" s="67"/>
      <c r="DR67" s="67"/>
      <c r="DS67" s="67"/>
      <c r="DT67" s="67"/>
      <c r="DU67" s="560"/>
      <c r="DV67" s="67"/>
      <c r="DW67" s="67"/>
      <c r="DX67" s="67"/>
      <c r="DY67" s="67"/>
      <c r="DZ67" s="560"/>
      <c r="EA67" s="67"/>
      <c r="EB67" s="67"/>
      <c r="EC67" s="67"/>
      <c r="ED67" s="67"/>
      <c r="EE67" s="560"/>
      <c r="EF67" s="67"/>
      <c r="EG67" s="67"/>
      <c r="EH67" s="67"/>
      <c r="EI67" s="67"/>
      <c r="EJ67" s="560"/>
      <c r="EK67" s="67"/>
      <c r="EL67" s="67"/>
      <c r="EM67" s="67"/>
      <c r="EN67" s="67"/>
      <c r="EO67" s="455"/>
    </row>
    <row r="68" spans="1:148" ht="12.75" hidden="1" customHeight="1" x14ac:dyDescent="0.2">
      <c r="A68" s="442"/>
      <c r="B68" s="442"/>
      <c r="C68" s="442"/>
      <c r="D68" s="455" t="s">
        <v>458</v>
      </c>
      <c r="E68" s="465"/>
      <c r="F68" s="442"/>
      <c r="G68" s="67">
        <v>0</v>
      </c>
      <c r="H68" s="67"/>
      <c r="I68" s="67"/>
      <c r="J68" s="560"/>
      <c r="K68" s="67"/>
      <c r="L68" s="67">
        <f>SUM(L69:L71)</f>
        <v>0</v>
      </c>
      <c r="M68" s="67"/>
      <c r="N68" s="67"/>
      <c r="O68" s="560"/>
      <c r="P68" s="67"/>
      <c r="Q68" s="67">
        <f>SUM(Q69:Q71)</f>
        <v>0</v>
      </c>
      <c r="R68" s="67"/>
      <c r="S68" s="67"/>
      <c r="T68" s="560"/>
      <c r="U68" s="67"/>
      <c r="V68" s="67">
        <f>SUM(V69:V71)</f>
        <v>0</v>
      </c>
      <c r="W68" s="67"/>
      <c r="X68" s="67"/>
      <c r="Y68" s="560"/>
      <c r="Z68" s="67"/>
      <c r="AA68" s="67">
        <f>SUM(AA69:AA71)</f>
        <v>0</v>
      </c>
      <c r="AB68" s="67"/>
      <c r="AC68" s="67"/>
      <c r="AD68" s="560"/>
      <c r="AE68" s="67"/>
      <c r="AF68" s="67">
        <f>SUM(AF69:AF71)</f>
        <v>0</v>
      </c>
      <c r="AG68" s="67"/>
      <c r="AH68" s="67"/>
      <c r="AI68" s="560"/>
      <c r="AJ68" s="67"/>
      <c r="AK68" s="67">
        <f>SUM(AK69:AK71)</f>
        <v>0</v>
      </c>
      <c r="AL68" s="67"/>
      <c r="AM68" s="67"/>
      <c r="AN68" s="560"/>
      <c r="AO68" s="67"/>
      <c r="AP68" s="67">
        <f>SUM(AP69:AP71)</f>
        <v>0</v>
      </c>
      <c r="AQ68" s="67"/>
      <c r="AR68" s="67"/>
      <c r="AS68" s="560"/>
      <c r="AT68" s="67"/>
      <c r="AU68" s="67">
        <f>SUM(AU69:AU71)</f>
        <v>0</v>
      </c>
      <c r="AV68" s="67"/>
      <c r="AW68" s="67"/>
      <c r="AX68" s="560"/>
      <c r="AY68" s="67"/>
      <c r="AZ68" s="67">
        <f>SUM(AZ69:AZ71)</f>
        <v>0</v>
      </c>
      <c r="BA68" s="67"/>
      <c r="BB68" s="67"/>
      <c r="BC68" s="560"/>
      <c r="BD68" s="67"/>
      <c r="BE68" s="67">
        <f>SUM(BE69:BE71)</f>
        <v>0</v>
      </c>
      <c r="BF68" s="67"/>
      <c r="BG68" s="67"/>
      <c r="BH68" s="560"/>
      <c r="BI68" s="67"/>
      <c r="BJ68" s="67">
        <f>SUM(BJ69:BJ71)</f>
        <v>0</v>
      </c>
      <c r="BK68" s="67"/>
      <c r="BL68" s="67"/>
      <c r="BM68" s="560"/>
      <c r="BN68" s="67"/>
      <c r="BO68" s="67">
        <f>SUM(BO69:BO71)</f>
        <v>0</v>
      </c>
      <c r="BP68" s="67"/>
      <c r="BQ68" s="67"/>
      <c r="BR68" s="560"/>
      <c r="BS68" s="67"/>
      <c r="BT68" s="67">
        <f>SUM(BT69:BT71)</f>
        <v>0</v>
      </c>
      <c r="BU68" s="67"/>
      <c r="BV68" s="67"/>
      <c r="BW68" s="560"/>
      <c r="BX68" s="67"/>
      <c r="BY68" s="67">
        <f>SUM(BY69:BY71)</f>
        <v>0</v>
      </c>
      <c r="BZ68" s="67"/>
      <c r="CA68" s="67"/>
      <c r="CB68" s="560"/>
      <c r="CC68" s="67"/>
      <c r="CD68" s="67">
        <f>SUM(CD69:CD71)</f>
        <v>0</v>
      </c>
      <c r="CE68" s="67"/>
      <c r="CF68" s="67"/>
      <c r="CG68" s="560"/>
      <c r="CH68" s="67"/>
      <c r="CI68" s="67">
        <f>SUM(CI69:CI71)</f>
        <v>0</v>
      </c>
      <c r="CJ68" s="67"/>
      <c r="CK68" s="67"/>
      <c r="CL68" s="560"/>
      <c r="CM68" s="67"/>
      <c r="CN68" s="67">
        <f>SUM(CN69:CN71)</f>
        <v>0</v>
      </c>
      <c r="CO68" s="67"/>
      <c r="CP68" s="67"/>
      <c r="CQ68" s="560"/>
      <c r="CR68" s="67"/>
      <c r="CS68" s="67">
        <f>SUM(CS69:CS71)</f>
        <v>0</v>
      </c>
      <c r="CT68" s="67"/>
      <c r="CU68" s="67"/>
      <c r="CV68" s="560"/>
      <c r="CW68" s="67"/>
      <c r="CX68" s="67">
        <f>SUM(CX69:CX71)</f>
        <v>0</v>
      </c>
      <c r="CY68" s="67"/>
      <c r="CZ68" s="67"/>
      <c r="DA68" s="560"/>
      <c r="DB68" s="67"/>
      <c r="DC68" s="67">
        <f>SUM(DC69:DC71)</f>
        <v>0</v>
      </c>
      <c r="DD68" s="67"/>
      <c r="DE68" s="67"/>
      <c r="DF68" s="560"/>
      <c r="DG68" s="67"/>
      <c r="DH68" s="67">
        <f>SUM(DH69:DH71)</f>
        <v>0</v>
      </c>
      <c r="DI68" s="67"/>
      <c r="DJ68" s="67"/>
      <c r="DK68" s="560"/>
      <c r="DL68" s="67"/>
      <c r="DM68" s="67">
        <f>SUM(DM69:DM71)</f>
        <v>0</v>
      </c>
      <c r="DN68" s="67"/>
      <c r="DO68" s="67"/>
      <c r="DP68" s="560"/>
      <c r="DQ68" s="67"/>
      <c r="DR68" s="67">
        <f>SUM(DR69:DR71)</f>
        <v>0</v>
      </c>
      <c r="DS68" s="67"/>
      <c r="DT68" s="67"/>
      <c r="DU68" s="560"/>
      <c r="DV68" s="67"/>
      <c r="DW68" s="67">
        <f>SUM(DW69:DW71)</f>
        <v>0</v>
      </c>
      <c r="DX68" s="67"/>
      <c r="DY68" s="67"/>
      <c r="DZ68" s="560"/>
      <c r="EA68" s="67"/>
      <c r="EB68" s="67">
        <f>SUM(EB69:EB71)</f>
        <v>0</v>
      </c>
      <c r="EC68" s="67"/>
      <c r="ED68" s="67"/>
      <c r="EE68" s="560"/>
      <c r="EF68" s="67"/>
      <c r="EG68" s="67">
        <f>SUM(EG69:EG71)</f>
        <v>0</v>
      </c>
      <c r="EH68" s="67"/>
      <c r="EI68" s="67"/>
      <c r="EJ68" s="560"/>
      <c r="EK68" s="67"/>
      <c r="EL68" s="67">
        <f>SUM(EL69:EL71)</f>
        <v>0</v>
      </c>
      <c r="EM68" s="67"/>
      <c r="EN68" s="67"/>
      <c r="EO68" s="455"/>
    </row>
    <row r="69" spans="1:148" ht="12.75" hidden="1" customHeight="1" x14ac:dyDescent="0.2">
      <c r="A69" s="442"/>
      <c r="B69" s="442"/>
      <c r="C69" s="442"/>
      <c r="D69" s="455" t="s">
        <v>342</v>
      </c>
      <c r="E69" s="465"/>
      <c r="F69" s="473"/>
      <c r="G69" s="558">
        <v>0</v>
      </c>
      <c r="H69" s="559"/>
      <c r="I69" s="67"/>
      <c r="J69" s="560"/>
      <c r="K69" s="561"/>
      <c r="L69" s="558">
        <v>0</v>
      </c>
      <c r="M69" s="559"/>
      <c r="N69" s="67"/>
      <c r="O69" s="560"/>
      <c r="P69" s="561"/>
      <c r="Q69" s="558">
        <v>0</v>
      </c>
      <c r="R69" s="559"/>
      <c r="S69" s="67"/>
      <c r="T69" s="560"/>
      <c r="U69" s="561"/>
      <c r="V69" s="558">
        <v>0</v>
      </c>
      <c r="W69" s="559"/>
      <c r="X69" s="67"/>
      <c r="Y69" s="560"/>
      <c r="Z69" s="561"/>
      <c r="AA69" s="558">
        <v>0</v>
      </c>
      <c r="AB69" s="559"/>
      <c r="AC69" s="67"/>
      <c r="AD69" s="560"/>
      <c r="AE69" s="561"/>
      <c r="AF69" s="558">
        <v>0</v>
      </c>
      <c r="AG69" s="559"/>
      <c r="AH69" s="67"/>
      <c r="AI69" s="560"/>
      <c r="AJ69" s="561"/>
      <c r="AK69" s="558">
        <v>0</v>
      </c>
      <c r="AL69" s="559"/>
      <c r="AM69" s="67"/>
      <c r="AN69" s="560"/>
      <c r="AO69" s="561"/>
      <c r="AP69" s="558">
        <v>0</v>
      </c>
      <c r="AQ69" s="559"/>
      <c r="AR69" s="67"/>
      <c r="AS69" s="560"/>
      <c r="AT69" s="561"/>
      <c r="AU69" s="558">
        <v>0</v>
      </c>
      <c r="AV69" s="559"/>
      <c r="AW69" s="67"/>
      <c r="AX69" s="560"/>
      <c r="AY69" s="561"/>
      <c r="AZ69" s="558">
        <v>0</v>
      </c>
      <c r="BA69" s="559"/>
      <c r="BB69" s="67"/>
      <c r="BC69" s="560"/>
      <c r="BD69" s="561"/>
      <c r="BE69" s="558">
        <v>0</v>
      </c>
      <c r="BF69" s="559"/>
      <c r="BG69" s="67"/>
      <c r="BH69" s="560"/>
      <c r="BI69" s="561"/>
      <c r="BJ69" s="558">
        <v>0</v>
      </c>
      <c r="BK69" s="559"/>
      <c r="BL69" s="67"/>
      <c r="BM69" s="560"/>
      <c r="BN69" s="561"/>
      <c r="BO69" s="558">
        <v>0</v>
      </c>
      <c r="BP69" s="559"/>
      <c r="BQ69" s="67"/>
      <c r="BR69" s="560"/>
      <c r="BS69" s="561"/>
      <c r="BT69" s="558">
        <f>SUM(L69:BO69)</f>
        <v>0</v>
      </c>
      <c r="BU69" s="559"/>
      <c r="BV69" s="67"/>
      <c r="BW69" s="560"/>
      <c r="BX69" s="561"/>
      <c r="BY69" s="558">
        <f>SUM(Q69:BT69)</f>
        <v>0</v>
      </c>
      <c r="BZ69" s="559"/>
      <c r="CA69" s="67"/>
      <c r="CB69" s="560"/>
      <c r="CC69" s="561"/>
      <c r="CD69" s="558">
        <v>0</v>
      </c>
      <c r="CE69" s="559"/>
      <c r="CF69" s="67"/>
      <c r="CG69" s="560"/>
      <c r="CH69" s="561"/>
      <c r="CI69" s="558">
        <v>0</v>
      </c>
      <c r="CJ69" s="559"/>
      <c r="CK69" s="67"/>
      <c r="CL69" s="560"/>
      <c r="CM69" s="561"/>
      <c r="CN69" s="558">
        <v>0</v>
      </c>
      <c r="CO69" s="559"/>
      <c r="CP69" s="67"/>
      <c r="CQ69" s="560"/>
      <c r="CR69" s="561"/>
      <c r="CS69" s="558">
        <v>0</v>
      </c>
      <c r="CT69" s="559"/>
      <c r="CU69" s="67"/>
      <c r="CV69" s="560"/>
      <c r="CW69" s="561"/>
      <c r="CX69" s="558">
        <v>0</v>
      </c>
      <c r="CY69" s="559"/>
      <c r="CZ69" s="67"/>
      <c r="DA69" s="560"/>
      <c r="DB69" s="561"/>
      <c r="DC69" s="558">
        <v>0</v>
      </c>
      <c r="DD69" s="559"/>
      <c r="DE69" s="67"/>
      <c r="DF69" s="560"/>
      <c r="DG69" s="561"/>
      <c r="DH69" s="558">
        <v>0</v>
      </c>
      <c r="DI69" s="559"/>
      <c r="DJ69" s="67"/>
      <c r="DK69" s="560"/>
      <c r="DL69" s="561"/>
      <c r="DM69" s="558">
        <v>0</v>
      </c>
      <c r="DN69" s="559"/>
      <c r="DO69" s="67"/>
      <c r="DP69" s="560"/>
      <c r="DQ69" s="561"/>
      <c r="DR69" s="558">
        <v>0</v>
      </c>
      <c r="DS69" s="559"/>
      <c r="DT69" s="67"/>
      <c r="DU69" s="560"/>
      <c r="DV69" s="561"/>
      <c r="DW69" s="558">
        <v>0</v>
      </c>
      <c r="DX69" s="559"/>
      <c r="DY69" s="67"/>
      <c r="DZ69" s="560"/>
      <c r="EA69" s="561"/>
      <c r="EB69" s="558">
        <v>0</v>
      </c>
      <c r="EC69" s="559"/>
      <c r="ED69" s="67"/>
      <c r="EE69" s="560"/>
      <c r="EF69" s="561"/>
      <c r="EG69" s="558">
        <v>0</v>
      </c>
      <c r="EH69" s="559"/>
      <c r="EI69" s="67"/>
      <c r="EJ69" s="560"/>
      <c r="EK69" s="561"/>
      <c r="EL69" s="558">
        <f>SUM(CD69:EG69)</f>
        <v>0</v>
      </c>
      <c r="EM69" s="559"/>
      <c r="EN69" s="67"/>
      <c r="EO69" s="455"/>
    </row>
    <row r="70" spans="1:148" ht="12.75" hidden="1" customHeight="1" x14ac:dyDescent="0.2">
      <c r="A70" s="442"/>
      <c r="B70" s="442"/>
      <c r="C70" s="442"/>
      <c r="D70" s="455" t="s">
        <v>344</v>
      </c>
      <c r="E70" s="465"/>
      <c r="F70" s="465"/>
      <c r="G70" s="67">
        <v>0</v>
      </c>
      <c r="H70" s="66"/>
      <c r="I70" s="67"/>
      <c r="J70" s="560"/>
      <c r="K70" s="560"/>
      <c r="L70" s="67">
        <v>0</v>
      </c>
      <c r="M70" s="66"/>
      <c r="N70" s="67"/>
      <c r="O70" s="560"/>
      <c r="P70" s="560"/>
      <c r="Q70" s="67">
        <v>0</v>
      </c>
      <c r="R70" s="66"/>
      <c r="S70" s="67"/>
      <c r="T70" s="560"/>
      <c r="U70" s="560"/>
      <c r="V70" s="67">
        <v>0</v>
      </c>
      <c r="W70" s="66"/>
      <c r="X70" s="67"/>
      <c r="Y70" s="560"/>
      <c r="Z70" s="560"/>
      <c r="AA70" s="67">
        <v>0</v>
      </c>
      <c r="AB70" s="66"/>
      <c r="AC70" s="67"/>
      <c r="AD70" s="560"/>
      <c r="AE70" s="560"/>
      <c r="AF70" s="67">
        <v>0</v>
      </c>
      <c r="AG70" s="66"/>
      <c r="AH70" s="67"/>
      <c r="AI70" s="560"/>
      <c r="AJ70" s="560"/>
      <c r="AK70" s="67">
        <v>0</v>
      </c>
      <c r="AL70" s="66"/>
      <c r="AM70" s="67"/>
      <c r="AN70" s="560"/>
      <c r="AO70" s="560"/>
      <c r="AP70" s="67">
        <v>0</v>
      </c>
      <c r="AQ70" s="66"/>
      <c r="AR70" s="67"/>
      <c r="AS70" s="560"/>
      <c r="AT70" s="560"/>
      <c r="AU70" s="67">
        <v>0</v>
      </c>
      <c r="AV70" s="66"/>
      <c r="AW70" s="67"/>
      <c r="AX70" s="560"/>
      <c r="AY70" s="560"/>
      <c r="AZ70" s="67">
        <v>0</v>
      </c>
      <c r="BA70" s="66"/>
      <c r="BB70" s="67"/>
      <c r="BC70" s="560"/>
      <c r="BD70" s="560"/>
      <c r="BE70" s="67">
        <v>0</v>
      </c>
      <c r="BF70" s="66"/>
      <c r="BG70" s="67"/>
      <c r="BH70" s="560"/>
      <c r="BI70" s="560"/>
      <c r="BJ70" s="67">
        <v>0</v>
      </c>
      <c r="BK70" s="66"/>
      <c r="BL70" s="67"/>
      <c r="BM70" s="560"/>
      <c r="BN70" s="560"/>
      <c r="BO70" s="67">
        <v>0</v>
      </c>
      <c r="BP70" s="66"/>
      <c r="BQ70" s="67"/>
      <c r="BR70" s="560"/>
      <c r="BS70" s="560"/>
      <c r="BT70" s="67">
        <f>SUM(L70:BO70)</f>
        <v>0</v>
      </c>
      <c r="BU70" s="66"/>
      <c r="BV70" s="67"/>
      <c r="BW70" s="560"/>
      <c r="BX70" s="560"/>
      <c r="BY70" s="67">
        <f>SUM(Q70:BT70)</f>
        <v>0</v>
      </c>
      <c r="BZ70" s="66"/>
      <c r="CA70" s="67"/>
      <c r="CB70" s="560"/>
      <c r="CC70" s="560"/>
      <c r="CD70" s="67">
        <v>0</v>
      </c>
      <c r="CE70" s="66"/>
      <c r="CF70" s="67"/>
      <c r="CG70" s="560"/>
      <c r="CH70" s="560"/>
      <c r="CI70" s="67">
        <v>0</v>
      </c>
      <c r="CJ70" s="66"/>
      <c r="CK70" s="67"/>
      <c r="CL70" s="560"/>
      <c r="CM70" s="560"/>
      <c r="CN70" s="67">
        <v>0</v>
      </c>
      <c r="CO70" s="66"/>
      <c r="CP70" s="67"/>
      <c r="CQ70" s="560"/>
      <c r="CR70" s="560"/>
      <c r="CS70" s="67">
        <v>0</v>
      </c>
      <c r="CT70" s="66"/>
      <c r="CU70" s="67"/>
      <c r="CV70" s="560"/>
      <c r="CW70" s="560"/>
      <c r="CX70" s="67">
        <v>0</v>
      </c>
      <c r="CY70" s="66"/>
      <c r="CZ70" s="67"/>
      <c r="DA70" s="560"/>
      <c r="DB70" s="560"/>
      <c r="DC70" s="67">
        <v>0</v>
      </c>
      <c r="DD70" s="66"/>
      <c r="DE70" s="67"/>
      <c r="DF70" s="560"/>
      <c r="DG70" s="560"/>
      <c r="DH70" s="67">
        <v>0</v>
      </c>
      <c r="DI70" s="66"/>
      <c r="DJ70" s="67"/>
      <c r="DK70" s="560"/>
      <c r="DL70" s="560"/>
      <c r="DM70" s="67">
        <v>0</v>
      </c>
      <c r="DN70" s="66"/>
      <c r="DO70" s="67"/>
      <c r="DP70" s="560"/>
      <c r="DQ70" s="560"/>
      <c r="DR70" s="67">
        <v>0</v>
      </c>
      <c r="DS70" s="66"/>
      <c r="DT70" s="67"/>
      <c r="DU70" s="560"/>
      <c r="DV70" s="560"/>
      <c r="DW70" s="67">
        <v>0</v>
      </c>
      <c r="DX70" s="66"/>
      <c r="DY70" s="67"/>
      <c r="DZ70" s="560"/>
      <c r="EA70" s="560"/>
      <c r="EB70" s="67">
        <v>0</v>
      </c>
      <c r="EC70" s="66"/>
      <c r="ED70" s="67"/>
      <c r="EE70" s="560"/>
      <c r="EF70" s="560"/>
      <c r="EG70" s="67">
        <v>0</v>
      </c>
      <c r="EH70" s="66"/>
      <c r="EI70" s="67"/>
      <c r="EJ70" s="560"/>
      <c r="EK70" s="560"/>
      <c r="EL70" s="67">
        <f>SUM(CD70:EG70)</f>
        <v>0</v>
      </c>
      <c r="EM70" s="66"/>
      <c r="EN70" s="67"/>
      <c r="EO70" s="455"/>
    </row>
    <row r="71" spans="1:148" ht="12.75" hidden="1" customHeight="1" x14ac:dyDescent="0.2">
      <c r="A71" s="442"/>
      <c r="B71" s="442"/>
      <c r="C71" s="442"/>
      <c r="D71" s="455" t="s">
        <v>352</v>
      </c>
      <c r="E71" s="465"/>
      <c r="F71" s="488"/>
      <c r="G71" s="113">
        <v>0</v>
      </c>
      <c r="H71" s="112"/>
      <c r="I71" s="67"/>
      <c r="J71" s="560"/>
      <c r="K71" s="569"/>
      <c r="L71" s="113">
        <v>0</v>
      </c>
      <c r="M71" s="112"/>
      <c r="N71" s="67"/>
      <c r="O71" s="560"/>
      <c r="P71" s="569"/>
      <c r="Q71" s="113">
        <v>0</v>
      </c>
      <c r="R71" s="112"/>
      <c r="S71" s="67"/>
      <c r="T71" s="560"/>
      <c r="U71" s="569"/>
      <c r="V71" s="113">
        <v>0</v>
      </c>
      <c r="W71" s="112"/>
      <c r="X71" s="67"/>
      <c r="Y71" s="560"/>
      <c r="Z71" s="569"/>
      <c r="AA71" s="113">
        <v>0</v>
      </c>
      <c r="AB71" s="112"/>
      <c r="AC71" s="67"/>
      <c r="AD71" s="560"/>
      <c r="AE71" s="569"/>
      <c r="AF71" s="113">
        <v>0</v>
      </c>
      <c r="AG71" s="112"/>
      <c r="AH71" s="67"/>
      <c r="AI71" s="560"/>
      <c r="AJ71" s="569"/>
      <c r="AK71" s="113">
        <v>0</v>
      </c>
      <c r="AL71" s="112"/>
      <c r="AM71" s="67"/>
      <c r="AN71" s="560"/>
      <c r="AO71" s="569"/>
      <c r="AP71" s="113">
        <v>0</v>
      </c>
      <c r="AQ71" s="112"/>
      <c r="AR71" s="67"/>
      <c r="AS71" s="560"/>
      <c r="AT71" s="569"/>
      <c r="AU71" s="113">
        <v>0</v>
      </c>
      <c r="AV71" s="112"/>
      <c r="AW71" s="67"/>
      <c r="AX71" s="560"/>
      <c r="AY71" s="569"/>
      <c r="AZ71" s="113">
        <v>0</v>
      </c>
      <c r="BA71" s="112"/>
      <c r="BB71" s="67"/>
      <c r="BC71" s="560"/>
      <c r="BD71" s="569"/>
      <c r="BE71" s="113">
        <v>0</v>
      </c>
      <c r="BF71" s="112"/>
      <c r="BG71" s="67"/>
      <c r="BH71" s="560"/>
      <c r="BI71" s="569"/>
      <c r="BJ71" s="113">
        <v>0</v>
      </c>
      <c r="BK71" s="112"/>
      <c r="BL71" s="67"/>
      <c r="BM71" s="560"/>
      <c r="BN71" s="569"/>
      <c r="BO71" s="113">
        <v>0</v>
      </c>
      <c r="BP71" s="112"/>
      <c r="BQ71" s="67"/>
      <c r="BR71" s="560"/>
      <c r="BS71" s="569"/>
      <c r="BT71" s="113">
        <f>SUM(L71:BO71)</f>
        <v>0</v>
      </c>
      <c r="BU71" s="112"/>
      <c r="BV71" s="67"/>
      <c r="BW71" s="560"/>
      <c r="BX71" s="569"/>
      <c r="BY71" s="113">
        <f>SUM(Q71:BT71)</f>
        <v>0</v>
      </c>
      <c r="BZ71" s="112"/>
      <c r="CA71" s="67"/>
      <c r="CB71" s="560"/>
      <c r="CC71" s="569"/>
      <c r="CD71" s="113">
        <v>0</v>
      </c>
      <c r="CE71" s="112"/>
      <c r="CF71" s="67"/>
      <c r="CG71" s="560"/>
      <c r="CH71" s="569"/>
      <c r="CI71" s="113">
        <v>0</v>
      </c>
      <c r="CJ71" s="112"/>
      <c r="CK71" s="67"/>
      <c r="CL71" s="560"/>
      <c r="CM71" s="569"/>
      <c r="CN71" s="113">
        <v>0</v>
      </c>
      <c r="CO71" s="112"/>
      <c r="CP71" s="67"/>
      <c r="CQ71" s="560"/>
      <c r="CR71" s="569"/>
      <c r="CS71" s="113">
        <v>0</v>
      </c>
      <c r="CT71" s="112"/>
      <c r="CU71" s="67"/>
      <c r="CV71" s="560"/>
      <c r="CW71" s="569"/>
      <c r="CX71" s="113">
        <v>0</v>
      </c>
      <c r="CY71" s="112"/>
      <c r="CZ71" s="67"/>
      <c r="DA71" s="560"/>
      <c r="DB71" s="569"/>
      <c r="DC71" s="113">
        <v>0</v>
      </c>
      <c r="DD71" s="112"/>
      <c r="DE71" s="67"/>
      <c r="DF71" s="560"/>
      <c r="DG71" s="569"/>
      <c r="DH71" s="113">
        <v>0</v>
      </c>
      <c r="DI71" s="112"/>
      <c r="DJ71" s="67"/>
      <c r="DK71" s="560"/>
      <c r="DL71" s="569"/>
      <c r="DM71" s="113">
        <v>0</v>
      </c>
      <c r="DN71" s="112"/>
      <c r="DO71" s="67"/>
      <c r="DP71" s="560"/>
      <c r="DQ71" s="569"/>
      <c r="DR71" s="113">
        <v>0</v>
      </c>
      <c r="DS71" s="112"/>
      <c r="DT71" s="67"/>
      <c r="DU71" s="560"/>
      <c r="DV71" s="569"/>
      <c r="DW71" s="113">
        <v>0</v>
      </c>
      <c r="DX71" s="112"/>
      <c r="DY71" s="67"/>
      <c r="DZ71" s="560"/>
      <c r="EA71" s="569"/>
      <c r="EB71" s="113">
        <v>0</v>
      </c>
      <c r="EC71" s="112"/>
      <c r="ED71" s="67"/>
      <c r="EE71" s="560"/>
      <c r="EF71" s="569"/>
      <c r="EG71" s="113">
        <v>0</v>
      </c>
      <c r="EH71" s="112"/>
      <c r="EI71" s="67"/>
      <c r="EJ71" s="560"/>
      <c r="EK71" s="569"/>
      <c r="EL71" s="113">
        <f>SUM(CD71:EG71)</f>
        <v>0</v>
      </c>
      <c r="EM71" s="112"/>
      <c r="EN71" s="67"/>
      <c r="EO71" s="455"/>
    </row>
    <row r="72" spans="1:148" ht="12.75" hidden="1" customHeight="1" x14ac:dyDescent="0.2">
      <c r="A72" s="442"/>
      <c r="B72" s="442"/>
      <c r="C72" s="442"/>
      <c r="D72" s="455"/>
      <c r="E72" s="465"/>
      <c r="F72" s="442"/>
      <c r="G72" s="67"/>
      <c r="H72" s="67"/>
      <c r="I72" s="67"/>
      <c r="J72" s="560"/>
      <c r="K72" s="67"/>
      <c r="L72" s="67"/>
      <c r="M72" s="67"/>
      <c r="N72" s="67"/>
      <c r="O72" s="560"/>
      <c r="P72" s="67"/>
      <c r="Q72" s="67"/>
      <c r="R72" s="67"/>
      <c r="S72" s="67"/>
      <c r="T72" s="560"/>
      <c r="U72" s="67"/>
      <c r="V72" s="67"/>
      <c r="W72" s="67"/>
      <c r="X72" s="67"/>
      <c r="Y72" s="560"/>
      <c r="Z72" s="67"/>
      <c r="AA72" s="67"/>
      <c r="AB72" s="67"/>
      <c r="AC72" s="67"/>
      <c r="AD72" s="560"/>
      <c r="AE72" s="67"/>
      <c r="AF72" s="67"/>
      <c r="AG72" s="67"/>
      <c r="AH72" s="67"/>
      <c r="AI72" s="560"/>
      <c r="AJ72" s="67"/>
      <c r="AK72" s="67"/>
      <c r="AL72" s="67"/>
      <c r="AM72" s="67"/>
      <c r="AN72" s="560"/>
      <c r="AO72" s="67"/>
      <c r="AP72" s="67"/>
      <c r="AQ72" s="67"/>
      <c r="AR72" s="67"/>
      <c r="AS72" s="560"/>
      <c r="AT72" s="67"/>
      <c r="AU72" s="67"/>
      <c r="AV72" s="67"/>
      <c r="AW72" s="67"/>
      <c r="AX72" s="560"/>
      <c r="AY72" s="67"/>
      <c r="AZ72" s="67"/>
      <c r="BA72" s="67"/>
      <c r="BB72" s="67"/>
      <c r="BC72" s="560"/>
      <c r="BD72" s="67"/>
      <c r="BE72" s="67"/>
      <c r="BF72" s="67"/>
      <c r="BG72" s="67"/>
      <c r="BH72" s="560"/>
      <c r="BI72" s="67"/>
      <c r="BJ72" s="67"/>
      <c r="BK72" s="67"/>
      <c r="BL72" s="67"/>
      <c r="BM72" s="560"/>
      <c r="BN72" s="67"/>
      <c r="BO72" s="67"/>
      <c r="BP72" s="67"/>
      <c r="BQ72" s="67"/>
      <c r="BR72" s="560"/>
      <c r="BS72" s="67"/>
      <c r="BT72" s="67"/>
      <c r="BU72" s="67"/>
      <c r="BV72" s="67"/>
      <c r="BW72" s="560"/>
      <c r="BX72" s="67"/>
      <c r="BY72" s="67"/>
      <c r="BZ72" s="67"/>
      <c r="CA72" s="67"/>
      <c r="CB72" s="560"/>
      <c r="CC72" s="67"/>
      <c r="CD72" s="67"/>
      <c r="CE72" s="67"/>
      <c r="CF72" s="67"/>
      <c r="CG72" s="560"/>
      <c r="CH72" s="67"/>
      <c r="CI72" s="67"/>
      <c r="CJ72" s="67"/>
      <c r="CK72" s="67"/>
      <c r="CL72" s="560"/>
      <c r="CM72" s="67"/>
      <c r="CN72" s="67"/>
      <c r="CO72" s="67"/>
      <c r="CP72" s="67"/>
      <c r="CQ72" s="560"/>
      <c r="CR72" s="67"/>
      <c r="CS72" s="67"/>
      <c r="CT72" s="67"/>
      <c r="CU72" s="67"/>
      <c r="CV72" s="560"/>
      <c r="CW72" s="67"/>
      <c r="CX72" s="67"/>
      <c r="CY72" s="67"/>
      <c r="CZ72" s="67"/>
      <c r="DA72" s="560"/>
      <c r="DB72" s="67"/>
      <c r="DC72" s="67"/>
      <c r="DD72" s="67"/>
      <c r="DE72" s="67"/>
      <c r="DF72" s="560"/>
      <c r="DG72" s="67"/>
      <c r="DH72" s="67"/>
      <c r="DI72" s="67"/>
      <c r="DJ72" s="67"/>
      <c r="DK72" s="560"/>
      <c r="DL72" s="67"/>
      <c r="DM72" s="67"/>
      <c r="DN72" s="67"/>
      <c r="DO72" s="67"/>
      <c r="DP72" s="560"/>
      <c r="DQ72" s="67"/>
      <c r="DR72" s="67"/>
      <c r="DS72" s="67"/>
      <c r="DT72" s="67"/>
      <c r="DU72" s="560"/>
      <c r="DV72" s="67"/>
      <c r="DW72" s="67"/>
      <c r="DX72" s="67"/>
      <c r="DY72" s="67"/>
      <c r="DZ72" s="560"/>
      <c r="EA72" s="67"/>
      <c r="EB72" s="67"/>
      <c r="EC72" s="67"/>
      <c r="ED72" s="67"/>
      <c r="EE72" s="560"/>
      <c r="EF72" s="67"/>
      <c r="EG72" s="67"/>
      <c r="EH72" s="67"/>
      <c r="EI72" s="67"/>
      <c r="EJ72" s="560"/>
      <c r="EK72" s="67"/>
      <c r="EL72" s="67"/>
      <c r="EM72" s="67"/>
      <c r="EN72" s="67"/>
      <c r="EO72" s="455"/>
    </row>
    <row r="73" spans="1:148" s="472" customFormat="1" ht="12.75" hidden="1" customHeight="1" x14ac:dyDescent="0.2">
      <c r="A73" s="443"/>
      <c r="B73" s="443"/>
      <c r="C73" s="443"/>
      <c r="D73" s="466" t="s">
        <v>459</v>
      </c>
      <c r="E73" s="468"/>
      <c r="F73" s="443"/>
      <c r="G73" s="58">
        <v>0</v>
      </c>
      <c r="H73" s="58"/>
      <c r="I73" s="58"/>
      <c r="J73" s="556"/>
      <c r="K73" s="58"/>
      <c r="L73" s="58">
        <f>SUM(L74:L76)</f>
        <v>0</v>
      </c>
      <c r="M73" s="58"/>
      <c r="N73" s="58"/>
      <c r="O73" s="556"/>
      <c r="P73" s="58"/>
      <c r="Q73" s="58">
        <f>SUM(Q74:Q76)</f>
        <v>0</v>
      </c>
      <c r="R73" s="58"/>
      <c r="S73" s="58"/>
      <c r="T73" s="556"/>
      <c r="U73" s="58"/>
      <c r="V73" s="58">
        <f>SUM(V74:V76)</f>
        <v>0</v>
      </c>
      <c r="W73" s="58"/>
      <c r="X73" s="58"/>
      <c r="Y73" s="556"/>
      <c r="Z73" s="58"/>
      <c r="AA73" s="58">
        <f>SUM(AA74:AA76)</f>
        <v>0</v>
      </c>
      <c r="AB73" s="58"/>
      <c r="AC73" s="58"/>
      <c r="AD73" s="556"/>
      <c r="AE73" s="58"/>
      <c r="AF73" s="58">
        <f>SUM(AF74:AF76)</f>
        <v>0</v>
      </c>
      <c r="AG73" s="58"/>
      <c r="AH73" s="58"/>
      <c r="AI73" s="556"/>
      <c r="AJ73" s="58"/>
      <c r="AK73" s="58">
        <f>SUM(AK74:AK76)</f>
        <v>0</v>
      </c>
      <c r="AL73" s="58"/>
      <c r="AM73" s="58"/>
      <c r="AN73" s="556"/>
      <c r="AO73" s="58"/>
      <c r="AP73" s="58">
        <f>SUM(AP74:AP76)</f>
        <v>0</v>
      </c>
      <c r="AQ73" s="58"/>
      <c r="AR73" s="58"/>
      <c r="AS73" s="556"/>
      <c r="AT73" s="58"/>
      <c r="AU73" s="58">
        <f>SUM(AU74:AU76)</f>
        <v>0</v>
      </c>
      <c r="AV73" s="58"/>
      <c r="AW73" s="58"/>
      <c r="AX73" s="556"/>
      <c r="AY73" s="58"/>
      <c r="AZ73" s="58">
        <f>SUM(AZ74:AZ76)</f>
        <v>0</v>
      </c>
      <c r="BA73" s="58"/>
      <c r="BB73" s="58"/>
      <c r="BC73" s="556"/>
      <c r="BD73" s="58"/>
      <c r="BE73" s="58">
        <f>SUM(BE74:BE76)</f>
        <v>0</v>
      </c>
      <c r="BF73" s="58"/>
      <c r="BG73" s="58"/>
      <c r="BH73" s="556"/>
      <c r="BI73" s="58"/>
      <c r="BJ73" s="58">
        <f>SUM(BJ74:BJ76)</f>
        <v>0</v>
      </c>
      <c r="BK73" s="58"/>
      <c r="BL73" s="58"/>
      <c r="BM73" s="556"/>
      <c r="BN73" s="58"/>
      <c r="BO73" s="58">
        <f>SUM(BO74:BO76)</f>
        <v>0</v>
      </c>
      <c r="BP73" s="58"/>
      <c r="BQ73" s="58"/>
      <c r="BR73" s="556"/>
      <c r="BS73" s="58"/>
      <c r="BT73" s="58">
        <f>SUM(BT74:BT76)</f>
        <v>0</v>
      </c>
      <c r="BU73" s="58"/>
      <c r="BV73" s="58"/>
      <c r="BW73" s="556"/>
      <c r="BX73" s="58"/>
      <c r="BY73" s="58">
        <f>SUM(BY74:BY76)</f>
        <v>0</v>
      </c>
      <c r="BZ73" s="58"/>
      <c r="CA73" s="58"/>
      <c r="CB73" s="556"/>
      <c r="CC73" s="58"/>
      <c r="CD73" s="58">
        <f>SUM(CD74:CD76)</f>
        <v>0</v>
      </c>
      <c r="CE73" s="58"/>
      <c r="CF73" s="58"/>
      <c r="CG73" s="556"/>
      <c r="CH73" s="58"/>
      <c r="CI73" s="58">
        <f>SUM(CI74:CI76)</f>
        <v>0</v>
      </c>
      <c r="CJ73" s="58"/>
      <c r="CK73" s="58"/>
      <c r="CL73" s="556"/>
      <c r="CM73" s="58"/>
      <c r="CN73" s="58">
        <f>SUM(CN74:CN76)</f>
        <v>0</v>
      </c>
      <c r="CO73" s="58"/>
      <c r="CP73" s="58"/>
      <c r="CQ73" s="556"/>
      <c r="CR73" s="58"/>
      <c r="CS73" s="58">
        <f>SUM(CS74:CS76)</f>
        <v>0</v>
      </c>
      <c r="CT73" s="58"/>
      <c r="CU73" s="58"/>
      <c r="CV73" s="556"/>
      <c r="CW73" s="58"/>
      <c r="CX73" s="58">
        <f>SUM(CX74:CX76)</f>
        <v>0</v>
      </c>
      <c r="CY73" s="58"/>
      <c r="CZ73" s="58"/>
      <c r="DA73" s="556"/>
      <c r="DB73" s="58"/>
      <c r="DC73" s="58">
        <f>SUM(DC74:DC76)</f>
        <v>0</v>
      </c>
      <c r="DD73" s="58"/>
      <c r="DE73" s="58"/>
      <c r="DF73" s="556"/>
      <c r="DG73" s="58"/>
      <c r="DH73" s="58">
        <f>SUM(DH74:DH76)</f>
        <v>0</v>
      </c>
      <c r="DI73" s="58"/>
      <c r="DJ73" s="58"/>
      <c r="DK73" s="556"/>
      <c r="DL73" s="58"/>
      <c r="DM73" s="58">
        <f>SUM(DM74:DM76)</f>
        <v>0</v>
      </c>
      <c r="DN73" s="58"/>
      <c r="DO73" s="58"/>
      <c r="DP73" s="556"/>
      <c r="DQ73" s="58"/>
      <c r="DR73" s="58">
        <f>SUM(DR74:DR76)</f>
        <v>0</v>
      </c>
      <c r="DS73" s="58"/>
      <c r="DT73" s="58"/>
      <c r="DU73" s="556"/>
      <c r="DV73" s="58"/>
      <c r="DW73" s="58">
        <f>SUM(DW74:DW76)</f>
        <v>0</v>
      </c>
      <c r="DX73" s="58"/>
      <c r="DY73" s="58"/>
      <c r="DZ73" s="556"/>
      <c r="EA73" s="58"/>
      <c r="EB73" s="58">
        <f>SUM(EB74:EB76)</f>
        <v>0</v>
      </c>
      <c r="EC73" s="58"/>
      <c r="ED73" s="58"/>
      <c r="EE73" s="556"/>
      <c r="EF73" s="58"/>
      <c r="EG73" s="58">
        <f>SUM(EG74:EG76)</f>
        <v>0</v>
      </c>
      <c r="EH73" s="58"/>
      <c r="EI73" s="58"/>
      <c r="EJ73" s="556"/>
      <c r="EK73" s="58"/>
      <c r="EL73" s="58">
        <f>SUM(EL74:EL76)</f>
        <v>0</v>
      </c>
      <c r="EM73" s="58"/>
      <c r="EN73" s="58"/>
      <c r="EO73" s="466"/>
      <c r="EQ73" s="53"/>
      <c r="ER73" s="53"/>
    </row>
    <row r="74" spans="1:148" ht="12.75" hidden="1" customHeight="1" x14ac:dyDescent="0.2">
      <c r="A74" s="442"/>
      <c r="B74" s="442"/>
      <c r="C74" s="442"/>
      <c r="D74" s="455" t="s">
        <v>342</v>
      </c>
      <c r="E74" s="465"/>
      <c r="F74" s="473"/>
      <c r="G74" s="558">
        <v>0</v>
      </c>
      <c r="H74" s="559"/>
      <c r="I74" s="67"/>
      <c r="J74" s="560"/>
      <c r="K74" s="561"/>
      <c r="L74" s="558">
        <f>L79</f>
        <v>0</v>
      </c>
      <c r="M74" s="559"/>
      <c r="N74" s="67"/>
      <c r="O74" s="560"/>
      <c r="P74" s="561"/>
      <c r="Q74" s="558">
        <f>Q79</f>
        <v>0</v>
      </c>
      <c r="R74" s="559"/>
      <c r="S74" s="67"/>
      <c r="T74" s="560"/>
      <c r="U74" s="561"/>
      <c r="V74" s="558">
        <f>V79</f>
        <v>0</v>
      </c>
      <c r="W74" s="559"/>
      <c r="X74" s="67"/>
      <c r="Y74" s="560"/>
      <c r="Z74" s="561"/>
      <c r="AA74" s="558">
        <f>AA79</f>
        <v>0</v>
      </c>
      <c r="AB74" s="559"/>
      <c r="AC74" s="67"/>
      <c r="AD74" s="560"/>
      <c r="AE74" s="561"/>
      <c r="AF74" s="558">
        <f>AF79</f>
        <v>0</v>
      </c>
      <c r="AG74" s="559"/>
      <c r="AH74" s="67"/>
      <c r="AI74" s="560"/>
      <c r="AJ74" s="561"/>
      <c r="AK74" s="558">
        <f>AK79</f>
        <v>0</v>
      </c>
      <c r="AL74" s="559"/>
      <c r="AM74" s="67"/>
      <c r="AN74" s="560"/>
      <c r="AO74" s="561"/>
      <c r="AP74" s="558">
        <f>AP79</f>
        <v>0</v>
      </c>
      <c r="AQ74" s="559"/>
      <c r="AR74" s="67"/>
      <c r="AS74" s="560"/>
      <c r="AT74" s="561"/>
      <c r="AU74" s="558">
        <f>AU79</f>
        <v>0</v>
      </c>
      <c r="AV74" s="559"/>
      <c r="AW74" s="67"/>
      <c r="AX74" s="560"/>
      <c r="AY74" s="561"/>
      <c r="AZ74" s="558">
        <f>AZ79</f>
        <v>0</v>
      </c>
      <c r="BA74" s="559"/>
      <c r="BB74" s="67"/>
      <c r="BC74" s="560"/>
      <c r="BD74" s="561"/>
      <c r="BE74" s="558">
        <f>BE79</f>
        <v>0</v>
      </c>
      <c r="BF74" s="559"/>
      <c r="BG74" s="67"/>
      <c r="BH74" s="560"/>
      <c r="BI74" s="561"/>
      <c r="BJ74" s="558">
        <f>BJ79</f>
        <v>0</v>
      </c>
      <c r="BK74" s="559"/>
      <c r="BL74" s="67"/>
      <c r="BM74" s="560"/>
      <c r="BN74" s="561"/>
      <c r="BO74" s="558">
        <f>BO79</f>
        <v>0</v>
      </c>
      <c r="BP74" s="559"/>
      <c r="BQ74" s="67"/>
      <c r="BR74" s="560"/>
      <c r="BS74" s="561"/>
      <c r="BT74" s="558">
        <f>BT79</f>
        <v>0</v>
      </c>
      <c r="BU74" s="559"/>
      <c r="BV74" s="67"/>
      <c r="BW74" s="560"/>
      <c r="BX74" s="561"/>
      <c r="BY74" s="558">
        <f>BY79</f>
        <v>0</v>
      </c>
      <c r="BZ74" s="559"/>
      <c r="CA74" s="67"/>
      <c r="CB74" s="560"/>
      <c r="CC74" s="561"/>
      <c r="CD74" s="558">
        <f>CD79</f>
        <v>0</v>
      </c>
      <c r="CE74" s="559"/>
      <c r="CF74" s="67"/>
      <c r="CG74" s="560"/>
      <c r="CH74" s="561"/>
      <c r="CI74" s="558">
        <f>CI79</f>
        <v>0</v>
      </c>
      <c r="CJ74" s="559"/>
      <c r="CK74" s="67"/>
      <c r="CL74" s="560"/>
      <c r="CM74" s="561"/>
      <c r="CN74" s="558">
        <f>CN79</f>
        <v>0</v>
      </c>
      <c r="CO74" s="559"/>
      <c r="CP74" s="67"/>
      <c r="CQ74" s="560"/>
      <c r="CR74" s="561"/>
      <c r="CS74" s="558">
        <f>CS79</f>
        <v>0</v>
      </c>
      <c r="CT74" s="559"/>
      <c r="CU74" s="67"/>
      <c r="CV74" s="560"/>
      <c r="CW74" s="561"/>
      <c r="CX74" s="558">
        <f>CX79</f>
        <v>0</v>
      </c>
      <c r="CY74" s="559"/>
      <c r="CZ74" s="67"/>
      <c r="DA74" s="560"/>
      <c r="DB74" s="561"/>
      <c r="DC74" s="558">
        <f>DC79</f>
        <v>0</v>
      </c>
      <c r="DD74" s="559"/>
      <c r="DE74" s="67"/>
      <c r="DF74" s="560"/>
      <c r="DG74" s="561"/>
      <c r="DH74" s="558">
        <f>DH79</f>
        <v>0</v>
      </c>
      <c r="DI74" s="559"/>
      <c r="DJ74" s="67"/>
      <c r="DK74" s="560"/>
      <c r="DL74" s="561"/>
      <c r="DM74" s="558">
        <f>DM79</f>
        <v>0</v>
      </c>
      <c r="DN74" s="559"/>
      <c r="DO74" s="67"/>
      <c r="DP74" s="560"/>
      <c r="DQ74" s="561"/>
      <c r="DR74" s="558">
        <f>DR79</f>
        <v>0</v>
      </c>
      <c r="DS74" s="559"/>
      <c r="DT74" s="67"/>
      <c r="DU74" s="560"/>
      <c r="DV74" s="561"/>
      <c r="DW74" s="558">
        <f>DW79</f>
        <v>0</v>
      </c>
      <c r="DX74" s="559"/>
      <c r="DY74" s="67"/>
      <c r="DZ74" s="560"/>
      <c r="EA74" s="561"/>
      <c r="EB74" s="558">
        <f>EB79</f>
        <v>0</v>
      </c>
      <c r="EC74" s="559"/>
      <c r="ED74" s="67"/>
      <c r="EE74" s="560"/>
      <c r="EF74" s="561"/>
      <c r="EG74" s="558">
        <f>EG79</f>
        <v>0</v>
      </c>
      <c r="EH74" s="559"/>
      <c r="EI74" s="67"/>
      <c r="EJ74" s="560"/>
      <c r="EK74" s="561"/>
      <c r="EL74" s="558">
        <f>EL79</f>
        <v>0</v>
      </c>
      <c r="EM74" s="559"/>
      <c r="EN74" s="67"/>
      <c r="EO74" s="455"/>
    </row>
    <row r="75" spans="1:148" ht="12.75" hidden="1" customHeight="1" x14ac:dyDescent="0.2">
      <c r="A75" s="442"/>
      <c r="B75" s="442"/>
      <c r="C75" s="442"/>
      <c r="D75" s="455" t="s">
        <v>344</v>
      </c>
      <c r="E75" s="465"/>
      <c r="F75" s="465"/>
      <c r="G75" s="67">
        <v>0</v>
      </c>
      <c r="H75" s="66"/>
      <c r="I75" s="67"/>
      <c r="J75" s="560"/>
      <c r="K75" s="560"/>
      <c r="L75" s="67">
        <f>L80</f>
        <v>0</v>
      </c>
      <c r="M75" s="66"/>
      <c r="N75" s="67"/>
      <c r="O75" s="560"/>
      <c r="P75" s="560"/>
      <c r="Q75" s="67">
        <f>Q80</f>
        <v>0</v>
      </c>
      <c r="R75" s="66"/>
      <c r="S75" s="67"/>
      <c r="T75" s="560"/>
      <c r="U75" s="560"/>
      <c r="V75" s="67">
        <f>V80</f>
        <v>0</v>
      </c>
      <c r="W75" s="66"/>
      <c r="X75" s="67"/>
      <c r="Y75" s="560"/>
      <c r="Z75" s="560"/>
      <c r="AA75" s="67">
        <f>AA80</f>
        <v>0</v>
      </c>
      <c r="AB75" s="66"/>
      <c r="AC75" s="67"/>
      <c r="AD75" s="560"/>
      <c r="AE75" s="560"/>
      <c r="AF75" s="67">
        <f>AF80</f>
        <v>0</v>
      </c>
      <c r="AG75" s="66"/>
      <c r="AH75" s="67"/>
      <c r="AI75" s="560"/>
      <c r="AJ75" s="560"/>
      <c r="AK75" s="67">
        <f>AK80</f>
        <v>0</v>
      </c>
      <c r="AL75" s="66"/>
      <c r="AM75" s="67"/>
      <c r="AN75" s="560"/>
      <c r="AO75" s="560"/>
      <c r="AP75" s="67">
        <f>AP80</f>
        <v>0</v>
      </c>
      <c r="AQ75" s="66"/>
      <c r="AR75" s="67"/>
      <c r="AS75" s="560"/>
      <c r="AT75" s="560"/>
      <c r="AU75" s="67">
        <f>AU80</f>
        <v>0</v>
      </c>
      <c r="AV75" s="66"/>
      <c r="AW75" s="67"/>
      <c r="AX75" s="560"/>
      <c r="AY75" s="560"/>
      <c r="AZ75" s="67">
        <f>AZ80</f>
        <v>0</v>
      </c>
      <c r="BA75" s="66"/>
      <c r="BB75" s="67"/>
      <c r="BC75" s="560"/>
      <c r="BD75" s="560"/>
      <c r="BE75" s="67">
        <f>BE80</f>
        <v>0</v>
      </c>
      <c r="BF75" s="66"/>
      <c r="BG75" s="67"/>
      <c r="BH75" s="560"/>
      <c r="BI75" s="560"/>
      <c r="BJ75" s="67">
        <f>BJ80</f>
        <v>0</v>
      </c>
      <c r="BK75" s="66"/>
      <c r="BL75" s="67"/>
      <c r="BM75" s="560"/>
      <c r="BN75" s="560"/>
      <c r="BO75" s="67">
        <f>BO80</f>
        <v>0</v>
      </c>
      <c r="BP75" s="66"/>
      <c r="BQ75" s="67"/>
      <c r="BR75" s="560"/>
      <c r="BS75" s="560"/>
      <c r="BT75" s="67">
        <f>BT80</f>
        <v>0</v>
      </c>
      <c r="BU75" s="66"/>
      <c r="BV75" s="67"/>
      <c r="BW75" s="560"/>
      <c r="BX75" s="560"/>
      <c r="BY75" s="67">
        <f>BY80</f>
        <v>0</v>
      </c>
      <c r="BZ75" s="66"/>
      <c r="CA75" s="67"/>
      <c r="CB75" s="560"/>
      <c r="CC75" s="560"/>
      <c r="CD75" s="67">
        <f>CD80</f>
        <v>0</v>
      </c>
      <c r="CE75" s="66"/>
      <c r="CF75" s="67"/>
      <c r="CG75" s="560"/>
      <c r="CH75" s="560"/>
      <c r="CI75" s="67">
        <f>CI80</f>
        <v>0</v>
      </c>
      <c r="CJ75" s="66"/>
      <c r="CK75" s="67"/>
      <c r="CL75" s="560"/>
      <c r="CM75" s="560"/>
      <c r="CN75" s="67">
        <f>CN80</f>
        <v>0</v>
      </c>
      <c r="CO75" s="66"/>
      <c r="CP75" s="67"/>
      <c r="CQ75" s="560"/>
      <c r="CR75" s="560"/>
      <c r="CS75" s="67">
        <f>CS80</f>
        <v>0</v>
      </c>
      <c r="CT75" s="66"/>
      <c r="CU75" s="67"/>
      <c r="CV75" s="560"/>
      <c r="CW75" s="560"/>
      <c r="CX75" s="67">
        <f>CX80</f>
        <v>0</v>
      </c>
      <c r="CY75" s="66"/>
      <c r="CZ75" s="67"/>
      <c r="DA75" s="560"/>
      <c r="DB75" s="560"/>
      <c r="DC75" s="67">
        <f>DC80</f>
        <v>0</v>
      </c>
      <c r="DD75" s="66"/>
      <c r="DE75" s="67"/>
      <c r="DF75" s="560"/>
      <c r="DG75" s="560"/>
      <c r="DH75" s="67">
        <f>DH80</f>
        <v>0</v>
      </c>
      <c r="DI75" s="66"/>
      <c r="DJ75" s="67"/>
      <c r="DK75" s="560"/>
      <c r="DL75" s="560"/>
      <c r="DM75" s="67">
        <f>DM80</f>
        <v>0</v>
      </c>
      <c r="DN75" s="66"/>
      <c r="DO75" s="67"/>
      <c r="DP75" s="560"/>
      <c r="DQ75" s="560"/>
      <c r="DR75" s="67">
        <f>DR80</f>
        <v>0</v>
      </c>
      <c r="DS75" s="66"/>
      <c r="DT75" s="67"/>
      <c r="DU75" s="560"/>
      <c r="DV75" s="560"/>
      <c r="DW75" s="67">
        <f>DW80</f>
        <v>0</v>
      </c>
      <c r="DX75" s="66"/>
      <c r="DY75" s="67"/>
      <c r="DZ75" s="560"/>
      <c r="EA75" s="560"/>
      <c r="EB75" s="67">
        <f>EB80</f>
        <v>0</v>
      </c>
      <c r="EC75" s="66"/>
      <c r="ED75" s="67"/>
      <c r="EE75" s="560"/>
      <c r="EF75" s="560"/>
      <c r="EG75" s="67">
        <f>EG80</f>
        <v>0</v>
      </c>
      <c r="EH75" s="66"/>
      <c r="EI75" s="67"/>
      <c r="EJ75" s="560"/>
      <c r="EK75" s="560"/>
      <c r="EL75" s="67">
        <f>EL80</f>
        <v>0</v>
      </c>
      <c r="EM75" s="66"/>
      <c r="EN75" s="67"/>
      <c r="EO75" s="455"/>
    </row>
    <row r="76" spans="1:148" ht="12.75" hidden="1" customHeight="1" x14ac:dyDescent="0.2">
      <c r="A76" s="442"/>
      <c r="B76" s="442"/>
      <c r="C76" s="442"/>
      <c r="D76" s="455" t="s">
        <v>352</v>
      </c>
      <c r="E76" s="465"/>
      <c r="F76" s="488"/>
      <c r="G76" s="113">
        <v>0</v>
      </c>
      <c r="H76" s="112"/>
      <c r="I76" s="67"/>
      <c r="J76" s="560"/>
      <c r="K76" s="569"/>
      <c r="L76" s="113">
        <f>L81</f>
        <v>0</v>
      </c>
      <c r="M76" s="112"/>
      <c r="N76" s="67"/>
      <c r="O76" s="560"/>
      <c r="P76" s="569"/>
      <c r="Q76" s="113">
        <f>Q81</f>
        <v>0</v>
      </c>
      <c r="R76" s="112"/>
      <c r="S76" s="67"/>
      <c r="T76" s="560"/>
      <c r="U76" s="569"/>
      <c r="V76" s="113">
        <f>V81</f>
        <v>0</v>
      </c>
      <c r="W76" s="112"/>
      <c r="X76" s="67"/>
      <c r="Y76" s="560"/>
      <c r="Z76" s="569"/>
      <c r="AA76" s="113">
        <f>AA81</f>
        <v>0</v>
      </c>
      <c r="AB76" s="112"/>
      <c r="AC76" s="67"/>
      <c r="AD76" s="560"/>
      <c r="AE76" s="569"/>
      <c r="AF76" s="113">
        <f>AF81</f>
        <v>0</v>
      </c>
      <c r="AG76" s="112"/>
      <c r="AH76" s="67"/>
      <c r="AI76" s="560"/>
      <c r="AJ76" s="569"/>
      <c r="AK76" s="113">
        <f>AK81</f>
        <v>0</v>
      </c>
      <c r="AL76" s="112"/>
      <c r="AM76" s="67"/>
      <c r="AN76" s="560"/>
      <c r="AO76" s="569"/>
      <c r="AP76" s="113">
        <f>AP81</f>
        <v>0</v>
      </c>
      <c r="AQ76" s="112"/>
      <c r="AR76" s="67"/>
      <c r="AS76" s="560"/>
      <c r="AT76" s="569"/>
      <c r="AU76" s="113">
        <f>AU81</f>
        <v>0</v>
      </c>
      <c r="AV76" s="112"/>
      <c r="AW76" s="67"/>
      <c r="AX76" s="560"/>
      <c r="AY76" s="569"/>
      <c r="AZ76" s="113">
        <f>AZ81</f>
        <v>0</v>
      </c>
      <c r="BA76" s="112"/>
      <c r="BB76" s="67"/>
      <c r="BC76" s="560"/>
      <c r="BD76" s="569"/>
      <c r="BE76" s="113">
        <f>BE81</f>
        <v>0</v>
      </c>
      <c r="BF76" s="112"/>
      <c r="BG76" s="67"/>
      <c r="BH76" s="560"/>
      <c r="BI76" s="569"/>
      <c r="BJ76" s="113">
        <f>BJ81</f>
        <v>0</v>
      </c>
      <c r="BK76" s="112"/>
      <c r="BL76" s="67"/>
      <c r="BM76" s="560"/>
      <c r="BN76" s="569"/>
      <c r="BO76" s="113">
        <f>BO81</f>
        <v>0</v>
      </c>
      <c r="BP76" s="112"/>
      <c r="BQ76" s="67"/>
      <c r="BR76" s="560"/>
      <c r="BS76" s="569"/>
      <c r="BT76" s="113">
        <f>BT81</f>
        <v>0</v>
      </c>
      <c r="BU76" s="112"/>
      <c r="BV76" s="67"/>
      <c r="BW76" s="560"/>
      <c r="BX76" s="569"/>
      <c r="BY76" s="113">
        <f>BY81</f>
        <v>0</v>
      </c>
      <c r="BZ76" s="112"/>
      <c r="CA76" s="67"/>
      <c r="CB76" s="560"/>
      <c r="CC76" s="569"/>
      <c r="CD76" s="113">
        <f>CD81</f>
        <v>0</v>
      </c>
      <c r="CE76" s="112"/>
      <c r="CF76" s="67"/>
      <c r="CG76" s="560"/>
      <c r="CH76" s="569"/>
      <c r="CI76" s="113">
        <f>CI81</f>
        <v>0</v>
      </c>
      <c r="CJ76" s="112"/>
      <c r="CK76" s="67"/>
      <c r="CL76" s="560"/>
      <c r="CM76" s="569"/>
      <c r="CN76" s="113">
        <f>CN81</f>
        <v>0</v>
      </c>
      <c r="CO76" s="112"/>
      <c r="CP76" s="67"/>
      <c r="CQ76" s="560"/>
      <c r="CR76" s="569"/>
      <c r="CS76" s="113">
        <f>CS81</f>
        <v>0</v>
      </c>
      <c r="CT76" s="112"/>
      <c r="CU76" s="67"/>
      <c r="CV76" s="560"/>
      <c r="CW76" s="569"/>
      <c r="CX76" s="113">
        <f>CX81</f>
        <v>0</v>
      </c>
      <c r="CY76" s="112"/>
      <c r="CZ76" s="67"/>
      <c r="DA76" s="560"/>
      <c r="DB76" s="569"/>
      <c r="DC76" s="113">
        <f>DC81</f>
        <v>0</v>
      </c>
      <c r="DD76" s="112"/>
      <c r="DE76" s="67"/>
      <c r="DF76" s="560"/>
      <c r="DG76" s="569"/>
      <c r="DH76" s="113">
        <f>DH81</f>
        <v>0</v>
      </c>
      <c r="DI76" s="112"/>
      <c r="DJ76" s="67"/>
      <c r="DK76" s="560"/>
      <c r="DL76" s="569"/>
      <c r="DM76" s="113">
        <f>DM81</f>
        <v>0</v>
      </c>
      <c r="DN76" s="112"/>
      <c r="DO76" s="67"/>
      <c r="DP76" s="560"/>
      <c r="DQ76" s="569"/>
      <c r="DR76" s="113">
        <f>DR81</f>
        <v>0</v>
      </c>
      <c r="DS76" s="112"/>
      <c r="DT76" s="67"/>
      <c r="DU76" s="560"/>
      <c r="DV76" s="569"/>
      <c r="DW76" s="113">
        <f>DW81</f>
        <v>0</v>
      </c>
      <c r="DX76" s="112"/>
      <c r="DY76" s="67"/>
      <c r="DZ76" s="560"/>
      <c r="EA76" s="569"/>
      <c r="EB76" s="113">
        <f>EB81</f>
        <v>0</v>
      </c>
      <c r="EC76" s="112"/>
      <c r="ED76" s="67"/>
      <c r="EE76" s="560"/>
      <c r="EF76" s="569"/>
      <c r="EG76" s="113">
        <f>EG81</f>
        <v>0</v>
      </c>
      <c r="EH76" s="112"/>
      <c r="EI76" s="67"/>
      <c r="EJ76" s="560"/>
      <c r="EK76" s="569"/>
      <c r="EL76" s="113">
        <f>EL81</f>
        <v>0</v>
      </c>
      <c r="EM76" s="112"/>
      <c r="EN76" s="67"/>
      <c r="EO76" s="455"/>
    </row>
    <row r="77" spans="1:148" ht="12.75" hidden="1" customHeight="1" x14ac:dyDescent="0.2">
      <c r="A77" s="442"/>
      <c r="B77" s="442"/>
      <c r="C77" s="442"/>
      <c r="D77" s="455"/>
      <c r="E77" s="465"/>
      <c r="F77" s="442"/>
      <c r="G77" s="67"/>
      <c r="H77" s="67"/>
      <c r="I77" s="67"/>
      <c r="J77" s="560"/>
      <c r="K77" s="67"/>
      <c r="L77" s="67"/>
      <c r="M77" s="67"/>
      <c r="N77" s="67"/>
      <c r="O77" s="560"/>
      <c r="P77" s="67"/>
      <c r="Q77" s="67"/>
      <c r="R77" s="67"/>
      <c r="S77" s="67"/>
      <c r="T77" s="560"/>
      <c r="U77" s="67"/>
      <c r="V77" s="67"/>
      <c r="W77" s="67"/>
      <c r="X77" s="67"/>
      <c r="Y77" s="560"/>
      <c r="Z77" s="67"/>
      <c r="AA77" s="67"/>
      <c r="AB77" s="67"/>
      <c r="AC77" s="67"/>
      <c r="AD77" s="560"/>
      <c r="AE77" s="67"/>
      <c r="AF77" s="67"/>
      <c r="AG77" s="67"/>
      <c r="AH77" s="67"/>
      <c r="AI77" s="560"/>
      <c r="AJ77" s="67"/>
      <c r="AK77" s="67"/>
      <c r="AL77" s="67"/>
      <c r="AM77" s="67"/>
      <c r="AN77" s="560"/>
      <c r="AO77" s="67"/>
      <c r="AP77" s="67"/>
      <c r="AQ77" s="67"/>
      <c r="AR77" s="67"/>
      <c r="AS77" s="560"/>
      <c r="AT77" s="67"/>
      <c r="AU77" s="67"/>
      <c r="AV77" s="67"/>
      <c r="AW77" s="67"/>
      <c r="AX77" s="560"/>
      <c r="AY77" s="67"/>
      <c r="AZ77" s="67"/>
      <c r="BA77" s="67"/>
      <c r="BB77" s="67"/>
      <c r="BC77" s="560"/>
      <c r="BD77" s="67"/>
      <c r="BE77" s="67"/>
      <c r="BF77" s="67"/>
      <c r="BG77" s="67"/>
      <c r="BH77" s="560"/>
      <c r="BI77" s="67"/>
      <c r="BJ77" s="67"/>
      <c r="BK77" s="67"/>
      <c r="BL77" s="67"/>
      <c r="BM77" s="560"/>
      <c r="BN77" s="67"/>
      <c r="BO77" s="67"/>
      <c r="BP77" s="67"/>
      <c r="BQ77" s="67"/>
      <c r="BR77" s="560"/>
      <c r="BS77" s="67"/>
      <c r="BT77" s="67"/>
      <c r="BU77" s="67"/>
      <c r="BV77" s="67"/>
      <c r="BW77" s="560"/>
      <c r="BX77" s="67"/>
      <c r="BY77" s="67"/>
      <c r="BZ77" s="67"/>
      <c r="CA77" s="67"/>
      <c r="CB77" s="560"/>
      <c r="CC77" s="67"/>
      <c r="CD77" s="67"/>
      <c r="CE77" s="67"/>
      <c r="CF77" s="67"/>
      <c r="CG77" s="560"/>
      <c r="CH77" s="67"/>
      <c r="CI77" s="67"/>
      <c r="CJ77" s="67"/>
      <c r="CK77" s="67"/>
      <c r="CL77" s="560"/>
      <c r="CM77" s="67"/>
      <c r="CN77" s="67"/>
      <c r="CO77" s="67"/>
      <c r="CP77" s="67"/>
      <c r="CQ77" s="560"/>
      <c r="CR77" s="67"/>
      <c r="CS77" s="67"/>
      <c r="CT77" s="67"/>
      <c r="CU77" s="67"/>
      <c r="CV77" s="560"/>
      <c r="CW77" s="67"/>
      <c r="CX77" s="67"/>
      <c r="CY77" s="67"/>
      <c r="CZ77" s="67"/>
      <c r="DA77" s="560"/>
      <c r="DB77" s="67"/>
      <c r="DC77" s="67"/>
      <c r="DD77" s="67"/>
      <c r="DE77" s="67"/>
      <c r="DF77" s="560"/>
      <c r="DG77" s="67"/>
      <c r="DH77" s="67"/>
      <c r="DI77" s="67"/>
      <c r="DJ77" s="67"/>
      <c r="DK77" s="560"/>
      <c r="DL77" s="67"/>
      <c r="DM77" s="67"/>
      <c r="DN77" s="67"/>
      <c r="DO77" s="67"/>
      <c r="DP77" s="560"/>
      <c r="DQ77" s="67"/>
      <c r="DR77" s="67"/>
      <c r="DS77" s="67"/>
      <c r="DT77" s="67"/>
      <c r="DU77" s="560"/>
      <c r="DV77" s="67"/>
      <c r="DW77" s="67"/>
      <c r="DX77" s="67"/>
      <c r="DY77" s="67"/>
      <c r="DZ77" s="560"/>
      <c r="EA77" s="67"/>
      <c r="EB77" s="67"/>
      <c r="EC77" s="67"/>
      <c r="ED77" s="67"/>
      <c r="EE77" s="560"/>
      <c r="EF77" s="67"/>
      <c r="EG77" s="67"/>
      <c r="EH77" s="67"/>
      <c r="EI77" s="67"/>
      <c r="EJ77" s="560"/>
      <c r="EK77" s="67"/>
      <c r="EL77" s="67"/>
      <c r="EM77" s="67"/>
      <c r="EN77" s="67"/>
      <c r="EO77" s="455"/>
    </row>
    <row r="78" spans="1:148" ht="12.75" hidden="1" customHeight="1" x14ac:dyDescent="0.2">
      <c r="A78" s="442"/>
      <c r="B78" s="442"/>
      <c r="C78" s="442"/>
      <c r="D78" s="455" t="s">
        <v>460</v>
      </c>
      <c r="E78" s="465"/>
      <c r="F78" s="442"/>
      <c r="G78" s="67">
        <v>0</v>
      </c>
      <c r="H78" s="67"/>
      <c r="I78" s="67"/>
      <c r="J78" s="560"/>
      <c r="K78" s="67"/>
      <c r="L78" s="67">
        <f>SUM(L79:L81)</f>
        <v>0</v>
      </c>
      <c r="M78" s="67"/>
      <c r="N78" s="67"/>
      <c r="O78" s="560"/>
      <c r="P78" s="67"/>
      <c r="Q78" s="67">
        <f>SUM(Q79:Q81)</f>
        <v>0</v>
      </c>
      <c r="R78" s="67"/>
      <c r="S78" s="67"/>
      <c r="T78" s="560"/>
      <c r="U78" s="67"/>
      <c r="V78" s="67">
        <f>SUM(V79:V81)</f>
        <v>0</v>
      </c>
      <c r="W78" s="67"/>
      <c r="X78" s="67"/>
      <c r="Y78" s="560"/>
      <c r="Z78" s="67"/>
      <c r="AA78" s="67">
        <f>SUM(AA79:AA81)</f>
        <v>0</v>
      </c>
      <c r="AB78" s="67"/>
      <c r="AC78" s="67"/>
      <c r="AD78" s="560"/>
      <c r="AE78" s="67"/>
      <c r="AF78" s="67">
        <f>SUM(AF79:AF81)</f>
        <v>0</v>
      </c>
      <c r="AG78" s="67"/>
      <c r="AH78" s="67"/>
      <c r="AI78" s="560"/>
      <c r="AJ78" s="67"/>
      <c r="AK78" s="67">
        <f>SUM(AK79:AK81)</f>
        <v>0</v>
      </c>
      <c r="AL78" s="67"/>
      <c r="AM78" s="67"/>
      <c r="AN78" s="560"/>
      <c r="AO78" s="67"/>
      <c r="AP78" s="67">
        <f>SUM(AP79:AP81)</f>
        <v>0</v>
      </c>
      <c r="AQ78" s="67"/>
      <c r="AR78" s="67"/>
      <c r="AS78" s="560"/>
      <c r="AT78" s="67"/>
      <c r="AU78" s="67">
        <f>SUM(AU79:AU81)</f>
        <v>0</v>
      </c>
      <c r="AV78" s="67"/>
      <c r="AW78" s="67"/>
      <c r="AX78" s="560"/>
      <c r="AY78" s="67"/>
      <c r="AZ78" s="67">
        <f>SUM(AZ79:AZ81)</f>
        <v>0</v>
      </c>
      <c r="BA78" s="67"/>
      <c r="BB78" s="67"/>
      <c r="BC78" s="560"/>
      <c r="BD78" s="67"/>
      <c r="BE78" s="67">
        <f>SUM(BE79:BE81)</f>
        <v>0</v>
      </c>
      <c r="BF78" s="67"/>
      <c r="BG78" s="67"/>
      <c r="BH78" s="560"/>
      <c r="BI78" s="67"/>
      <c r="BJ78" s="67">
        <f>SUM(BJ79:BJ81)</f>
        <v>0</v>
      </c>
      <c r="BK78" s="67"/>
      <c r="BL78" s="67"/>
      <c r="BM78" s="560"/>
      <c r="BN78" s="67"/>
      <c r="BO78" s="67">
        <f>SUM(BO79:BO81)</f>
        <v>0</v>
      </c>
      <c r="BP78" s="67"/>
      <c r="BQ78" s="67"/>
      <c r="BR78" s="560"/>
      <c r="BS78" s="67"/>
      <c r="BT78" s="67">
        <f>SUM(BT79:BT81)</f>
        <v>0</v>
      </c>
      <c r="BU78" s="67"/>
      <c r="BV78" s="67"/>
      <c r="BW78" s="560"/>
      <c r="BX78" s="67"/>
      <c r="BY78" s="67">
        <f>SUM(BY79:BY81)</f>
        <v>0</v>
      </c>
      <c r="BZ78" s="67"/>
      <c r="CA78" s="67"/>
      <c r="CB78" s="560"/>
      <c r="CC78" s="67"/>
      <c r="CD78" s="67">
        <f>SUM(CD79:CD81)</f>
        <v>0</v>
      </c>
      <c r="CE78" s="67"/>
      <c r="CF78" s="67"/>
      <c r="CG78" s="560"/>
      <c r="CH78" s="67"/>
      <c r="CI78" s="67">
        <f>SUM(CI79:CI81)</f>
        <v>0</v>
      </c>
      <c r="CJ78" s="67"/>
      <c r="CK78" s="67"/>
      <c r="CL78" s="560"/>
      <c r="CM78" s="67"/>
      <c r="CN78" s="67">
        <f>SUM(CN79:CN81)</f>
        <v>0</v>
      </c>
      <c r="CO78" s="67"/>
      <c r="CP78" s="67"/>
      <c r="CQ78" s="560"/>
      <c r="CR78" s="67"/>
      <c r="CS78" s="67">
        <f>SUM(CS79:CS81)</f>
        <v>0</v>
      </c>
      <c r="CT78" s="67"/>
      <c r="CU78" s="67"/>
      <c r="CV78" s="560"/>
      <c r="CW78" s="67"/>
      <c r="CX78" s="67">
        <f>SUM(CX79:CX81)</f>
        <v>0</v>
      </c>
      <c r="CY78" s="67"/>
      <c r="CZ78" s="67"/>
      <c r="DA78" s="560"/>
      <c r="DB78" s="67"/>
      <c r="DC78" s="67">
        <f>SUM(DC79:DC81)</f>
        <v>0</v>
      </c>
      <c r="DD78" s="67"/>
      <c r="DE78" s="67"/>
      <c r="DF78" s="560"/>
      <c r="DG78" s="67"/>
      <c r="DH78" s="67">
        <f>SUM(DH79:DH81)</f>
        <v>0</v>
      </c>
      <c r="DI78" s="67"/>
      <c r="DJ78" s="67"/>
      <c r="DK78" s="560"/>
      <c r="DL78" s="67"/>
      <c r="DM78" s="67">
        <f>SUM(DM79:DM81)</f>
        <v>0</v>
      </c>
      <c r="DN78" s="67"/>
      <c r="DO78" s="67"/>
      <c r="DP78" s="560"/>
      <c r="DQ78" s="67"/>
      <c r="DR78" s="67">
        <f>SUM(DR79:DR81)</f>
        <v>0</v>
      </c>
      <c r="DS78" s="67"/>
      <c r="DT78" s="67"/>
      <c r="DU78" s="560"/>
      <c r="DV78" s="67"/>
      <c r="DW78" s="67">
        <f>SUM(DW79:DW81)</f>
        <v>0</v>
      </c>
      <c r="DX78" s="67"/>
      <c r="DY78" s="67"/>
      <c r="DZ78" s="560"/>
      <c r="EA78" s="67"/>
      <c r="EB78" s="67">
        <f>SUM(EB79:EB81)</f>
        <v>0</v>
      </c>
      <c r="EC78" s="67"/>
      <c r="ED78" s="67"/>
      <c r="EE78" s="560"/>
      <c r="EF78" s="67"/>
      <c r="EG78" s="67">
        <f>SUM(EG79:EG81)</f>
        <v>0</v>
      </c>
      <c r="EH78" s="67"/>
      <c r="EI78" s="67"/>
      <c r="EJ78" s="560"/>
      <c r="EK78" s="67"/>
      <c r="EL78" s="67">
        <f>SUM(EL79:EL81)</f>
        <v>0</v>
      </c>
      <c r="EM78" s="67"/>
      <c r="EN78" s="67"/>
      <c r="EO78" s="455"/>
    </row>
    <row r="79" spans="1:148" ht="12.75" hidden="1" customHeight="1" x14ac:dyDescent="0.2">
      <c r="A79" s="442"/>
      <c r="B79" s="442"/>
      <c r="C79" s="442"/>
      <c r="D79" s="455" t="s">
        <v>342</v>
      </c>
      <c r="E79" s="465"/>
      <c r="F79" s="473"/>
      <c r="G79" s="558">
        <v>0</v>
      </c>
      <c r="H79" s="559"/>
      <c r="I79" s="67"/>
      <c r="J79" s="560"/>
      <c r="K79" s="561"/>
      <c r="L79" s="558">
        <v>0</v>
      </c>
      <c r="M79" s="559"/>
      <c r="N79" s="67"/>
      <c r="O79" s="560"/>
      <c r="P79" s="561"/>
      <c r="Q79" s="558">
        <v>0</v>
      </c>
      <c r="R79" s="559"/>
      <c r="S79" s="67"/>
      <c r="T79" s="560"/>
      <c r="U79" s="561"/>
      <c r="V79" s="558">
        <v>0</v>
      </c>
      <c r="W79" s="559"/>
      <c r="X79" s="67"/>
      <c r="Y79" s="560"/>
      <c r="Z79" s="561"/>
      <c r="AA79" s="558">
        <v>0</v>
      </c>
      <c r="AB79" s="559"/>
      <c r="AC79" s="67"/>
      <c r="AD79" s="560"/>
      <c r="AE79" s="561"/>
      <c r="AF79" s="558">
        <v>0</v>
      </c>
      <c r="AG79" s="559"/>
      <c r="AH79" s="67"/>
      <c r="AI79" s="560"/>
      <c r="AJ79" s="561"/>
      <c r="AK79" s="558">
        <v>0</v>
      </c>
      <c r="AL79" s="559"/>
      <c r="AM79" s="67"/>
      <c r="AN79" s="560"/>
      <c r="AO79" s="561"/>
      <c r="AP79" s="558">
        <v>0</v>
      </c>
      <c r="AQ79" s="559"/>
      <c r="AR79" s="67"/>
      <c r="AS79" s="560"/>
      <c r="AT79" s="561"/>
      <c r="AU79" s="558">
        <v>0</v>
      </c>
      <c r="AV79" s="559"/>
      <c r="AW79" s="67"/>
      <c r="AX79" s="560"/>
      <c r="AY79" s="561"/>
      <c r="AZ79" s="558">
        <v>0</v>
      </c>
      <c r="BA79" s="559"/>
      <c r="BB79" s="67"/>
      <c r="BC79" s="560"/>
      <c r="BD79" s="561"/>
      <c r="BE79" s="558">
        <v>0</v>
      </c>
      <c r="BF79" s="559"/>
      <c r="BG79" s="67"/>
      <c r="BH79" s="560"/>
      <c r="BI79" s="561"/>
      <c r="BJ79" s="558">
        <v>0</v>
      </c>
      <c r="BK79" s="559"/>
      <c r="BL79" s="67"/>
      <c r="BM79" s="560"/>
      <c r="BN79" s="561"/>
      <c r="BO79" s="558">
        <v>0</v>
      </c>
      <c r="BP79" s="559"/>
      <c r="BQ79" s="67"/>
      <c r="BR79" s="560"/>
      <c r="BS79" s="561"/>
      <c r="BT79" s="558">
        <f>SUM(L79:BO79)</f>
        <v>0</v>
      </c>
      <c r="BU79" s="559"/>
      <c r="BV79" s="67"/>
      <c r="BW79" s="560"/>
      <c r="BX79" s="561"/>
      <c r="BY79" s="558">
        <f>SUM(Q79:BT79)</f>
        <v>0</v>
      </c>
      <c r="BZ79" s="559"/>
      <c r="CA79" s="67"/>
      <c r="CB79" s="560"/>
      <c r="CC79" s="561"/>
      <c r="CD79" s="558">
        <v>0</v>
      </c>
      <c r="CE79" s="559"/>
      <c r="CF79" s="67"/>
      <c r="CG79" s="560"/>
      <c r="CH79" s="561"/>
      <c r="CI79" s="558">
        <v>0</v>
      </c>
      <c r="CJ79" s="559"/>
      <c r="CK79" s="67"/>
      <c r="CL79" s="560"/>
      <c r="CM79" s="561"/>
      <c r="CN79" s="558">
        <v>0</v>
      </c>
      <c r="CO79" s="559"/>
      <c r="CP79" s="67"/>
      <c r="CQ79" s="560"/>
      <c r="CR79" s="561"/>
      <c r="CS79" s="558">
        <v>0</v>
      </c>
      <c r="CT79" s="559"/>
      <c r="CU79" s="67"/>
      <c r="CV79" s="560"/>
      <c r="CW79" s="561"/>
      <c r="CX79" s="558">
        <v>0</v>
      </c>
      <c r="CY79" s="559"/>
      <c r="CZ79" s="67"/>
      <c r="DA79" s="560"/>
      <c r="DB79" s="561"/>
      <c r="DC79" s="558">
        <v>0</v>
      </c>
      <c r="DD79" s="559"/>
      <c r="DE79" s="67"/>
      <c r="DF79" s="560"/>
      <c r="DG79" s="561"/>
      <c r="DH79" s="558">
        <v>0</v>
      </c>
      <c r="DI79" s="559"/>
      <c r="DJ79" s="67"/>
      <c r="DK79" s="560"/>
      <c r="DL79" s="561"/>
      <c r="DM79" s="558">
        <v>0</v>
      </c>
      <c r="DN79" s="559"/>
      <c r="DO79" s="67"/>
      <c r="DP79" s="560"/>
      <c r="DQ79" s="561"/>
      <c r="DR79" s="558">
        <v>0</v>
      </c>
      <c r="DS79" s="559"/>
      <c r="DT79" s="67"/>
      <c r="DU79" s="560"/>
      <c r="DV79" s="561"/>
      <c r="DW79" s="558">
        <v>0</v>
      </c>
      <c r="DX79" s="559"/>
      <c r="DY79" s="67"/>
      <c r="DZ79" s="560"/>
      <c r="EA79" s="561"/>
      <c r="EB79" s="558">
        <v>0</v>
      </c>
      <c r="EC79" s="559"/>
      <c r="ED79" s="67"/>
      <c r="EE79" s="560"/>
      <c r="EF79" s="561"/>
      <c r="EG79" s="558">
        <v>0</v>
      </c>
      <c r="EH79" s="559"/>
      <c r="EI79" s="67"/>
      <c r="EJ79" s="560"/>
      <c r="EK79" s="561"/>
      <c r="EL79" s="558">
        <f>SUM(CD79:EG79)</f>
        <v>0</v>
      </c>
      <c r="EM79" s="559"/>
      <c r="EN79" s="67"/>
      <c r="EO79" s="455"/>
    </row>
    <row r="80" spans="1:148" ht="12.75" hidden="1" customHeight="1" x14ac:dyDescent="0.2">
      <c r="A80" s="442"/>
      <c r="B80" s="442"/>
      <c r="C80" s="442"/>
      <c r="D80" s="455" t="s">
        <v>344</v>
      </c>
      <c r="E80" s="465"/>
      <c r="F80" s="465"/>
      <c r="G80" s="67">
        <v>0</v>
      </c>
      <c r="H80" s="66"/>
      <c r="I80" s="67"/>
      <c r="J80" s="560"/>
      <c r="K80" s="560"/>
      <c r="L80" s="67">
        <v>0</v>
      </c>
      <c r="M80" s="66"/>
      <c r="N80" s="67"/>
      <c r="O80" s="560"/>
      <c r="P80" s="560"/>
      <c r="Q80" s="67">
        <v>0</v>
      </c>
      <c r="R80" s="66"/>
      <c r="S80" s="67"/>
      <c r="T80" s="560"/>
      <c r="U80" s="560"/>
      <c r="V80" s="67">
        <v>0</v>
      </c>
      <c r="W80" s="66"/>
      <c r="X80" s="67"/>
      <c r="Y80" s="560"/>
      <c r="Z80" s="560"/>
      <c r="AA80" s="67">
        <v>0</v>
      </c>
      <c r="AB80" s="66"/>
      <c r="AC80" s="67"/>
      <c r="AD80" s="560"/>
      <c r="AE80" s="560"/>
      <c r="AF80" s="67">
        <v>0</v>
      </c>
      <c r="AG80" s="66"/>
      <c r="AH80" s="67"/>
      <c r="AI80" s="560"/>
      <c r="AJ80" s="560"/>
      <c r="AK80" s="67">
        <v>0</v>
      </c>
      <c r="AL80" s="66"/>
      <c r="AM80" s="67"/>
      <c r="AN80" s="560"/>
      <c r="AO80" s="560"/>
      <c r="AP80" s="67">
        <v>0</v>
      </c>
      <c r="AQ80" s="66"/>
      <c r="AR80" s="67"/>
      <c r="AS80" s="560"/>
      <c r="AT80" s="560"/>
      <c r="AU80" s="67">
        <v>0</v>
      </c>
      <c r="AV80" s="66"/>
      <c r="AW80" s="67"/>
      <c r="AX80" s="560"/>
      <c r="AY80" s="560"/>
      <c r="AZ80" s="67">
        <v>0</v>
      </c>
      <c r="BA80" s="66"/>
      <c r="BB80" s="67"/>
      <c r="BC80" s="560"/>
      <c r="BD80" s="560"/>
      <c r="BE80" s="67">
        <v>0</v>
      </c>
      <c r="BF80" s="66"/>
      <c r="BG80" s="67"/>
      <c r="BH80" s="560"/>
      <c r="BI80" s="560"/>
      <c r="BJ80" s="67">
        <v>0</v>
      </c>
      <c r="BK80" s="66"/>
      <c r="BL80" s="67"/>
      <c r="BM80" s="560"/>
      <c r="BN80" s="560"/>
      <c r="BO80" s="67">
        <v>0</v>
      </c>
      <c r="BP80" s="66"/>
      <c r="BQ80" s="67"/>
      <c r="BR80" s="560"/>
      <c r="BS80" s="560"/>
      <c r="BT80" s="67">
        <f>SUM(L80:BO80)</f>
        <v>0</v>
      </c>
      <c r="BU80" s="66"/>
      <c r="BV80" s="67"/>
      <c r="BW80" s="560"/>
      <c r="BX80" s="560"/>
      <c r="BY80" s="67">
        <f>SUM(Q80:BT80)</f>
        <v>0</v>
      </c>
      <c r="BZ80" s="66"/>
      <c r="CA80" s="67"/>
      <c r="CB80" s="560"/>
      <c r="CC80" s="560"/>
      <c r="CD80" s="67">
        <v>0</v>
      </c>
      <c r="CE80" s="66"/>
      <c r="CF80" s="67"/>
      <c r="CG80" s="560"/>
      <c r="CH80" s="560"/>
      <c r="CI80" s="67">
        <v>0</v>
      </c>
      <c r="CJ80" s="66"/>
      <c r="CK80" s="67"/>
      <c r="CL80" s="560"/>
      <c r="CM80" s="560"/>
      <c r="CN80" s="67">
        <v>0</v>
      </c>
      <c r="CO80" s="66"/>
      <c r="CP80" s="67"/>
      <c r="CQ80" s="560"/>
      <c r="CR80" s="560"/>
      <c r="CS80" s="67">
        <v>0</v>
      </c>
      <c r="CT80" s="66"/>
      <c r="CU80" s="67"/>
      <c r="CV80" s="560"/>
      <c r="CW80" s="560"/>
      <c r="CX80" s="67">
        <v>0</v>
      </c>
      <c r="CY80" s="66"/>
      <c r="CZ80" s="67"/>
      <c r="DA80" s="560"/>
      <c r="DB80" s="560"/>
      <c r="DC80" s="67">
        <v>0</v>
      </c>
      <c r="DD80" s="66"/>
      <c r="DE80" s="67"/>
      <c r="DF80" s="560"/>
      <c r="DG80" s="560"/>
      <c r="DH80" s="67">
        <v>0</v>
      </c>
      <c r="DI80" s="66"/>
      <c r="DJ80" s="67"/>
      <c r="DK80" s="560"/>
      <c r="DL80" s="560"/>
      <c r="DM80" s="67">
        <v>0</v>
      </c>
      <c r="DN80" s="66"/>
      <c r="DO80" s="67"/>
      <c r="DP80" s="560"/>
      <c r="DQ80" s="560"/>
      <c r="DR80" s="67">
        <v>0</v>
      </c>
      <c r="DS80" s="66"/>
      <c r="DT80" s="67"/>
      <c r="DU80" s="560"/>
      <c r="DV80" s="560"/>
      <c r="DW80" s="67">
        <v>0</v>
      </c>
      <c r="DX80" s="66"/>
      <c r="DY80" s="67"/>
      <c r="DZ80" s="560"/>
      <c r="EA80" s="560"/>
      <c r="EB80" s="67">
        <v>0</v>
      </c>
      <c r="EC80" s="66"/>
      <c r="ED80" s="67"/>
      <c r="EE80" s="560"/>
      <c r="EF80" s="560"/>
      <c r="EG80" s="67">
        <v>0</v>
      </c>
      <c r="EH80" s="66"/>
      <c r="EI80" s="67"/>
      <c r="EJ80" s="560"/>
      <c r="EK80" s="560"/>
      <c r="EL80" s="67">
        <f>SUM(CD80:EG80)</f>
        <v>0</v>
      </c>
      <c r="EM80" s="66"/>
      <c r="EN80" s="67"/>
      <c r="EO80" s="455"/>
    </row>
    <row r="81" spans="1:145" ht="12.75" hidden="1" customHeight="1" x14ac:dyDescent="0.2">
      <c r="A81" s="442"/>
      <c r="B81" s="442"/>
      <c r="C81" s="442"/>
      <c r="D81" s="455" t="s">
        <v>352</v>
      </c>
      <c r="E81" s="465"/>
      <c r="F81" s="488"/>
      <c r="G81" s="113">
        <v>0</v>
      </c>
      <c r="H81" s="112"/>
      <c r="I81" s="67"/>
      <c r="J81" s="560"/>
      <c r="K81" s="569"/>
      <c r="L81" s="113">
        <v>0</v>
      </c>
      <c r="M81" s="112"/>
      <c r="N81" s="67"/>
      <c r="O81" s="560"/>
      <c r="P81" s="569"/>
      <c r="Q81" s="113">
        <v>0</v>
      </c>
      <c r="R81" s="112"/>
      <c r="S81" s="67"/>
      <c r="T81" s="560"/>
      <c r="U81" s="569"/>
      <c r="V81" s="113">
        <v>0</v>
      </c>
      <c r="W81" s="112"/>
      <c r="X81" s="67"/>
      <c r="Y81" s="560"/>
      <c r="Z81" s="569"/>
      <c r="AA81" s="113">
        <v>0</v>
      </c>
      <c r="AB81" s="112"/>
      <c r="AC81" s="67"/>
      <c r="AD81" s="560"/>
      <c r="AE81" s="569"/>
      <c r="AF81" s="113">
        <v>0</v>
      </c>
      <c r="AG81" s="112"/>
      <c r="AH81" s="67"/>
      <c r="AI81" s="560"/>
      <c r="AJ81" s="569"/>
      <c r="AK81" s="113">
        <v>0</v>
      </c>
      <c r="AL81" s="112"/>
      <c r="AM81" s="67"/>
      <c r="AN81" s="560"/>
      <c r="AO81" s="569"/>
      <c r="AP81" s="113">
        <v>0</v>
      </c>
      <c r="AQ81" s="112"/>
      <c r="AR81" s="67"/>
      <c r="AS81" s="560"/>
      <c r="AT81" s="569"/>
      <c r="AU81" s="113">
        <v>0</v>
      </c>
      <c r="AV81" s="112"/>
      <c r="AW81" s="67"/>
      <c r="AX81" s="560"/>
      <c r="AY81" s="569"/>
      <c r="AZ81" s="113">
        <v>0</v>
      </c>
      <c r="BA81" s="112"/>
      <c r="BB81" s="67"/>
      <c r="BC81" s="560"/>
      <c r="BD81" s="569"/>
      <c r="BE81" s="113">
        <v>0</v>
      </c>
      <c r="BF81" s="112"/>
      <c r="BG81" s="67"/>
      <c r="BH81" s="560"/>
      <c r="BI81" s="569"/>
      <c r="BJ81" s="113">
        <v>0</v>
      </c>
      <c r="BK81" s="112"/>
      <c r="BL81" s="67"/>
      <c r="BM81" s="560"/>
      <c r="BN81" s="569"/>
      <c r="BO81" s="113">
        <v>0</v>
      </c>
      <c r="BP81" s="112"/>
      <c r="BQ81" s="67"/>
      <c r="BR81" s="560"/>
      <c r="BS81" s="569"/>
      <c r="BT81" s="113">
        <f>SUM(L81:BO81)</f>
        <v>0</v>
      </c>
      <c r="BU81" s="112"/>
      <c r="BV81" s="67"/>
      <c r="BW81" s="560"/>
      <c r="BX81" s="569"/>
      <c r="BY81" s="113">
        <f>SUM(Q81:BT81)</f>
        <v>0</v>
      </c>
      <c r="BZ81" s="112"/>
      <c r="CA81" s="67"/>
      <c r="CB81" s="560"/>
      <c r="CC81" s="569"/>
      <c r="CD81" s="113">
        <v>0</v>
      </c>
      <c r="CE81" s="112"/>
      <c r="CF81" s="67"/>
      <c r="CG81" s="560"/>
      <c r="CH81" s="569"/>
      <c r="CI81" s="113">
        <v>0</v>
      </c>
      <c r="CJ81" s="112"/>
      <c r="CK81" s="67"/>
      <c r="CL81" s="560"/>
      <c r="CM81" s="569"/>
      <c r="CN81" s="113">
        <v>0</v>
      </c>
      <c r="CO81" s="112"/>
      <c r="CP81" s="67"/>
      <c r="CQ81" s="560"/>
      <c r="CR81" s="569"/>
      <c r="CS81" s="113">
        <v>0</v>
      </c>
      <c r="CT81" s="112"/>
      <c r="CU81" s="67"/>
      <c r="CV81" s="560"/>
      <c r="CW81" s="569"/>
      <c r="CX81" s="113">
        <v>0</v>
      </c>
      <c r="CY81" s="112"/>
      <c r="CZ81" s="67"/>
      <c r="DA81" s="560"/>
      <c r="DB81" s="569"/>
      <c r="DC81" s="113">
        <v>0</v>
      </c>
      <c r="DD81" s="112"/>
      <c r="DE81" s="67"/>
      <c r="DF81" s="560"/>
      <c r="DG81" s="569"/>
      <c r="DH81" s="113">
        <v>0</v>
      </c>
      <c r="DI81" s="112"/>
      <c r="DJ81" s="67"/>
      <c r="DK81" s="560"/>
      <c r="DL81" s="569"/>
      <c r="DM81" s="113">
        <v>0</v>
      </c>
      <c r="DN81" s="112"/>
      <c r="DO81" s="67"/>
      <c r="DP81" s="560"/>
      <c r="DQ81" s="569"/>
      <c r="DR81" s="113">
        <v>0</v>
      </c>
      <c r="DS81" s="112"/>
      <c r="DT81" s="67"/>
      <c r="DU81" s="560"/>
      <c r="DV81" s="569"/>
      <c r="DW81" s="113">
        <v>0</v>
      </c>
      <c r="DX81" s="112"/>
      <c r="DY81" s="67"/>
      <c r="DZ81" s="560"/>
      <c r="EA81" s="569"/>
      <c r="EB81" s="113">
        <v>0</v>
      </c>
      <c r="EC81" s="112"/>
      <c r="ED81" s="67"/>
      <c r="EE81" s="560"/>
      <c r="EF81" s="569"/>
      <c r="EG81" s="113">
        <v>0</v>
      </c>
      <c r="EH81" s="112"/>
      <c r="EI81" s="67"/>
      <c r="EJ81" s="560"/>
      <c r="EK81" s="569"/>
      <c r="EL81" s="113">
        <f>SUM(CD81:EG81)</f>
        <v>0</v>
      </c>
      <c r="EM81" s="112"/>
      <c r="EN81" s="67"/>
      <c r="EO81" s="455"/>
    </row>
    <row r="82" spans="1:145" ht="12.75" hidden="1" customHeight="1" x14ac:dyDescent="0.2">
      <c r="A82" s="442"/>
      <c r="B82" s="442"/>
      <c r="C82" s="442"/>
      <c r="D82" s="455"/>
      <c r="E82" s="465"/>
      <c r="F82" s="442"/>
      <c r="G82" s="67"/>
      <c r="H82" s="67"/>
      <c r="I82" s="67"/>
      <c r="J82" s="560"/>
      <c r="K82" s="67"/>
      <c r="L82" s="67"/>
      <c r="M82" s="67"/>
      <c r="N82" s="67"/>
      <c r="O82" s="560"/>
      <c r="P82" s="67"/>
      <c r="Q82" s="67"/>
      <c r="R82" s="67"/>
      <c r="S82" s="67"/>
      <c r="T82" s="560"/>
      <c r="U82" s="67"/>
      <c r="V82" s="67"/>
      <c r="W82" s="67"/>
      <c r="X82" s="67"/>
      <c r="Y82" s="560"/>
      <c r="Z82" s="67"/>
      <c r="AA82" s="67"/>
      <c r="AB82" s="67"/>
      <c r="AC82" s="67"/>
      <c r="AD82" s="560"/>
      <c r="AE82" s="67"/>
      <c r="AF82" s="67"/>
      <c r="AG82" s="67"/>
      <c r="AH82" s="67"/>
      <c r="AI82" s="560"/>
      <c r="AJ82" s="67"/>
      <c r="AK82" s="67"/>
      <c r="AL82" s="67"/>
      <c r="AM82" s="67"/>
      <c r="AN82" s="560"/>
      <c r="AO82" s="67"/>
      <c r="AP82" s="67"/>
      <c r="AQ82" s="67"/>
      <c r="AR82" s="67"/>
      <c r="AS82" s="560"/>
      <c r="AT82" s="67"/>
      <c r="AU82" s="67"/>
      <c r="AV82" s="67"/>
      <c r="AW82" s="67"/>
      <c r="AX82" s="560"/>
      <c r="AY82" s="67"/>
      <c r="AZ82" s="67"/>
      <c r="BA82" s="67"/>
      <c r="BB82" s="67"/>
      <c r="BC82" s="560"/>
      <c r="BD82" s="67"/>
      <c r="BE82" s="67"/>
      <c r="BF82" s="67"/>
      <c r="BG82" s="67"/>
      <c r="BH82" s="560"/>
      <c r="BI82" s="67"/>
      <c r="BJ82" s="67"/>
      <c r="BK82" s="67"/>
      <c r="BL82" s="67"/>
      <c r="BM82" s="560"/>
      <c r="BN82" s="67"/>
      <c r="BO82" s="67"/>
      <c r="BP82" s="67"/>
      <c r="BQ82" s="67"/>
      <c r="BR82" s="560"/>
      <c r="BS82" s="67"/>
      <c r="BT82" s="67"/>
      <c r="BU82" s="67"/>
      <c r="BV82" s="67"/>
      <c r="BW82" s="560"/>
      <c r="BX82" s="67"/>
      <c r="BY82" s="67"/>
      <c r="BZ82" s="67"/>
      <c r="CA82" s="67"/>
      <c r="CB82" s="560"/>
      <c r="CC82" s="67"/>
      <c r="CD82" s="67"/>
      <c r="CE82" s="67"/>
      <c r="CF82" s="67"/>
      <c r="CG82" s="560"/>
      <c r="CH82" s="67"/>
      <c r="CI82" s="67"/>
      <c r="CJ82" s="67"/>
      <c r="CK82" s="67"/>
      <c r="CL82" s="560"/>
      <c r="CM82" s="67"/>
      <c r="CN82" s="67"/>
      <c r="CO82" s="67"/>
      <c r="CP82" s="67"/>
      <c r="CQ82" s="560"/>
      <c r="CR82" s="67"/>
      <c r="CS82" s="67"/>
      <c r="CT82" s="67"/>
      <c r="CU82" s="67"/>
      <c r="CV82" s="560"/>
      <c r="CW82" s="67"/>
      <c r="CX82" s="67"/>
      <c r="CY82" s="67"/>
      <c r="CZ82" s="67"/>
      <c r="DA82" s="560"/>
      <c r="DB82" s="67"/>
      <c r="DC82" s="67"/>
      <c r="DD82" s="67"/>
      <c r="DE82" s="67"/>
      <c r="DF82" s="560"/>
      <c r="DG82" s="67"/>
      <c r="DH82" s="67"/>
      <c r="DI82" s="67"/>
      <c r="DJ82" s="67"/>
      <c r="DK82" s="560"/>
      <c r="DL82" s="67"/>
      <c r="DM82" s="67"/>
      <c r="DN82" s="67"/>
      <c r="DO82" s="67"/>
      <c r="DP82" s="560"/>
      <c r="DQ82" s="67"/>
      <c r="DR82" s="67"/>
      <c r="DS82" s="67"/>
      <c r="DT82" s="67"/>
      <c r="DU82" s="560"/>
      <c r="DV82" s="67"/>
      <c r="DW82" s="67"/>
      <c r="DX82" s="67"/>
      <c r="DY82" s="67"/>
      <c r="DZ82" s="560"/>
      <c r="EA82" s="67"/>
      <c r="EB82" s="67"/>
      <c r="EC82" s="67"/>
      <c r="ED82" s="67"/>
      <c r="EE82" s="560"/>
      <c r="EF82" s="67"/>
      <c r="EG82" s="67"/>
      <c r="EH82" s="67"/>
      <c r="EI82" s="67"/>
      <c r="EJ82" s="560"/>
      <c r="EK82" s="67"/>
      <c r="EL82" s="67"/>
      <c r="EM82" s="67"/>
      <c r="EN82" s="67"/>
      <c r="EO82" s="455"/>
    </row>
    <row r="83" spans="1:145" ht="12.75" hidden="1" customHeight="1" x14ac:dyDescent="0.2">
      <c r="A83" s="442"/>
      <c r="B83" s="442"/>
      <c r="C83" s="442"/>
      <c r="D83" s="455" t="s">
        <v>447</v>
      </c>
      <c r="E83" s="465"/>
      <c r="F83" s="442"/>
      <c r="G83" s="67">
        <v>0</v>
      </c>
      <c r="H83" s="67"/>
      <c r="I83" s="67"/>
      <c r="J83" s="560"/>
      <c r="K83" s="67"/>
      <c r="L83" s="67">
        <f>SUM(L84:L86)</f>
        <v>0</v>
      </c>
      <c r="M83" s="67"/>
      <c r="N83" s="67"/>
      <c r="O83" s="560"/>
      <c r="P83" s="67"/>
      <c r="Q83" s="67">
        <f>SUM(Q84:Q86)</f>
        <v>0</v>
      </c>
      <c r="R83" s="67"/>
      <c r="S83" s="67"/>
      <c r="T83" s="560"/>
      <c r="U83" s="67"/>
      <c r="V83" s="67">
        <f>SUM(V84:V86)</f>
        <v>0</v>
      </c>
      <c r="W83" s="67"/>
      <c r="X83" s="67"/>
      <c r="Y83" s="560"/>
      <c r="Z83" s="67"/>
      <c r="AA83" s="67">
        <f>SUM(AA84:AA86)</f>
        <v>0</v>
      </c>
      <c r="AB83" s="67"/>
      <c r="AC83" s="67"/>
      <c r="AD83" s="560"/>
      <c r="AE83" s="67"/>
      <c r="AF83" s="67">
        <f>SUM(AF84:AF86)</f>
        <v>0</v>
      </c>
      <c r="AG83" s="67"/>
      <c r="AH83" s="67"/>
      <c r="AI83" s="560"/>
      <c r="AJ83" s="67"/>
      <c r="AK83" s="67">
        <f>SUM(AK84:AK86)</f>
        <v>0</v>
      </c>
      <c r="AL83" s="67"/>
      <c r="AM83" s="67"/>
      <c r="AN83" s="560"/>
      <c r="AO83" s="67"/>
      <c r="AP83" s="67">
        <f>SUM(AP84:AP86)</f>
        <v>0</v>
      </c>
      <c r="AQ83" s="67"/>
      <c r="AR83" s="67"/>
      <c r="AS83" s="560"/>
      <c r="AT83" s="67"/>
      <c r="AU83" s="67">
        <f>SUM(AU84:AU86)</f>
        <v>0</v>
      </c>
      <c r="AV83" s="67"/>
      <c r="AW83" s="67"/>
      <c r="AX83" s="560"/>
      <c r="AY83" s="67"/>
      <c r="AZ83" s="67">
        <f>SUM(AZ84:AZ86)</f>
        <v>0</v>
      </c>
      <c r="BA83" s="67"/>
      <c r="BB83" s="67"/>
      <c r="BC83" s="560"/>
      <c r="BD83" s="67"/>
      <c r="BE83" s="67">
        <f>SUM(BE84:BE86)</f>
        <v>0</v>
      </c>
      <c r="BF83" s="67"/>
      <c r="BG83" s="67"/>
      <c r="BH83" s="560"/>
      <c r="BI83" s="67"/>
      <c r="BJ83" s="67">
        <f>SUM(BJ84:BJ86)</f>
        <v>0</v>
      </c>
      <c r="BK83" s="67"/>
      <c r="BL83" s="67"/>
      <c r="BM83" s="560"/>
      <c r="BN83" s="67"/>
      <c r="BO83" s="67">
        <f>SUM(BO84:BO86)</f>
        <v>0</v>
      </c>
      <c r="BP83" s="67"/>
      <c r="BQ83" s="67"/>
      <c r="BR83" s="560"/>
      <c r="BS83" s="67"/>
      <c r="BT83" s="67">
        <f>SUM(BT84:BT86)</f>
        <v>0</v>
      </c>
      <c r="BU83" s="67"/>
      <c r="BV83" s="67"/>
      <c r="BW83" s="560"/>
      <c r="BX83" s="67"/>
      <c r="BY83" s="67">
        <f>SUM(BY84:BY86)</f>
        <v>0</v>
      </c>
      <c r="BZ83" s="67"/>
      <c r="CA83" s="67"/>
      <c r="CB83" s="560"/>
      <c r="CC83" s="67"/>
      <c r="CD83" s="67">
        <f>SUM(CD84:CD86)</f>
        <v>0</v>
      </c>
      <c r="CE83" s="67"/>
      <c r="CF83" s="67"/>
      <c r="CG83" s="560"/>
      <c r="CH83" s="67"/>
      <c r="CI83" s="67">
        <f>SUM(CI84:CI86)</f>
        <v>0</v>
      </c>
      <c r="CJ83" s="67"/>
      <c r="CK83" s="67"/>
      <c r="CL83" s="560"/>
      <c r="CM83" s="67"/>
      <c r="CN83" s="67">
        <f>SUM(CN84:CN86)</f>
        <v>0</v>
      </c>
      <c r="CO83" s="67"/>
      <c r="CP83" s="67"/>
      <c r="CQ83" s="560"/>
      <c r="CR83" s="67"/>
      <c r="CS83" s="67">
        <f>SUM(CS84:CS86)</f>
        <v>0</v>
      </c>
      <c r="CT83" s="67"/>
      <c r="CU83" s="67"/>
      <c r="CV83" s="560"/>
      <c r="CW83" s="67"/>
      <c r="CX83" s="67">
        <f>SUM(CX84:CX86)</f>
        <v>0</v>
      </c>
      <c r="CY83" s="67"/>
      <c r="CZ83" s="67"/>
      <c r="DA83" s="560"/>
      <c r="DB83" s="67"/>
      <c r="DC83" s="67">
        <f>SUM(DC84:DC86)</f>
        <v>0</v>
      </c>
      <c r="DD83" s="67"/>
      <c r="DE83" s="67"/>
      <c r="DF83" s="560"/>
      <c r="DG83" s="67"/>
      <c r="DH83" s="67">
        <f>SUM(DH84:DH86)</f>
        <v>0</v>
      </c>
      <c r="DI83" s="67"/>
      <c r="DJ83" s="67"/>
      <c r="DK83" s="560"/>
      <c r="DL83" s="67"/>
      <c r="DM83" s="67">
        <f>SUM(DM84:DM86)</f>
        <v>0</v>
      </c>
      <c r="DN83" s="67"/>
      <c r="DO83" s="67"/>
      <c r="DP83" s="560"/>
      <c r="DQ83" s="67"/>
      <c r="DR83" s="67">
        <f>SUM(DR84:DR86)</f>
        <v>0</v>
      </c>
      <c r="DS83" s="67"/>
      <c r="DT83" s="67"/>
      <c r="DU83" s="560"/>
      <c r="DV83" s="67"/>
      <c r="DW83" s="67">
        <f>SUM(DW84:DW86)</f>
        <v>0</v>
      </c>
      <c r="DX83" s="67"/>
      <c r="DY83" s="67"/>
      <c r="DZ83" s="560"/>
      <c r="EA83" s="67"/>
      <c r="EB83" s="67">
        <f>SUM(EB84:EB86)</f>
        <v>0</v>
      </c>
      <c r="EC83" s="67"/>
      <c r="ED83" s="67"/>
      <c r="EE83" s="560"/>
      <c r="EF83" s="67"/>
      <c r="EG83" s="67">
        <f>SUM(EG84:EG86)</f>
        <v>0</v>
      </c>
      <c r="EH83" s="67"/>
      <c r="EI83" s="67"/>
      <c r="EJ83" s="560"/>
      <c r="EK83" s="67"/>
      <c r="EL83" s="67">
        <f>SUM(EL84:EL86)</f>
        <v>0</v>
      </c>
      <c r="EM83" s="67"/>
      <c r="EN83" s="67"/>
      <c r="EO83" s="455"/>
    </row>
    <row r="84" spans="1:145" ht="12.75" hidden="1" customHeight="1" x14ac:dyDescent="0.2">
      <c r="A84" s="442"/>
      <c r="B84" s="442"/>
      <c r="C84" s="442"/>
      <c r="D84" s="455" t="s">
        <v>342</v>
      </c>
      <c r="E84" s="465"/>
      <c r="F84" s="473"/>
      <c r="G84" s="558">
        <v>0</v>
      </c>
      <c r="H84" s="559"/>
      <c r="I84" s="67"/>
      <c r="J84" s="560"/>
      <c r="K84" s="561"/>
      <c r="L84" s="558">
        <v>0</v>
      </c>
      <c r="M84" s="559"/>
      <c r="N84" s="67"/>
      <c r="O84" s="560"/>
      <c r="P84" s="561"/>
      <c r="Q84" s="558">
        <v>0</v>
      </c>
      <c r="R84" s="559"/>
      <c r="S84" s="67"/>
      <c r="T84" s="560"/>
      <c r="U84" s="561"/>
      <c r="V84" s="558">
        <v>0</v>
      </c>
      <c r="W84" s="559"/>
      <c r="X84" s="67"/>
      <c r="Y84" s="560"/>
      <c r="Z84" s="561"/>
      <c r="AA84" s="558">
        <v>0</v>
      </c>
      <c r="AB84" s="559"/>
      <c r="AC84" s="67"/>
      <c r="AD84" s="560"/>
      <c r="AE84" s="561"/>
      <c r="AF84" s="558">
        <v>0</v>
      </c>
      <c r="AG84" s="559"/>
      <c r="AH84" s="67"/>
      <c r="AI84" s="560"/>
      <c r="AJ84" s="561"/>
      <c r="AK84" s="558">
        <v>0</v>
      </c>
      <c r="AL84" s="559"/>
      <c r="AM84" s="67"/>
      <c r="AN84" s="560"/>
      <c r="AO84" s="561"/>
      <c r="AP84" s="558">
        <v>0</v>
      </c>
      <c r="AQ84" s="559"/>
      <c r="AR84" s="67"/>
      <c r="AS84" s="560"/>
      <c r="AT84" s="561"/>
      <c r="AU84" s="558">
        <v>0</v>
      </c>
      <c r="AV84" s="559"/>
      <c r="AW84" s="67"/>
      <c r="AX84" s="560"/>
      <c r="AY84" s="561"/>
      <c r="AZ84" s="558">
        <v>0</v>
      </c>
      <c r="BA84" s="559"/>
      <c r="BB84" s="67"/>
      <c r="BC84" s="560"/>
      <c r="BD84" s="561"/>
      <c r="BE84" s="558">
        <v>0</v>
      </c>
      <c r="BF84" s="559"/>
      <c r="BG84" s="67"/>
      <c r="BH84" s="560"/>
      <c r="BI84" s="561"/>
      <c r="BJ84" s="558">
        <v>0</v>
      </c>
      <c r="BK84" s="559"/>
      <c r="BL84" s="67"/>
      <c r="BM84" s="560"/>
      <c r="BN84" s="561"/>
      <c r="BO84" s="558">
        <v>0</v>
      </c>
      <c r="BP84" s="559"/>
      <c r="BQ84" s="67"/>
      <c r="BR84" s="560"/>
      <c r="BS84" s="561"/>
      <c r="BT84" s="558">
        <f>SUM(L84:BO84)</f>
        <v>0</v>
      </c>
      <c r="BU84" s="559"/>
      <c r="BV84" s="67"/>
      <c r="BW84" s="560"/>
      <c r="BX84" s="561"/>
      <c r="BY84" s="558">
        <f>SUM(Q84:BT84)</f>
        <v>0</v>
      </c>
      <c r="BZ84" s="559"/>
      <c r="CA84" s="67"/>
      <c r="CB84" s="560"/>
      <c r="CC84" s="561"/>
      <c r="CD84" s="558">
        <v>0</v>
      </c>
      <c r="CE84" s="559"/>
      <c r="CF84" s="67"/>
      <c r="CG84" s="560"/>
      <c r="CH84" s="561"/>
      <c r="CI84" s="558">
        <v>0</v>
      </c>
      <c r="CJ84" s="559"/>
      <c r="CK84" s="67"/>
      <c r="CL84" s="560"/>
      <c r="CM84" s="561"/>
      <c r="CN84" s="558">
        <v>0</v>
      </c>
      <c r="CO84" s="559"/>
      <c r="CP84" s="67"/>
      <c r="CQ84" s="560"/>
      <c r="CR84" s="561"/>
      <c r="CS84" s="558">
        <v>0</v>
      </c>
      <c r="CT84" s="559"/>
      <c r="CU84" s="67"/>
      <c r="CV84" s="560"/>
      <c r="CW84" s="561"/>
      <c r="CX84" s="558">
        <v>0</v>
      </c>
      <c r="CY84" s="559"/>
      <c r="CZ84" s="67"/>
      <c r="DA84" s="560"/>
      <c r="DB84" s="561"/>
      <c r="DC84" s="558">
        <v>0</v>
      </c>
      <c r="DD84" s="559"/>
      <c r="DE84" s="67"/>
      <c r="DF84" s="560"/>
      <c r="DG84" s="561"/>
      <c r="DH84" s="558">
        <v>0</v>
      </c>
      <c r="DI84" s="559"/>
      <c r="DJ84" s="67"/>
      <c r="DK84" s="560"/>
      <c r="DL84" s="561"/>
      <c r="DM84" s="558">
        <v>0</v>
      </c>
      <c r="DN84" s="559"/>
      <c r="DO84" s="67"/>
      <c r="DP84" s="560"/>
      <c r="DQ84" s="561"/>
      <c r="DR84" s="558">
        <v>0</v>
      </c>
      <c r="DS84" s="559"/>
      <c r="DT84" s="67"/>
      <c r="DU84" s="560"/>
      <c r="DV84" s="561"/>
      <c r="DW84" s="558">
        <v>0</v>
      </c>
      <c r="DX84" s="559"/>
      <c r="DY84" s="67"/>
      <c r="DZ84" s="560"/>
      <c r="EA84" s="561"/>
      <c r="EB84" s="558">
        <v>0</v>
      </c>
      <c r="EC84" s="559"/>
      <c r="ED84" s="67"/>
      <c r="EE84" s="560"/>
      <c r="EF84" s="561"/>
      <c r="EG84" s="558">
        <v>0</v>
      </c>
      <c r="EH84" s="559"/>
      <c r="EI84" s="67"/>
      <c r="EJ84" s="560"/>
      <c r="EK84" s="561"/>
      <c r="EL84" s="558">
        <f>SUM(CD84:EG84)</f>
        <v>0</v>
      </c>
      <c r="EM84" s="559"/>
      <c r="EN84" s="67"/>
      <c r="EO84" s="455"/>
    </row>
    <row r="85" spans="1:145" ht="12.75" hidden="1" customHeight="1" x14ac:dyDescent="0.2">
      <c r="A85" s="442"/>
      <c r="B85" s="442"/>
      <c r="C85" s="442"/>
      <c r="D85" s="455" t="s">
        <v>344</v>
      </c>
      <c r="E85" s="465"/>
      <c r="F85" s="465"/>
      <c r="G85" s="67">
        <v>0</v>
      </c>
      <c r="H85" s="66"/>
      <c r="I85" s="67"/>
      <c r="J85" s="560"/>
      <c r="K85" s="560"/>
      <c r="L85" s="67">
        <v>0</v>
      </c>
      <c r="M85" s="66"/>
      <c r="N85" s="67"/>
      <c r="O85" s="560"/>
      <c r="P85" s="560"/>
      <c r="Q85" s="67">
        <v>0</v>
      </c>
      <c r="R85" s="66"/>
      <c r="S85" s="67"/>
      <c r="T85" s="560"/>
      <c r="U85" s="560"/>
      <c r="V85" s="67">
        <v>0</v>
      </c>
      <c r="W85" s="66"/>
      <c r="X85" s="67"/>
      <c r="Y85" s="560"/>
      <c r="Z85" s="560"/>
      <c r="AA85" s="67">
        <v>0</v>
      </c>
      <c r="AB85" s="66"/>
      <c r="AC85" s="67"/>
      <c r="AD85" s="560"/>
      <c r="AE85" s="560"/>
      <c r="AF85" s="67">
        <v>0</v>
      </c>
      <c r="AG85" s="66"/>
      <c r="AH85" s="67"/>
      <c r="AI85" s="560"/>
      <c r="AJ85" s="560"/>
      <c r="AK85" s="67">
        <v>0</v>
      </c>
      <c r="AL85" s="66"/>
      <c r="AM85" s="67"/>
      <c r="AN85" s="560"/>
      <c r="AO85" s="560"/>
      <c r="AP85" s="67">
        <v>0</v>
      </c>
      <c r="AQ85" s="66"/>
      <c r="AR85" s="67"/>
      <c r="AS85" s="560"/>
      <c r="AT85" s="560"/>
      <c r="AU85" s="67">
        <v>0</v>
      </c>
      <c r="AV85" s="66"/>
      <c r="AW85" s="67"/>
      <c r="AX85" s="560"/>
      <c r="AY85" s="560"/>
      <c r="AZ85" s="67">
        <v>0</v>
      </c>
      <c r="BA85" s="66"/>
      <c r="BB85" s="67"/>
      <c r="BC85" s="560"/>
      <c r="BD85" s="560"/>
      <c r="BE85" s="67">
        <v>0</v>
      </c>
      <c r="BF85" s="66"/>
      <c r="BG85" s="67"/>
      <c r="BH85" s="560"/>
      <c r="BI85" s="560"/>
      <c r="BJ85" s="67">
        <v>0</v>
      </c>
      <c r="BK85" s="66"/>
      <c r="BL85" s="67"/>
      <c r="BM85" s="560"/>
      <c r="BN85" s="560"/>
      <c r="BO85" s="67">
        <v>0</v>
      </c>
      <c r="BP85" s="66"/>
      <c r="BQ85" s="67"/>
      <c r="BR85" s="560"/>
      <c r="BS85" s="560"/>
      <c r="BT85" s="67">
        <f>SUM(L85:BO85)</f>
        <v>0</v>
      </c>
      <c r="BU85" s="66"/>
      <c r="BV85" s="67"/>
      <c r="BW85" s="560"/>
      <c r="BX85" s="560"/>
      <c r="BY85" s="67">
        <f>SUM(Q85:BT85)</f>
        <v>0</v>
      </c>
      <c r="BZ85" s="66"/>
      <c r="CA85" s="67"/>
      <c r="CB85" s="560"/>
      <c r="CC85" s="560"/>
      <c r="CD85" s="67">
        <v>0</v>
      </c>
      <c r="CE85" s="66"/>
      <c r="CF85" s="67"/>
      <c r="CG85" s="560"/>
      <c r="CH85" s="560"/>
      <c r="CI85" s="67">
        <v>0</v>
      </c>
      <c r="CJ85" s="66"/>
      <c r="CK85" s="67"/>
      <c r="CL85" s="560"/>
      <c r="CM85" s="560"/>
      <c r="CN85" s="67">
        <v>0</v>
      </c>
      <c r="CO85" s="66"/>
      <c r="CP85" s="67"/>
      <c r="CQ85" s="560"/>
      <c r="CR85" s="560"/>
      <c r="CS85" s="67">
        <v>0</v>
      </c>
      <c r="CT85" s="66"/>
      <c r="CU85" s="67"/>
      <c r="CV85" s="560"/>
      <c r="CW85" s="560"/>
      <c r="CX85" s="67">
        <v>0</v>
      </c>
      <c r="CY85" s="66"/>
      <c r="CZ85" s="67"/>
      <c r="DA85" s="560"/>
      <c r="DB85" s="560"/>
      <c r="DC85" s="67">
        <v>0</v>
      </c>
      <c r="DD85" s="66"/>
      <c r="DE85" s="67"/>
      <c r="DF85" s="560"/>
      <c r="DG85" s="560"/>
      <c r="DH85" s="67">
        <v>0</v>
      </c>
      <c r="DI85" s="66"/>
      <c r="DJ85" s="67"/>
      <c r="DK85" s="560"/>
      <c r="DL85" s="560"/>
      <c r="DM85" s="67">
        <v>0</v>
      </c>
      <c r="DN85" s="66"/>
      <c r="DO85" s="67"/>
      <c r="DP85" s="560"/>
      <c r="DQ85" s="560"/>
      <c r="DR85" s="67">
        <v>0</v>
      </c>
      <c r="DS85" s="66"/>
      <c r="DT85" s="67"/>
      <c r="DU85" s="560"/>
      <c r="DV85" s="560"/>
      <c r="DW85" s="67">
        <v>0</v>
      </c>
      <c r="DX85" s="66"/>
      <c r="DY85" s="67"/>
      <c r="DZ85" s="560"/>
      <c r="EA85" s="560"/>
      <c r="EB85" s="67">
        <v>0</v>
      </c>
      <c r="EC85" s="66"/>
      <c r="ED85" s="67"/>
      <c r="EE85" s="560"/>
      <c r="EF85" s="560"/>
      <c r="EG85" s="67">
        <v>0</v>
      </c>
      <c r="EH85" s="66"/>
      <c r="EI85" s="67"/>
      <c r="EJ85" s="560"/>
      <c r="EK85" s="560"/>
      <c r="EL85" s="67">
        <f>SUM(CD85:EG85)</f>
        <v>0</v>
      </c>
      <c r="EM85" s="66"/>
      <c r="EN85" s="67"/>
      <c r="EO85" s="455"/>
    </row>
    <row r="86" spans="1:145" ht="12.75" hidden="1" customHeight="1" x14ac:dyDescent="0.2">
      <c r="A86" s="442"/>
      <c r="B86" s="442"/>
      <c r="C86" s="442"/>
      <c r="D86" s="455" t="s">
        <v>352</v>
      </c>
      <c r="E86" s="465"/>
      <c r="F86" s="488"/>
      <c r="G86" s="113">
        <v>0</v>
      </c>
      <c r="H86" s="112"/>
      <c r="I86" s="67"/>
      <c r="J86" s="560"/>
      <c r="K86" s="569"/>
      <c r="L86" s="113">
        <v>0</v>
      </c>
      <c r="M86" s="112"/>
      <c r="N86" s="67"/>
      <c r="O86" s="560"/>
      <c r="P86" s="569"/>
      <c r="Q86" s="113">
        <v>0</v>
      </c>
      <c r="R86" s="112"/>
      <c r="S86" s="67"/>
      <c r="T86" s="560"/>
      <c r="U86" s="569"/>
      <c r="V86" s="113">
        <v>0</v>
      </c>
      <c r="W86" s="112"/>
      <c r="X86" s="67"/>
      <c r="Y86" s="560"/>
      <c r="Z86" s="569"/>
      <c r="AA86" s="113">
        <v>0</v>
      </c>
      <c r="AB86" s="112"/>
      <c r="AC86" s="67"/>
      <c r="AD86" s="560"/>
      <c r="AE86" s="569"/>
      <c r="AF86" s="113">
        <v>0</v>
      </c>
      <c r="AG86" s="112"/>
      <c r="AH86" s="67"/>
      <c r="AI86" s="560"/>
      <c r="AJ86" s="569"/>
      <c r="AK86" s="113">
        <v>0</v>
      </c>
      <c r="AL86" s="112"/>
      <c r="AM86" s="67"/>
      <c r="AN86" s="560"/>
      <c r="AO86" s="569"/>
      <c r="AP86" s="113">
        <v>0</v>
      </c>
      <c r="AQ86" s="112"/>
      <c r="AR86" s="67"/>
      <c r="AS86" s="560"/>
      <c r="AT86" s="569"/>
      <c r="AU86" s="113">
        <v>0</v>
      </c>
      <c r="AV86" s="112"/>
      <c r="AW86" s="67"/>
      <c r="AX86" s="560"/>
      <c r="AY86" s="569"/>
      <c r="AZ86" s="113">
        <v>0</v>
      </c>
      <c r="BA86" s="112"/>
      <c r="BB86" s="67"/>
      <c r="BC86" s="560"/>
      <c r="BD86" s="569"/>
      <c r="BE86" s="113">
        <v>0</v>
      </c>
      <c r="BF86" s="112"/>
      <c r="BG86" s="67"/>
      <c r="BH86" s="560"/>
      <c r="BI86" s="569"/>
      <c r="BJ86" s="113">
        <v>0</v>
      </c>
      <c r="BK86" s="112"/>
      <c r="BL86" s="67"/>
      <c r="BM86" s="560"/>
      <c r="BN86" s="569"/>
      <c r="BO86" s="113">
        <v>0</v>
      </c>
      <c r="BP86" s="112"/>
      <c r="BQ86" s="67"/>
      <c r="BR86" s="560"/>
      <c r="BS86" s="569"/>
      <c r="BT86" s="113">
        <f>SUM(L86:BO86)</f>
        <v>0</v>
      </c>
      <c r="BU86" s="112"/>
      <c r="BV86" s="67"/>
      <c r="BW86" s="560"/>
      <c r="BX86" s="569"/>
      <c r="BY86" s="113">
        <f>SUM(Q86:BT86)</f>
        <v>0</v>
      </c>
      <c r="BZ86" s="112"/>
      <c r="CA86" s="67"/>
      <c r="CB86" s="560"/>
      <c r="CC86" s="569"/>
      <c r="CD86" s="113">
        <v>0</v>
      </c>
      <c r="CE86" s="112"/>
      <c r="CF86" s="67"/>
      <c r="CG86" s="560"/>
      <c r="CH86" s="569"/>
      <c r="CI86" s="113">
        <v>0</v>
      </c>
      <c r="CJ86" s="112"/>
      <c r="CK86" s="67"/>
      <c r="CL86" s="560"/>
      <c r="CM86" s="569"/>
      <c r="CN86" s="113">
        <v>0</v>
      </c>
      <c r="CO86" s="112"/>
      <c r="CP86" s="67"/>
      <c r="CQ86" s="560"/>
      <c r="CR86" s="569"/>
      <c r="CS86" s="113">
        <v>0</v>
      </c>
      <c r="CT86" s="112"/>
      <c r="CU86" s="67"/>
      <c r="CV86" s="560"/>
      <c r="CW86" s="569"/>
      <c r="CX86" s="113">
        <v>0</v>
      </c>
      <c r="CY86" s="112"/>
      <c r="CZ86" s="67"/>
      <c r="DA86" s="560"/>
      <c r="DB86" s="569"/>
      <c r="DC86" s="113">
        <v>0</v>
      </c>
      <c r="DD86" s="112"/>
      <c r="DE86" s="67"/>
      <c r="DF86" s="560"/>
      <c r="DG86" s="569"/>
      <c r="DH86" s="113">
        <v>0</v>
      </c>
      <c r="DI86" s="112"/>
      <c r="DJ86" s="67"/>
      <c r="DK86" s="560"/>
      <c r="DL86" s="569"/>
      <c r="DM86" s="113">
        <v>0</v>
      </c>
      <c r="DN86" s="112"/>
      <c r="DO86" s="67"/>
      <c r="DP86" s="560"/>
      <c r="DQ86" s="569"/>
      <c r="DR86" s="113">
        <v>0</v>
      </c>
      <c r="DS86" s="112"/>
      <c r="DT86" s="67"/>
      <c r="DU86" s="560"/>
      <c r="DV86" s="569"/>
      <c r="DW86" s="113">
        <v>0</v>
      </c>
      <c r="DX86" s="112"/>
      <c r="DY86" s="67"/>
      <c r="DZ86" s="560"/>
      <c r="EA86" s="569"/>
      <c r="EB86" s="113">
        <v>0</v>
      </c>
      <c r="EC86" s="112"/>
      <c r="ED86" s="67"/>
      <c r="EE86" s="560"/>
      <c r="EF86" s="569"/>
      <c r="EG86" s="113">
        <v>0</v>
      </c>
      <c r="EH86" s="112"/>
      <c r="EI86" s="67"/>
      <c r="EJ86" s="560"/>
      <c r="EK86" s="569"/>
      <c r="EL86" s="113">
        <f>SUM(CD86:EG86)</f>
        <v>0</v>
      </c>
      <c r="EM86" s="112"/>
      <c r="EN86" s="67"/>
      <c r="EO86" s="455"/>
    </row>
    <row r="87" spans="1:145" ht="12.75" hidden="1" customHeight="1" x14ac:dyDescent="0.2">
      <c r="A87" s="442"/>
      <c r="B87" s="442"/>
      <c r="C87" s="442"/>
      <c r="D87" s="455"/>
      <c r="E87" s="465"/>
      <c r="F87" s="442"/>
      <c r="G87" s="67"/>
      <c r="H87" s="67"/>
      <c r="I87" s="67"/>
      <c r="J87" s="560"/>
      <c r="K87" s="67"/>
      <c r="L87" s="67"/>
      <c r="M87" s="67"/>
      <c r="N87" s="67"/>
      <c r="O87" s="560"/>
      <c r="P87" s="67"/>
      <c r="Q87" s="67"/>
      <c r="R87" s="67"/>
      <c r="S87" s="67"/>
      <c r="T87" s="560"/>
      <c r="U87" s="67"/>
      <c r="V87" s="67"/>
      <c r="W87" s="67"/>
      <c r="X87" s="67"/>
      <c r="Y87" s="560"/>
      <c r="Z87" s="67"/>
      <c r="AA87" s="67"/>
      <c r="AB87" s="67"/>
      <c r="AC87" s="67"/>
      <c r="AD87" s="560"/>
      <c r="AE87" s="67"/>
      <c r="AF87" s="67"/>
      <c r="AG87" s="67"/>
      <c r="AH87" s="67"/>
      <c r="AI87" s="560"/>
      <c r="AJ87" s="67"/>
      <c r="AK87" s="67"/>
      <c r="AL87" s="67"/>
      <c r="AM87" s="67"/>
      <c r="AN87" s="560"/>
      <c r="AO87" s="67"/>
      <c r="AP87" s="67"/>
      <c r="AQ87" s="67"/>
      <c r="AR87" s="67"/>
      <c r="AS87" s="560"/>
      <c r="AT87" s="67"/>
      <c r="AU87" s="67"/>
      <c r="AV87" s="67"/>
      <c r="AW87" s="67"/>
      <c r="AX87" s="560"/>
      <c r="AY87" s="67"/>
      <c r="AZ87" s="67"/>
      <c r="BA87" s="67"/>
      <c r="BB87" s="67"/>
      <c r="BC87" s="560"/>
      <c r="BD87" s="67"/>
      <c r="BE87" s="67"/>
      <c r="BF87" s="67"/>
      <c r="BG87" s="67"/>
      <c r="BH87" s="560"/>
      <c r="BI87" s="67"/>
      <c r="BJ87" s="67"/>
      <c r="BK87" s="67"/>
      <c r="BL87" s="67"/>
      <c r="BM87" s="560"/>
      <c r="BN87" s="67"/>
      <c r="BO87" s="67"/>
      <c r="BP87" s="67"/>
      <c r="BQ87" s="67"/>
      <c r="BR87" s="560"/>
      <c r="BS87" s="67"/>
      <c r="BT87" s="67"/>
      <c r="BU87" s="67"/>
      <c r="BV87" s="67"/>
      <c r="BW87" s="560"/>
      <c r="BX87" s="67"/>
      <c r="BY87" s="67"/>
      <c r="BZ87" s="67"/>
      <c r="CA87" s="67"/>
      <c r="CB87" s="560"/>
      <c r="CC87" s="67"/>
      <c r="CD87" s="67"/>
      <c r="CE87" s="67"/>
      <c r="CF87" s="67"/>
      <c r="CG87" s="560"/>
      <c r="CH87" s="67"/>
      <c r="CI87" s="67"/>
      <c r="CJ87" s="67"/>
      <c r="CK87" s="67"/>
      <c r="CL87" s="560"/>
      <c r="CM87" s="67"/>
      <c r="CN87" s="67"/>
      <c r="CO87" s="67"/>
      <c r="CP87" s="67"/>
      <c r="CQ87" s="560"/>
      <c r="CR87" s="67"/>
      <c r="CS87" s="67"/>
      <c r="CT87" s="67"/>
      <c r="CU87" s="67"/>
      <c r="CV87" s="560"/>
      <c r="CW87" s="67"/>
      <c r="CX87" s="67"/>
      <c r="CY87" s="67"/>
      <c r="CZ87" s="67"/>
      <c r="DA87" s="560"/>
      <c r="DB87" s="67"/>
      <c r="DC87" s="67"/>
      <c r="DD87" s="67"/>
      <c r="DE87" s="67"/>
      <c r="DF87" s="560"/>
      <c r="DG87" s="67"/>
      <c r="DH87" s="67"/>
      <c r="DI87" s="67"/>
      <c r="DJ87" s="67"/>
      <c r="DK87" s="560"/>
      <c r="DL87" s="67"/>
      <c r="DM87" s="67"/>
      <c r="DN87" s="67"/>
      <c r="DO87" s="67"/>
      <c r="DP87" s="560"/>
      <c r="DQ87" s="67"/>
      <c r="DR87" s="67"/>
      <c r="DS87" s="67"/>
      <c r="DT87" s="67"/>
      <c r="DU87" s="560"/>
      <c r="DV87" s="67"/>
      <c r="DW87" s="67"/>
      <c r="DX87" s="67"/>
      <c r="DY87" s="67"/>
      <c r="DZ87" s="560"/>
      <c r="EA87" s="67"/>
      <c r="EB87" s="67"/>
      <c r="EC87" s="67"/>
      <c r="ED87" s="67"/>
      <c r="EE87" s="560"/>
      <c r="EF87" s="67"/>
      <c r="EG87" s="67"/>
      <c r="EH87" s="67"/>
      <c r="EI87" s="67"/>
      <c r="EJ87" s="560"/>
      <c r="EK87" s="67"/>
      <c r="EL87" s="67"/>
      <c r="EM87" s="67"/>
      <c r="EN87" s="67"/>
      <c r="EO87" s="455"/>
    </row>
    <row r="88" spans="1:145" ht="12.75" hidden="1" customHeight="1" x14ac:dyDescent="0.2">
      <c r="A88" s="442"/>
      <c r="B88" s="442"/>
      <c r="C88" s="442"/>
      <c r="D88" s="455" t="s">
        <v>461</v>
      </c>
      <c r="E88" s="465"/>
      <c r="F88" s="442"/>
      <c r="G88" s="67">
        <v>0</v>
      </c>
      <c r="H88" s="67"/>
      <c r="I88" s="67"/>
      <c r="J88" s="560"/>
      <c r="K88" s="67"/>
      <c r="L88" s="67">
        <f>SUM(L89:L91)</f>
        <v>0</v>
      </c>
      <c r="M88" s="67"/>
      <c r="N88" s="67"/>
      <c r="O88" s="560"/>
      <c r="P88" s="67"/>
      <c r="Q88" s="67">
        <f>SUM(Q89:Q91)</f>
        <v>0</v>
      </c>
      <c r="R88" s="67"/>
      <c r="S88" s="67"/>
      <c r="T88" s="560"/>
      <c r="U88" s="67"/>
      <c r="V88" s="67">
        <f>SUM(V89:V91)</f>
        <v>0</v>
      </c>
      <c r="W88" s="67"/>
      <c r="X88" s="67"/>
      <c r="Y88" s="560"/>
      <c r="Z88" s="67"/>
      <c r="AA88" s="67">
        <f>SUM(AA89:AA91)</f>
        <v>0</v>
      </c>
      <c r="AB88" s="67"/>
      <c r="AC88" s="67"/>
      <c r="AD88" s="560"/>
      <c r="AE88" s="67"/>
      <c r="AF88" s="67">
        <f>SUM(AF89:AF91)</f>
        <v>0</v>
      </c>
      <c r="AG88" s="67"/>
      <c r="AH88" s="67"/>
      <c r="AI88" s="560"/>
      <c r="AJ88" s="67"/>
      <c r="AK88" s="67">
        <f>SUM(AK89:AK91)</f>
        <v>0</v>
      </c>
      <c r="AL88" s="67"/>
      <c r="AM88" s="67"/>
      <c r="AN88" s="560"/>
      <c r="AO88" s="67"/>
      <c r="AP88" s="67">
        <f>SUM(AP89:AP91)</f>
        <v>0</v>
      </c>
      <c r="AQ88" s="67"/>
      <c r="AR88" s="67"/>
      <c r="AS88" s="560"/>
      <c r="AT88" s="67"/>
      <c r="AU88" s="67">
        <f>SUM(AU89:AU91)</f>
        <v>0</v>
      </c>
      <c r="AV88" s="67"/>
      <c r="AW88" s="67"/>
      <c r="AX88" s="560"/>
      <c r="AY88" s="67"/>
      <c r="AZ88" s="67">
        <f>SUM(AZ89:AZ91)</f>
        <v>0</v>
      </c>
      <c r="BA88" s="67"/>
      <c r="BB88" s="67"/>
      <c r="BC88" s="560"/>
      <c r="BD88" s="67"/>
      <c r="BE88" s="67">
        <f>SUM(BE89:BE91)</f>
        <v>0</v>
      </c>
      <c r="BF88" s="67"/>
      <c r="BG88" s="67"/>
      <c r="BH88" s="560"/>
      <c r="BI88" s="67"/>
      <c r="BJ88" s="67">
        <f>SUM(BJ89:BJ91)</f>
        <v>0</v>
      </c>
      <c r="BK88" s="67"/>
      <c r="BL88" s="67"/>
      <c r="BM88" s="560"/>
      <c r="BN88" s="67"/>
      <c r="BO88" s="67">
        <f>SUM(BO89:BO91)</f>
        <v>0</v>
      </c>
      <c r="BP88" s="67"/>
      <c r="BQ88" s="67"/>
      <c r="BR88" s="560"/>
      <c r="BS88" s="67"/>
      <c r="BT88" s="67">
        <f>SUM(BT89:BT91)</f>
        <v>0</v>
      </c>
      <c r="BU88" s="67"/>
      <c r="BV88" s="67"/>
      <c r="BW88" s="560"/>
      <c r="BX88" s="67"/>
      <c r="BY88" s="67">
        <f>SUM(BY89:BY91)</f>
        <v>0</v>
      </c>
      <c r="BZ88" s="67"/>
      <c r="CA88" s="67"/>
      <c r="CB88" s="560"/>
      <c r="CC88" s="67"/>
      <c r="CD88" s="67">
        <f>SUM(CD89:CD91)</f>
        <v>0</v>
      </c>
      <c r="CE88" s="67"/>
      <c r="CF88" s="67"/>
      <c r="CG88" s="560"/>
      <c r="CH88" s="67"/>
      <c r="CI88" s="67">
        <f>SUM(CI89:CI91)</f>
        <v>0</v>
      </c>
      <c r="CJ88" s="67"/>
      <c r="CK88" s="67"/>
      <c r="CL88" s="560"/>
      <c r="CM88" s="67"/>
      <c r="CN88" s="67">
        <f>SUM(CN89:CN91)</f>
        <v>0</v>
      </c>
      <c r="CO88" s="67"/>
      <c r="CP88" s="67"/>
      <c r="CQ88" s="560"/>
      <c r="CR88" s="67"/>
      <c r="CS88" s="67">
        <f>SUM(CS89:CS91)</f>
        <v>0</v>
      </c>
      <c r="CT88" s="67"/>
      <c r="CU88" s="67"/>
      <c r="CV88" s="560"/>
      <c r="CW88" s="67"/>
      <c r="CX88" s="67">
        <f>SUM(CX89:CX91)</f>
        <v>0</v>
      </c>
      <c r="CY88" s="67"/>
      <c r="CZ88" s="67"/>
      <c r="DA88" s="560"/>
      <c r="DB88" s="67"/>
      <c r="DC88" s="67">
        <f>SUM(DC89:DC91)</f>
        <v>0</v>
      </c>
      <c r="DD88" s="67"/>
      <c r="DE88" s="67"/>
      <c r="DF88" s="560"/>
      <c r="DG88" s="67"/>
      <c r="DH88" s="67">
        <f>SUM(DH89:DH91)</f>
        <v>0</v>
      </c>
      <c r="DI88" s="67"/>
      <c r="DJ88" s="67"/>
      <c r="DK88" s="560"/>
      <c r="DL88" s="67"/>
      <c r="DM88" s="67">
        <f>SUM(DM89:DM91)</f>
        <v>0</v>
      </c>
      <c r="DN88" s="67"/>
      <c r="DO88" s="67"/>
      <c r="DP88" s="560"/>
      <c r="DQ88" s="67"/>
      <c r="DR88" s="67">
        <f>SUM(DR89:DR91)</f>
        <v>0</v>
      </c>
      <c r="DS88" s="67"/>
      <c r="DT88" s="67"/>
      <c r="DU88" s="560"/>
      <c r="DV88" s="67"/>
      <c r="DW88" s="67">
        <f>SUM(DW89:DW91)</f>
        <v>0</v>
      </c>
      <c r="DX88" s="67"/>
      <c r="DY88" s="67"/>
      <c r="DZ88" s="560"/>
      <c r="EA88" s="67"/>
      <c r="EB88" s="67">
        <f>SUM(EB89:EB91)</f>
        <v>0</v>
      </c>
      <c r="EC88" s="67"/>
      <c r="ED88" s="67"/>
      <c r="EE88" s="560"/>
      <c r="EF88" s="67"/>
      <c r="EG88" s="67">
        <f>SUM(EG89:EG91)</f>
        <v>0</v>
      </c>
      <c r="EH88" s="67"/>
      <c r="EI88" s="67"/>
      <c r="EJ88" s="560"/>
      <c r="EK88" s="67"/>
      <c r="EL88" s="67">
        <f>SUM(EL89:EL91)</f>
        <v>0</v>
      </c>
      <c r="EM88" s="67"/>
      <c r="EN88" s="67"/>
      <c r="EO88" s="455"/>
    </row>
    <row r="89" spans="1:145" ht="12.75" hidden="1" customHeight="1" x14ac:dyDescent="0.2">
      <c r="A89" s="442"/>
      <c r="B89" s="442"/>
      <c r="C89" s="442"/>
      <c r="D89" s="455" t="s">
        <v>342</v>
      </c>
      <c r="E89" s="465"/>
      <c r="F89" s="473"/>
      <c r="G89" s="558">
        <v>0</v>
      </c>
      <c r="H89" s="559"/>
      <c r="I89" s="67"/>
      <c r="J89" s="560"/>
      <c r="K89" s="561"/>
      <c r="L89" s="558">
        <v>0</v>
      </c>
      <c r="M89" s="559"/>
      <c r="N89" s="67"/>
      <c r="O89" s="560"/>
      <c r="P89" s="561"/>
      <c r="Q89" s="558">
        <v>0</v>
      </c>
      <c r="R89" s="559"/>
      <c r="S89" s="67"/>
      <c r="T89" s="560"/>
      <c r="U89" s="561"/>
      <c r="V89" s="558">
        <v>0</v>
      </c>
      <c r="W89" s="559"/>
      <c r="X89" s="67"/>
      <c r="Y89" s="560"/>
      <c r="Z89" s="561"/>
      <c r="AA89" s="558">
        <v>0</v>
      </c>
      <c r="AB89" s="559"/>
      <c r="AC89" s="67"/>
      <c r="AD89" s="560"/>
      <c r="AE89" s="561"/>
      <c r="AF89" s="558">
        <v>0</v>
      </c>
      <c r="AG89" s="559"/>
      <c r="AH89" s="67"/>
      <c r="AI89" s="560"/>
      <c r="AJ89" s="561"/>
      <c r="AK89" s="558">
        <v>0</v>
      </c>
      <c r="AL89" s="559"/>
      <c r="AM89" s="67"/>
      <c r="AN89" s="560"/>
      <c r="AO89" s="561"/>
      <c r="AP89" s="558">
        <v>0</v>
      </c>
      <c r="AQ89" s="559"/>
      <c r="AR89" s="67"/>
      <c r="AS89" s="560"/>
      <c r="AT89" s="561"/>
      <c r="AU89" s="558">
        <v>0</v>
      </c>
      <c r="AV89" s="559"/>
      <c r="AW89" s="67"/>
      <c r="AX89" s="560"/>
      <c r="AY89" s="561"/>
      <c r="AZ89" s="558">
        <v>0</v>
      </c>
      <c r="BA89" s="559"/>
      <c r="BB89" s="67"/>
      <c r="BC89" s="560"/>
      <c r="BD89" s="561"/>
      <c r="BE89" s="558">
        <v>0</v>
      </c>
      <c r="BF89" s="559"/>
      <c r="BG89" s="67"/>
      <c r="BH89" s="560"/>
      <c r="BI89" s="561"/>
      <c r="BJ89" s="558">
        <v>0</v>
      </c>
      <c r="BK89" s="559"/>
      <c r="BL89" s="67"/>
      <c r="BM89" s="560"/>
      <c r="BN89" s="561"/>
      <c r="BO89" s="558">
        <v>0</v>
      </c>
      <c r="BP89" s="559"/>
      <c r="BQ89" s="67"/>
      <c r="BR89" s="560"/>
      <c r="BS89" s="561"/>
      <c r="BT89" s="558">
        <f>SUM(L89:BO89)</f>
        <v>0</v>
      </c>
      <c r="BU89" s="559"/>
      <c r="BV89" s="67"/>
      <c r="BW89" s="560"/>
      <c r="BX89" s="561"/>
      <c r="BY89" s="558">
        <f>SUM(Q89:BT89)</f>
        <v>0</v>
      </c>
      <c r="BZ89" s="559"/>
      <c r="CA89" s="67"/>
      <c r="CB89" s="560"/>
      <c r="CC89" s="561"/>
      <c r="CD89" s="558">
        <v>0</v>
      </c>
      <c r="CE89" s="559"/>
      <c r="CF89" s="67"/>
      <c r="CG89" s="560"/>
      <c r="CH89" s="561"/>
      <c r="CI89" s="558">
        <v>0</v>
      </c>
      <c r="CJ89" s="559"/>
      <c r="CK89" s="67"/>
      <c r="CL89" s="560"/>
      <c r="CM89" s="561"/>
      <c r="CN89" s="558">
        <v>0</v>
      </c>
      <c r="CO89" s="559"/>
      <c r="CP89" s="67"/>
      <c r="CQ89" s="560"/>
      <c r="CR89" s="561"/>
      <c r="CS89" s="558">
        <v>0</v>
      </c>
      <c r="CT89" s="559"/>
      <c r="CU89" s="67"/>
      <c r="CV89" s="560"/>
      <c r="CW89" s="561"/>
      <c r="CX89" s="558">
        <v>0</v>
      </c>
      <c r="CY89" s="559"/>
      <c r="CZ89" s="67"/>
      <c r="DA89" s="560"/>
      <c r="DB89" s="561"/>
      <c r="DC89" s="558">
        <v>0</v>
      </c>
      <c r="DD89" s="559"/>
      <c r="DE89" s="67"/>
      <c r="DF89" s="560"/>
      <c r="DG89" s="561"/>
      <c r="DH89" s="558">
        <v>0</v>
      </c>
      <c r="DI89" s="559"/>
      <c r="DJ89" s="67"/>
      <c r="DK89" s="560"/>
      <c r="DL89" s="561"/>
      <c r="DM89" s="558">
        <v>0</v>
      </c>
      <c r="DN89" s="559"/>
      <c r="DO89" s="67"/>
      <c r="DP89" s="560"/>
      <c r="DQ89" s="561"/>
      <c r="DR89" s="558">
        <v>0</v>
      </c>
      <c r="DS89" s="559"/>
      <c r="DT89" s="67"/>
      <c r="DU89" s="560"/>
      <c r="DV89" s="561"/>
      <c r="DW89" s="558">
        <v>0</v>
      </c>
      <c r="DX89" s="559"/>
      <c r="DY89" s="67"/>
      <c r="DZ89" s="560"/>
      <c r="EA89" s="561"/>
      <c r="EB89" s="558">
        <v>0</v>
      </c>
      <c r="EC89" s="559"/>
      <c r="ED89" s="67"/>
      <c r="EE89" s="560"/>
      <c r="EF89" s="561"/>
      <c r="EG89" s="558">
        <v>0</v>
      </c>
      <c r="EH89" s="559"/>
      <c r="EI89" s="67"/>
      <c r="EJ89" s="560"/>
      <c r="EK89" s="561"/>
      <c r="EL89" s="558">
        <f>SUM(CD89:EG89)</f>
        <v>0</v>
      </c>
      <c r="EM89" s="559"/>
      <c r="EN89" s="67"/>
      <c r="EO89" s="455"/>
    </row>
    <row r="90" spans="1:145" ht="12.75" hidden="1" customHeight="1" x14ac:dyDescent="0.2">
      <c r="A90" s="442"/>
      <c r="B90" s="442"/>
      <c r="C90" s="442"/>
      <c r="D90" s="455" t="s">
        <v>344</v>
      </c>
      <c r="E90" s="465"/>
      <c r="F90" s="465"/>
      <c r="G90" s="67">
        <v>0</v>
      </c>
      <c r="H90" s="66"/>
      <c r="I90" s="67"/>
      <c r="J90" s="560"/>
      <c r="K90" s="560"/>
      <c r="L90" s="67">
        <v>0</v>
      </c>
      <c r="M90" s="66"/>
      <c r="N90" s="67"/>
      <c r="O90" s="560"/>
      <c r="P90" s="560"/>
      <c r="Q90" s="67">
        <v>0</v>
      </c>
      <c r="R90" s="66"/>
      <c r="S90" s="67"/>
      <c r="T90" s="560"/>
      <c r="U90" s="560"/>
      <c r="V90" s="67">
        <v>0</v>
      </c>
      <c r="W90" s="66"/>
      <c r="X90" s="67"/>
      <c r="Y90" s="560"/>
      <c r="Z90" s="560"/>
      <c r="AA90" s="67">
        <v>0</v>
      </c>
      <c r="AB90" s="66"/>
      <c r="AC90" s="67"/>
      <c r="AD90" s="560"/>
      <c r="AE90" s="560"/>
      <c r="AF90" s="67">
        <v>0</v>
      </c>
      <c r="AG90" s="66"/>
      <c r="AH90" s="67"/>
      <c r="AI90" s="560"/>
      <c r="AJ90" s="560"/>
      <c r="AK90" s="67">
        <v>0</v>
      </c>
      <c r="AL90" s="66"/>
      <c r="AM90" s="67"/>
      <c r="AN90" s="560"/>
      <c r="AO90" s="560"/>
      <c r="AP90" s="67">
        <v>0</v>
      </c>
      <c r="AQ90" s="66"/>
      <c r="AR90" s="67"/>
      <c r="AS90" s="560"/>
      <c r="AT90" s="560"/>
      <c r="AU90" s="67">
        <v>0</v>
      </c>
      <c r="AV90" s="66"/>
      <c r="AW90" s="67"/>
      <c r="AX90" s="560"/>
      <c r="AY90" s="560"/>
      <c r="AZ90" s="67">
        <v>0</v>
      </c>
      <c r="BA90" s="66"/>
      <c r="BB90" s="67"/>
      <c r="BC90" s="560"/>
      <c r="BD90" s="560"/>
      <c r="BE90" s="67">
        <v>0</v>
      </c>
      <c r="BF90" s="66"/>
      <c r="BG90" s="67"/>
      <c r="BH90" s="560"/>
      <c r="BI90" s="560"/>
      <c r="BJ90" s="67">
        <v>0</v>
      </c>
      <c r="BK90" s="66"/>
      <c r="BL90" s="67"/>
      <c r="BM90" s="560"/>
      <c r="BN90" s="560"/>
      <c r="BO90" s="67">
        <v>0</v>
      </c>
      <c r="BP90" s="66"/>
      <c r="BQ90" s="67"/>
      <c r="BR90" s="560"/>
      <c r="BS90" s="560"/>
      <c r="BT90" s="67">
        <f>SUM(L90:BO90)</f>
        <v>0</v>
      </c>
      <c r="BU90" s="66"/>
      <c r="BV90" s="67"/>
      <c r="BW90" s="560"/>
      <c r="BX90" s="560"/>
      <c r="BY90" s="67">
        <f>SUM(Q90:BT90)</f>
        <v>0</v>
      </c>
      <c r="BZ90" s="66"/>
      <c r="CA90" s="67"/>
      <c r="CB90" s="560"/>
      <c r="CC90" s="560"/>
      <c r="CD90" s="67">
        <v>0</v>
      </c>
      <c r="CE90" s="66"/>
      <c r="CF90" s="67"/>
      <c r="CG90" s="560"/>
      <c r="CH90" s="560"/>
      <c r="CI90" s="67">
        <v>0</v>
      </c>
      <c r="CJ90" s="66"/>
      <c r="CK90" s="67"/>
      <c r="CL90" s="560"/>
      <c r="CM90" s="560"/>
      <c r="CN90" s="67">
        <v>0</v>
      </c>
      <c r="CO90" s="66"/>
      <c r="CP90" s="67"/>
      <c r="CQ90" s="560"/>
      <c r="CR90" s="560"/>
      <c r="CS90" s="67">
        <v>0</v>
      </c>
      <c r="CT90" s="66"/>
      <c r="CU90" s="67"/>
      <c r="CV90" s="560"/>
      <c r="CW90" s="560"/>
      <c r="CX90" s="67">
        <v>0</v>
      </c>
      <c r="CY90" s="66"/>
      <c r="CZ90" s="67"/>
      <c r="DA90" s="560"/>
      <c r="DB90" s="560"/>
      <c r="DC90" s="67">
        <v>0</v>
      </c>
      <c r="DD90" s="66"/>
      <c r="DE90" s="67"/>
      <c r="DF90" s="560"/>
      <c r="DG90" s="560"/>
      <c r="DH90" s="67">
        <v>0</v>
      </c>
      <c r="DI90" s="66"/>
      <c r="DJ90" s="67"/>
      <c r="DK90" s="560"/>
      <c r="DL90" s="560"/>
      <c r="DM90" s="67">
        <v>0</v>
      </c>
      <c r="DN90" s="66"/>
      <c r="DO90" s="67"/>
      <c r="DP90" s="560"/>
      <c r="DQ90" s="560"/>
      <c r="DR90" s="67">
        <v>0</v>
      </c>
      <c r="DS90" s="66"/>
      <c r="DT90" s="67"/>
      <c r="DU90" s="560"/>
      <c r="DV90" s="560"/>
      <c r="DW90" s="67">
        <v>0</v>
      </c>
      <c r="DX90" s="66"/>
      <c r="DY90" s="67"/>
      <c r="DZ90" s="560"/>
      <c r="EA90" s="560"/>
      <c r="EB90" s="67">
        <v>0</v>
      </c>
      <c r="EC90" s="66"/>
      <c r="ED90" s="67"/>
      <c r="EE90" s="560"/>
      <c r="EF90" s="560"/>
      <c r="EG90" s="67">
        <v>0</v>
      </c>
      <c r="EH90" s="66"/>
      <c r="EI90" s="67"/>
      <c r="EJ90" s="560"/>
      <c r="EK90" s="560"/>
      <c r="EL90" s="67">
        <f>SUM(CD90:EG90)</f>
        <v>0</v>
      </c>
      <c r="EM90" s="66"/>
      <c r="EN90" s="67"/>
      <c r="EO90" s="455"/>
    </row>
    <row r="91" spans="1:145" ht="12.75" hidden="1" customHeight="1" x14ac:dyDescent="0.2">
      <c r="A91" s="442"/>
      <c r="B91" s="442"/>
      <c r="C91" s="442"/>
      <c r="D91" s="455" t="s">
        <v>352</v>
      </c>
      <c r="E91" s="465"/>
      <c r="F91" s="488"/>
      <c r="G91" s="113">
        <v>0</v>
      </c>
      <c r="H91" s="112"/>
      <c r="I91" s="67"/>
      <c r="J91" s="560"/>
      <c r="K91" s="569"/>
      <c r="L91" s="113">
        <v>0</v>
      </c>
      <c r="M91" s="112"/>
      <c r="N91" s="67"/>
      <c r="O91" s="560"/>
      <c r="P91" s="569"/>
      <c r="Q91" s="113">
        <v>0</v>
      </c>
      <c r="R91" s="112"/>
      <c r="S91" s="67"/>
      <c r="T91" s="560"/>
      <c r="U91" s="569"/>
      <c r="V91" s="113">
        <v>0</v>
      </c>
      <c r="W91" s="112"/>
      <c r="X91" s="67"/>
      <c r="Y91" s="560"/>
      <c r="Z91" s="569"/>
      <c r="AA91" s="113">
        <v>0</v>
      </c>
      <c r="AB91" s="112"/>
      <c r="AC91" s="67"/>
      <c r="AD91" s="560"/>
      <c r="AE91" s="569"/>
      <c r="AF91" s="113">
        <v>0</v>
      </c>
      <c r="AG91" s="112"/>
      <c r="AH91" s="67"/>
      <c r="AI91" s="560"/>
      <c r="AJ91" s="569"/>
      <c r="AK91" s="113">
        <v>0</v>
      </c>
      <c r="AL91" s="112"/>
      <c r="AM91" s="67"/>
      <c r="AN91" s="560"/>
      <c r="AO91" s="569"/>
      <c r="AP91" s="113">
        <v>0</v>
      </c>
      <c r="AQ91" s="112"/>
      <c r="AR91" s="67"/>
      <c r="AS91" s="560"/>
      <c r="AT91" s="569"/>
      <c r="AU91" s="113">
        <v>0</v>
      </c>
      <c r="AV91" s="112"/>
      <c r="AW91" s="67"/>
      <c r="AX91" s="560"/>
      <c r="AY91" s="569"/>
      <c r="AZ91" s="113">
        <v>0</v>
      </c>
      <c r="BA91" s="112"/>
      <c r="BB91" s="67"/>
      <c r="BC91" s="560"/>
      <c r="BD91" s="569"/>
      <c r="BE91" s="113">
        <v>0</v>
      </c>
      <c r="BF91" s="112"/>
      <c r="BG91" s="67"/>
      <c r="BH91" s="560"/>
      <c r="BI91" s="569"/>
      <c r="BJ91" s="113">
        <v>0</v>
      </c>
      <c r="BK91" s="112"/>
      <c r="BL91" s="67"/>
      <c r="BM91" s="560"/>
      <c r="BN91" s="569"/>
      <c r="BO91" s="113">
        <v>0</v>
      </c>
      <c r="BP91" s="112"/>
      <c r="BQ91" s="67"/>
      <c r="BR91" s="560"/>
      <c r="BS91" s="569"/>
      <c r="BT91" s="113">
        <f>SUM(L91:BO91)</f>
        <v>0</v>
      </c>
      <c r="BU91" s="112"/>
      <c r="BV91" s="67"/>
      <c r="BW91" s="560"/>
      <c r="BX91" s="569"/>
      <c r="BY91" s="113">
        <f>SUM(Q91:BT91)</f>
        <v>0</v>
      </c>
      <c r="BZ91" s="112"/>
      <c r="CA91" s="67"/>
      <c r="CB91" s="560"/>
      <c r="CC91" s="569"/>
      <c r="CD91" s="113">
        <v>0</v>
      </c>
      <c r="CE91" s="112"/>
      <c r="CF91" s="67"/>
      <c r="CG91" s="560"/>
      <c r="CH91" s="569"/>
      <c r="CI91" s="113">
        <v>0</v>
      </c>
      <c r="CJ91" s="112"/>
      <c r="CK91" s="67"/>
      <c r="CL91" s="560"/>
      <c r="CM91" s="569"/>
      <c r="CN91" s="113">
        <v>0</v>
      </c>
      <c r="CO91" s="112"/>
      <c r="CP91" s="67"/>
      <c r="CQ91" s="560"/>
      <c r="CR91" s="569"/>
      <c r="CS91" s="113">
        <v>0</v>
      </c>
      <c r="CT91" s="112"/>
      <c r="CU91" s="67"/>
      <c r="CV91" s="560"/>
      <c r="CW91" s="569"/>
      <c r="CX91" s="113">
        <v>0</v>
      </c>
      <c r="CY91" s="112"/>
      <c r="CZ91" s="67"/>
      <c r="DA91" s="560"/>
      <c r="DB91" s="569"/>
      <c r="DC91" s="113">
        <v>0</v>
      </c>
      <c r="DD91" s="112"/>
      <c r="DE91" s="67"/>
      <c r="DF91" s="560"/>
      <c r="DG91" s="569"/>
      <c r="DH91" s="113">
        <v>0</v>
      </c>
      <c r="DI91" s="112"/>
      <c r="DJ91" s="67"/>
      <c r="DK91" s="560"/>
      <c r="DL91" s="569"/>
      <c r="DM91" s="113">
        <v>0</v>
      </c>
      <c r="DN91" s="112"/>
      <c r="DO91" s="67"/>
      <c r="DP91" s="560"/>
      <c r="DQ91" s="569"/>
      <c r="DR91" s="113">
        <v>0</v>
      </c>
      <c r="DS91" s="112"/>
      <c r="DT91" s="67"/>
      <c r="DU91" s="560"/>
      <c r="DV91" s="569"/>
      <c r="DW91" s="113">
        <v>0</v>
      </c>
      <c r="DX91" s="112"/>
      <c r="DY91" s="67"/>
      <c r="DZ91" s="560"/>
      <c r="EA91" s="569"/>
      <c r="EB91" s="113">
        <v>0</v>
      </c>
      <c r="EC91" s="112"/>
      <c r="ED91" s="67"/>
      <c r="EE91" s="560"/>
      <c r="EF91" s="569"/>
      <c r="EG91" s="113">
        <v>0</v>
      </c>
      <c r="EH91" s="112"/>
      <c r="EI91" s="67"/>
      <c r="EJ91" s="560"/>
      <c r="EK91" s="569"/>
      <c r="EL91" s="113">
        <f>SUM(CD91:EG91)</f>
        <v>0</v>
      </c>
      <c r="EM91" s="112"/>
      <c r="EN91" s="67"/>
      <c r="EO91" s="455"/>
    </row>
    <row r="92" spans="1:145" ht="12.75" hidden="1" customHeight="1" x14ac:dyDescent="0.2">
      <c r="A92" s="442"/>
      <c r="B92" s="442"/>
      <c r="C92" s="442"/>
      <c r="D92" s="455"/>
      <c r="E92" s="465"/>
      <c r="F92" s="442"/>
      <c r="G92" s="67"/>
      <c r="H92" s="67"/>
      <c r="I92" s="67"/>
      <c r="J92" s="560"/>
      <c r="K92" s="67"/>
      <c r="L92" s="67"/>
      <c r="M92" s="67"/>
      <c r="N92" s="67"/>
      <c r="O92" s="560"/>
      <c r="P92" s="67"/>
      <c r="Q92" s="67"/>
      <c r="R92" s="67"/>
      <c r="S92" s="67"/>
      <c r="T92" s="560"/>
      <c r="U92" s="67"/>
      <c r="V92" s="67"/>
      <c r="W92" s="67"/>
      <c r="X92" s="67"/>
      <c r="Y92" s="560"/>
      <c r="Z92" s="67"/>
      <c r="AA92" s="67"/>
      <c r="AB92" s="67"/>
      <c r="AC92" s="67"/>
      <c r="AD92" s="560"/>
      <c r="AE92" s="67"/>
      <c r="AF92" s="67"/>
      <c r="AG92" s="67"/>
      <c r="AH92" s="67"/>
      <c r="AI92" s="560"/>
      <c r="AJ92" s="67"/>
      <c r="AK92" s="67"/>
      <c r="AL92" s="67"/>
      <c r="AM92" s="67"/>
      <c r="AN92" s="560"/>
      <c r="AO92" s="67"/>
      <c r="AP92" s="67"/>
      <c r="AQ92" s="67"/>
      <c r="AR92" s="67"/>
      <c r="AS92" s="560"/>
      <c r="AT92" s="67"/>
      <c r="AU92" s="67"/>
      <c r="AV92" s="67"/>
      <c r="AW92" s="67"/>
      <c r="AX92" s="560"/>
      <c r="AY92" s="67"/>
      <c r="AZ92" s="67"/>
      <c r="BA92" s="67"/>
      <c r="BB92" s="67"/>
      <c r="BC92" s="560"/>
      <c r="BD92" s="67"/>
      <c r="BE92" s="67"/>
      <c r="BF92" s="67"/>
      <c r="BG92" s="67"/>
      <c r="BH92" s="560"/>
      <c r="BI92" s="67"/>
      <c r="BJ92" s="67"/>
      <c r="BK92" s="67"/>
      <c r="BL92" s="67"/>
      <c r="BM92" s="560"/>
      <c r="BN92" s="67"/>
      <c r="BO92" s="67"/>
      <c r="BP92" s="67"/>
      <c r="BQ92" s="67"/>
      <c r="BR92" s="560"/>
      <c r="BS92" s="67"/>
      <c r="BT92" s="67"/>
      <c r="BU92" s="67"/>
      <c r="BV92" s="67"/>
      <c r="BW92" s="560"/>
      <c r="BX92" s="67"/>
      <c r="BY92" s="67"/>
      <c r="BZ92" s="67"/>
      <c r="CA92" s="67"/>
      <c r="CB92" s="560"/>
      <c r="CC92" s="67"/>
      <c r="CD92" s="67"/>
      <c r="CE92" s="67"/>
      <c r="CF92" s="67"/>
      <c r="CG92" s="560"/>
      <c r="CH92" s="67"/>
      <c r="CI92" s="67"/>
      <c r="CJ92" s="67"/>
      <c r="CK92" s="67"/>
      <c r="CL92" s="560"/>
      <c r="CM92" s="67"/>
      <c r="CN92" s="67"/>
      <c r="CO92" s="67"/>
      <c r="CP92" s="67"/>
      <c r="CQ92" s="560"/>
      <c r="CR92" s="67"/>
      <c r="CS92" s="67"/>
      <c r="CT92" s="67"/>
      <c r="CU92" s="67"/>
      <c r="CV92" s="560"/>
      <c r="CW92" s="67"/>
      <c r="CX92" s="67"/>
      <c r="CY92" s="67"/>
      <c r="CZ92" s="67"/>
      <c r="DA92" s="560"/>
      <c r="DB92" s="67"/>
      <c r="DC92" s="67"/>
      <c r="DD92" s="67"/>
      <c r="DE92" s="67"/>
      <c r="DF92" s="560"/>
      <c r="DG92" s="67"/>
      <c r="DH92" s="67"/>
      <c r="DI92" s="67"/>
      <c r="DJ92" s="67"/>
      <c r="DK92" s="560"/>
      <c r="DL92" s="67"/>
      <c r="DM92" s="67"/>
      <c r="DN92" s="67"/>
      <c r="DO92" s="67"/>
      <c r="DP92" s="560"/>
      <c r="DQ92" s="67"/>
      <c r="DR92" s="67"/>
      <c r="DS92" s="67"/>
      <c r="DT92" s="67"/>
      <c r="DU92" s="560"/>
      <c r="DV92" s="67"/>
      <c r="DW92" s="67"/>
      <c r="DX92" s="67"/>
      <c r="DY92" s="67"/>
      <c r="DZ92" s="560"/>
      <c r="EA92" s="67"/>
      <c r="EB92" s="67"/>
      <c r="EC92" s="67"/>
      <c r="ED92" s="67"/>
      <c r="EE92" s="560"/>
      <c r="EF92" s="67"/>
      <c r="EG92" s="67"/>
      <c r="EH92" s="67"/>
      <c r="EI92" s="67"/>
      <c r="EJ92" s="560"/>
      <c r="EK92" s="67"/>
      <c r="EL92" s="67"/>
      <c r="EM92" s="67"/>
      <c r="EN92" s="67"/>
      <c r="EO92" s="455"/>
    </row>
    <row r="93" spans="1:145" ht="12.75" hidden="1" customHeight="1" x14ac:dyDescent="0.2">
      <c r="A93" s="442"/>
      <c r="B93" s="442"/>
      <c r="C93" s="442"/>
      <c r="D93" s="455" t="s">
        <v>462</v>
      </c>
      <c r="E93" s="465"/>
      <c r="F93" s="442"/>
      <c r="G93" s="67">
        <v>0</v>
      </c>
      <c r="H93" s="67"/>
      <c r="I93" s="67"/>
      <c r="J93" s="560"/>
      <c r="K93" s="67"/>
      <c r="L93" s="67">
        <f>SUM(L94:L96)</f>
        <v>0</v>
      </c>
      <c r="M93" s="67"/>
      <c r="N93" s="67"/>
      <c r="O93" s="560"/>
      <c r="P93" s="67"/>
      <c r="Q93" s="67">
        <f>SUM(Q94:Q96)</f>
        <v>0</v>
      </c>
      <c r="R93" s="67"/>
      <c r="S93" s="67"/>
      <c r="T93" s="560"/>
      <c r="U93" s="67"/>
      <c r="V93" s="67">
        <f>SUM(V94:V96)</f>
        <v>0</v>
      </c>
      <c r="W93" s="67"/>
      <c r="X93" s="67"/>
      <c r="Y93" s="560"/>
      <c r="Z93" s="67"/>
      <c r="AA93" s="67">
        <f>SUM(AA94:AA96)</f>
        <v>0</v>
      </c>
      <c r="AB93" s="67"/>
      <c r="AC93" s="67"/>
      <c r="AD93" s="560"/>
      <c r="AE93" s="67"/>
      <c r="AF93" s="67">
        <f>SUM(AF94:AF96)</f>
        <v>0</v>
      </c>
      <c r="AG93" s="67"/>
      <c r="AH93" s="67"/>
      <c r="AI93" s="560"/>
      <c r="AJ93" s="67"/>
      <c r="AK93" s="67">
        <f>SUM(AK94:AK96)</f>
        <v>0</v>
      </c>
      <c r="AL93" s="67"/>
      <c r="AM93" s="67"/>
      <c r="AN93" s="560"/>
      <c r="AO93" s="67"/>
      <c r="AP93" s="67">
        <f>SUM(AP94:AP96)</f>
        <v>0</v>
      </c>
      <c r="AQ93" s="67"/>
      <c r="AR93" s="67"/>
      <c r="AS93" s="560"/>
      <c r="AT93" s="67"/>
      <c r="AU93" s="67">
        <f>SUM(AU94:AU96)</f>
        <v>0</v>
      </c>
      <c r="AV93" s="67"/>
      <c r="AW93" s="67"/>
      <c r="AX93" s="560"/>
      <c r="AY93" s="67"/>
      <c r="AZ93" s="67">
        <f>SUM(AZ94:AZ96)</f>
        <v>0</v>
      </c>
      <c r="BA93" s="67"/>
      <c r="BB93" s="67"/>
      <c r="BC93" s="560"/>
      <c r="BD93" s="67"/>
      <c r="BE93" s="67">
        <f>SUM(BE94:BE96)</f>
        <v>0</v>
      </c>
      <c r="BF93" s="67"/>
      <c r="BG93" s="67"/>
      <c r="BH93" s="560"/>
      <c r="BI93" s="67"/>
      <c r="BJ93" s="67">
        <f>SUM(BJ94:BJ96)</f>
        <v>0</v>
      </c>
      <c r="BK93" s="67"/>
      <c r="BL93" s="67"/>
      <c r="BM93" s="560"/>
      <c r="BN93" s="67"/>
      <c r="BO93" s="67">
        <f>SUM(BO94:BO96)</f>
        <v>0</v>
      </c>
      <c r="BP93" s="67"/>
      <c r="BQ93" s="67"/>
      <c r="BR93" s="560"/>
      <c r="BS93" s="67"/>
      <c r="BT93" s="67">
        <f>SUM(BT94:BT96)</f>
        <v>0</v>
      </c>
      <c r="BU93" s="67"/>
      <c r="BV93" s="67"/>
      <c r="BW93" s="560"/>
      <c r="BX93" s="67"/>
      <c r="BY93" s="67">
        <f>SUM(BY94:BY96)</f>
        <v>0</v>
      </c>
      <c r="BZ93" s="67"/>
      <c r="CA93" s="67"/>
      <c r="CB93" s="560"/>
      <c r="CC93" s="67"/>
      <c r="CD93" s="67">
        <f>SUM(CD94:CD96)</f>
        <v>0</v>
      </c>
      <c r="CE93" s="67"/>
      <c r="CF93" s="67"/>
      <c r="CG93" s="560"/>
      <c r="CH93" s="67"/>
      <c r="CI93" s="67">
        <f>SUM(CI94:CI96)</f>
        <v>0</v>
      </c>
      <c r="CJ93" s="67"/>
      <c r="CK93" s="67"/>
      <c r="CL93" s="560"/>
      <c r="CM93" s="67"/>
      <c r="CN93" s="67">
        <f>SUM(CN94:CN96)</f>
        <v>0</v>
      </c>
      <c r="CO93" s="67"/>
      <c r="CP93" s="67"/>
      <c r="CQ93" s="560"/>
      <c r="CR93" s="67"/>
      <c r="CS93" s="67">
        <f>SUM(CS94:CS96)</f>
        <v>0</v>
      </c>
      <c r="CT93" s="67"/>
      <c r="CU93" s="67"/>
      <c r="CV93" s="560"/>
      <c r="CW93" s="67"/>
      <c r="CX93" s="67">
        <f>SUM(CX94:CX96)</f>
        <v>0</v>
      </c>
      <c r="CY93" s="67"/>
      <c r="CZ93" s="67"/>
      <c r="DA93" s="560"/>
      <c r="DB93" s="67"/>
      <c r="DC93" s="67">
        <f>SUM(DC94:DC96)</f>
        <v>0</v>
      </c>
      <c r="DD93" s="67"/>
      <c r="DE93" s="67"/>
      <c r="DF93" s="560"/>
      <c r="DG93" s="67"/>
      <c r="DH93" s="67">
        <f>SUM(DH94:DH96)</f>
        <v>0</v>
      </c>
      <c r="DI93" s="67"/>
      <c r="DJ93" s="67"/>
      <c r="DK93" s="560"/>
      <c r="DL93" s="67"/>
      <c r="DM93" s="67">
        <f>SUM(DM94:DM96)</f>
        <v>0</v>
      </c>
      <c r="DN93" s="67"/>
      <c r="DO93" s="67"/>
      <c r="DP93" s="560"/>
      <c r="DQ93" s="67"/>
      <c r="DR93" s="67">
        <f>SUM(DR94:DR96)</f>
        <v>0</v>
      </c>
      <c r="DS93" s="67"/>
      <c r="DT93" s="67"/>
      <c r="DU93" s="560"/>
      <c r="DV93" s="67"/>
      <c r="DW93" s="67">
        <f>SUM(DW94:DW96)</f>
        <v>0</v>
      </c>
      <c r="DX93" s="67"/>
      <c r="DY93" s="67"/>
      <c r="DZ93" s="560"/>
      <c r="EA93" s="67"/>
      <c r="EB93" s="67">
        <f>SUM(EB94:EB96)</f>
        <v>0</v>
      </c>
      <c r="EC93" s="67"/>
      <c r="ED93" s="67"/>
      <c r="EE93" s="560"/>
      <c r="EF93" s="67"/>
      <c r="EG93" s="67">
        <f>SUM(EG94:EG96)</f>
        <v>0</v>
      </c>
      <c r="EH93" s="67"/>
      <c r="EI93" s="67"/>
      <c r="EJ93" s="560"/>
      <c r="EK93" s="67"/>
      <c r="EL93" s="67">
        <f>SUM(EL94:EL96)</f>
        <v>0</v>
      </c>
      <c r="EM93" s="67"/>
      <c r="EN93" s="67"/>
      <c r="EO93" s="455"/>
    </row>
    <row r="94" spans="1:145" ht="12.75" hidden="1" customHeight="1" x14ac:dyDescent="0.2">
      <c r="A94" s="442"/>
      <c r="B94" s="442"/>
      <c r="C94" s="442"/>
      <c r="D94" s="455" t="s">
        <v>342</v>
      </c>
      <c r="E94" s="465"/>
      <c r="F94" s="473"/>
      <c r="G94" s="558">
        <v>0</v>
      </c>
      <c r="H94" s="559"/>
      <c r="I94" s="67"/>
      <c r="J94" s="560"/>
      <c r="K94" s="561"/>
      <c r="L94" s="558">
        <v>0</v>
      </c>
      <c r="M94" s="559"/>
      <c r="N94" s="67"/>
      <c r="O94" s="560"/>
      <c r="P94" s="561"/>
      <c r="Q94" s="558">
        <v>0</v>
      </c>
      <c r="R94" s="559"/>
      <c r="S94" s="67"/>
      <c r="T94" s="560"/>
      <c r="U94" s="561"/>
      <c r="V94" s="558">
        <v>0</v>
      </c>
      <c r="W94" s="559"/>
      <c r="X94" s="67"/>
      <c r="Y94" s="560"/>
      <c r="Z94" s="561"/>
      <c r="AA94" s="558">
        <v>0</v>
      </c>
      <c r="AB94" s="559"/>
      <c r="AC94" s="67"/>
      <c r="AD94" s="560"/>
      <c r="AE94" s="561"/>
      <c r="AF94" s="558">
        <v>0</v>
      </c>
      <c r="AG94" s="559"/>
      <c r="AH94" s="67"/>
      <c r="AI94" s="560"/>
      <c r="AJ94" s="561"/>
      <c r="AK94" s="558">
        <v>0</v>
      </c>
      <c r="AL94" s="559"/>
      <c r="AM94" s="67"/>
      <c r="AN94" s="560"/>
      <c r="AO94" s="561"/>
      <c r="AP94" s="558">
        <v>0</v>
      </c>
      <c r="AQ94" s="559"/>
      <c r="AR94" s="67"/>
      <c r="AS94" s="560"/>
      <c r="AT94" s="561"/>
      <c r="AU94" s="558">
        <v>0</v>
      </c>
      <c r="AV94" s="559"/>
      <c r="AW94" s="67"/>
      <c r="AX94" s="560"/>
      <c r="AY94" s="561"/>
      <c r="AZ94" s="558">
        <v>0</v>
      </c>
      <c r="BA94" s="559"/>
      <c r="BB94" s="67"/>
      <c r="BC94" s="560"/>
      <c r="BD94" s="561"/>
      <c r="BE94" s="558">
        <v>0</v>
      </c>
      <c r="BF94" s="559"/>
      <c r="BG94" s="67"/>
      <c r="BH94" s="560"/>
      <c r="BI94" s="561"/>
      <c r="BJ94" s="558">
        <v>0</v>
      </c>
      <c r="BK94" s="559"/>
      <c r="BL94" s="67"/>
      <c r="BM94" s="560"/>
      <c r="BN94" s="561"/>
      <c r="BO94" s="558">
        <v>0</v>
      </c>
      <c r="BP94" s="559"/>
      <c r="BQ94" s="67"/>
      <c r="BR94" s="560"/>
      <c r="BS94" s="561"/>
      <c r="BT94" s="558">
        <f>SUM(L94:BO94)</f>
        <v>0</v>
      </c>
      <c r="BU94" s="559"/>
      <c r="BV94" s="67"/>
      <c r="BW94" s="560"/>
      <c r="BX94" s="561"/>
      <c r="BY94" s="558">
        <f>SUM(Q94:BT94)</f>
        <v>0</v>
      </c>
      <c r="BZ94" s="559"/>
      <c r="CA94" s="67"/>
      <c r="CB94" s="560"/>
      <c r="CC94" s="561"/>
      <c r="CD94" s="558">
        <v>0</v>
      </c>
      <c r="CE94" s="559"/>
      <c r="CF94" s="67"/>
      <c r="CG94" s="560"/>
      <c r="CH94" s="561"/>
      <c r="CI94" s="558">
        <v>0</v>
      </c>
      <c r="CJ94" s="559"/>
      <c r="CK94" s="67"/>
      <c r="CL94" s="560"/>
      <c r="CM94" s="561"/>
      <c r="CN94" s="558">
        <v>0</v>
      </c>
      <c r="CO94" s="559"/>
      <c r="CP94" s="67"/>
      <c r="CQ94" s="560"/>
      <c r="CR94" s="561"/>
      <c r="CS94" s="558">
        <v>0</v>
      </c>
      <c r="CT94" s="559"/>
      <c r="CU94" s="67"/>
      <c r="CV94" s="560"/>
      <c r="CW94" s="561"/>
      <c r="CX94" s="558">
        <v>0</v>
      </c>
      <c r="CY94" s="559"/>
      <c r="CZ94" s="67"/>
      <c r="DA94" s="560"/>
      <c r="DB94" s="561"/>
      <c r="DC94" s="558">
        <v>0</v>
      </c>
      <c r="DD94" s="559"/>
      <c r="DE94" s="67"/>
      <c r="DF94" s="560"/>
      <c r="DG94" s="561"/>
      <c r="DH94" s="558">
        <v>0</v>
      </c>
      <c r="DI94" s="559"/>
      <c r="DJ94" s="67"/>
      <c r="DK94" s="560"/>
      <c r="DL94" s="561"/>
      <c r="DM94" s="558">
        <v>0</v>
      </c>
      <c r="DN94" s="559"/>
      <c r="DO94" s="67"/>
      <c r="DP94" s="560"/>
      <c r="DQ94" s="561"/>
      <c r="DR94" s="558">
        <v>0</v>
      </c>
      <c r="DS94" s="559"/>
      <c r="DT94" s="67"/>
      <c r="DU94" s="560"/>
      <c r="DV94" s="561"/>
      <c r="DW94" s="558">
        <v>0</v>
      </c>
      <c r="DX94" s="559"/>
      <c r="DY94" s="67"/>
      <c r="DZ94" s="560"/>
      <c r="EA94" s="561"/>
      <c r="EB94" s="558">
        <v>0</v>
      </c>
      <c r="EC94" s="559"/>
      <c r="ED94" s="67"/>
      <c r="EE94" s="560"/>
      <c r="EF94" s="561"/>
      <c r="EG94" s="558">
        <v>0</v>
      </c>
      <c r="EH94" s="559"/>
      <c r="EI94" s="67"/>
      <c r="EJ94" s="560"/>
      <c r="EK94" s="561"/>
      <c r="EL94" s="558">
        <f>SUM(CD94:EG94)</f>
        <v>0</v>
      </c>
      <c r="EM94" s="559"/>
      <c r="EN94" s="67"/>
      <c r="EO94" s="455"/>
    </row>
    <row r="95" spans="1:145" ht="12.75" hidden="1" customHeight="1" x14ac:dyDescent="0.2">
      <c r="A95" s="442"/>
      <c r="B95" s="442"/>
      <c r="C95" s="442"/>
      <c r="D95" s="455" t="s">
        <v>344</v>
      </c>
      <c r="E95" s="465"/>
      <c r="F95" s="465"/>
      <c r="G95" s="67">
        <v>0</v>
      </c>
      <c r="H95" s="66"/>
      <c r="I95" s="67"/>
      <c r="J95" s="560"/>
      <c r="K95" s="560"/>
      <c r="L95" s="67">
        <v>0</v>
      </c>
      <c r="M95" s="66"/>
      <c r="N95" s="67"/>
      <c r="O95" s="560"/>
      <c r="P95" s="560"/>
      <c r="Q95" s="67">
        <v>0</v>
      </c>
      <c r="R95" s="66"/>
      <c r="S95" s="67"/>
      <c r="T95" s="560"/>
      <c r="U95" s="560"/>
      <c r="V95" s="67">
        <v>0</v>
      </c>
      <c r="W95" s="66"/>
      <c r="X95" s="67"/>
      <c r="Y95" s="560"/>
      <c r="Z95" s="560"/>
      <c r="AA95" s="67">
        <v>0</v>
      </c>
      <c r="AB95" s="66"/>
      <c r="AC95" s="67"/>
      <c r="AD95" s="560"/>
      <c r="AE95" s="560"/>
      <c r="AF95" s="67">
        <v>0</v>
      </c>
      <c r="AG95" s="66"/>
      <c r="AH95" s="67"/>
      <c r="AI95" s="560"/>
      <c r="AJ95" s="560"/>
      <c r="AK95" s="67">
        <v>0</v>
      </c>
      <c r="AL95" s="66"/>
      <c r="AM95" s="67"/>
      <c r="AN95" s="560"/>
      <c r="AO95" s="560"/>
      <c r="AP95" s="67">
        <v>0</v>
      </c>
      <c r="AQ95" s="66"/>
      <c r="AR95" s="67"/>
      <c r="AS95" s="560"/>
      <c r="AT95" s="560"/>
      <c r="AU95" s="67">
        <v>0</v>
      </c>
      <c r="AV95" s="66"/>
      <c r="AW95" s="67"/>
      <c r="AX95" s="560"/>
      <c r="AY95" s="560"/>
      <c r="AZ95" s="67">
        <v>0</v>
      </c>
      <c r="BA95" s="66"/>
      <c r="BB95" s="67"/>
      <c r="BC95" s="560"/>
      <c r="BD95" s="560"/>
      <c r="BE95" s="67">
        <v>0</v>
      </c>
      <c r="BF95" s="66"/>
      <c r="BG95" s="67"/>
      <c r="BH95" s="560"/>
      <c r="BI95" s="560"/>
      <c r="BJ95" s="67">
        <v>0</v>
      </c>
      <c r="BK95" s="66"/>
      <c r="BL95" s="67"/>
      <c r="BM95" s="560"/>
      <c r="BN95" s="560"/>
      <c r="BO95" s="67">
        <v>0</v>
      </c>
      <c r="BP95" s="66"/>
      <c r="BQ95" s="67"/>
      <c r="BR95" s="560"/>
      <c r="BS95" s="560"/>
      <c r="BT95" s="67">
        <f>SUM(L95:BO95)</f>
        <v>0</v>
      </c>
      <c r="BU95" s="66"/>
      <c r="BV95" s="67"/>
      <c r="BW95" s="560"/>
      <c r="BX95" s="560"/>
      <c r="BY95" s="67">
        <f>SUM(Q95:BT95)</f>
        <v>0</v>
      </c>
      <c r="BZ95" s="66"/>
      <c r="CA95" s="67"/>
      <c r="CB95" s="560"/>
      <c r="CC95" s="560"/>
      <c r="CD95" s="67">
        <v>0</v>
      </c>
      <c r="CE95" s="66"/>
      <c r="CF95" s="67"/>
      <c r="CG95" s="560"/>
      <c r="CH95" s="560"/>
      <c r="CI95" s="67">
        <v>0</v>
      </c>
      <c r="CJ95" s="66"/>
      <c r="CK95" s="67"/>
      <c r="CL95" s="560"/>
      <c r="CM95" s="560"/>
      <c r="CN95" s="67">
        <v>0</v>
      </c>
      <c r="CO95" s="66"/>
      <c r="CP95" s="67"/>
      <c r="CQ95" s="560"/>
      <c r="CR95" s="560"/>
      <c r="CS95" s="67">
        <v>0</v>
      </c>
      <c r="CT95" s="66"/>
      <c r="CU95" s="67"/>
      <c r="CV95" s="560"/>
      <c r="CW95" s="560"/>
      <c r="CX95" s="67">
        <v>0</v>
      </c>
      <c r="CY95" s="66"/>
      <c r="CZ95" s="67"/>
      <c r="DA95" s="560"/>
      <c r="DB95" s="560"/>
      <c r="DC95" s="67">
        <v>0</v>
      </c>
      <c r="DD95" s="66"/>
      <c r="DE95" s="67"/>
      <c r="DF95" s="560"/>
      <c r="DG95" s="560"/>
      <c r="DH95" s="67">
        <v>0</v>
      </c>
      <c r="DI95" s="66"/>
      <c r="DJ95" s="67"/>
      <c r="DK95" s="560"/>
      <c r="DL95" s="560"/>
      <c r="DM95" s="67">
        <v>0</v>
      </c>
      <c r="DN95" s="66"/>
      <c r="DO95" s="67"/>
      <c r="DP95" s="560"/>
      <c r="DQ95" s="560"/>
      <c r="DR95" s="67">
        <v>0</v>
      </c>
      <c r="DS95" s="66"/>
      <c r="DT95" s="67"/>
      <c r="DU95" s="560"/>
      <c r="DV95" s="560"/>
      <c r="DW95" s="67">
        <v>0</v>
      </c>
      <c r="DX95" s="66"/>
      <c r="DY95" s="67"/>
      <c r="DZ95" s="560"/>
      <c r="EA95" s="560"/>
      <c r="EB95" s="67">
        <v>0</v>
      </c>
      <c r="EC95" s="66"/>
      <c r="ED95" s="67"/>
      <c r="EE95" s="560"/>
      <c r="EF95" s="560"/>
      <c r="EG95" s="67">
        <v>0</v>
      </c>
      <c r="EH95" s="66"/>
      <c r="EI95" s="67"/>
      <c r="EJ95" s="560"/>
      <c r="EK95" s="560"/>
      <c r="EL95" s="67">
        <f>SUM(CD95:EG95)</f>
        <v>0</v>
      </c>
      <c r="EM95" s="66"/>
      <c r="EN95" s="67"/>
      <c r="EO95" s="455"/>
    </row>
    <row r="96" spans="1:145" ht="12.75" hidden="1" customHeight="1" x14ac:dyDescent="0.2">
      <c r="A96" s="442"/>
      <c r="B96" s="442"/>
      <c r="C96" s="442"/>
      <c r="D96" s="455" t="s">
        <v>352</v>
      </c>
      <c r="E96" s="465"/>
      <c r="F96" s="488"/>
      <c r="G96" s="113">
        <v>0</v>
      </c>
      <c r="H96" s="112"/>
      <c r="I96" s="67"/>
      <c r="J96" s="560"/>
      <c r="K96" s="569"/>
      <c r="L96" s="113">
        <v>0</v>
      </c>
      <c r="M96" s="112"/>
      <c r="N96" s="67"/>
      <c r="O96" s="560"/>
      <c r="P96" s="569"/>
      <c r="Q96" s="113">
        <v>0</v>
      </c>
      <c r="R96" s="112"/>
      <c r="S96" s="67"/>
      <c r="T96" s="560"/>
      <c r="U96" s="569"/>
      <c r="V96" s="113">
        <v>0</v>
      </c>
      <c r="W96" s="112"/>
      <c r="X96" s="67"/>
      <c r="Y96" s="560"/>
      <c r="Z96" s="569"/>
      <c r="AA96" s="113">
        <v>0</v>
      </c>
      <c r="AB96" s="112"/>
      <c r="AC96" s="67"/>
      <c r="AD96" s="560"/>
      <c r="AE96" s="569"/>
      <c r="AF96" s="113">
        <v>0</v>
      </c>
      <c r="AG96" s="112"/>
      <c r="AH96" s="67"/>
      <c r="AI96" s="560"/>
      <c r="AJ96" s="569"/>
      <c r="AK96" s="113">
        <v>0</v>
      </c>
      <c r="AL96" s="112"/>
      <c r="AM96" s="67"/>
      <c r="AN96" s="560"/>
      <c r="AO96" s="569"/>
      <c r="AP96" s="113">
        <v>0</v>
      </c>
      <c r="AQ96" s="112"/>
      <c r="AR96" s="67"/>
      <c r="AS96" s="560"/>
      <c r="AT96" s="569"/>
      <c r="AU96" s="113">
        <v>0</v>
      </c>
      <c r="AV96" s="112"/>
      <c r="AW96" s="67"/>
      <c r="AX96" s="560"/>
      <c r="AY96" s="569"/>
      <c r="AZ96" s="113">
        <v>0</v>
      </c>
      <c r="BA96" s="112"/>
      <c r="BB96" s="67"/>
      <c r="BC96" s="560"/>
      <c r="BD96" s="569"/>
      <c r="BE96" s="113">
        <v>0</v>
      </c>
      <c r="BF96" s="112"/>
      <c r="BG96" s="67"/>
      <c r="BH96" s="560"/>
      <c r="BI96" s="569"/>
      <c r="BJ96" s="113">
        <v>0</v>
      </c>
      <c r="BK96" s="112"/>
      <c r="BL96" s="67"/>
      <c r="BM96" s="560"/>
      <c r="BN96" s="569"/>
      <c r="BO96" s="113">
        <v>0</v>
      </c>
      <c r="BP96" s="112"/>
      <c r="BQ96" s="67"/>
      <c r="BR96" s="560"/>
      <c r="BS96" s="569"/>
      <c r="BT96" s="113">
        <f>SUM(L96:BO96)</f>
        <v>0</v>
      </c>
      <c r="BU96" s="112"/>
      <c r="BV96" s="67"/>
      <c r="BW96" s="560"/>
      <c r="BX96" s="569"/>
      <c r="BY96" s="113">
        <f>SUM(Q96:BT96)</f>
        <v>0</v>
      </c>
      <c r="BZ96" s="112"/>
      <c r="CA96" s="67"/>
      <c r="CB96" s="560"/>
      <c r="CC96" s="569"/>
      <c r="CD96" s="113">
        <v>0</v>
      </c>
      <c r="CE96" s="112"/>
      <c r="CF96" s="67"/>
      <c r="CG96" s="560"/>
      <c r="CH96" s="569"/>
      <c r="CI96" s="113">
        <v>0</v>
      </c>
      <c r="CJ96" s="112"/>
      <c r="CK96" s="67"/>
      <c r="CL96" s="560"/>
      <c r="CM96" s="569"/>
      <c r="CN96" s="113">
        <v>0</v>
      </c>
      <c r="CO96" s="112"/>
      <c r="CP96" s="67"/>
      <c r="CQ96" s="560"/>
      <c r="CR96" s="569"/>
      <c r="CS96" s="113">
        <v>0</v>
      </c>
      <c r="CT96" s="112"/>
      <c r="CU96" s="67"/>
      <c r="CV96" s="560"/>
      <c r="CW96" s="569"/>
      <c r="CX96" s="113">
        <v>0</v>
      </c>
      <c r="CY96" s="112"/>
      <c r="CZ96" s="67"/>
      <c r="DA96" s="560"/>
      <c r="DB96" s="569"/>
      <c r="DC96" s="113">
        <v>0</v>
      </c>
      <c r="DD96" s="112"/>
      <c r="DE96" s="67"/>
      <c r="DF96" s="560"/>
      <c r="DG96" s="569"/>
      <c r="DH96" s="113">
        <v>0</v>
      </c>
      <c r="DI96" s="112"/>
      <c r="DJ96" s="67"/>
      <c r="DK96" s="560"/>
      <c r="DL96" s="569"/>
      <c r="DM96" s="113">
        <v>0</v>
      </c>
      <c r="DN96" s="112"/>
      <c r="DO96" s="67"/>
      <c r="DP96" s="560"/>
      <c r="DQ96" s="569"/>
      <c r="DR96" s="113">
        <v>0</v>
      </c>
      <c r="DS96" s="112"/>
      <c r="DT96" s="67"/>
      <c r="DU96" s="560"/>
      <c r="DV96" s="569"/>
      <c r="DW96" s="113">
        <v>0</v>
      </c>
      <c r="DX96" s="112"/>
      <c r="DY96" s="67"/>
      <c r="DZ96" s="560"/>
      <c r="EA96" s="569"/>
      <c r="EB96" s="113">
        <v>0</v>
      </c>
      <c r="EC96" s="112"/>
      <c r="ED96" s="67"/>
      <c r="EE96" s="560"/>
      <c r="EF96" s="569"/>
      <c r="EG96" s="113">
        <v>0</v>
      </c>
      <c r="EH96" s="112"/>
      <c r="EI96" s="67"/>
      <c r="EJ96" s="560"/>
      <c r="EK96" s="569"/>
      <c r="EL96" s="113">
        <f>SUM(CD96:EG96)</f>
        <v>0</v>
      </c>
      <c r="EM96" s="112"/>
      <c r="EN96" s="67"/>
      <c r="EO96" s="455"/>
    </row>
    <row r="97" spans="1:145" ht="12.75" hidden="1" customHeight="1" x14ac:dyDescent="0.2">
      <c r="A97" s="442"/>
      <c r="B97" s="442"/>
      <c r="C97" s="442"/>
      <c r="D97" s="455"/>
      <c r="E97" s="465"/>
      <c r="F97" s="442"/>
      <c r="G97" s="67"/>
      <c r="H97" s="67"/>
      <c r="I97" s="67"/>
      <c r="J97" s="560"/>
      <c r="K97" s="67"/>
      <c r="L97" s="67"/>
      <c r="M97" s="67"/>
      <c r="N97" s="67"/>
      <c r="O97" s="560"/>
      <c r="P97" s="67"/>
      <c r="Q97" s="67"/>
      <c r="R97" s="67"/>
      <c r="S97" s="67"/>
      <c r="T97" s="560"/>
      <c r="U97" s="67"/>
      <c r="V97" s="67"/>
      <c r="W97" s="67"/>
      <c r="X97" s="67"/>
      <c r="Y97" s="560"/>
      <c r="Z97" s="67"/>
      <c r="AA97" s="67"/>
      <c r="AB97" s="67"/>
      <c r="AC97" s="67"/>
      <c r="AD97" s="560"/>
      <c r="AE97" s="67"/>
      <c r="AF97" s="67"/>
      <c r="AG97" s="67"/>
      <c r="AH97" s="67"/>
      <c r="AI97" s="560"/>
      <c r="AJ97" s="67"/>
      <c r="AK97" s="67"/>
      <c r="AL97" s="67"/>
      <c r="AM97" s="67"/>
      <c r="AN97" s="560"/>
      <c r="AO97" s="67"/>
      <c r="AP97" s="67"/>
      <c r="AQ97" s="67"/>
      <c r="AR97" s="67"/>
      <c r="AS97" s="560"/>
      <c r="AT97" s="67"/>
      <c r="AU97" s="67"/>
      <c r="AV97" s="67"/>
      <c r="AW97" s="67"/>
      <c r="AX97" s="560"/>
      <c r="AY97" s="67"/>
      <c r="AZ97" s="67"/>
      <c r="BA97" s="67"/>
      <c r="BB97" s="67"/>
      <c r="BC97" s="560"/>
      <c r="BD97" s="67"/>
      <c r="BE97" s="67"/>
      <c r="BF97" s="67"/>
      <c r="BG97" s="67"/>
      <c r="BH97" s="560"/>
      <c r="BI97" s="67"/>
      <c r="BJ97" s="67"/>
      <c r="BK97" s="67"/>
      <c r="BL97" s="67"/>
      <c r="BM97" s="560"/>
      <c r="BN97" s="67"/>
      <c r="BO97" s="67"/>
      <c r="BP97" s="67"/>
      <c r="BQ97" s="67"/>
      <c r="BR97" s="560"/>
      <c r="BS97" s="67"/>
      <c r="BT97" s="67"/>
      <c r="BU97" s="67"/>
      <c r="BV97" s="67"/>
      <c r="BW97" s="560"/>
      <c r="BX97" s="67"/>
      <c r="BY97" s="67"/>
      <c r="BZ97" s="67"/>
      <c r="CA97" s="67"/>
      <c r="CB97" s="560"/>
      <c r="CC97" s="67"/>
      <c r="CD97" s="67"/>
      <c r="CE97" s="67"/>
      <c r="CF97" s="67"/>
      <c r="CG97" s="560"/>
      <c r="CH97" s="67"/>
      <c r="CI97" s="67"/>
      <c r="CJ97" s="67"/>
      <c r="CK97" s="67"/>
      <c r="CL97" s="560"/>
      <c r="CM97" s="67"/>
      <c r="CN97" s="67"/>
      <c r="CO97" s="67"/>
      <c r="CP97" s="67"/>
      <c r="CQ97" s="560"/>
      <c r="CR97" s="67"/>
      <c r="CS97" s="67"/>
      <c r="CT97" s="67"/>
      <c r="CU97" s="67"/>
      <c r="CV97" s="560"/>
      <c r="CW97" s="67"/>
      <c r="CX97" s="67"/>
      <c r="CY97" s="67"/>
      <c r="CZ97" s="67"/>
      <c r="DA97" s="560"/>
      <c r="DB97" s="67"/>
      <c r="DC97" s="67"/>
      <c r="DD97" s="67"/>
      <c r="DE97" s="67"/>
      <c r="DF97" s="560"/>
      <c r="DG97" s="67"/>
      <c r="DH97" s="67"/>
      <c r="DI97" s="67"/>
      <c r="DJ97" s="67"/>
      <c r="DK97" s="560"/>
      <c r="DL97" s="67"/>
      <c r="DM97" s="67"/>
      <c r="DN97" s="67"/>
      <c r="DO97" s="67"/>
      <c r="DP97" s="560"/>
      <c r="DQ97" s="67"/>
      <c r="DR97" s="67"/>
      <c r="DS97" s="67"/>
      <c r="DT97" s="67"/>
      <c r="DU97" s="560"/>
      <c r="DV97" s="67"/>
      <c r="DW97" s="67"/>
      <c r="DX97" s="67"/>
      <c r="DY97" s="67"/>
      <c r="DZ97" s="560"/>
      <c r="EA97" s="67"/>
      <c r="EB97" s="67"/>
      <c r="EC97" s="67"/>
      <c r="ED97" s="67"/>
      <c r="EE97" s="560"/>
      <c r="EF97" s="67"/>
      <c r="EG97" s="67"/>
      <c r="EH97" s="67"/>
      <c r="EI97" s="67"/>
      <c r="EJ97" s="560"/>
      <c r="EK97" s="67"/>
      <c r="EL97" s="67"/>
      <c r="EM97" s="67"/>
      <c r="EN97" s="67"/>
      <c r="EO97" s="455"/>
    </row>
    <row r="98" spans="1:145" ht="12.75" hidden="1" customHeight="1" x14ac:dyDescent="0.2">
      <c r="A98" s="442"/>
      <c r="B98" s="442"/>
      <c r="C98" s="442"/>
      <c r="D98" s="455" t="s">
        <v>463</v>
      </c>
      <c r="E98" s="465"/>
      <c r="F98" s="442"/>
      <c r="G98" s="67">
        <v>0</v>
      </c>
      <c r="H98" s="67"/>
      <c r="I98" s="67"/>
      <c r="J98" s="560"/>
      <c r="K98" s="67"/>
      <c r="L98" s="67">
        <f>SUM(L99:L101)</f>
        <v>0</v>
      </c>
      <c r="M98" s="67"/>
      <c r="N98" s="67"/>
      <c r="O98" s="560"/>
      <c r="P98" s="67"/>
      <c r="Q98" s="67">
        <f>SUM(Q99:Q101)</f>
        <v>0</v>
      </c>
      <c r="R98" s="67"/>
      <c r="S98" s="67"/>
      <c r="T98" s="560"/>
      <c r="U98" s="67"/>
      <c r="V98" s="67">
        <f>SUM(V99:V101)</f>
        <v>0</v>
      </c>
      <c r="W98" s="67"/>
      <c r="X98" s="67"/>
      <c r="Y98" s="560"/>
      <c r="Z98" s="67"/>
      <c r="AA98" s="67">
        <f>SUM(AA99:AA101)</f>
        <v>0</v>
      </c>
      <c r="AB98" s="67"/>
      <c r="AC98" s="67"/>
      <c r="AD98" s="560"/>
      <c r="AE98" s="67"/>
      <c r="AF98" s="67">
        <f>SUM(AF99:AF101)</f>
        <v>0</v>
      </c>
      <c r="AG98" s="67"/>
      <c r="AH98" s="67"/>
      <c r="AI98" s="560"/>
      <c r="AJ98" s="67"/>
      <c r="AK98" s="67">
        <f>SUM(AK99:AK101)</f>
        <v>0</v>
      </c>
      <c r="AL98" s="67"/>
      <c r="AM98" s="67"/>
      <c r="AN98" s="560"/>
      <c r="AO98" s="67"/>
      <c r="AP98" s="67">
        <f>SUM(AP99:AP101)</f>
        <v>0</v>
      </c>
      <c r="AQ98" s="67"/>
      <c r="AR98" s="67"/>
      <c r="AS98" s="560"/>
      <c r="AT98" s="67"/>
      <c r="AU98" s="67">
        <f>SUM(AU99:AU101)</f>
        <v>0</v>
      </c>
      <c r="AV98" s="67"/>
      <c r="AW98" s="67"/>
      <c r="AX98" s="560"/>
      <c r="AY98" s="67"/>
      <c r="AZ98" s="67">
        <f>SUM(AZ99:AZ101)</f>
        <v>0</v>
      </c>
      <c r="BA98" s="67"/>
      <c r="BB98" s="67"/>
      <c r="BC98" s="560"/>
      <c r="BD98" s="67"/>
      <c r="BE98" s="67">
        <f>SUM(BE99:BE101)</f>
        <v>0</v>
      </c>
      <c r="BF98" s="67"/>
      <c r="BG98" s="67"/>
      <c r="BH98" s="560"/>
      <c r="BI98" s="67"/>
      <c r="BJ98" s="67">
        <f>SUM(BJ99:BJ101)</f>
        <v>0</v>
      </c>
      <c r="BK98" s="67"/>
      <c r="BL98" s="67"/>
      <c r="BM98" s="560"/>
      <c r="BN98" s="67"/>
      <c r="BO98" s="67">
        <f>SUM(BO99:BO101)</f>
        <v>0</v>
      </c>
      <c r="BP98" s="67"/>
      <c r="BQ98" s="67"/>
      <c r="BR98" s="560"/>
      <c r="BS98" s="67"/>
      <c r="BT98" s="67">
        <f>SUM(BT99:BT101)</f>
        <v>0</v>
      </c>
      <c r="BU98" s="67"/>
      <c r="BV98" s="67"/>
      <c r="BW98" s="560"/>
      <c r="BX98" s="67"/>
      <c r="BY98" s="67">
        <f>SUM(BY99:BY101)</f>
        <v>0</v>
      </c>
      <c r="BZ98" s="67"/>
      <c r="CA98" s="67"/>
      <c r="CB98" s="560"/>
      <c r="CC98" s="67"/>
      <c r="CD98" s="67">
        <f>SUM(CD99:CD101)</f>
        <v>0</v>
      </c>
      <c r="CE98" s="67"/>
      <c r="CF98" s="67"/>
      <c r="CG98" s="560"/>
      <c r="CH98" s="67"/>
      <c r="CI98" s="67">
        <f>SUM(CI99:CI101)</f>
        <v>0</v>
      </c>
      <c r="CJ98" s="67"/>
      <c r="CK98" s="67"/>
      <c r="CL98" s="560"/>
      <c r="CM98" s="67"/>
      <c r="CN98" s="67">
        <f>SUM(CN99:CN101)</f>
        <v>0</v>
      </c>
      <c r="CO98" s="67"/>
      <c r="CP98" s="67"/>
      <c r="CQ98" s="560"/>
      <c r="CR98" s="67"/>
      <c r="CS98" s="67">
        <f>SUM(CS99:CS101)</f>
        <v>0</v>
      </c>
      <c r="CT98" s="67"/>
      <c r="CU98" s="67"/>
      <c r="CV98" s="560"/>
      <c r="CW98" s="67"/>
      <c r="CX98" s="67">
        <f>SUM(CX99:CX101)</f>
        <v>0</v>
      </c>
      <c r="CY98" s="67"/>
      <c r="CZ98" s="67"/>
      <c r="DA98" s="560"/>
      <c r="DB98" s="67"/>
      <c r="DC98" s="67">
        <f>SUM(DC99:DC101)</f>
        <v>0</v>
      </c>
      <c r="DD98" s="67"/>
      <c r="DE98" s="67"/>
      <c r="DF98" s="560"/>
      <c r="DG98" s="67"/>
      <c r="DH98" s="67">
        <f>SUM(DH99:DH101)</f>
        <v>0</v>
      </c>
      <c r="DI98" s="67"/>
      <c r="DJ98" s="67"/>
      <c r="DK98" s="560"/>
      <c r="DL98" s="67"/>
      <c r="DM98" s="67">
        <f>SUM(DM99:DM101)</f>
        <v>0</v>
      </c>
      <c r="DN98" s="67"/>
      <c r="DO98" s="67"/>
      <c r="DP98" s="560"/>
      <c r="DQ98" s="67"/>
      <c r="DR98" s="67">
        <f>SUM(DR99:DR101)</f>
        <v>0</v>
      </c>
      <c r="DS98" s="67"/>
      <c r="DT98" s="67"/>
      <c r="DU98" s="560"/>
      <c r="DV98" s="67"/>
      <c r="DW98" s="67">
        <f>SUM(DW99:DW101)</f>
        <v>0</v>
      </c>
      <c r="DX98" s="67"/>
      <c r="DY98" s="67"/>
      <c r="DZ98" s="560"/>
      <c r="EA98" s="67"/>
      <c r="EB98" s="67">
        <f>SUM(EB99:EB101)</f>
        <v>0</v>
      </c>
      <c r="EC98" s="67"/>
      <c r="ED98" s="67"/>
      <c r="EE98" s="560"/>
      <c r="EF98" s="67"/>
      <c r="EG98" s="67">
        <f>SUM(EG99:EG101)</f>
        <v>0</v>
      </c>
      <c r="EH98" s="67"/>
      <c r="EI98" s="67"/>
      <c r="EJ98" s="560"/>
      <c r="EK98" s="67"/>
      <c r="EL98" s="67">
        <f>SUM(EL99:EL101)</f>
        <v>0</v>
      </c>
      <c r="EM98" s="67"/>
      <c r="EN98" s="67"/>
      <c r="EO98" s="455"/>
    </row>
    <row r="99" spans="1:145" ht="12.75" hidden="1" customHeight="1" x14ac:dyDescent="0.2">
      <c r="A99" s="442"/>
      <c r="B99" s="442"/>
      <c r="C99" s="442"/>
      <c r="D99" s="455" t="s">
        <v>342</v>
      </c>
      <c r="E99" s="465"/>
      <c r="F99" s="473"/>
      <c r="G99" s="558">
        <v>0</v>
      </c>
      <c r="H99" s="559"/>
      <c r="I99" s="67"/>
      <c r="J99" s="560"/>
      <c r="K99" s="561"/>
      <c r="L99" s="558">
        <v>0</v>
      </c>
      <c r="M99" s="559"/>
      <c r="N99" s="67"/>
      <c r="O99" s="560"/>
      <c r="P99" s="561"/>
      <c r="Q99" s="558">
        <v>0</v>
      </c>
      <c r="R99" s="559"/>
      <c r="S99" s="67"/>
      <c r="T99" s="560"/>
      <c r="U99" s="561"/>
      <c r="V99" s="558">
        <v>0</v>
      </c>
      <c r="W99" s="559"/>
      <c r="X99" s="67"/>
      <c r="Y99" s="560"/>
      <c r="Z99" s="561"/>
      <c r="AA99" s="558">
        <v>0</v>
      </c>
      <c r="AB99" s="559"/>
      <c r="AC99" s="67"/>
      <c r="AD99" s="560"/>
      <c r="AE99" s="561"/>
      <c r="AF99" s="558">
        <v>0</v>
      </c>
      <c r="AG99" s="559"/>
      <c r="AH99" s="67"/>
      <c r="AI99" s="560"/>
      <c r="AJ99" s="561"/>
      <c r="AK99" s="558">
        <v>0</v>
      </c>
      <c r="AL99" s="559"/>
      <c r="AM99" s="67"/>
      <c r="AN99" s="560"/>
      <c r="AO99" s="561"/>
      <c r="AP99" s="558">
        <v>0</v>
      </c>
      <c r="AQ99" s="559"/>
      <c r="AR99" s="67"/>
      <c r="AS99" s="560"/>
      <c r="AT99" s="561"/>
      <c r="AU99" s="558">
        <v>0</v>
      </c>
      <c r="AV99" s="559"/>
      <c r="AW99" s="67"/>
      <c r="AX99" s="560"/>
      <c r="AY99" s="561"/>
      <c r="AZ99" s="558">
        <v>0</v>
      </c>
      <c r="BA99" s="559"/>
      <c r="BB99" s="67"/>
      <c r="BC99" s="560"/>
      <c r="BD99" s="561"/>
      <c r="BE99" s="558">
        <v>0</v>
      </c>
      <c r="BF99" s="559"/>
      <c r="BG99" s="67"/>
      <c r="BH99" s="560"/>
      <c r="BI99" s="561"/>
      <c r="BJ99" s="558">
        <v>0</v>
      </c>
      <c r="BK99" s="559"/>
      <c r="BL99" s="67"/>
      <c r="BM99" s="560"/>
      <c r="BN99" s="561"/>
      <c r="BO99" s="558">
        <v>0</v>
      </c>
      <c r="BP99" s="559"/>
      <c r="BQ99" s="67"/>
      <c r="BR99" s="560"/>
      <c r="BS99" s="561"/>
      <c r="BT99" s="558">
        <f>SUM(L99:BO99)</f>
        <v>0</v>
      </c>
      <c r="BU99" s="559"/>
      <c r="BV99" s="67"/>
      <c r="BW99" s="560"/>
      <c r="BX99" s="561"/>
      <c r="BY99" s="558">
        <f>SUM(Q99:BT99)</f>
        <v>0</v>
      </c>
      <c r="BZ99" s="559"/>
      <c r="CA99" s="67"/>
      <c r="CB99" s="560"/>
      <c r="CC99" s="561"/>
      <c r="CD99" s="558">
        <v>0</v>
      </c>
      <c r="CE99" s="559"/>
      <c r="CF99" s="67"/>
      <c r="CG99" s="560"/>
      <c r="CH99" s="561"/>
      <c r="CI99" s="558">
        <v>0</v>
      </c>
      <c r="CJ99" s="559"/>
      <c r="CK99" s="67"/>
      <c r="CL99" s="560"/>
      <c r="CM99" s="561"/>
      <c r="CN99" s="558">
        <v>0</v>
      </c>
      <c r="CO99" s="559"/>
      <c r="CP99" s="67"/>
      <c r="CQ99" s="560"/>
      <c r="CR99" s="561"/>
      <c r="CS99" s="558">
        <v>0</v>
      </c>
      <c r="CT99" s="559"/>
      <c r="CU99" s="67"/>
      <c r="CV99" s="560"/>
      <c r="CW99" s="561"/>
      <c r="CX99" s="558">
        <v>0</v>
      </c>
      <c r="CY99" s="559"/>
      <c r="CZ99" s="67"/>
      <c r="DA99" s="560"/>
      <c r="DB99" s="561"/>
      <c r="DC99" s="558">
        <v>0</v>
      </c>
      <c r="DD99" s="559"/>
      <c r="DE99" s="67"/>
      <c r="DF99" s="560"/>
      <c r="DG99" s="561"/>
      <c r="DH99" s="558">
        <v>0</v>
      </c>
      <c r="DI99" s="559"/>
      <c r="DJ99" s="67"/>
      <c r="DK99" s="560"/>
      <c r="DL99" s="561"/>
      <c r="DM99" s="558">
        <v>0</v>
      </c>
      <c r="DN99" s="559"/>
      <c r="DO99" s="67"/>
      <c r="DP99" s="560"/>
      <c r="DQ99" s="561"/>
      <c r="DR99" s="558">
        <v>0</v>
      </c>
      <c r="DS99" s="559"/>
      <c r="DT99" s="67"/>
      <c r="DU99" s="560"/>
      <c r="DV99" s="561"/>
      <c r="DW99" s="558">
        <v>0</v>
      </c>
      <c r="DX99" s="559"/>
      <c r="DY99" s="67"/>
      <c r="DZ99" s="560"/>
      <c r="EA99" s="561"/>
      <c r="EB99" s="558">
        <v>0</v>
      </c>
      <c r="EC99" s="559"/>
      <c r="ED99" s="67"/>
      <c r="EE99" s="560"/>
      <c r="EF99" s="561"/>
      <c r="EG99" s="558">
        <v>0</v>
      </c>
      <c r="EH99" s="559"/>
      <c r="EI99" s="67"/>
      <c r="EJ99" s="560"/>
      <c r="EK99" s="561"/>
      <c r="EL99" s="558">
        <f>SUM(CD99:EG99)</f>
        <v>0</v>
      </c>
      <c r="EM99" s="559"/>
      <c r="EN99" s="67"/>
      <c r="EO99" s="455"/>
    </row>
    <row r="100" spans="1:145" ht="12.75" hidden="1" customHeight="1" x14ac:dyDescent="0.2">
      <c r="A100" s="442"/>
      <c r="B100" s="442"/>
      <c r="C100" s="442"/>
      <c r="D100" s="455" t="s">
        <v>344</v>
      </c>
      <c r="E100" s="465"/>
      <c r="F100" s="465"/>
      <c r="G100" s="67">
        <v>0</v>
      </c>
      <c r="H100" s="66"/>
      <c r="I100" s="67"/>
      <c r="J100" s="560"/>
      <c r="K100" s="560"/>
      <c r="L100" s="67">
        <v>0</v>
      </c>
      <c r="M100" s="66"/>
      <c r="N100" s="67"/>
      <c r="O100" s="560"/>
      <c r="P100" s="560"/>
      <c r="Q100" s="67">
        <v>0</v>
      </c>
      <c r="R100" s="66"/>
      <c r="S100" s="67"/>
      <c r="T100" s="560"/>
      <c r="U100" s="560"/>
      <c r="V100" s="67">
        <v>0</v>
      </c>
      <c r="W100" s="66"/>
      <c r="X100" s="67"/>
      <c r="Y100" s="560"/>
      <c r="Z100" s="560"/>
      <c r="AA100" s="67">
        <v>0</v>
      </c>
      <c r="AB100" s="66"/>
      <c r="AC100" s="67"/>
      <c r="AD100" s="560"/>
      <c r="AE100" s="560"/>
      <c r="AF100" s="67">
        <v>0</v>
      </c>
      <c r="AG100" s="66"/>
      <c r="AH100" s="67"/>
      <c r="AI100" s="560"/>
      <c r="AJ100" s="560"/>
      <c r="AK100" s="67">
        <v>0</v>
      </c>
      <c r="AL100" s="66"/>
      <c r="AM100" s="67"/>
      <c r="AN100" s="560"/>
      <c r="AO100" s="560"/>
      <c r="AP100" s="67">
        <v>0</v>
      </c>
      <c r="AQ100" s="66"/>
      <c r="AR100" s="67"/>
      <c r="AS100" s="560"/>
      <c r="AT100" s="560"/>
      <c r="AU100" s="67">
        <v>0</v>
      </c>
      <c r="AV100" s="66"/>
      <c r="AW100" s="67"/>
      <c r="AX100" s="560"/>
      <c r="AY100" s="560"/>
      <c r="AZ100" s="67">
        <v>0</v>
      </c>
      <c r="BA100" s="66"/>
      <c r="BB100" s="67"/>
      <c r="BC100" s="560"/>
      <c r="BD100" s="560"/>
      <c r="BE100" s="67">
        <v>0</v>
      </c>
      <c r="BF100" s="66"/>
      <c r="BG100" s="67"/>
      <c r="BH100" s="560"/>
      <c r="BI100" s="560"/>
      <c r="BJ100" s="67">
        <v>0</v>
      </c>
      <c r="BK100" s="66"/>
      <c r="BL100" s="67"/>
      <c r="BM100" s="560"/>
      <c r="BN100" s="560"/>
      <c r="BO100" s="67">
        <v>0</v>
      </c>
      <c r="BP100" s="66"/>
      <c r="BQ100" s="67"/>
      <c r="BR100" s="560"/>
      <c r="BS100" s="560"/>
      <c r="BT100" s="67">
        <f>SUM(L100:BO100)</f>
        <v>0</v>
      </c>
      <c r="BU100" s="66"/>
      <c r="BV100" s="67"/>
      <c r="BW100" s="560"/>
      <c r="BX100" s="560"/>
      <c r="BY100" s="67">
        <f>SUM(Q100:BT100)</f>
        <v>0</v>
      </c>
      <c r="BZ100" s="66"/>
      <c r="CA100" s="67"/>
      <c r="CB100" s="560"/>
      <c r="CC100" s="560"/>
      <c r="CD100" s="67">
        <v>0</v>
      </c>
      <c r="CE100" s="66"/>
      <c r="CF100" s="67"/>
      <c r="CG100" s="560"/>
      <c r="CH100" s="560"/>
      <c r="CI100" s="67">
        <v>0</v>
      </c>
      <c r="CJ100" s="66"/>
      <c r="CK100" s="67"/>
      <c r="CL100" s="560"/>
      <c r="CM100" s="560"/>
      <c r="CN100" s="67">
        <v>0</v>
      </c>
      <c r="CO100" s="66"/>
      <c r="CP100" s="67"/>
      <c r="CQ100" s="560"/>
      <c r="CR100" s="560"/>
      <c r="CS100" s="67">
        <v>0</v>
      </c>
      <c r="CT100" s="66"/>
      <c r="CU100" s="67"/>
      <c r="CV100" s="560"/>
      <c r="CW100" s="560"/>
      <c r="CX100" s="67">
        <v>0</v>
      </c>
      <c r="CY100" s="66"/>
      <c r="CZ100" s="67"/>
      <c r="DA100" s="560"/>
      <c r="DB100" s="560"/>
      <c r="DC100" s="67">
        <v>0</v>
      </c>
      <c r="DD100" s="66"/>
      <c r="DE100" s="67"/>
      <c r="DF100" s="560"/>
      <c r="DG100" s="560"/>
      <c r="DH100" s="67">
        <v>0</v>
      </c>
      <c r="DI100" s="66"/>
      <c r="DJ100" s="67"/>
      <c r="DK100" s="560"/>
      <c r="DL100" s="560"/>
      <c r="DM100" s="67">
        <v>0</v>
      </c>
      <c r="DN100" s="66"/>
      <c r="DO100" s="67"/>
      <c r="DP100" s="560"/>
      <c r="DQ100" s="560"/>
      <c r="DR100" s="67">
        <v>0</v>
      </c>
      <c r="DS100" s="66"/>
      <c r="DT100" s="67"/>
      <c r="DU100" s="560"/>
      <c r="DV100" s="560"/>
      <c r="DW100" s="67">
        <v>0</v>
      </c>
      <c r="DX100" s="66"/>
      <c r="DY100" s="67"/>
      <c r="DZ100" s="560"/>
      <c r="EA100" s="560"/>
      <c r="EB100" s="67">
        <v>0</v>
      </c>
      <c r="EC100" s="66"/>
      <c r="ED100" s="67"/>
      <c r="EE100" s="560"/>
      <c r="EF100" s="560"/>
      <c r="EG100" s="67">
        <v>0</v>
      </c>
      <c r="EH100" s="66"/>
      <c r="EI100" s="67"/>
      <c r="EJ100" s="560"/>
      <c r="EK100" s="560"/>
      <c r="EL100" s="67">
        <f>SUM(CD100:EG100)</f>
        <v>0</v>
      </c>
      <c r="EM100" s="66"/>
      <c r="EN100" s="67"/>
      <c r="EO100" s="455"/>
    </row>
    <row r="101" spans="1:145" ht="12.75" hidden="1" customHeight="1" x14ac:dyDescent="0.2">
      <c r="A101" s="442"/>
      <c r="B101" s="442"/>
      <c r="C101" s="442"/>
      <c r="D101" s="455" t="s">
        <v>352</v>
      </c>
      <c r="E101" s="465"/>
      <c r="F101" s="488"/>
      <c r="G101" s="113">
        <v>0</v>
      </c>
      <c r="H101" s="112"/>
      <c r="I101" s="67"/>
      <c r="J101" s="560"/>
      <c r="K101" s="569"/>
      <c r="L101" s="113">
        <v>0</v>
      </c>
      <c r="M101" s="112"/>
      <c r="N101" s="67"/>
      <c r="O101" s="560"/>
      <c r="P101" s="569"/>
      <c r="Q101" s="113">
        <v>0</v>
      </c>
      <c r="R101" s="112"/>
      <c r="S101" s="67"/>
      <c r="T101" s="560"/>
      <c r="U101" s="569"/>
      <c r="V101" s="113">
        <v>0</v>
      </c>
      <c r="W101" s="112"/>
      <c r="X101" s="67"/>
      <c r="Y101" s="560"/>
      <c r="Z101" s="569"/>
      <c r="AA101" s="113">
        <v>0</v>
      </c>
      <c r="AB101" s="112"/>
      <c r="AC101" s="67"/>
      <c r="AD101" s="560"/>
      <c r="AE101" s="569"/>
      <c r="AF101" s="113">
        <v>0</v>
      </c>
      <c r="AG101" s="112"/>
      <c r="AH101" s="67"/>
      <c r="AI101" s="560"/>
      <c r="AJ101" s="569"/>
      <c r="AK101" s="113">
        <v>0</v>
      </c>
      <c r="AL101" s="112"/>
      <c r="AM101" s="67"/>
      <c r="AN101" s="560"/>
      <c r="AO101" s="569"/>
      <c r="AP101" s="113">
        <v>0</v>
      </c>
      <c r="AQ101" s="112"/>
      <c r="AR101" s="67"/>
      <c r="AS101" s="560"/>
      <c r="AT101" s="569"/>
      <c r="AU101" s="113">
        <v>0</v>
      </c>
      <c r="AV101" s="112"/>
      <c r="AW101" s="67"/>
      <c r="AX101" s="560"/>
      <c r="AY101" s="569"/>
      <c r="AZ101" s="113">
        <v>0</v>
      </c>
      <c r="BA101" s="112"/>
      <c r="BB101" s="67"/>
      <c r="BC101" s="560"/>
      <c r="BD101" s="569"/>
      <c r="BE101" s="113">
        <v>0</v>
      </c>
      <c r="BF101" s="112"/>
      <c r="BG101" s="67"/>
      <c r="BH101" s="560"/>
      <c r="BI101" s="569"/>
      <c r="BJ101" s="113">
        <v>0</v>
      </c>
      <c r="BK101" s="112"/>
      <c r="BL101" s="67"/>
      <c r="BM101" s="560"/>
      <c r="BN101" s="569"/>
      <c r="BO101" s="113">
        <v>0</v>
      </c>
      <c r="BP101" s="112"/>
      <c r="BQ101" s="67"/>
      <c r="BR101" s="560"/>
      <c r="BS101" s="569"/>
      <c r="BT101" s="113">
        <f>SUM(L101:BO101)</f>
        <v>0</v>
      </c>
      <c r="BU101" s="112"/>
      <c r="BV101" s="67"/>
      <c r="BW101" s="560"/>
      <c r="BX101" s="569"/>
      <c r="BY101" s="113">
        <f>SUM(Q101:BT101)</f>
        <v>0</v>
      </c>
      <c r="BZ101" s="112"/>
      <c r="CA101" s="67"/>
      <c r="CB101" s="560"/>
      <c r="CC101" s="569"/>
      <c r="CD101" s="113">
        <v>0</v>
      </c>
      <c r="CE101" s="112"/>
      <c r="CF101" s="67"/>
      <c r="CG101" s="560"/>
      <c r="CH101" s="569"/>
      <c r="CI101" s="113">
        <v>0</v>
      </c>
      <c r="CJ101" s="112"/>
      <c r="CK101" s="67"/>
      <c r="CL101" s="560"/>
      <c r="CM101" s="569"/>
      <c r="CN101" s="113">
        <v>0</v>
      </c>
      <c r="CO101" s="112"/>
      <c r="CP101" s="67"/>
      <c r="CQ101" s="560"/>
      <c r="CR101" s="569"/>
      <c r="CS101" s="113">
        <v>0</v>
      </c>
      <c r="CT101" s="112"/>
      <c r="CU101" s="67"/>
      <c r="CV101" s="560"/>
      <c r="CW101" s="569"/>
      <c r="CX101" s="113">
        <v>0</v>
      </c>
      <c r="CY101" s="112"/>
      <c r="CZ101" s="67"/>
      <c r="DA101" s="560"/>
      <c r="DB101" s="569"/>
      <c r="DC101" s="113">
        <v>0</v>
      </c>
      <c r="DD101" s="112"/>
      <c r="DE101" s="67"/>
      <c r="DF101" s="560"/>
      <c r="DG101" s="569"/>
      <c r="DH101" s="113">
        <v>0</v>
      </c>
      <c r="DI101" s="112"/>
      <c r="DJ101" s="67"/>
      <c r="DK101" s="560"/>
      <c r="DL101" s="569"/>
      <c r="DM101" s="113">
        <v>0</v>
      </c>
      <c r="DN101" s="112"/>
      <c r="DO101" s="67"/>
      <c r="DP101" s="560"/>
      <c r="DQ101" s="569"/>
      <c r="DR101" s="113">
        <v>0</v>
      </c>
      <c r="DS101" s="112"/>
      <c r="DT101" s="67"/>
      <c r="DU101" s="560"/>
      <c r="DV101" s="569"/>
      <c r="DW101" s="113">
        <v>0</v>
      </c>
      <c r="DX101" s="112"/>
      <c r="DY101" s="67"/>
      <c r="DZ101" s="560"/>
      <c r="EA101" s="569"/>
      <c r="EB101" s="113">
        <v>0</v>
      </c>
      <c r="EC101" s="112"/>
      <c r="ED101" s="67"/>
      <c r="EE101" s="560"/>
      <c r="EF101" s="569"/>
      <c r="EG101" s="113">
        <v>0</v>
      </c>
      <c r="EH101" s="112"/>
      <c r="EI101" s="67"/>
      <c r="EJ101" s="560"/>
      <c r="EK101" s="569"/>
      <c r="EL101" s="113">
        <f>SUM(CD101:EG101)</f>
        <v>0</v>
      </c>
      <c r="EM101" s="112"/>
      <c r="EN101" s="67"/>
      <c r="EO101" s="455"/>
    </row>
    <row r="102" spans="1:145" x14ac:dyDescent="0.2">
      <c r="A102" s="442"/>
      <c r="B102" s="442"/>
      <c r="C102" s="442"/>
      <c r="D102" s="455"/>
      <c r="E102" s="465"/>
      <c r="F102" s="442"/>
      <c r="G102" s="67"/>
      <c r="H102" s="67"/>
      <c r="I102" s="67"/>
      <c r="J102" s="560"/>
      <c r="K102" s="67"/>
      <c r="L102" s="67"/>
      <c r="M102" s="67"/>
      <c r="N102" s="67"/>
      <c r="O102" s="560"/>
      <c r="P102" s="67"/>
      <c r="Q102" s="67"/>
      <c r="R102" s="67"/>
      <c r="S102" s="67"/>
      <c r="T102" s="560"/>
      <c r="U102" s="67"/>
      <c r="V102" s="67"/>
      <c r="W102" s="67"/>
      <c r="X102" s="67"/>
      <c r="Y102" s="560"/>
      <c r="Z102" s="67"/>
      <c r="AA102" s="67"/>
      <c r="AB102" s="67"/>
      <c r="AC102" s="67"/>
      <c r="AD102" s="560"/>
      <c r="AE102" s="67"/>
      <c r="AF102" s="67"/>
      <c r="AG102" s="67"/>
      <c r="AH102" s="67"/>
      <c r="AI102" s="560"/>
      <c r="AJ102" s="67"/>
      <c r="AK102" s="67"/>
      <c r="AL102" s="67"/>
      <c r="AM102" s="67"/>
      <c r="AN102" s="560"/>
      <c r="AO102" s="67"/>
      <c r="AP102" s="67"/>
      <c r="AQ102" s="67"/>
      <c r="AR102" s="67"/>
      <c r="AS102" s="560"/>
      <c r="AT102" s="67"/>
      <c r="AU102" s="67"/>
      <c r="AV102" s="67"/>
      <c r="AW102" s="67"/>
      <c r="AX102" s="560"/>
      <c r="AY102" s="67"/>
      <c r="AZ102" s="67"/>
      <c r="BA102" s="67"/>
      <c r="BB102" s="67"/>
      <c r="BC102" s="560"/>
      <c r="BD102" s="67"/>
      <c r="BE102" s="67"/>
      <c r="BF102" s="67"/>
      <c r="BG102" s="67"/>
      <c r="BH102" s="560"/>
      <c r="BI102" s="67"/>
      <c r="BJ102" s="67"/>
      <c r="BK102" s="67"/>
      <c r="BL102" s="67"/>
      <c r="BM102" s="560"/>
      <c r="BN102" s="67"/>
      <c r="BO102" s="67"/>
      <c r="BP102" s="67"/>
      <c r="BQ102" s="67"/>
      <c r="BR102" s="560"/>
      <c r="BS102" s="67"/>
      <c r="BT102" s="67"/>
      <c r="BU102" s="67"/>
      <c r="BV102" s="67"/>
      <c r="BW102" s="560"/>
      <c r="BX102" s="67"/>
      <c r="BY102" s="67"/>
      <c r="BZ102" s="67"/>
      <c r="CA102" s="67"/>
      <c r="CB102" s="560"/>
      <c r="CC102" s="67"/>
      <c r="CD102" s="67"/>
      <c r="CE102" s="67"/>
      <c r="CF102" s="67"/>
      <c r="CG102" s="560"/>
      <c r="CH102" s="67"/>
      <c r="CI102" s="67"/>
      <c r="CJ102" s="67"/>
      <c r="CK102" s="67"/>
      <c r="CL102" s="560"/>
      <c r="CM102" s="67"/>
      <c r="CN102" s="67"/>
      <c r="CO102" s="67"/>
      <c r="CP102" s="67"/>
      <c r="CQ102" s="560"/>
      <c r="CR102" s="67"/>
      <c r="CS102" s="67"/>
      <c r="CT102" s="67"/>
      <c r="CU102" s="67"/>
      <c r="CV102" s="560"/>
      <c r="CW102" s="67"/>
      <c r="CX102" s="67"/>
      <c r="CY102" s="67"/>
      <c r="CZ102" s="67"/>
      <c r="DA102" s="560"/>
      <c r="DB102" s="67"/>
      <c r="DC102" s="67"/>
      <c r="DD102" s="67"/>
      <c r="DE102" s="67"/>
      <c r="DF102" s="560"/>
      <c r="DG102" s="67"/>
      <c r="DH102" s="67"/>
      <c r="DI102" s="67"/>
      <c r="DJ102" s="67"/>
      <c r="DK102" s="560"/>
      <c r="DL102" s="67"/>
      <c r="DM102" s="67"/>
      <c r="DN102" s="67"/>
      <c r="DO102" s="67"/>
      <c r="DP102" s="560"/>
      <c r="DQ102" s="67"/>
      <c r="DR102" s="67"/>
      <c r="DS102" s="67"/>
      <c r="DT102" s="67"/>
      <c r="DU102" s="560"/>
      <c r="DV102" s="67"/>
      <c r="DW102" s="67"/>
      <c r="DX102" s="67"/>
      <c r="DY102" s="67"/>
      <c r="DZ102" s="560"/>
      <c r="EA102" s="67"/>
      <c r="EB102" s="67"/>
      <c r="EC102" s="67"/>
      <c r="ED102" s="67"/>
      <c r="EE102" s="560"/>
      <c r="EF102" s="67"/>
      <c r="EG102" s="67"/>
      <c r="EH102" s="67"/>
      <c r="EI102" s="67"/>
      <c r="EJ102" s="560"/>
      <c r="EK102" s="67"/>
      <c r="EL102" s="67"/>
      <c r="EM102" s="67"/>
      <c r="EN102" s="67"/>
      <c r="EO102" s="455"/>
    </row>
    <row r="103" spans="1:145" x14ac:dyDescent="0.2">
      <c r="A103" s="442"/>
      <c r="B103" s="442"/>
      <c r="D103" s="466" t="s">
        <v>464</v>
      </c>
      <c r="E103" s="465"/>
      <c r="F103" s="442"/>
      <c r="G103" s="471">
        <f>SUM(G104:G106)</f>
        <v>12234000</v>
      </c>
      <c r="H103" s="442"/>
      <c r="I103" s="442"/>
      <c r="J103" s="465"/>
      <c r="K103" s="442"/>
      <c r="L103" s="443">
        <f>SUM(L104:L106)</f>
        <v>777665</v>
      </c>
      <c r="M103" s="442"/>
      <c r="N103" s="442"/>
      <c r="O103" s="465"/>
      <c r="P103" s="442"/>
      <c r="Q103" s="443">
        <f>SUM(Q104:Q106)</f>
        <v>4931986</v>
      </c>
      <c r="R103" s="442"/>
      <c r="S103" s="442"/>
      <c r="T103" s="465"/>
      <c r="U103" s="442"/>
      <c r="V103" s="443">
        <f>SUM(V104:V106)</f>
        <v>0</v>
      </c>
      <c r="W103" s="442"/>
      <c r="X103" s="442"/>
      <c r="Y103" s="465"/>
      <c r="Z103" s="442"/>
      <c r="AA103" s="443">
        <f>SUM(AA104:AA106)</f>
        <v>0</v>
      </c>
      <c r="AB103" s="442"/>
      <c r="AC103" s="442"/>
      <c r="AD103" s="465"/>
      <c r="AE103" s="442"/>
      <c r="AF103" s="443">
        <f>SUM(AF104:AF106)</f>
        <v>0</v>
      </c>
      <c r="AG103" s="442"/>
      <c r="AH103" s="442"/>
      <c r="AI103" s="465"/>
      <c r="AJ103" s="442"/>
      <c r="AK103" s="443">
        <f>SUM(AK104:AK106)</f>
        <v>0</v>
      </c>
      <c r="AL103" s="442"/>
      <c r="AM103" s="442"/>
      <c r="AN103" s="465"/>
      <c r="AO103" s="442"/>
      <c r="AP103" s="443">
        <f>SUM(AP104:AP106)</f>
        <v>0</v>
      </c>
      <c r="AQ103" s="442"/>
      <c r="AR103" s="442"/>
      <c r="AS103" s="465"/>
      <c r="AT103" s="442"/>
      <c r="AU103" s="443">
        <f>SUM(AU104:AU106)</f>
        <v>0</v>
      </c>
      <c r="AV103" s="442"/>
      <c r="AW103" s="442"/>
      <c r="AX103" s="465"/>
      <c r="AY103" s="442"/>
      <c r="AZ103" s="443">
        <f>SUM(AZ104:AZ106)</f>
        <v>0</v>
      </c>
      <c r="BA103" s="442"/>
      <c r="BB103" s="442"/>
      <c r="BC103" s="465"/>
      <c r="BD103" s="442"/>
      <c r="BE103" s="443">
        <f>SUM(BE104:BE106)</f>
        <v>0</v>
      </c>
      <c r="BF103" s="442"/>
      <c r="BG103" s="442"/>
      <c r="BH103" s="465"/>
      <c r="BI103" s="442"/>
      <c r="BJ103" s="443">
        <f>SUM(BJ104:BJ106)</f>
        <v>0</v>
      </c>
      <c r="BK103" s="442"/>
      <c r="BL103" s="442"/>
      <c r="BM103" s="465"/>
      <c r="BN103" s="442"/>
      <c r="BO103" s="443">
        <f>SUM(BO104:BO106)</f>
        <v>0</v>
      </c>
      <c r="BP103" s="442"/>
      <c r="BQ103" s="442"/>
      <c r="BR103" s="465"/>
      <c r="BS103" s="442"/>
      <c r="BT103" s="443">
        <f>SUM(BT104:BT106)</f>
        <v>5709651</v>
      </c>
      <c r="BU103" s="442"/>
      <c r="BV103" s="442"/>
      <c r="BW103" s="465"/>
      <c r="BX103" s="442"/>
      <c r="BY103" s="443">
        <f>SUM(BY104:BY106)</f>
        <v>51228957</v>
      </c>
      <c r="BZ103" s="442"/>
      <c r="CA103" s="442"/>
      <c r="CB103" s="465"/>
      <c r="CC103" s="442"/>
      <c r="CD103" s="443">
        <f>SUM(CD104:CD106)</f>
        <v>628449</v>
      </c>
      <c r="CE103" s="442"/>
      <c r="CF103" s="442"/>
      <c r="CG103" s="465"/>
      <c r="CH103" s="442"/>
      <c r="CI103" s="443">
        <f>SUM(CI104:CI106)</f>
        <v>25247385</v>
      </c>
      <c r="CJ103" s="442"/>
      <c r="CK103" s="442"/>
      <c r="CL103" s="465"/>
      <c r="CM103" s="442"/>
      <c r="CN103" s="443">
        <f>SUM(CN104:CN106)</f>
        <v>0</v>
      </c>
      <c r="CO103" s="442"/>
      <c r="CP103" s="442"/>
      <c r="CQ103" s="465"/>
      <c r="CR103" s="442"/>
      <c r="CS103" s="443">
        <f>SUM(CS104:CS106)</f>
        <v>0</v>
      </c>
      <c r="CT103" s="442"/>
      <c r="CU103" s="442"/>
      <c r="CV103" s="465"/>
      <c r="CW103" s="442"/>
      <c r="CX103" s="443">
        <f>SUM(CX104:CX106)</f>
        <v>0</v>
      </c>
      <c r="CY103" s="442"/>
      <c r="CZ103" s="442"/>
      <c r="DA103" s="465"/>
      <c r="DB103" s="442"/>
      <c r="DC103" s="443">
        <f>SUM(DC104:DC106)</f>
        <v>0</v>
      </c>
      <c r="DD103" s="442"/>
      <c r="DE103" s="442"/>
      <c r="DF103" s="465"/>
      <c r="DG103" s="442"/>
      <c r="DH103" s="443">
        <f>SUM(DH104:DH106)</f>
        <v>654491</v>
      </c>
      <c r="DI103" s="442"/>
      <c r="DJ103" s="442"/>
      <c r="DK103" s="465"/>
      <c r="DL103" s="442"/>
      <c r="DM103" s="443">
        <f>SUM(DM104:DM106)</f>
        <v>6365</v>
      </c>
      <c r="DN103" s="442"/>
      <c r="DO103" s="442"/>
      <c r="DP103" s="465"/>
      <c r="DQ103" s="442"/>
      <c r="DR103" s="443">
        <f>SUM(DR104:DR106)</f>
        <v>0</v>
      </c>
      <c r="DS103" s="442"/>
      <c r="DT103" s="442"/>
      <c r="DU103" s="465"/>
      <c r="DV103" s="442"/>
      <c r="DW103" s="443">
        <f>SUM(DW104:DW106)</f>
        <v>0</v>
      </c>
      <c r="DX103" s="442"/>
      <c r="DY103" s="442"/>
      <c r="DZ103" s="465"/>
      <c r="EA103" s="442"/>
      <c r="EB103" s="443">
        <f>SUM(EB104:EB106)</f>
        <v>0</v>
      </c>
      <c r="EC103" s="442"/>
      <c r="ED103" s="442"/>
      <c r="EE103" s="465"/>
      <c r="EF103" s="442"/>
      <c r="EG103" s="443">
        <f>SUM(EG104:EG106)</f>
        <v>24692267</v>
      </c>
      <c r="EH103" s="442"/>
      <c r="EI103" s="442"/>
      <c r="EJ103" s="465"/>
      <c r="EK103" s="442"/>
      <c r="EL103" s="443">
        <f>SUM(EL104:EL106)</f>
        <v>25875834</v>
      </c>
      <c r="EM103" s="442"/>
      <c r="EN103" s="442"/>
      <c r="EO103" s="455"/>
    </row>
    <row r="104" spans="1:145" x14ac:dyDescent="0.2">
      <c r="A104" s="442"/>
      <c r="B104" s="442"/>
      <c r="D104" s="319" t="s">
        <v>465</v>
      </c>
      <c r="E104" s="465"/>
      <c r="F104" s="473"/>
      <c r="G104" s="478">
        <f>G108</f>
        <v>12234000</v>
      </c>
      <c r="H104" s="475"/>
      <c r="I104" s="442"/>
      <c r="J104" s="465"/>
      <c r="K104" s="473"/>
      <c r="L104" s="474">
        <f>L108</f>
        <v>777665</v>
      </c>
      <c r="M104" s="475"/>
      <c r="N104" s="442"/>
      <c r="O104" s="465"/>
      <c r="P104" s="473"/>
      <c r="Q104" s="474">
        <f>Q108</f>
        <v>4931986</v>
      </c>
      <c r="R104" s="475"/>
      <c r="S104" s="442"/>
      <c r="T104" s="465"/>
      <c r="U104" s="473"/>
      <c r="V104" s="474">
        <f>V108</f>
        <v>0</v>
      </c>
      <c r="W104" s="475"/>
      <c r="X104" s="442"/>
      <c r="Y104" s="465"/>
      <c r="Z104" s="473"/>
      <c r="AA104" s="474">
        <f>AA108</f>
        <v>0</v>
      </c>
      <c r="AB104" s="475"/>
      <c r="AC104" s="442"/>
      <c r="AD104" s="465"/>
      <c r="AE104" s="473"/>
      <c r="AF104" s="474">
        <f>AF108</f>
        <v>0</v>
      </c>
      <c r="AG104" s="475"/>
      <c r="AH104" s="442"/>
      <c r="AI104" s="465"/>
      <c r="AJ104" s="473"/>
      <c r="AK104" s="474">
        <f>AK108</f>
        <v>0</v>
      </c>
      <c r="AL104" s="475"/>
      <c r="AM104" s="442"/>
      <c r="AN104" s="465"/>
      <c r="AO104" s="473"/>
      <c r="AP104" s="474">
        <f>AP108</f>
        <v>0</v>
      </c>
      <c r="AQ104" s="475"/>
      <c r="AR104" s="442"/>
      <c r="AS104" s="465"/>
      <c r="AT104" s="473"/>
      <c r="AU104" s="478">
        <f>AU108</f>
        <v>0</v>
      </c>
      <c r="AV104" s="475"/>
      <c r="AW104" s="442"/>
      <c r="AX104" s="465"/>
      <c r="AY104" s="473"/>
      <c r="AZ104" s="478">
        <f>AZ108</f>
        <v>0</v>
      </c>
      <c r="BA104" s="475"/>
      <c r="BB104" s="442"/>
      <c r="BC104" s="465"/>
      <c r="BD104" s="473"/>
      <c r="BE104" s="478">
        <f>BE108</f>
        <v>0</v>
      </c>
      <c r="BF104" s="475"/>
      <c r="BG104" s="442"/>
      <c r="BH104" s="465"/>
      <c r="BI104" s="473"/>
      <c r="BJ104" s="478">
        <f>BJ108</f>
        <v>0</v>
      </c>
      <c r="BK104" s="475"/>
      <c r="BL104" s="442"/>
      <c r="BM104" s="465"/>
      <c r="BN104" s="473"/>
      <c r="BO104" s="478">
        <f>BO108</f>
        <v>0</v>
      </c>
      <c r="BP104" s="475"/>
      <c r="BQ104" s="442"/>
      <c r="BR104" s="465"/>
      <c r="BS104" s="473"/>
      <c r="BT104" s="474">
        <f>BT108</f>
        <v>5709651</v>
      </c>
      <c r="BU104" s="475"/>
      <c r="BV104" s="442"/>
      <c r="BW104" s="465"/>
      <c r="BX104" s="473"/>
      <c r="BY104" s="474">
        <f>BY108</f>
        <v>51228957</v>
      </c>
      <c r="BZ104" s="475"/>
      <c r="CA104" s="442"/>
      <c r="CB104" s="465"/>
      <c r="CC104" s="473"/>
      <c r="CD104" s="474">
        <f>CD108</f>
        <v>628449</v>
      </c>
      <c r="CE104" s="475"/>
      <c r="CF104" s="442"/>
      <c r="CG104" s="465"/>
      <c r="CH104" s="473"/>
      <c r="CI104" s="474">
        <f>CI108</f>
        <v>25247385</v>
      </c>
      <c r="CJ104" s="475"/>
      <c r="CK104" s="442"/>
      <c r="CL104" s="465"/>
      <c r="CM104" s="473"/>
      <c r="CN104" s="474">
        <f>CN108</f>
        <v>0</v>
      </c>
      <c r="CO104" s="475"/>
      <c r="CP104" s="442"/>
      <c r="CQ104" s="465"/>
      <c r="CR104" s="473"/>
      <c r="CS104" s="474">
        <f>CS108</f>
        <v>0</v>
      </c>
      <c r="CT104" s="475"/>
      <c r="CU104" s="442"/>
      <c r="CV104" s="465"/>
      <c r="CW104" s="473"/>
      <c r="CX104" s="474">
        <f>CX108</f>
        <v>0</v>
      </c>
      <c r="CY104" s="475"/>
      <c r="CZ104" s="442"/>
      <c r="DA104" s="465"/>
      <c r="DB104" s="473"/>
      <c r="DC104" s="474">
        <f>DC108</f>
        <v>0</v>
      </c>
      <c r="DD104" s="475"/>
      <c r="DE104" s="442"/>
      <c r="DF104" s="465"/>
      <c r="DG104" s="473"/>
      <c r="DH104" s="474">
        <f>DH108</f>
        <v>654491</v>
      </c>
      <c r="DI104" s="475"/>
      <c r="DJ104" s="442"/>
      <c r="DK104" s="465"/>
      <c r="DL104" s="473"/>
      <c r="DM104" s="478">
        <f>DM108</f>
        <v>6365</v>
      </c>
      <c r="DN104" s="475"/>
      <c r="DO104" s="442"/>
      <c r="DP104" s="465"/>
      <c r="DQ104" s="473"/>
      <c r="DR104" s="478">
        <f>DR108</f>
        <v>0</v>
      </c>
      <c r="DS104" s="475"/>
      <c r="DT104" s="442"/>
      <c r="DU104" s="465"/>
      <c r="DV104" s="473"/>
      <c r="DW104" s="478">
        <f>DW108</f>
        <v>0</v>
      </c>
      <c r="DX104" s="475"/>
      <c r="DY104" s="442"/>
      <c r="DZ104" s="465"/>
      <c r="EA104" s="473"/>
      <c r="EB104" s="478">
        <f>EB108</f>
        <v>0</v>
      </c>
      <c r="EC104" s="475"/>
      <c r="ED104" s="442"/>
      <c r="EE104" s="465"/>
      <c r="EF104" s="473"/>
      <c r="EG104" s="478">
        <f>EG108</f>
        <v>24692267</v>
      </c>
      <c r="EH104" s="475"/>
      <c r="EI104" s="442"/>
      <c r="EJ104" s="465"/>
      <c r="EK104" s="473"/>
      <c r="EL104" s="474">
        <f>EL108</f>
        <v>25875834</v>
      </c>
      <c r="EM104" s="475"/>
      <c r="EN104" s="442"/>
      <c r="EO104" s="455"/>
    </row>
    <row r="105" spans="1:145" x14ac:dyDescent="0.2">
      <c r="A105" s="442"/>
      <c r="B105" s="442"/>
      <c r="D105" s="319" t="s">
        <v>466</v>
      </c>
      <c r="E105" s="465"/>
      <c r="F105" s="465"/>
      <c r="G105" s="486">
        <f>G156</f>
        <v>0</v>
      </c>
      <c r="H105" s="480"/>
      <c r="I105" s="442"/>
      <c r="J105" s="465"/>
      <c r="K105" s="465"/>
      <c r="L105" s="442">
        <f>L156</f>
        <v>0</v>
      </c>
      <c r="M105" s="480"/>
      <c r="N105" s="442"/>
      <c r="O105" s="465"/>
      <c r="P105" s="465"/>
      <c r="Q105" s="442">
        <f>Q156</f>
        <v>0</v>
      </c>
      <c r="R105" s="480"/>
      <c r="S105" s="442"/>
      <c r="T105" s="465"/>
      <c r="U105" s="465"/>
      <c r="V105" s="442">
        <f>V156</f>
        <v>0</v>
      </c>
      <c r="W105" s="480"/>
      <c r="X105" s="442"/>
      <c r="Y105" s="465"/>
      <c r="Z105" s="465"/>
      <c r="AA105" s="442">
        <f>AA156</f>
        <v>0</v>
      </c>
      <c r="AB105" s="480"/>
      <c r="AC105" s="442"/>
      <c r="AD105" s="465"/>
      <c r="AE105" s="465"/>
      <c r="AF105" s="442">
        <f>AF156</f>
        <v>0</v>
      </c>
      <c r="AG105" s="480"/>
      <c r="AH105" s="442"/>
      <c r="AI105" s="465"/>
      <c r="AJ105" s="465"/>
      <c r="AK105" s="442">
        <f>AK156</f>
        <v>0</v>
      </c>
      <c r="AL105" s="480"/>
      <c r="AM105" s="442"/>
      <c r="AN105" s="465"/>
      <c r="AO105" s="465"/>
      <c r="AP105" s="442">
        <f>AP156</f>
        <v>0</v>
      </c>
      <c r="AQ105" s="480"/>
      <c r="AR105" s="442"/>
      <c r="AS105" s="465"/>
      <c r="AT105" s="465"/>
      <c r="AU105" s="486">
        <f>AU156</f>
        <v>0</v>
      </c>
      <c r="AV105" s="480"/>
      <c r="AW105" s="442"/>
      <c r="AX105" s="465"/>
      <c r="AY105" s="465"/>
      <c r="AZ105" s="486">
        <f>AZ156</f>
        <v>0</v>
      </c>
      <c r="BA105" s="480"/>
      <c r="BB105" s="442"/>
      <c r="BC105" s="465"/>
      <c r="BD105" s="465"/>
      <c r="BE105" s="486">
        <f>BE156</f>
        <v>0</v>
      </c>
      <c r="BF105" s="480"/>
      <c r="BG105" s="442"/>
      <c r="BH105" s="465"/>
      <c r="BI105" s="465"/>
      <c r="BJ105" s="486">
        <f>BJ156</f>
        <v>0</v>
      </c>
      <c r="BK105" s="480"/>
      <c r="BL105" s="442"/>
      <c r="BM105" s="465"/>
      <c r="BN105" s="465"/>
      <c r="BO105" s="486">
        <f>BO156</f>
        <v>0</v>
      </c>
      <c r="BP105" s="480"/>
      <c r="BQ105" s="442"/>
      <c r="BR105" s="465"/>
      <c r="BS105" s="465"/>
      <c r="BT105" s="442">
        <f>BT156</f>
        <v>0</v>
      </c>
      <c r="BU105" s="480"/>
      <c r="BV105" s="442"/>
      <c r="BW105" s="465"/>
      <c r="BX105" s="465"/>
      <c r="BY105" s="442">
        <f>BY156</f>
        <v>0</v>
      </c>
      <c r="BZ105" s="480"/>
      <c r="CA105" s="442"/>
      <c r="CB105" s="465"/>
      <c r="CC105" s="465"/>
      <c r="CD105" s="442">
        <f>CD156</f>
        <v>0</v>
      </c>
      <c r="CE105" s="480"/>
      <c r="CF105" s="442"/>
      <c r="CG105" s="465"/>
      <c r="CH105" s="465"/>
      <c r="CI105" s="442">
        <f>CI156</f>
        <v>0</v>
      </c>
      <c r="CJ105" s="480"/>
      <c r="CK105" s="442"/>
      <c r="CL105" s="465"/>
      <c r="CM105" s="465"/>
      <c r="CN105" s="442">
        <f>CN156</f>
        <v>0</v>
      </c>
      <c r="CO105" s="480"/>
      <c r="CP105" s="442"/>
      <c r="CQ105" s="465"/>
      <c r="CR105" s="465"/>
      <c r="CS105" s="442">
        <f>CS156</f>
        <v>0</v>
      </c>
      <c r="CT105" s="480"/>
      <c r="CU105" s="442"/>
      <c r="CV105" s="465"/>
      <c r="CW105" s="465"/>
      <c r="CX105" s="442">
        <f>CX156</f>
        <v>0</v>
      </c>
      <c r="CY105" s="480"/>
      <c r="CZ105" s="442"/>
      <c r="DA105" s="465"/>
      <c r="DB105" s="465"/>
      <c r="DC105" s="442">
        <f>DC156</f>
        <v>0</v>
      </c>
      <c r="DD105" s="480"/>
      <c r="DE105" s="442"/>
      <c r="DF105" s="465"/>
      <c r="DG105" s="465"/>
      <c r="DH105" s="442">
        <f>DH156</f>
        <v>0</v>
      </c>
      <c r="DI105" s="480"/>
      <c r="DJ105" s="442"/>
      <c r="DK105" s="465"/>
      <c r="DL105" s="465"/>
      <c r="DM105" s="486">
        <f>DM156</f>
        <v>0</v>
      </c>
      <c r="DN105" s="480"/>
      <c r="DO105" s="442"/>
      <c r="DP105" s="465"/>
      <c r="DQ105" s="465"/>
      <c r="DR105" s="486">
        <f>DR156</f>
        <v>0</v>
      </c>
      <c r="DS105" s="480"/>
      <c r="DT105" s="442"/>
      <c r="DU105" s="465"/>
      <c r="DV105" s="465"/>
      <c r="DW105" s="486">
        <f>DW156</f>
        <v>0</v>
      </c>
      <c r="DX105" s="480"/>
      <c r="DY105" s="442"/>
      <c r="DZ105" s="465"/>
      <c r="EA105" s="465"/>
      <c r="EB105" s="486">
        <f>EB156</f>
        <v>0</v>
      </c>
      <c r="EC105" s="480"/>
      <c r="ED105" s="442"/>
      <c r="EE105" s="465"/>
      <c r="EF105" s="465"/>
      <c r="EG105" s="486">
        <f>EG156</f>
        <v>0</v>
      </c>
      <c r="EH105" s="480"/>
      <c r="EI105" s="442"/>
      <c r="EJ105" s="465"/>
      <c r="EK105" s="465"/>
      <c r="EL105" s="442">
        <f>EL156</f>
        <v>0</v>
      </c>
      <c r="EM105" s="480"/>
      <c r="EN105" s="442"/>
      <c r="EO105" s="455"/>
    </row>
    <row r="106" spans="1:145" x14ac:dyDescent="0.2">
      <c r="A106" s="442"/>
      <c r="B106" s="442"/>
      <c r="D106" s="319" t="s">
        <v>467</v>
      </c>
      <c r="E106" s="465"/>
      <c r="F106" s="488"/>
      <c r="G106" s="489">
        <f>G168</f>
        <v>0</v>
      </c>
      <c r="H106" s="490"/>
      <c r="I106" s="442"/>
      <c r="J106" s="465"/>
      <c r="K106" s="488"/>
      <c r="L106" s="491">
        <f>L168</f>
        <v>0</v>
      </c>
      <c r="M106" s="490"/>
      <c r="N106" s="442"/>
      <c r="O106" s="465"/>
      <c r="P106" s="488"/>
      <c r="Q106" s="491">
        <f>Q168</f>
        <v>0</v>
      </c>
      <c r="R106" s="490"/>
      <c r="S106" s="442"/>
      <c r="T106" s="465"/>
      <c r="U106" s="488"/>
      <c r="V106" s="491">
        <f>V168</f>
        <v>0</v>
      </c>
      <c r="W106" s="490"/>
      <c r="X106" s="442"/>
      <c r="Y106" s="465"/>
      <c r="Z106" s="488"/>
      <c r="AA106" s="491">
        <f>AA168</f>
        <v>0</v>
      </c>
      <c r="AB106" s="490"/>
      <c r="AC106" s="442"/>
      <c r="AD106" s="465"/>
      <c r="AE106" s="488"/>
      <c r="AF106" s="491">
        <f>AF168</f>
        <v>0</v>
      </c>
      <c r="AG106" s="490"/>
      <c r="AH106" s="442"/>
      <c r="AI106" s="465"/>
      <c r="AJ106" s="488"/>
      <c r="AK106" s="491">
        <f>AK168</f>
        <v>0</v>
      </c>
      <c r="AL106" s="490"/>
      <c r="AM106" s="442"/>
      <c r="AN106" s="465"/>
      <c r="AO106" s="488"/>
      <c r="AP106" s="491">
        <f>AP168</f>
        <v>0</v>
      </c>
      <c r="AQ106" s="490"/>
      <c r="AR106" s="442"/>
      <c r="AS106" s="465"/>
      <c r="AT106" s="488"/>
      <c r="AU106" s="489">
        <f>AU168</f>
        <v>0</v>
      </c>
      <c r="AV106" s="490"/>
      <c r="AW106" s="442"/>
      <c r="AX106" s="465"/>
      <c r="AY106" s="488"/>
      <c r="AZ106" s="489">
        <f>AZ168</f>
        <v>0</v>
      </c>
      <c r="BA106" s="490"/>
      <c r="BB106" s="442"/>
      <c r="BC106" s="465"/>
      <c r="BD106" s="488"/>
      <c r="BE106" s="489">
        <f>BE168</f>
        <v>0</v>
      </c>
      <c r="BF106" s="490"/>
      <c r="BG106" s="442"/>
      <c r="BH106" s="465"/>
      <c r="BI106" s="488"/>
      <c r="BJ106" s="489">
        <f>BJ168</f>
        <v>0</v>
      </c>
      <c r="BK106" s="490"/>
      <c r="BL106" s="442"/>
      <c r="BM106" s="465"/>
      <c r="BN106" s="488"/>
      <c r="BO106" s="489">
        <f>BO168</f>
        <v>0</v>
      </c>
      <c r="BP106" s="490"/>
      <c r="BQ106" s="442"/>
      <c r="BR106" s="465"/>
      <c r="BS106" s="488"/>
      <c r="BT106" s="491">
        <f>BT168</f>
        <v>0</v>
      </c>
      <c r="BU106" s="490"/>
      <c r="BV106" s="442"/>
      <c r="BW106" s="465"/>
      <c r="BX106" s="488"/>
      <c r="BY106" s="491">
        <f>BY168</f>
        <v>0</v>
      </c>
      <c r="BZ106" s="490"/>
      <c r="CA106" s="442"/>
      <c r="CB106" s="465"/>
      <c r="CC106" s="488"/>
      <c r="CD106" s="491">
        <f>CD168</f>
        <v>0</v>
      </c>
      <c r="CE106" s="490"/>
      <c r="CF106" s="442"/>
      <c r="CG106" s="465"/>
      <c r="CH106" s="488"/>
      <c r="CI106" s="491">
        <f>CI168</f>
        <v>0</v>
      </c>
      <c r="CJ106" s="490"/>
      <c r="CK106" s="442"/>
      <c r="CL106" s="465"/>
      <c r="CM106" s="488"/>
      <c r="CN106" s="491">
        <f>CN168</f>
        <v>0</v>
      </c>
      <c r="CO106" s="490"/>
      <c r="CP106" s="442"/>
      <c r="CQ106" s="465"/>
      <c r="CR106" s="488"/>
      <c r="CS106" s="491">
        <f>CS168</f>
        <v>0</v>
      </c>
      <c r="CT106" s="490"/>
      <c r="CU106" s="442"/>
      <c r="CV106" s="465"/>
      <c r="CW106" s="488"/>
      <c r="CX106" s="491">
        <f>CX168</f>
        <v>0</v>
      </c>
      <c r="CY106" s="490"/>
      <c r="CZ106" s="442"/>
      <c r="DA106" s="465"/>
      <c r="DB106" s="488"/>
      <c r="DC106" s="491">
        <f>DC168</f>
        <v>0</v>
      </c>
      <c r="DD106" s="490"/>
      <c r="DE106" s="442"/>
      <c r="DF106" s="465"/>
      <c r="DG106" s="488"/>
      <c r="DH106" s="491">
        <f>DH168</f>
        <v>0</v>
      </c>
      <c r="DI106" s="490"/>
      <c r="DJ106" s="442"/>
      <c r="DK106" s="465"/>
      <c r="DL106" s="488"/>
      <c r="DM106" s="489">
        <f>DM168</f>
        <v>0</v>
      </c>
      <c r="DN106" s="490"/>
      <c r="DO106" s="442"/>
      <c r="DP106" s="465"/>
      <c r="DQ106" s="488"/>
      <c r="DR106" s="489">
        <f>DR168</f>
        <v>0</v>
      </c>
      <c r="DS106" s="490"/>
      <c r="DT106" s="442"/>
      <c r="DU106" s="465"/>
      <c r="DV106" s="488"/>
      <c r="DW106" s="489">
        <f>DW168</f>
        <v>0</v>
      </c>
      <c r="DX106" s="490"/>
      <c r="DY106" s="442"/>
      <c r="DZ106" s="465"/>
      <c r="EA106" s="488"/>
      <c r="EB106" s="489">
        <f>EB168</f>
        <v>0</v>
      </c>
      <c r="EC106" s="490"/>
      <c r="ED106" s="442"/>
      <c r="EE106" s="465"/>
      <c r="EF106" s="488"/>
      <c r="EG106" s="489">
        <f>EG168</f>
        <v>0</v>
      </c>
      <c r="EH106" s="490"/>
      <c r="EI106" s="442"/>
      <c r="EJ106" s="465"/>
      <c r="EK106" s="488"/>
      <c r="EL106" s="491">
        <f>EL168</f>
        <v>0</v>
      </c>
      <c r="EM106" s="490"/>
      <c r="EN106" s="442"/>
      <c r="EO106" s="455"/>
    </row>
    <row r="107" spans="1:145" x14ac:dyDescent="0.2">
      <c r="A107" s="442"/>
      <c r="B107" s="442"/>
      <c r="D107" s="455"/>
      <c r="E107" s="465"/>
      <c r="F107" s="442"/>
      <c r="G107" s="486"/>
      <c r="H107" s="442"/>
      <c r="I107" s="442"/>
      <c r="J107" s="465"/>
      <c r="K107" s="442"/>
      <c r="L107" s="442"/>
      <c r="M107" s="442"/>
      <c r="N107" s="442"/>
      <c r="O107" s="465"/>
      <c r="P107" s="442"/>
      <c r="Q107" s="442"/>
      <c r="R107" s="442"/>
      <c r="S107" s="442"/>
      <c r="T107" s="465"/>
      <c r="U107" s="442"/>
      <c r="V107" s="442"/>
      <c r="W107" s="442"/>
      <c r="X107" s="442"/>
      <c r="Y107" s="465"/>
      <c r="Z107" s="442"/>
      <c r="AA107" s="442"/>
      <c r="AB107" s="442"/>
      <c r="AC107" s="442"/>
      <c r="AD107" s="465"/>
      <c r="AE107" s="442"/>
      <c r="AF107" s="442"/>
      <c r="AG107" s="442"/>
      <c r="AH107" s="442"/>
      <c r="AI107" s="465"/>
      <c r="AJ107" s="442"/>
      <c r="AK107" s="442"/>
      <c r="AL107" s="442"/>
      <c r="AM107" s="442"/>
      <c r="AN107" s="465"/>
      <c r="AO107" s="442"/>
      <c r="AP107" s="442"/>
      <c r="AQ107" s="442"/>
      <c r="AR107" s="442"/>
      <c r="AS107" s="465"/>
      <c r="AT107" s="442"/>
      <c r="AU107" s="442"/>
      <c r="AV107" s="442"/>
      <c r="AW107" s="442"/>
      <c r="AX107" s="465"/>
      <c r="AY107" s="442"/>
      <c r="AZ107" s="442"/>
      <c r="BA107" s="442"/>
      <c r="BB107" s="442"/>
      <c r="BC107" s="465"/>
      <c r="BD107" s="442"/>
      <c r="BE107" s="442"/>
      <c r="BF107" s="442"/>
      <c r="BG107" s="442"/>
      <c r="BH107" s="465"/>
      <c r="BI107" s="442"/>
      <c r="BJ107" s="442"/>
      <c r="BK107" s="442"/>
      <c r="BL107" s="442"/>
      <c r="BM107" s="465"/>
      <c r="BN107" s="442"/>
      <c r="BO107" s="442"/>
      <c r="BP107" s="442"/>
      <c r="BQ107" s="442"/>
      <c r="BR107" s="465"/>
      <c r="BS107" s="442"/>
      <c r="BT107" s="442"/>
      <c r="BU107" s="442"/>
      <c r="BV107" s="442"/>
      <c r="BW107" s="465"/>
      <c r="BX107" s="442"/>
      <c r="BY107" s="442"/>
      <c r="BZ107" s="442"/>
      <c r="CA107" s="442"/>
      <c r="CB107" s="465"/>
      <c r="CC107" s="442"/>
      <c r="CD107" s="442"/>
      <c r="CE107" s="442"/>
      <c r="CF107" s="442"/>
      <c r="CG107" s="465"/>
      <c r="CH107" s="442"/>
      <c r="CI107" s="442"/>
      <c r="CJ107" s="442"/>
      <c r="CK107" s="442"/>
      <c r="CL107" s="465"/>
      <c r="CM107" s="442"/>
      <c r="CN107" s="442"/>
      <c r="CO107" s="442"/>
      <c r="CP107" s="442"/>
      <c r="CQ107" s="465"/>
      <c r="CR107" s="442"/>
      <c r="CS107" s="442"/>
      <c r="CT107" s="442"/>
      <c r="CU107" s="442"/>
      <c r="CV107" s="465"/>
      <c r="CW107" s="442"/>
      <c r="CX107" s="442"/>
      <c r="CY107" s="442"/>
      <c r="CZ107" s="442"/>
      <c r="DA107" s="465"/>
      <c r="DB107" s="442"/>
      <c r="DC107" s="442"/>
      <c r="DD107" s="442"/>
      <c r="DE107" s="442"/>
      <c r="DF107" s="465"/>
      <c r="DG107" s="442"/>
      <c r="DH107" s="442"/>
      <c r="DI107" s="442"/>
      <c r="DJ107" s="442"/>
      <c r="DK107" s="465"/>
      <c r="DL107" s="442"/>
      <c r="DM107" s="442"/>
      <c r="DN107" s="442"/>
      <c r="DO107" s="442"/>
      <c r="DP107" s="465"/>
      <c r="DQ107" s="442"/>
      <c r="DR107" s="442"/>
      <c r="DS107" s="442"/>
      <c r="DT107" s="442"/>
      <c r="DU107" s="465"/>
      <c r="DV107" s="442"/>
      <c r="DW107" s="442"/>
      <c r="DX107" s="442"/>
      <c r="DY107" s="442"/>
      <c r="DZ107" s="465"/>
      <c r="EA107" s="442"/>
      <c r="EB107" s="442"/>
      <c r="EC107" s="442"/>
      <c r="ED107" s="442"/>
      <c r="EE107" s="465"/>
      <c r="EF107" s="442"/>
      <c r="EG107" s="442"/>
      <c r="EH107" s="442"/>
      <c r="EI107" s="442"/>
      <c r="EJ107" s="465"/>
      <c r="EK107" s="442"/>
      <c r="EL107" s="442"/>
      <c r="EM107" s="442"/>
      <c r="EN107" s="442"/>
      <c r="EO107" s="455"/>
    </row>
    <row r="108" spans="1:145" x14ac:dyDescent="0.2">
      <c r="A108" s="442"/>
      <c r="B108" s="442"/>
      <c r="C108" s="442"/>
      <c r="D108" s="455" t="s">
        <v>468</v>
      </c>
      <c r="E108" s="465"/>
      <c r="F108" s="442"/>
      <c r="G108" s="67">
        <f>SUM(G109:G110)</f>
        <v>12234000</v>
      </c>
      <c r="H108" s="67"/>
      <c r="I108" s="67"/>
      <c r="J108" s="560"/>
      <c r="K108" s="67"/>
      <c r="L108" s="67">
        <f>SUM(L109:L110)</f>
        <v>777665</v>
      </c>
      <c r="M108" s="67"/>
      <c r="N108" s="67"/>
      <c r="O108" s="560"/>
      <c r="P108" s="67"/>
      <c r="Q108" s="67">
        <f>SUM(Q109:Q110)</f>
        <v>4931986</v>
      </c>
      <c r="R108" s="67"/>
      <c r="S108" s="67"/>
      <c r="T108" s="560"/>
      <c r="U108" s="67"/>
      <c r="V108" s="67">
        <f>SUM(V109:V110)</f>
        <v>0</v>
      </c>
      <c r="W108" s="67"/>
      <c r="X108" s="67"/>
      <c r="Y108" s="560"/>
      <c r="Z108" s="67"/>
      <c r="AA108" s="67">
        <f>SUM(AA109:AA110)</f>
        <v>0</v>
      </c>
      <c r="AB108" s="67"/>
      <c r="AC108" s="67"/>
      <c r="AD108" s="560"/>
      <c r="AE108" s="67"/>
      <c r="AF108" s="67">
        <f>SUM(AF109:AF110)</f>
        <v>0</v>
      </c>
      <c r="AG108" s="67"/>
      <c r="AH108" s="67"/>
      <c r="AI108" s="560"/>
      <c r="AJ108" s="67"/>
      <c r="AK108" s="67">
        <f>SUM(AK109:AK110)</f>
        <v>0</v>
      </c>
      <c r="AL108" s="67"/>
      <c r="AM108" s="67"/>
      <c r="AN108" s="560"/>
      <c r="AO108" s="67"/>
      <c r="AP108" s="67">
        <f>SUM(AP109:AP110)</f>
        <v>0</v>
      </c>
      <c r="AQ108" s="67"/>
      <c r="AR108" s="67"/>
      <c r="AS108" s="560"/>
      <c r="AT108" s="67"/>
      <c r="AU108" s="67">
        <f>SUM(AU109:AU110)</f>
        <v>0</v>
      </c>
      <c r="AV108" s="67"/>
      <c r="AW108" s="67"/>
      <c r="AX108" s="560"/>
      <c r="AY108" s="67"/>
      <c r="AZ108" s="67">
        <f>SUM(AZ109:AZ110)</f>
        <v>0</v>
      </c>
      <c r="BA108" s="67"/>
      <c r="BB108" s="67"/>
      <c r="BC108" s="560"/>
      <c r="BD108" s="67"/>
      <c r="BE108" s="67">
        <f>SUM(BE109:BE110)</f>
        <v>0</v>
      </c>
      <c r="BF108" s="67"/>
      <c r="BG108" s="67"/>
      <c r="BH108" s="560"/>
      <c r="BI108" s="67"/>
      <c r="BJ108" s="67">
        <f>SUM(BJ109:BJ110)</f>
        <v>0</v>
      </c>
      <c r="BK108" s="67"/>
      <c r="BL108" s="67"/>
      <c r="BM108" s="560"/>
      <c r="BN108" s="67"/>
      <c r="BO108" s="67">
        <f>SUM(BO109:BO110)</f>
        <v>0</v>
      </c>
      <c r="BP108" s="67"/>
      <c r="BQ108" s="67"/>
      <c r="BR108" s="560"/>
      <c r="BS108" s="67"/>
      <c r="BT108" s="67">
        <f>SUM(BT109:BT110)</f>
        <v>5709651</v>
      </c>
      <c r="BU108" s="67"/>
      <c r="BV108" s="67"/>
      <c r="BW108" s="560"/>
      <c r="BX108" s="67"/>
      <c r="BY108" s="67">
        <f>SUM(BY109:BY110)</f>
        <v>51228957</v>
      </c>
      <c r="BZ108" s="67"/>
      <c r="CA108" s="67"/>
      <c r="CB108" s="560"/>
      <c r="CC108" s="67"/>
      <c r="CD108" s="67">
        <f>SUM(CD109:CD110)</f>
        <v>628449</v>
      </c>
      <c r="CE108" s="67"/>
      <c r="CF108" s="67"/>
      <c r="CG108" s="560"/>
      <c r="CH108" s="67"/>
      <c r="CI108" s="67">
        <f>SUM(CI109:CI110)</f>
        <v>25247385</v>
      </c>
      <c r="CJ108" s="67"/>
      <c r="CK108" s="67"/>
      <c r="CL108" s="560"/>
      <c r="CM108" s="67"/>
      <c r="CN108" s="67">
        <f>SUM(CN109:CN110)</f>
        <v>0</v>
      </c>
      <c r="CO108" s="67"/>
      <c r="CP108" s="67"/>
      <c r="CQ108" s="560"/>
      <c r="CR108" s="67"/>
      <c r="CS108" s="67">
        <f>SUM(CS109:CS110)</f>
        <v>0</v>
      </c>
      <c r="CT108" s="67"/>
      <c r="CU108" s="67"/>
      <c r="CV108" s="560"/>
      <c r="CW108" s="67"/>
      <c r="CX108" s="67">
        <f>SUM(CX109:CX110)</f>
        <v>0</v>
      </c>
      <c r="CY108" s="67"/>
      <c r="CZ108" s="67"/>
      <c r="DA108" s="560"/>
      <c r="DB108" s="67"/>
      <c r="DC108" s="67">
        <f>SUM(DC109:DC110)</f>
        <v>0</v>
      </c>
      <c r="DD108" s="67"/>
      <c r="DE108" s="67"/>
      <c r="DF108" s="560"/>
      <c r="DG108" s="67"/>
      <c r="DH108" s="67">
        <f>SUM(DH109:DH110)</f>
        <v>654491</v>
      </c>
      <c r="DI108" s="67"/>
      <c r="DJ108" s="67"/>
      <c r="DK108" s="560"/>
      <c r="DL108" s="67"/>
      <c r="DM108" s="67">
        <f>SUM(DM109:DM110)</f>
        <v>6365</v>
      </c>
      <c r="DN108" s="67"/>
      <c r="DO108" s="67"/>
      <c r="DP108" s="560"/>
      <c r="DQ108" s="67"/>
      <c r="DR108" s="67">
        <f>SUM(DR109:DR110)</f>
        <v>0</v>
      </c>
      <c r="DS108" s="67"/>
      <c r="DT108" s="67"/>
      <c r="DU108" s="560"/>
      <c r="DV108" s="67"/>
      <c r="DW108" s="67">
        <f>SUM(DW109:DW110)</f>
        <v>0</v>
      </c>
      <c r="DX108" s="67"/>
      <c r="DY108" s="67"/>
      <c r="DZ108" s="560"/>
      <c r="EA108" s="67"/>
      <c r="EB108" s="67">
        <f>SUM(EB109:EB110)</f>
        <v>0</v>
      </c>
      <c r="EC108" s="67"/>
      <c r="ED108" s="67"/>
      <c r="EE108" s="560"/>
      <c r="EF108" s="67"/>
      <c r="EG108" s="67">
        <f>SUM(EG109:EG110)</f>
        <v>24692267</v>
      </c>
      <c r="EH108" s="67"/>
      <c r="EI108" s="67"/>
      <c r="EJ108" s="560"/>
      <c r="EK108" s="67"/>
      <c r="EL108" s="67">
        <f>SUM(EL109:EL110)</f>
        <v>25875834</v>
      </c>
      <c r="EM108" s="67"/>
      <c r="EN108" s="67"/>
      <c r="EO108" s="455"/>
    </row>
    <row r="109" spans="1:145" x14ac:dyDescent="0.2">
      <c r="A109" s="442"/>
      <c r="B109" s="442"/>
      <c r="C109" s="442"/>
      <c r="D109" s="455" t="s">
        <v>469</v>
      </c>
      <c r="E109" s="465"/>
      <c r="F109" s="473"/>
      <c r="G109" s="558">
        <f>+G113+G121+G125+G129+G133+G137+G117+G141+G149+G153+G145</f>
        <v>7961000</v>
      </c>
      <c r="H109" s="559"/>
      <c r="I109" s="67"/>
      <c r="J109" s="560"/>
      <c r="K109" s="561"/>
      <c r="L109" s="558">
        <f>+L113+L121+L125+L129+L133+L137+L117+L141+L149+L153+L145</f>
        <v>391647</v>
      </c>
      <c r="M109" s="559"/>
      <c r="N109" s="67"/>
      <c r="O109" s="560"/>
      <c r="P109" s="561"/>
      <c r="Q109" s="558">
        <f>+Q113+Q121+Q125+Q129+Q133+Q137+Q117+Q141+Q149+Q153+Q145</f>
        <v>1962723</v>
      </c>
      <c r="R109" s="559"/>
      <c r="S109" s="67"/>
      <c r="T109" s="560"/>
      <c r="U109" s="561"/>
      <c r="V109" s="558">
        <f>+V113+V121+V125+V129+V133+V137+V117+V141+V149+V153+V145</f>
        <v>0</v>
      </c>
      <c r="W109" s="559"/>
      <c r="X109" s="67"/>
      <c r="Y109" s="560"/>
      <c r="Z109" s="561"/>
      <c r="AA109" s="558">
        <f>+AA113+AA121+AA125+AA129+AA133+AA137+AA117+AA141+AA149+AA153+AA145</f>
        <v>0</v>
      </c>
      <c r="AB109" s="559"/>
      <c r="AC109" s="67"/>
      <c r="AD109" s="560"/>
      <c r="AE109" s="561"/>
      <c r="AF109" s="558">
        <f>+AF113+AF121+AF125+AF129+AF133+AF137+AF117+AF141+AF149+AF153+AF145</f>
        <v>0</v>
      </c>
      <c r="AG109" s="559"/>
      <c r="AH109" s="67"/>
      <c r="AI109" s="560"/>
      <c r="AJ109" s="561"/>
      <c r="AK109" s="558">
        <f>+AK113+AK121+AK125+AK129+AK133+AK137+AK117+AK141+AK149+AK153+AK145</f>
        <v>0</v>
      </c>
      <c r="AL109" s="559"/>
      <c r="AM109" s="67"/>
      <c r="AN109" s="560"/>
      <c r="AO109" s="561"/>
      <c r="AP109" s="558">
        <v>0</v>
      </c>
      <c r="AQ109" s="559"/>
      <c r="AR109" s="67"/>
      <c r="AS109" s="560"/>
      <c r="AT109" s="561"/>
      <c r="AU109" s="558">
        <v>0</v>
      </c>
      <c r="AV109" s="559"/>
      <c r="AW109" s="67"/>
      <c r="AX109" s="560"/>
      <c r="AY109" s="561"/>
      <c r="AZ109" s="558">
        <f>+AZ113+AZ121+AZ125+AZ129+AZ133+AZ137+AZ117+AZ141+AZ149+AZ153+AZ145</f>
        <v>0</v>
      </c>
      <c r="BA109" s="559"/>
      <c r="BB109" s="67"/>
      <c r="BC109" s="560"/>
      <c r="BD109" s="561"/>
      <c r="BE109" s="558">
        <f>+BE113+BE121+BE125+BE129+BE133+BE137+BE117+BE141+BE149+BE153+BE145</f>
        <v>0</v>
      </c>
      <c r="BF109" s="559"/>
      <c r="BG109" s="67"/>
      <c r="BH109" s="560"/>
      <c r="BI109" s="561"/>
      <c r="BJ109" s="558">
        <f>+BJ113+BJ121+BJ125+BJ129+BJ133+BJ137+BJ117+BJ141+BJ149+BJ153+BJ145</f>
        <v>0</v>
      </c>
      <c r="BK109" s="559"/>
      <c r="BL109" s="67"/>
      <c r="BM109" s="560"/>
      <c r="BN109" s="561"/>
      <c r="BO109" s="558">
        <v>0</v>
      </c>
      <c r="BP109" s="559"/>
      <c r="BQ109" s="67"/>
      <c r="BR109" s="560"/>
      <c r="BS109" s="561"/>
      <c r="BT109" s="558">
        <f>+BT113+BT121+BT125+BT129+BT133+BT137+BT117+BT141+BT149+BT153+BT145</f>
        <v>2354370</v>
      </c>
      <c r="BU109" s="559"/>
      <c r="BV109" s="67"/>
      <c r="BW109" s="560"/>
      <c r="BX109" s="561"/>
      <c r="BY109" s="558">
        <v>26952291</v>
      </c>
      <c r="BZ109" s="559"/>
      <c r="CA109" s="67"/>
      <c r="CB109" s="560"/>
      <c r="CC109" s="561"/>
      <c r="CD109" s="558">
        <f>+CD113+CD121+CD125+CD129+CD133+CD137+CD117+CD141+CD149+CD153+CD145</f>
        <v>391647</v>
      </c>
      <c r="CE109" s="559"/>
      <c r="CF109" s="67"/>
      <c r="CG109" s="560"/>
      <c r="CH109" s="561"/>
      <c r="CI109" s="558">
        <f>+CI113+CI121+CI125+CI129+CI133+CI137+CI117+CI141+CI149+CI153+CI145</f>
        <v>14120864</v>
      </c>
      <c r="CJ109" s="559"/>
      <c r="CK109" s="67"/>
      <c r="CL109" s="560"/>
      <c r="CM109" s="561"/>
      <c r="CN109" s="558">
        <f>+CN113+CN121+CN125+CN129+CN133+CN137+CN117+CN141+CN149+CN153+CN145</f>
        <v>0</v>
      </c>
      <c r="CO109" s="559"/>
      <c r="CP109" s="67"/>
      <c r="CQ109" s="560"/>
      <c r="CR109" s="561"/>
      <c r="CS109" s="558">
        <f>+CS113+CS121+CS125+CS129+CS133+CS137+CS117+CS141+CS149+CS153+CS145</f>
        <v>0</v>
      </c>
      <c r="CT109" s="559"/>
      <c r="CU109" s="67"/>
      <c r="CV109" s="560"/>
      <c r="CW109" s="561"/>
      <c r="CX109" s="558">
        <f>+CX113+CX121+CX125+CX129+CX133+CX137+CX117+CX141+CX149+CX153+CX145</f>
        <v>0</v>
      </c>
      <c r="CY109" s="559"/>
      <c r="CZ109" s="67"/>
      <c r="DA109" s="560"/>
      <c r="DB109" s="561"/>
      <c r="DC109" s="558">
        <f>+DC113+DC121+DC125+DC129+DC133+DC137+DC117+DC141+DC149+DC153+DC145</f>
        <v>0</v>
      </c>
      <c r="DD109" s="559"/>
      <c r="DE109" s="67"/>
      <c r="DF109" s="560"/>
      <c r="DG109" s="561"/>
      <c r="DH109" s="558">
        <f>+DH113+DH121+DH125+DH129+DH133+DH137+DH117+DH141+DH149+DH153+DH145</f>
        <v>391647</v>
      </c>
      <c r="DI109" s="559"/>
      <c r="DJ109" s="67"/>
      <c r="DK109" s="560"/>
      <c r="DL109" s="561"/>
      <c r="DM109" s="558">
        <f>+DM113+DM121+DM125+DM129+DM133+DM137+DM117+DM141+DM149+DM153+DM145</f>
        <v>1940</v>
      </c>
      <c r="DN109" s="559"/>
      <c r="DO109" s="67"/>
      <c r="DP109" s="560"/>
      <c r="DQ109" s="561"/>
      <c r="DR109" s="558">
        <f>+DR113+DR121+DR125+DR129+DR133+DR137+DR117+DR141+DR149+DR153+DR145</f>
        <v>0</v>
      </c>
      <c r="DS109" s="559"/>
      <c r="DT109" s="67"/>
      <c r="DU109" s="560"/>
      <c r="DV109" s="561"/>
      <c r="DW109" s="558">
        <f>+DW113+DW121+DW125+DW129+DW133+DW137+DW117+DW141+DW149+DW153+DW145</f>
        <v>0</v>
      </c>
      <c r="DX109" s="559"/>
      <c r="DY109" s="67"/>
      <c r="DZ109" s="560"/>
      <c r="EA109" s="561"/>
      <c r="EB109" s="558">
        <f>+EB113+EB121+EB125+EB129+EB133+EB137+EB117+EB141+EB149+EB153+EB145</f>
        <v>0</v>
      </c>
      <c r="EC109" s="559"/>
      <c r="ED109" s="67"/>
      <c r="EE109" s="560"/>
      <c r="EF109" s="561"/>
      <c r="EG109" s="558">
        <f>+EG113+EG121+EG125+EG129+EG133+EG137+EG117+EG141+EG149+EG153+EG145</f>
        <v>12046193</v>
      </c>
      <c r="EH109" s="559"/>
      <c r="EI109" s="67"/>
      <c r="EJ109" s="560"/>
      <c r="EK109" s="561"/>
      <c r="EL109" s="558">
        <f>+EL113+EL121+EL125+EL129+EL133+EL137+EL117+EL141+EL149+EL153+EL145</f>
        <v>14512511</v>
      </c>
      <c r="EM109" s="559"/>
      <c r="EN109" s="67"/>
      <c r="EO109" s="455"/>
    </row>
    <row r="110" spans="1:145" x14ac:dyDescent="0.2">
      <c r="A110" s="442"/>
      <c r="B110" s="442"/>
      <c r="C110" s="442"/>
      <c r="D110" s="455" t="s">
        <v>470</v>
      </c>
      <c r="E110" s="465"/>
      <c r="F110" s="488"/>
      <c r="G110" s="113">
        <f>+G114+G122+G126+G130+G134+G138+G118+G142+G150+G154+G146</f>
        <v>4273000</v>
      </c>
      <c r="H110" s="112"/>
      <c r="I110" s="67"/>
      <c r="J110" s="560"/>
      <c r="K110" s="569"/>
      <c r="L110" s="113">
        <f>+L114+L122+L126+L130+L134+L138+L118+L142+L150+L154+L146</f>
        <v>386018</v>
      </c>
      <c r="M110" s="112"/>
      <c r="N110" s="67"/>
      <c r="O110" s="560"/>
      <c r="P110" s="569"/>
      <c r="Q110" s="113">
        <f>+Q114+Q122+Q126+Q130+Q134+Q138+Q118+Q142+Q150+Q154+Q146</f>
        <v>2969263</v>
      </c>
      <c r="R110" s="112"/>
      <c r="S110" s="67"/>
      <c r="T110" s="560"/>
      <c r="U110" s="569"/>
      <c r="V110" s="113">
        <f>+V114+V122+V126+V130+V134+V138+V118+V142+V150+V154+V146</f>
        <v>0</v>
      </c>
      <c r="W110" s="112"/>
      <c r="X110" s="67"/>
      <c r="Y110" s="560"/>
      <c r="Z110" s="569"/>
      <c r="AA110" s="113">
        <f>+AA114+AA122+AA126+AA130+AA134+AA138+AA118+AA142+AA150+AA154+AA146</f>
        <v>0</v>
      </c>
      <c r="AB110" s="112"/>
      <c r="AC110" s="67"/>
      <c r="AD110" s="560"/>
      <c r="AE110" s="569"/>
      <c r="AF110" s="113">
        <f>+AF114+AF122+AF126+AF130+AF134+AF138+AF118+AF142+AF150+AF154+AF146</f>
        <v>0</v>
      </c>
      <c r="AG110" s="112"/>
      <c r="AH110" s="67"/>
      <c r="AI110" s="560"/>
      <c r="AJ110" s="569"/>
      <c r="AK110" s="113">
        <f>+AK114+AK122+AK126+AK130+AK134+AK138+AK118+AK142+AK150+AK154+AK146</f>
        <v>0</v>
      </c>
      <c r="AL110" s="112"/>
      <c r="AM110" s="67"/>
      <c r="AN110" s="560"/>
      <c r="AO110" s="569"/>
      <c r="AP110" s="113">
        <v>0</v>
      </c>
      <c r="AQ110" s="112"/>
      <c r="AR110" s="67"/>
      <c r="AS110" s="560"/>
      <c r="AT110" s="569"/>
      <c r="AU110" s="113">
        <v>0</v>
      </c>
      <c r="AV110" s="112"/>
      <c r="AW110" s="67"/>
      <c r="AX110" s="560"/>
      <c r="AY110" s="569"/>
      <c r="AZ110" s="113">
        <f>+AZ114+AZ122+AZ126+AZ130+AZ134+AZ138+AZ118+AZ142+AZ150+AZ154+AZ146</f>
        <v>0</v>
      </c>
      <c r="BA110" s="112"/>
      <c r="BB110" s="67"/>
      <c r="BC110" s="560"/>
      <c r="BD110" s="569"/>
      <c r="BE110" s="113">
        <f>+BE114+BE122+BE126+BE130+BE134+BE138+BE118+BE142+BE150+BE154+BE146</f>
        <v>0</v>
      </c>
      <c r="BF110" s="112"/>
      <c r="BG110" s="67"/>
      <c r="BH110" s="560"/>
      <c r="BI110" s="569"/>
      <c r="BJ110" s="113">
        <f>+BJ114+BJ122+BJ126+BJ130+BJ134+BJ138+BJ118+BJ142+BJ150+BJ154+BJ146</f>
        <v>0</v>
      </c>
      <c r="BK110" s="112"/>
      <c r="BL110" s="67"/>
      <c r="BM110" s="560"/>
      <c r="BN110" s="569"/>
      <c r="BO110" s="113">
        <v>0</v>
      </c>
      <c r="BP110" s="112"/>
      <c r="BQ110" s="67"/>
      <c r="BR110" s="560"/>
      <c r="BS110" s="569"/>
      <c r="BT110" s="113">
        <f>+BT114+BT122+BT126+BT130+BT134+BT138+BT118+BT142+BT150+BT154+BT146</f>
        <v>3355281</v>
      </c>
      <c r="BU110" s="112"/>
      <c r="BV110" s="67"/>
      <c r="BW110" s="560"/>
      <c r="BX110" s="569"/>
      <c r="BY110" s="113">
        <v>24276666</v>
      </c>
      <c r="BZ110" s="112"/>
      <c r="CA110" s="67"/>
      <c r="CB110" s="560"/>
      <c r="CC110" s="569"/>
      <c r="CD110" s="113">
        <f>+CD114+CD122+CD126+CD130+CD134+CD138+CD118+CD142+CD150+CD154+CD146</f>
        <v>236802</v>
      </c>
      <c r="CE110" s="112"/>
      <c r="CF110" s="67"/>
      <c r="CG110" s="560"/>
      <c r="CH110" s="569"/>
      <c r="CI110" s="113">
        <f>+CI114+CI122+CI126+CI130+CI134+CI138+CI118+CI142+CI150+CI154+CI146</f>
        <v>11126521</v>
      </c>
      <c r="CJ110" s="112"/>
      <c r="CK110" s="67"/>
      <c r="CL110" s="560"/>
      <c r="CM110" s="569"/>
      <c r="CN110" s="113">
        <f>+CN114+CN122+CN126+CN130+CN134+CN138+CN118+CN142+CN150+CN154+CN146</f>
        <v>0</v>
      </c>
      <c r="CO110" s="112"/>
      <c r="CP110" s="67"/>
      <c r="CQ110" s="560"/>
      <c r="CR110" s="569"/>
      <c r="CS110" s="113">
        <f>+CS114+CS122+CS126+CS130+CS134+CS138+CS118+CS142+CS150+CS154+CS146</f>
        <v>0</v>
      </c>
      <c r="CT110" s="112"/>
      <c r="CU110" s="67"/>
      <c r="CV110" s="560"/>
      <c r="CW110" s="569"/>
      <c r="CX110" s="113">
        <f>+CX114+CX122+CX126+CX130+CX134+CX138+CX118+CX142+CX150+CX154+CX146</f>
        <v>0</v>
      </c>
      <c r="CY110" s="112"/>
      <c r="CZ110" s="67"/>
      <c r="DA110" s="560"/>
      <c r="DB110" s="569"/>
      <c r="DC110" s="113">
        <f>+DC114+DC122+DC126+DC130+DC134+DC138+DC118+DC142+DC150+DC154+DC146</f>
        <v>0</v>
      </c>
      <c r="DD110" s="112"/>
      <c r="DE110" s="67"/>
      <c r="DF110" s="560"/>
      <c r="DG110" s="569"/>
      <c r="DH110" s="113">
        <f>+DH114+DH122+DH126+DH130+DH134+DH138+DH118+DH142+DH150+DH154+DH146</f>
        <v>262844</v>
      </c>
      <c r="DI110" s="112"/>
      <c r="DJ110" s="67"/>
      <c r="DK110" s="560"/>
      <c r="DL110" s="569"/>
      <c r="DM110" s="113">
        <f>+DM114+DM122+DM126+DM130+DM134+DM138+DM118+DM142+DM150+DM154+DM146</f>
        <v>4425</v>
      </c>
      <c r="DN110" s="112"/>
      <c r="DO110" s="67"/>
      <c r="DP110" s="560"/>
      <c r="DQ110" s="569"/>
      <c r="DR110" s="113">
        <f>+DR114+DR122+DR126+DR130+DR134+DR138+DR118+DR142+DR150+DR154+DR146</f>
        <v>0</v>
      </c>
      <c r="DS110" s="112"/>
      <c r="DT110" s="67"/>
      <c r="DU110" s="560"/>
      <c r="DV110" s="569"/>
      <c r="DW110" s="113">
        <f>+DW114+DW122+DW126+DW130+DW134+DW138+DW118+DW142+DW150+DW154+DW146</f>
        <v>0</v>
      </c>
      <c r="DX110" s="112"/>
      <c r="DY110" s="67"/>
      <c r="DZ110" s="560"/>
      <c r="EA110" s="569"/>
      <c r="EB110" s="113">
        <f>+EB114+EB122+EB126+EB130+EB134+EB138+EB118+EB142+EB150+EB154+EB146</f>
        <v>0</v>
      </c>
      <c r="EC110" s="112"/>
      <c r="ED110" s="67"/>
      <c r="EE110" s="560"/>
      <c r="EF110" s="569"/>
      <c r="EG110" s="113">
        <f>+EG114+EG122+EG126+EG130+EG134+EG138+EG118+EG142+EG150+EG154+EG146</f>
        <v>12646074</v>
      </c>
      <c r="EH110" s="112"/>
      <c r="EI110" s="67"/>
      <c r="EJ110" s="560"/>
      <c r="EK110" s="569"/>
      <c r="EL110" s="113">
        <f>+EL114+EL122+EL126+EL130+EL134+EL138+EL118+EL142+EL150+EL154+EL146</f>
        <v>11363323</v>
      </c>
      <c r="EM110" s="112"/>
      <c r="EN110" s="67"/>
      <c r="EO110" s="455"/>
    </row>
    <row r="111" spans="1:145" x14ac:dyDescent="0.2">
      <c r="A111" s="442"/>
      <c r="B111" s="442"/>
      <c r="C111" s="442"/>
      <c r="D111" s="455"/>
      <c r="E111" s="465"/>
      <c r="F111" s="442"/>
      <c r="G111" s="67"/>
      <c r="H111" s="67"/>
      <c r="I111" s="67"/>
      <c r="J111" s="560"/>
      <c r="K111" s="67"/>
      <c r="L111" s="67"/>
      <c r="M111" s="67"/>
      <c r="N111" s="67"/>
      <c r="O111" s="560"/>
      <c r="P111" s="67"/>
      <c r="Q111" s="67"/>
      <c r="R111" s="67"/>
      <c r="S111" s="67"/>
      <c r="T111" s="560"/>
      <c r="U111" s="67"/>
      <c r="V111" s="67"/>
      <c r="W111" s="67"/>
      <c r="X111" s="67"/>
      <c r="Y111" s="560"/>
      <c r="Z111" s="67"/>
      <c r="AA111" s="67"/>
      <c r="AB111" s="67"/>
      <c r="AC111" s="67"/>
      <c r="AD111" s="560"/>
      <c r="AE111" s="67"/>
      <c r="AF111" s="67"/>
      <c r="AG111" s="67"/>
      <c r="AH111" s="67"/>
      <c r="AI111" s="560"/>
      <c r="AJ111" s="67"/>
      <c r="AK111" s="67"/>
      <c r="AL111" s="67"/>
      <c r="AM111" s="67"/>
      <c r="AN111" s="560"/>
      <c r="AO111" s="67"/>
      <c r="AP111" s="67"/>
      <c r="AQ111" s="67"/>
      <c r="AR111" s="67"/>
      <c r="AS111" s="560"/>
      <c r="AT111" s="67"/>
      <c r="AU111" s="67"/>
      <c r="AV111" s="67"/>
      <c r="AW111" s="67"/>
      <c r="AX111" s="560"/>
      <c r="AY111" s="67"/>
      <c r="AZ111" s="67"/>
      <c r="BA111" s="67"/>
      <c r="BB111" s="67"/>
      <c r="BC111" s="560"/>
      <c r="BD111" s="67"/>
      <c r="BE111" s="67"/>
      <c r="BF111" s="67"/>
      <c r="BG111" s="67"/>
      <c r="BH111" s="560"/>
      <c r="BI111" s="67"/>
      <c r="BJ111" s="67"/>
      <c r="BK111" s="67"/>
      <c r="BL111" s="67"/>
      <c r="BM111" s="560"/>
      <c r="BN111" s="67"/>
      <c r="BO111" s="67"/>
      <c r="BP111" s="67"/>
      <c r="BQ111" s="67"/>
      <c r="BR111" s="560"/>
      <c r="BS111" s="67"/>
      <c r="BT111" s="67"/>
      <c r="BU111" s="67"/>
      <c r="BV111" s="67"/>
      <c r="BW111" s="560"/>
      <c r="BX111" s="67"/>
      <c r="BY111" s="67"/>
      <c r="BZ111" s="67"/>
      <c r="CA111" s="67"/>
      <c r="CB111" s="560"/>
      <c r="CC111" s="67"/>
      <c r="CD111" s="67"/>
      <c r="CE111" s="67"/>
      <c r="CF111" s="67"/>
      <c r="CG111" s="560"/>
      <c r="CH111" s="67"/>
      <c r="CI111" s="67"/>
      <c r="CJ111" s="67"/>
      <c r="CK111" s="67"/>
      <c r="CL111" s="560"/>
      <c r="CM111" s="67"/>
      <c r="CN111" s="67"/>
      <c r="CO111" s="67"/>
      <c r="CP111" s="67"/>
      <c r="CQ111" s="560"/>
      <c r="CR111" s="67"/>
      <c r="CS111" s="67"/>
      <c r="CT111" s="67"/>
      <c r="CU111" s="67"/>
      <c r="CV111" s="560"/>
      <c r="CW111" s="67"/>
      <c r="CX111" s="67"/>
      <c r="CY111" s="67"/>
      <c r="CZ111" s="67"/>
      <c r="DA111" s="560"/>
      <c r="DB111" s="67"/>
      <c r="DC111" s="67"/>
      <c r="DD111" s="67"/>
      <c r="DE111" s="67"/>
      <c r="DF111" s="560"/>
      <c r="DG111" s="67"/>
      <c r="DH111" s="67"/>
      <c r="DI111" s="67"/>
      <c r="DJ111" s="67"/>
      <c r="DK111" s="560"/>
      <c r="DL111" s="67"/>
      <c r="DM111" s="67"/>
      <c r="DN111" s="67"/>
      <c r="DO111" s="67"/>
      <c r="DP111" s="560"/>
      <c r="DQ111" s="67"/>
      <c r="DR111" s="67"/>
      <c r="DS111" s="67"/>
      <c r="DT111" s="67"/>
      <c r="DU111" s="560"/>
      <c r="DV111" s="67"/>
      <c r="DW111" s="67"/>
      <c r="DX111" s="67"/>
      <c r="DY111" s="67"/>
      <c r="DZ111" s="560"/>
      <c r="EA111" s="67"/>
      <c r="EB111" s="67"/>
      <c r="EC111" s="67"/>
      <c r="ED111" s="67"/>
      <c r="EE111" s="560"/>
      <c r="EF111" s="67"/>
      <c r="EG111" s="67"/>
      <c r="EH111" s="67"/>
      <c r="EI111" s="67"/>
      <c r="EJ111" s="560"/>
      <c r="EK111" s="67"/>
      <c r="EL111" s="67"/>
      <c r="EM111" s="67"/>
      <c r="EN111" s="67"/>
      <c r="EO111" s="455"/>
    </row>
    <row r="112" spans="1:145" x14ac:dyDescent="0.2">
      <c r="A112" s="442"/>
      <c r="B112" s="442"/>
      <c r="C112" s="442"/>
      <c r="D112" s="455" t="s">
        <v>471</v>
      </c>
      <c r="E112" s="465"/>
      <c r="F112" s="442"/>
      <c r="G112" s="67">
        <f>SUM(G113:G114)</f>
        <v>6000</v>
      </c>
      <c r="H112" s="67"/>
      <c r="I112" s="67"/>
      <c r="J112" s="560"/>
      <c r="K112" s="67"/>
      <c r="L112" s="67">
        <f>SUM(L113:L114)</f>
        <v>0</v>
      </c>
      <c r="M112" s="67"/>
      <c r="N112" s="67"/>
      <c r="O112" s="560"/>
      <c r="P112" s="67"/>
      <c r="Q112" s="67">
        <f>SUM(Q113:Q114)</f>
        <v>0</v>
      </c>
      <c r="R112" s="67"/>
      <c r="S112" s="67"/>
      <c r="T112" s="560"/>
      <c r="U112" s="67"/>
      <c r="V112" s="67">
        <f>SUM(V113:V114)</f>
        <v>0</v>
      </c>
      <c r="W112" s="67"/>
      <c r="X112" s="67"/>
      <c r="Y112" s="560"/>
      <c r="Z112" s="67"/>
      <c r="AA112" s="67">
        <f>SUM(AA113:AA114)</f>
        <v>0</v>
      </c>
      <c r="AB112" s="67"/>
      <c r="AC112" s="67"/>
      <c r="AD112" s="560"/>
      <c r="AE112" s="67"/>
      <c r="AF112" s="67">
        <f>SUM(AF113:AF114)</f>
        <v>0</v>
      </c>
      <c r="AG112" s="67"/>
      <c r="AH112" s="67"/>
      <c r="AI112" s="560"/>
      <c r="AJ112" s="67"/>
      <c r="AK112" s="67">
        <f>SUM(AK113:AK114)</f>
        <v>0</v>
      </c>
      <c r="AL112" s="67"/>
      <c r="AM112" s="67"/>
      <c r="AN112" s="560"/>
      <c r="AO112" s="67"/>
      <c r="AP112" s="67">
        <f>SUM(AP113:AP114)</f>
        <v>0</v>
      </c>
      <c r="AQ112" s="67"/>
      <c r="AR112" s="67"/>
      <c r="AS112" s="560"/>
      <c r="AT112" s="67"/>
      <c r="AU112" s="67">
        <f>SUM(AU113:AU114)</f>
        <v>0</v>
      </c>
      <c r="AV112" s="67"/>
      <c r="AW112" s="67"/>
      <c r="AX112" s="560"/>
      <c r="AY112" s="67"/>
      <c r="AZ112" s="67">
        <f>SUM(AZ113:AZ114)</f>
        <v>0</v>
      </c>
      <c r="BA112" s="67"/>
      <c r="BB112" s="67"/>
      <c r="BC112" s="560"/>
      <c r="BD112" s="67"/>
      <c r="BE112" s="67">
        <f>SUM(BE113:BE114)</f>
        <v>0</v>
      </c>
      <c r="BF112" s="67"/>
      <c r="BG112" s="67"/>
      <c r="BH112" s="560"/>
      <c r="BI112" s="67"/>
      <c r="BJ112" s="67">
        <f>SUM(BJ113:BJ114)</f>
        <v>0</v>
      </c>
      <c r="BK112" s="67"/>
      <c r="BL112" s="67"/>
      <c r="BM112" s="560"/>
      <c r="BN112" s="67"/>
      <c r="BO112" s="67">
        <f>SUM(BO113:BO114)</f>
        <v>0</v>
      </c>
      <c r="BP112" s="67"/>
      <c r="BQ112" s="67"/>
      <c r="BR112" s="560"/>
      <c r="BS112" s="67"/>
      <c r="BT112" s="67">
        <f>SUM(BT113:BT114)</f>
        <v>0</v>
      </c>
      <c r="BU112" s="67"/>
      <c r="BV112" s="67"/>
      <c r="BW112" s="560"/>
      <c r="BX112" s="67"/>
      <c r="BY112" s="67">
        <f>SUM(BY113:BY114)</f>
        <v>12630</v>
      </c>
      <c r="BZ112" s="67"/>
      <c r="CA112" s="67"/>
      <c r="CB112" s="560"/>
      <c r="CC112" s="67"/>
      <c r="CD112" s="67">
        <f>SUM(CD113:CD114)</f>
        <v>0</v>
      </c>
      <c r="CE112" s="67"/>
      <c r="CF112" s="67"/>
      <c r="CG112" s="560"/>
      <c r="CH112" s="67"/>
      <c r="CI112" s="67">
        <f>SUM(CI113:CI114)</f>
        <v>6265</v>
      </c>
      <c r="CJ112" s="67"/>
      <c r="CK112" s="67"/>
      <c r="CL112" s="560"/>
      <c r="CM112" s="67"/>
      <c r="CN112" s="67">
        <f>SUM(CN113:CN114)</f>
        <v>0</v>
      </c>
      <c r="CO112" s="67"/>
      <c r="CP112" s="67"/>
      <c r="CQ112" s="560"/>
      <c r="CR112" s="67"/>
      <c r="CS112" s="67">
        <f>SUM(CS113:CS114)</f>
        <v>0</v>
      </c>
      <c r="CT112" s="67"/>
      <c r="CU112" s="67"/>
      <c r="CV112" s="560"/>
      <c r="CW112" s="67"/>
      <c r="CX112" s="67">
        <f>SUM(CX113:CX114)</f>
        <v>0</v>
      </c>
      <c r="CY112" s="67"/>
      <c r="CZ112" s="67"/>
      <c r="DA112" s="560"/>
      <c r="DB112" s="67"/>
      <c r="DC112" s="67">
        <f>SUM(DC113:DC114)</f>
        <v>0</v>
      </c>
      <c r="DD112" s="67"/>
      <c r="DE112" s="67"/>
      <c r="DF112" s="560"/>
      <c r="DG112" s="67"/>
      <c r="DH112" s="67">
        <f>SUM(DH113:DH114)</f>
        <v>0</v>
      </c>
      <c r="DI112" s="67"/>
      <c r="DJ112" s="67"/>
      <c r="DK112" s="560"/>
      <c r="DL112" s="67"/>
      <c r="DM112" s="67">
        <f>SUM(DM113:DM114)</f>
        <v>6365</v>
      </c>
      <c r="DN112" s="67"/>
      <c r="DO112" s="67"/>
      <c r="DP112" s="560"/>
      <c r="DQ112" s="67"/>
      <c r="DR112" s="67">
        <f>SUM(DR113:DR114)</f>
        <v>0</v>
      </c>
      <c r="DS112" s="67"/>
      <c r="DT112" s="67"/>
      <c r="DU112" s="560"/>
      <c r="DV112" s="67"/>
      <c r="DW112" s="67">
        <f>SUM(DW113:DW114)</f>
        <v>0</v>
      </c>
      <c r="DX112" s="67"/>
      <c r="DY112" s="67"/>
      <c r="DZ112" s="560"/>
      <c r="EA112" s="67"/>
      <c r="EB112" s="67">
        <f>SUM(EB113:EB114)</f>
        <v>0</v>
      </c>
      <c r="EC112" s="67"/>
      <c r="ED112" s="67"/>
      <c r="EE112" s="560"/>
      <c r="EF112" s="67"/>
      <c r="EG112" s="67">
        <f>SUM(EG113:EG114)</f>
        <v>0</v>
      </c>
      <c r="EH112" s="67"/>
      <c r="EI112" s="67"/>
      <c r="EJ112" s="560"/>
      <c r="EK112" s="67"/>
      <c r="EL112" s="67">
        <f>SUM(EL113:EL114)</f>
        <v>6265</v>
      </c>
      <c r="EM112" s="67"/>
      <c r="EN112" s="67"/>
      <c r="EO112" s="455"/>
    </row>
    <row r="113" spans="1:145" x14ac:dyDescent="0.2">
      <c r="A113" s="442"/>
      <c r="B113" s="442"/>
      <c r="C113" s="442"/>
      <c r="D113" s="455" t="s">
        <v>469</v>
      </c>
      <c r="E113" s="465"/>
      <c r="F113" s="473"/>
      <c r="G113" s="558">
        <v>2000</v>
      </c>
      <c r="H113" s="559"/>
      <c r="I113" s="67"/>
      <c r="J113" s="560"/>
      <c r="K113" s="561"/>
      <c r="L113" s="558">
        <v>0</v>
      </c>
      <c r="M113" s="559"/>
      <c r="N113" s="67"/>
      <c r="O113" s="560"/>
      <c r="P113" s="561"/>
      <c r="Q113" s="558">
        <v>0</v>
      </c>
      <c r="R113" s="559"/>
      <c r="S113" s="67"/>
      <c r="T113" s="560"/>
      <c r="U113" s="561"/>
      <c r="V113" s="558">
        <v>0</v>
      </c>
      <c r="W113" s="559"/>
      <c r="X113" s="67"/>
      <c r="Y113" s="560"/>
      <c r="Z113" s="561"/>
      <c r="AA113" s="558">
        <v>0</v>
      </c>
      <c r="AB113" s="559"/>
      <c r="AC113" s="67"/>
      <c r="AD113" s="560"/>
      <c r="AE113" s="561"/>
      <c r="AF113" s="558">
        <v>0</v>
      </c>
      <c r="AG113" s="559"/>
      <c r="AH113" s="67"/>
      <c r="AI113" s="560"/>
      <c r="AJ113" s="561"/>
      <c r="AK113" s="558">
        <v>0</v>
      </c>
      <c r="AL113" s="559"/>
      <c r="AM113" s="67"/>
      <c r="AN113" s="560"/>
      <c r="AO113" s="561"/>
      <c r="AP113" s="558">
        <v>0</v>
      </c>
      <c r="AQ113" s="559"/>
      <c r="AR113" s="67"/>
      <c r="AS113" s="560"/>
      <c r="AT113" s="561"/>
      <c r="AU113" s="558">
        <v>0</v>
      </c>
      <c r="AV113" s="559"/>
      <c r="AW113" s="67"/>
      <c r="AX113" s="560"/>
      <c r="AY113" s="561"/>
      <c r="AZ113" s="558">
        <v>0</v>
      </c>
      <c r="BA113" s="559"/>
      <c r="BB113" s="67"/>
      <c r="BC113" s="560"/>
      <c r="BD113" s="561"/>
      <c r="BE113" s="558">
        <v>0</v>
      </c>
      <c r="BF113" s="559"/>
      <c r="BG113" s="67"/>
      <c r="BH113" s="560"/>
      <c r="BI113" s="561"/>
      <c r="BJ113" s="558">
        <v>0</v>
      </c>
      <c r="BK113" s="559"/>
      <c r="BL113" s="67"/>
      <c r="BM113" s="560"/>
      <c r="BN113" s="561"/>
      <c r="BO113" s="558">
        <v>0</v>
      </c>
      <c r="BP113" s="559"/>
      <c r="BQ113" s="67"/>
      <c r="BR113" s="560"/>
      <c r="BS113" s="561"/>
      <c r="BT113" s="558">
        <f>SUM(L113:BO113)</f>
        <v>0</v>
      </c>
      <c r="BU113" s="559"/>
      <c r="BV113" s="67"/>
      <c r="BW113" s="560"/>
      <c r="BX113" s="561"/>
      <c r="BY113" s="558">
        <v>3879</v>
      </c>
      <c r="BZ113" s="559"/>
      <c r="CA113" s="67"/>
      <c r="CB113" s="560"/>
      <c r="CC113" s="561"/>
      <c r="CD113" s="558">
        <v>0</v>
      </c>
      <c r="CE113" s="559"/>
      <c r="CF113" s="67"/>
      <c r="CG113" s="560"/>
      <c r="CH113" s="561"/>
      <c r="CI113" s="558">
        <v>1939</v>
      </c>
      <c r="CJ113" s="559"/>
      <c r="CK113" s="67"/>
      <c r="CL113" s="560"/>
      <c r="CM113" s="561"/>
      <c r="CN113" s="558">
        <v>0</v>
      </c>
      <c r="CO113" s="559"/>
      <c r="CP113" s="67"/>
      <c r="CQ113" s="560"/>
      <c r="CR113" s="561"/>
      <c r="CS113" s="558">
        <v>0</v>
      </c>
      <c r="CT113" s="559"/>
      <c r="CU113" s="67"/>
      <c r="CV113" s="560"/>
      <c r="CW113" s="561"/>
      <c r="CX113" s="558">
        <v>0</v>
      </c>
      <c r="CY113" s="559"/>
      <c r="CZ113" s="67"/>
      <c r="DA113" s="560"/>
      <c r="DB113" s="561"/>
      <c r="DC113" s="558">
        <v>0</v>
      </c>
      <c r="DD113" s="559"/>
      <c r="DE113" s="67"/>
      <c r="DF113" s="560"/>
      <c r="DG113" s="561"/>
      <c r="DH113" s="558">
        <v>0</v>
      </c>
      <c r="DI113" s="559"/>
      <c r="DJ113" s="67"/>
      <c r="DK113" s="560"/>
      <c r="DL113" s="561"/>
      <c r="DM113" s="558">
        <f>1940</f>
        <v>1940</v>
      </c>
      <c r="DN113" s="559"/>
      <c r="DO113" s="67"/>
      <c r="DP113" s="560"/>
      <c r="DQ113" s="561"/>
      <c r="DR113" s="558">
        <v>0</v>
      </c>
      <c r="DS113" s="559"/>
      <c r="DT113" s="67"/>
      <c r="DU113" s="560"/>
      <c r="DV113" s="561"/>
      <c r="DW113" s="558">
        <v>0</v>
      </c>
      <c r="DX113" s="559"/>
      <c r="DY113" s="67"/>
      <c r="DZ113" s="560"/>
      <c r="EA113" s="561"/>
      <c r="EB113" s="558">
        <v>0</v>
      </c>
      <c r="EC113" s="559"/>
      <c r="ED113" s="67"/>
      <c r="EE113" s="560"/>
      <c r="EF113" s="561"/>
      <c r="EG113" s="558">
        <v>0</v>
      </c>
      <c r="EH113" s="559"/>
      <c r="EI113" s="67"/>
      <c r="EJ113" s="560"/>
      <c r="EK113" s="561"/>
      <c r="EL113" s="558">
        <f>SUM(CD113:CI113)</f>
        <v>1939</v>
      </c>
      <c r="EM113" s="559"/>
      <c r="EN113" s="67"/>
      <c r="EO113" s="455"/>
    </row>
    <row r="114" spans="1:145" x14ac:dyDescent="0.2">
      <c r="A114" s="442"/>
      <c r="B114" s="442"/>
      <c r="C114" s="442"/>
      <c r="D114" s="455" t="s">
        <v>470</v>
      </c>
      <c r="E114" s="465"/>
      <c r="F114" s="488"/>
      <c r="G114" s="113">
        <v>4000</v>
      </c>
      <c r="H114" s="112"/>
      <c r="I114" s="67"/>
      <c r="J114" s="560"/>
      <c r="K114" s="569"/>
      <c r="L114" s="113">
        <v>0</v>
      </c>
      <c r="M114" s="112"/>
      <c r="N114" s="67"/>
      <c r="O114" s="560"/>
      <c r="P114" s="569"/>
      <c r="Q114" s="113">
        <v>0</v>
      </c>
      <c r="R114" s="112"/>
      <c r="S114" s="67"/>
      <c r="T114" s="560"/>
      <c r="U114" s="569"/>
      <c r="V114" s="113">
        <v>0</v>
      </c>
      <c r="W114" s="112"/>
      <c r="X114" s="67"/>
      <c r="Y114" s="560"/>
      <c r="Z114" s="569"/>
      <c r="AA114" s="113">
        <v>0</v>
      </c>
      <c r="AB114" s="112"/>
      <c r="AC114" s="67"/>
      <c r="AD114" s="560"/>
      <c r="AE114" s="569"/>
      <c r="AF114" s="113">
        <v>0</v>
      </c>
      <c r="AG114" s="112"/>
      <c r="AH114" s="67"/>
      <c r="AI114" s="560"/>
      <c r="AJ114" s="569"/>
      <c r="AK114" s="113">
        <v>0</v>
      </c>
      <c r="AL114" s="112"/>
      <c r="AM114" s="67"/>
      <c r="AN114" s="560"/>
      <c r="AO114" s="569"/>
      <c r="AP114" s="113">
        <v>0</v>
      </c>
      <c r="AQ114" s="112"/>
      <c r="AR114" s="67"/>
      <c r="AS114" s="560"/>
      <c r="AT114" s="569"/>
      <c r="AU114" s="113">
        <v>0</v>
      </c>
      <c r="AV114" s="112"/>
      <c r="AW114" s="67"/>
      <c r="AX114" s="560"/>
      <c r="AY114" s="569"/>
      <c r="AZ114" s="113">
        <v>0</v>
      </c>
      <c r="BA114" s="112"/>
      <c r="BB114" s="67"/>
      <c r="BC114" s="560"/>
      <c r="BD114" s="569"/>
      <c r="BE114" s="113">
        <v>0</v>
      </c>
      <c r="BF114" s="112"/>
      <c r="BG114" s="67"/>
      <c r="BH114" s="560"/>
      <c r="BI114" s="569"/>
      <c r="BJ114" s="113">
        <v>0</v>
      </c>
      <c r="BK114" s="112"/>
      <c r="BL114" s="67"/>
      <c r="BM114" s="560"/>
      <c r="BN114" s="569"/>
      <c r="BO114" s="113">
        <v>0</v>
      </c>
      <c r="BP114" s="112"/>
      <c r="BQ114" s="67"/>
      <c r="BR114" s="560"/>
      <c r="BS114" s="569"/>
      <c r="BT114" s="113">
        <f>SUM(L114:BO114)</f>
        <v>0</v>
      </c>
      <c r="BU114" s="112"/>
      <c r="BV114" s="67"/>
      <c r="BW114" s="560"/>
      <c r="BX114" s="569"/>
      <c r="BY114" s="113">
        <v>8751</v>
      </c>
      <c r="BZ114" s="112"/>
      <c r="CA114" s="67"/>
      <c r="CB114" s="560"/>
      <c r="CC114" s="569"/>
      <c r="CD114" s="113">
        <v>0</v>
      </c>
      <c r="CE114" s="112"/>
      <c r="CF114" s="67"/>
      <c r="CG114" s="560"/>
      <c r="CH114" s="569"/>
      <c r="CI114" s="113">
        <v>4326</v>
      </c>
      <c r="CJ114" s="112"/>
      <c r="CK114" s="67"/>
      <c r="CL114" s="560"/>
      <c r="CM114" s="569"/>
      <c r="CN114" s="113">
        <v>0</v>
      </c>
      <c r="CO114" s="112"/>
      <c r="CP114" s="67"/>
      <c r="CQ114" s="560"/>
      <c r="CR114" s="569"/>
      <c r="CS114" s="113">
        <v>0</v>
      </c>
      <c r="CT114" s="112"/>
      <c r="CU114" s="67"/>
      <c r="CV114" s="560"/>
      <c r="CW114" s="569"/>
      <c r="CX114" s="113">
        <v>0</v>
      </c>
      <c r="CY114" s="112"/>
      <c r="CZ114" s="67"/>
      <c r="DA114" s="560"/>
      <c r="DB114" s="569"/>
      <c r="DC114" s="113">
        <v>0</v>
      </c>
      <c r="DD114" s="112"/>
      <c r="DE114" s="67"/>
      <c r="DF114" s="560"/>
      <c r="DG114" s="569"/>
      <c r="DH114" s="113">
        <v>0</v>
      </c>
      <c r="DI114" s="112"/>
      <c r="DJ114" s="67"/>
      <c r="DK114" s="560"/>
      <c r="DL114" s="569"/>
      <c r="DM114" s="113">
        <f>4425</f>
        <v>4425</v>
      </c>
      <c r="DN114" s="112"/>
      <c r="DO114" s="67"/>
      <c r="DP114" s="560"/>
      <c r="DQ114" s="569"/>
      <c r="DR114" s="113">
        <v>0</v>
      </c>
      <c r="DS114" s="112"/>
      <c r="DT114" s="67"/>
      <c r="DU114" s="560"/>
      <c r="DV114" s="569"/>
      <c r="DW114" s="113">
        <v>0</v>
      </c>
      <c r="DX114" s="112"/>
      <c r="DY114" s="67"/>
      <c r="DZ114" s="560"/>
      <c r="EA114" s="569"/>
      <c r="EB114" s="113">
        <v>0</v>
      </c>
      <c r="EC114" s="112"/>
      <c r="ED114" s="67"/>
      <c r="EE114" s="560"/>
      <c r="EF114" s="569"/>
      <c r="EG114" s="113">
        <v>0</v>
      </c>
      <c r="EH114" s="112"/>
      <c r="EI114" s="67"/>
      <c r="EJ114" s="560"/>
      <c r="EK114" s="569"/>
      <c r="EL114" s="113">
        <f>SUM(CD114:CI114)</f>
        <v>4326</v>
      </c>
      <c r="EM114" s="112"/>
      <c r="EN114" s="67"/>
      <c r="EO114" s="455"/>
    </row>
    <row r="115" spans="1:145" x14ac:dyDescent="0.2">
      <c r="A115" s="442"/>
      <c r="B115" s="442"/>
      <c r="C115" s="442"/>
      <c r="D115" s="455"/>
      <c r="E115" s="465"/>
      <c r="F115" s="442"/>
      <c r="G115" s="67"/>
      <c r="H115" s="67"/>
      <c r="I115" s="67"/>
      <c r="J115" s="560"/>
      <c r="K115" s="67"/>
      <c r="L115" s="67"/>
      <c r="M115" s="67"/>
      <c r="N115" s="67"/>
      <c r="O115" s="560"/>
      <c r="P115" s="67"/>
      <c r="Q115" s="67"/>
      <c r="R115" s="67"/>
      <c r="S115" s="67"/>
      <c r="T115" s="560"/>
      <c r="U115" s="67"/>
      <c r="V115" s="67"/>
      <c r="W115" s="67"/>
      <c r="X115" s="67"/>
      <c r="Y115" s="560"/>
      <c r="Z115" s="67"/>
      <c r="AA115" s="67"/>
      <c r="AB115" s="67"/>
      <c r="AC115" s="67"/>
      <c r="AD115" s="560"/>
      <c r="AE115" s="67"/>
      <c r="AF115" s="67"/>
      <c r="AG115" s="67"/>
      <c r="AH115" s="67"/>
      <c r="AI115" s="560"/>
      <c r="AJ115" s="67"/>
      <c r="AK115" s="67"/>
      <c r="AL115" s="67"/>
      <c r="AM115" s="67"/>
      <c r="AN115" s="560"/>
      <c r="AO115" s="67"/>
      <c r="AP115" s="67"/>
      <c r="AQ115" s="67"/>
      <c r="AR115" s="67"/>
      <c r="AS115" s="560"/>
      <c r="AT115" s="67"/>
      <c r="AU115" s="67"/>
      <c r="AV115" s="67"/>
      <c r="AW115" s="67"/>
      <c r="AX115" s="560"/>
      <c r="AY115" s="67"/>
      <c r="AZ115" s="67"/>
      <c r="BA115" s="67"/>
      <c r="BB115" s="67"/>
      <c r="BC115" s="560"/>
      <c r="BD115" s="67"/>
      <c r="BE115" s="67"/>
      <c r="BF115" s="67"/>
      <c r="BG115" s="67"/>
      <c r="BH115" s="560"/>
      <c r="BI115" s="67"/>
      <c r="BJ115" s="67"/>
      <c r="BK115" s="67"/>
      <c r="BL115" s="67"/>
      <c r="BM115" s="560"/>
      <c r="BN115" s="67"/>
      <c r="BO115" s="67"/>
      <c r="BP115" s="67"/>
      <c r="BQ115" s="67"/>
      <c r="BR115" s="560"/>
      <c r="BS115" s="67"/>
      <c r="BT115" s="67"/>
      <c r="BU115" s="67"/>
      <c r="BV115" s="67"/>
      <c r="BW115" s="560"/>
      <c r="BX115" s="67"/>
      <c r="BY115" s="67"/>
      <c r="BZ115" s="67"/>
      <c r="CA115" s="67"/>
      <c r="CB115" s="560"/>
      <c r="CC115" s="67"/>
      <c r="CD115" s="67"/>
      <c r="CE115" s="67"/>
      <c r="CF115" s="67"/>
      <c r="CG115" s="560"/>
      <c r="CH115" s="67"/>
      <c r="CI115" s="67"/>
      <c r="CJ115" s="67"/>
      <c r="CK115" s="67"/>
      <c r="CL115" s="560"/>
      <c r="CM115" s="67"/>
      <c r="CN115" s="67"/>
      <c r="CO115" s="67"/>
      <c r="CP115" s="67"/>
      <c r="CQ115" s="560"/>
      <c r="CR115" s="67"/>
      <c r="CS115" s="67"/>
      <c r="CT115" s="67"/>
      <c r="CU115" s="67"/>
      <c r="CV115" s="560"/>
      <c r="CW115" s="67"/>
      <c r="CX115" s="67"/>
      <c r="CY115" s="67"/>
      <c r="CZ115" s="67"/>
      <c r="DA115" s="560"/>
      <c r="DB115" s="67"/>
      <c r="DC115" s="67"/>
      <c r="DD115" s="67"/>
      <c r="DE115" s="67"/>
      <c r="DF115" s="560"/>
      <c r="DG115" s="67"/>
      <c r="DH115" s="67"/>
      <c r="DI115" s="67"/>
      <c r="DJ115" s="67"/>
      <c r="DK115" s="560"/>
      <c r="DL115" s="67"/>
      <c r="DM115" s="67"/>
      <c r="DN115" s="67"/>
      <c r="DO115" s="67"/>
      <c r="DP115" s="560"/>
      <c r="DQ115" s="67"/>
      <c r="DR115" s="67"/>
      <c r="DS115" s="67"/>
      <c r="DT115" s="67"/>
      <c r="DU115" s="560"/>
      <c r="DV115" s="67"/>
      <c r="DW115" s="67"/>
      <c r="DX115" s="67"/>
      <c r="DY115" s="67"/>
      <c r="DZ115" s="560"/>
      <c r="EA115" s="67"/>
      <c r="EB115" s="67"/>
      <c r="EC115" s="67"/>
      <c r="ED115" s="67"/>
      <c r="EE115" s="560"/>
      <c r="EF115" s="67"/>
      <c r="EG115" s="67"/>
      <c r="EH115" s="67"/>
      <c r="EI115" s="67"/>
      <c r="EJ115" s="560"/>
      <c r="EK115" s="67"/>
      <c r="EL115" s="67"/>
      <c r="EM115" s="67"/>
      <c r="EN115" s="67"/>
      <c r="EO115" s="455"/>
    </row>
    <row r="116" spans="1:145" x14ac:dyDescent="0.2">
      <c r="A116" s="442"/>
      <c r="B116" s="442"/>
      <c r="C116" s="442"/>
      <c r="D116" s="455" t="s">
        <v>472</v>
      </c>
      <c r="E116" s="465"/>
      <c r="F116" s="442"/>
      <c r="G116" s="67">
        <f>SUM(G117:G118)</f>
        <v>0</v>
      </c>
      <c r="H116" s="67"/>
      <c r="I116" s="67"/>
      <c r="J116" s="560"/>
      <c r="K116" s="67"/>
      <c r="L116" s="67">
        <f>SUM(L117:L118)</f>
        <v>0</v>
      </c>
      <c r="M116" s="67"/>
      <c r="N116" s="67"/>
      <c r="O116" s="560"/>
      <c r="P116" s="67"/>
      <c r="Q116" s="67">
        <f>SUM(Q117:Q118)</f>
        <v>0</v>
      </c>
      <c r="R116" s="67"/>
      <c r="S116" s="67"/>
      <c r="T116" s="560"/>
      <c r="U116" s="67"/>
      <c r="V116" s="67">
        <f>SUM(V117:V118)</f>
        <v>0</v>
      </c>
      <c r="W116" s="67"/>
      <c r="X116" s="67"/>
      <c r="Y116" s="560"/>
      <c r="Z116" s="67"/>
      <c r="AA116" s="67">
        <f>SUM(AA117:AA118)</f>
        <v>0</v>
      </c>
      <c r="AB116" s="67"/>
      <c r="AC116" s="67"/>
      <c r="AD116" s="560"/>
      <c r="AE116" s="67"/>
      <c r="AF116" s="67">
        <f>SUM(AF117:AF118)</f>
        <v>0</v>
      </c>
      <c r="AG116" s="67"/>
      <c r="AH116" s="67"/>
      <c r="AI116" s="560"/>
      <c r="AJ116" s="67"/>
      <c r="AK116" s="67">
        <f>SUM(AK117:AK118)</f>
        <v>0</v>
      </c>
      <c r="AL116" s="67"/>
      <c r="AM116" s="67"/>
      <c r="AN116" s="560"/>
      <c r="AO116" s="67"/>
      <c r="AP116" s="67">
        <f>SUM(AP117:AP118)</f>
        <v>0</v>
      </c>
      <c r="AQ116" s="67"/>
      <c r="AR116" s="67"/>
      <c r="AS116" s="560"/>
      <c r="AT116" s="67"/>
      <c r="AU116" s="67">
        <f>SUM(AU117:AU118)</f>
        <v>0</v>
      </c>
      <c r="AV116" s="67"/>
      <c r="AW116" s="67"/>
      <c r="AX116" s="560"/>
      <c r="AY116" s="67"/>
      <c r="AZ116" s="67">
        <f>SUM(AZ117:AZ118)</f>
        <v>0</v>
      </c>
      <c r="BA116" s="67"/>
      <c r="BB116" s="67"/>
      <c r="BC116" s="560"/>
      <c r="BD116" s="67"/>
      <c r="BE116" s="67">
        <f>SUM(BE117:BE118)</f>
        <v>0</v>
      </c>
      <c r="BF116" s="67"/>
      <c r="BG116" s="67"/>
      <c r="BH116" s="560"/>
      <c r="BI116" s="67"/>
      <c r="BJ116" s="67">
        <f>SUM(BJ117:BJ118)</f>
        <v>0</v>
      </c>
      <c r="BK116" s="67"/>
      <c r="BL116" s="67"/>
      <c r="BM116" s="560"/>
      <c r="BN116" s="67"/>
      <c r="BO116" s="67">
        <f>SUM(BO117:BO118)</f>
        <v>0</v>
      </c>
      <c r="BP116" s="67"/>
      <c r="BQ116" s="67"/>
      <c r="BR116" s="560"/>
      <c r="BS116" s="67"/>
      <c r="BT116" s="67">
        <f>SUM(BT117:BT118)</f>
        <v>0</v>
      </c>
      <c r="BU116" s="67"/>
      <c r="BV116" s="67"/>
      <c r="BW116" s="560"/>
      <c r="BX116" s="67"/>
      <c r="BY116" s="67">
        <f>SUM(BY117:BY118)</f>
        <v>25241120</v>
      </c>
      <c r="BZ116" s="67"/>
      <c r="CA116" s="67"/>
      <c r="CB116" s="560"/>
      <c r="CC116" s="67"/>
      <c r="CD116" s="67">
        <f>SUM(CD117:CD118)</f>
        <v>0</v>
      </c>
      <c r="CE116" s="67"/>
      <c r="CF116" s="67"/>
      <c r="CG116" s="560"/>
      <c r="CH116" s="67"/>
      <c r="CI116" s="67">
        <f>SUM(CI117:CI118)</f>
        <v>25241120</v>
      </c>
      <c r="CJ116" s="67"/>
      <c r="CK116" s="67"/>
      <c r="CL116" s="560"/>
      <c r="CM116" s="67"/>
      <c r="CN116" s="67">
        <f>SUM(CN117:CN118)</f>
        <v>0</v>
      </c>
      <c r="CO116" s="67"/>
      <c r="CP116" s="67"/>
      <c r="CQ116" s="560"/>
      <c r="CR116" s="67"/>
      <c r="CS116" s="67">
        <f>SUM(CS117:CS118)</f>
        <v>0</v>
      </c>
      <c r="CT116" s="67"/>
      <c r="CU116" s="67"/>
      <c r="CV116" s="560"/>
      <c r="CW116" s="67"/>
      <c r="CX116" s="67">
        <f>SUM(CX117:CX118)</f>
        <v>0</v>
      </c>
      <c r="CY116" s="67"/>
      <c r="CZ116" s="67"/>
      <c r="DA116" s="560"/>
      <c r="DB116" s="67"/>
      <c r="DC116" s="67">
        <f>SUM(DC117:DC118)</f>
        <v>0</v>
      </c>
      <c r="DD116" s="67"/>
      <c r="DE116" s="67"/>
      <c r="DF116" s="560"/>
      <c r="DG116" s="67"/>
      <c r="DH116" s="67">
        <f>SUM(DH117:DH118)</f>
        <v>0</v>
      </c>
      <c r="DI116" s="67"/>
      <c r="DJ116" s="67"/>
      <c r="DK116" s="560"/>
      <c r="DL116" s="67"/>
      <c r="DM116" s="67">
        <f>SUM(DM117:DM118)</f>
        <v>0</v>
      </c>
      <c r="DN116" s="67"/>
      <c r="DO116" s="67"/>
      <c r="DP116" s="560"/>
      <c r="DQ116" s="67"/>
      <c r="DR116" s="67">
        <f>SUM(DR117:DR118)</f>
        <v>0</v>
      </c>
      <c r="DS116" s="67"/>
      <c r="DT116" s="67"/>
      <c r="DU116" s="560"/>
      <c r="DV116" s="67"/>
      <c r="DW116" s="67">
        <f>SUM(DW117:DW118)</f>
        <v>0</v>
      </c>
      <c r="DX116" s="67"/>
      <c r="DY116" s="67"/>
      <c r="DZ116" s="560"/>
      <c r="EA116" s="67"/>
      <c r="EB116" s="67">
        <f>SUM(EB117:EB118)</f>
        <v>0</v>
      </c>
      <c r="EC116" s="67"/>
      <c r="ED116" s="67"/>
      <c r="EE116" s="560"/>
      <c r="EF116" s="67"/>
      <c r="EG116" s="67">
        <f>SUM(EG117:EG118)</f>
        <v>0</v>
      </c>
      <c r="EH116" s="67"/>
      <c r="EI116" s="67"/>
      <c r="EJ116" s="560"/>
      <c r="EK116" s="67"/>
      <c r="EL116" s="67">
        <f>SUM(EL117:EL118)</f>
        <v>25241120</v>
      </c>
      <c r="EM116" s="67"/>
      <c r="EN116" s="67"/>
      <c r="EO116" s="455"/>
    </row>
    <row r="117" spans="1:145" x14ac:dyDescent="0.2">
      <c r="A117" s="442"/>
      <c r="B117" s="442"/>
      <c r="C117" s="442"/>
      <c r="D117" s="455" t="s">
        <v>469</v>
      </c>
      <c r="E117" s="465"/>
      <c r="F117" s="473"/>
      <c r="G117" s="558">
        <v>0</v>
      </c>
      <c r="H117" s="559"/>
      <c r="I117" s="67"/>
      <c r="J117" s="560"/>
      <c r="K117" s="561"/>
      <c r="L117" s="558">
        <v>0</v>
      </c>
      <c r="M117" s="559"/>
      <c r="N117" s="67"/>
      <c r="O117" s="560"/>
      <c r="P117" s="561"/>
      <c r="Q117" s="558">
        <v>0</v>
      </c>
      <c r="R117" s="559"/>
      <c r="S117" s="67"/>
      <c r="T117" s="560"/>
      <c r="U117" s="561"/>
      <c r="V117" s="558">
        <v>0</v>
      </c>
      <c r="W117" s="559"/>
      <c r="X117" s="67"/>
      <c r="Y117" s="560"/>
      <c r="Z117" s="561"/>
      <c r="AA117" s="558">
        <v>0</v>
      </c>
      <c r="AB117" s="559"/>
      <c r="AC117" s="67"/>
      <c r="AD117" s="560"/>
      <c r="AE117" s="561"/>
      <c r="AF117" s="558">
        <v>0</v>
      </c>
      <c r="AG117" s="559"/>
      <c r="AH117" s="67"/>
      <c r="AI117" s="560"/>
      <c r="AJ117" s="561"/>
      <c r="AK117" s="558">
        <v>0</v>
      </c>
      <c r="AL117" s="559"/>
      <c r="AM117" s="67"/>
      <c r="AN117" s="560"/>
      <c r="AO117" s="561"/>
      <c r="AP117" s="558">
        <v>0</v>
      </c>
      <c r="AQ117" s="559"/>
      <c r="AR117" s="67"/>
      <c r="AS117" s="560"/>
      <c r="AT117" s="561"/>
      <c r="AU117" s="558">
        <v>0</v>
      </c>
      <c r="AV117" s="559"/>
      <c r="AW117" s="67"/>
      <c r="AX117" s="560"/>
      <c r="AY117" s="561"/>
      <c r="AZ117" s="558">
        <v>0</v>
      </c>
      <c r="BA117" s="559"/>
      <c r="BB117" s="67"/>
      <c r="BC117" s="560"/>
      <c r="BD117" s="561"/>
      <c r="BE117" s="558">
        <v>0</v>
      </c>
      <c r="BF117" s="559"/>
      <c r="BG117" s="67"/>
      <c r="BH117" s="560"/>
      <c r="BI117" s="561"/>
      <c r="BJ117" s="558">
        <v>0</v>
      </c>
      <c r="BK117" s="559"/>
      <c r="BL117" s="67"/>
      <c r="BM117" s="560"/>
      <c r="BN117" s="561"/>
      <c r="BO117" s="558">
        <v>0</v>
      </c>
      <c r="BP117" s="559"/>
      <c r="BQ117" s="67"/>
      <c r="BR117" s="560"/>
      <c r="BS117" s="561"/>
      <c r="BT117" s="558">
        <f>SUM(L117:BO117)</f>
        <v>0</v>
      </c>
      <c r="BU117" s="559"/>
      <c r="BV117" s="67"/>
      <c r="BW117" s="560"/>
      <c r="BX117" s="561"/>
      <c r="BY117" s="558">
        <v>14118925</v>
      </c>
      <c r="BZ117" s="559"/>
      <c r="CA117" s="67"/>
      <c r="CB117" s="560"/>
      <c r="CC117" s="561"/>
      <c r="CD117" s="558">
        <v>0</v>
      </c>
      <c r="CE117" s="559"/>
      <c r="CF117" s="67"/>
      <c r="CG117" s="560"/>
      <c r="CH117" s="561"/>
      <c r="CI117" s="558">
        <v>14118925</v>
      </c>
      <c r="CJ117" s="559"/>
      <c r="CK117" s="67"/>
      <c r="CL117" s="560"/>
      <c r="CM117" s="561"/>
      <c r="CN117" s="558">
        <v>0</v>
      </c>
      <c r="CO117" s="559"/>
      <c r="CP117" s="67"/>
      <c r="CQ117" s="560"/>
      <c r="CR117" s="561"/>
      <c r="CS117" s="558">
        <v>0</v>
      </c>
      <c r="CT117" s="559"/>
      <c r="CU117" s="67"/>
      <c r="CV117" s="560"/>
      <c r="CW117" s="561"/>
      <c r="CX117" s="558">
        <v>0</v>
      </c>
      <c r="CY117" s="559"/>
      <c r="CZ117" s="67"/>
      <c r="DA117" s="560"/>
      <c r="DB117" s="561"/>
      <c r="DC117" s="558">
        <v>0</v>
      </c>
      <c r="DD117" s="559"/>
      <c r="DE117" s="67"/>
      <c r="DF117" s="560"/>
      <c r="DG117" s="561"/>
      <c r="DH117" s="558">
        <v>0</v>
      </c>
      <c r="DI117" s="559"/>
      <c r="DJ117" s="67"/>
      <c r="DK117" s="560"/>
      <c r="DL117" s="561"/>
      <c r="DM117" s="558">
        <v>0</v>
      </c>
      <c r="DN117" s="559"/>
      <c r="DO117" s="67"/>
      <c r="DP117" s="560"/>
      <c r="DQ117" s="561"/>
      <c r="DR117" s="558">
        <v>0</v>
      </c>
      <c r="DS117" s="559"/>
      <c r="DT117" s="67"/>
      <c r="DU117" s="560"/>
      <c r="DV117" s="561"/>
      <c r="DW117" s="558">
        <v>0</v>
      </c>
      <c r="DX117" s="559"/>
      <c r="DY117" s="67"/>
      <c r="DZ117" s="560"/>
      <c r="EA117" s="561"/>
      <c r="EB117" s="558">
        <v>0</v>
      </c>
      <c r="EC117" s="559"/>
      <c r="ED117" s="67"/>
      <c r="EE117" s="560"/>
      <c r="EF117" s="561"/>
      <c r="EG117" s="558">
        <v>0</v>
      </c>
      <c r="EH117" s="559"/>
      <c r="EI117" s="67"/>
      <c r="EJ117" s="560"/>
      <c r="EK117" s="561"/>
      <c r="EL117" s="558">
        <f>SUM(CD117:CI117)</f>
        <v>14118925</v>
      </c>
      <c r="EM117" s="559"/>
      <c r="EN117" s="67"/>
      <c r="EO117" s="455"/>
    </row>
    <row r="118" spans="1:145" x14ac:dyDescent="0.2">
      <c r="A118" s="442"/>
      <c r="B118" s="442"/>
      <c r="C118" s="442"/>
      <c r="D118" s="455" t="s">
        <v>470</v>
      </c>
      <c r="E118" s="465"/>
      <c r="F118" s="488"/>
      <c r="G118" s="113">
        <v>0</v>
      </c>
      <c r="H118" s="112"/>
      <c r="I118" s="67"/>
      <c r="J118" s="560"/>
      <c r="K118" s="569"/>
      <c r="L118" s="113">
        <v>0</v>
      </c>
      <c r="M118" s="112"/>
      <c r="N118" s="67"/>
      <c r="O118" s="560"/>
      <c r="P118" s="569"/>
      <c r="Q118" s="113">
        <v>0</v>
      </c>
      <c r="R118" s="112"/>
      <c r="S118" s="67"/>
      <c r="T118" s="560"/>
      <c r="U118" s="569"/>
      <c r="V118" s="113">
        <v>0</v>
      </c>
      <c r="W118" s="112"/>
      <c r="X118" s="67"/>
      <c r="Y118" s="560"/>
      <c r="Z118" s="569"/>
      <c r="AA118" s="113">
        <v>0</v>
      </c>
      <c r="AB118" s="112"/>
      <c r="AC118" s="67"/>
      <c r="AD118" s="560"/>
      <c r="AE118" s="569"/>
      <c r="AF118" s="113">
        <v>0</v>
      </c>
      <c r="AG118" s="112"/>
      <c r="AH118" s="67"/>
      <c r="AI118" s="560"/>
      <c r="AJ118" s="569"/>
      <c r="AK118" s="113">
        <v>0</v>
      </c>
      <c r="AL118" s="112"/>
      <c r="AM118" s="67"/>
      <c r="AN118" s="560"/>
      <c r="AO118" s="569"/>
      <c r="AP118" s="113">
        <v>0</v>
      </c>
      <c r="AQ118" s="112"/>
      <c r="AR118" s="67"/>
      <c r="AS118" s="560"/>
      <c r="AT118" s="569"/>
      <c r="AU118" s="113">
        <v>0</v>
      </c>
      <c r="AV118" s="112"/>
      <c r="AW118" s="67"/>
      <c r="AX118" s="560"/>
      <c r="AY118" s="569"/>
      <c r="AZ118" s="113">
        <v>0</v>
      </c>
      <c r="BA118" s="112"/>
      <c r="BB118" s="67"/>
      <c r="BC118" s="560"/>
      <c r="BD118" s="569"/>
      <c r="BE118" s="113">
        <v>0</v>
      </c>
      <c r="BF118" s="112"/>
      <c r="BG118" s="67"/>
      <c r="BH118" s="560"/>
      <c r="BI118" s="569"/>
      <c r="BJ118" s="113">
        <v>0</v>
      </c>
      <c r="BK118" s="112"/>
      <c r="BL118" s="67"/>
      <c r="BM118" s="560"/>
      <c r="BN118" s="569"/>
      <c r="BO118" s="113">
        <v>0</v>
      </c>
      <c r="BP118" s="112"/>
      <c r="BQ118" s="67"/>
      <c r="BR118" s="560"/>
      <c r="BS118" s="569"/>
      <c r="BT118" s="113">
        <f>SUM(L118:BO118)</f>
        <v>0</v>
      </c>
      <c r="BU118" s="112"/>
      <c r="BV118" s="67"/>
      <c r="BW118" s="560"/>
      <c r="BX118" s="569"/>
      <c r="BY118" s="113">
        <v>11122195</v>
      </c>
      <c r="BZ118" s="112"/>
      <c r="CA118" s="67"/>
      <c r="CB118" s="560"/>
      <c r="CC118" s="569"/>
      <c r="CD118" s="113">
        <v>0</v>
      </c>
      <c r="CE118" s="112"/>
      <c r="CF118" s="67"/>
      <c r="CG118" s="560"/>
      <c r="CH118" s="569"/>
      <c r="CI118" s="113">
        <v>11122195</v>
      </c>
      <c r="CJ118" s="112"/>
      <c r="CK118" s="67"/>
      <c r="CL118" s="560"/>
      <c r="CM118" s="569"/>
      <c r="CN118" s="113">
        <v>0</v>
      </c>
      <c r="CO118" s="112"/>
      <c r="CP118" s="67"/>
      <c r="CQ118" s="560"/>
      <c r="CR118" s="569"/>
      <c r="CS118" s="113">
        <v>0</v>
      </c>
      <c r="CT118" s="112"/>
      <c r="CU118" s="67"/>
      <c r="CV118" s="560"/>
      <c r="CW118" s="569"/>
      <c r="CX118" s="113">
        <v>0</v>
      </c>
      <c r="CY118" s="112"/>
      <c r="CZ118" s="67"/>
      <c r="DA118" s="560"/>
      <c r="DB118" s="569"/>
      <c r="DC118" s="113">
        <v>0</v>
      </c>
      <c r="DD118" s="112"/>
      <c r="DE118" s="67"/>
      <c r="DF118" s="560"/>
      <c r="DG118" s="569"/>
      <c r="DH118" s="113">
        <v>0</v>
      </c>
      <c r="DI118" s="112"/>
      <c r="DJ118" s="67"/>
      <c r="DK118" s="560"/>
      <c r="DL118" s="569"/>
      <c r="DM118" s="113">
        <v>0</v>
      </c>
      <c r="DN118" s="112"/>
      <c r="DO118" s="67"/>
      <c r="DP118" s="560"/>
      <c r="DQ118" s="569"/>
      <c r="DR118" s="113">
        <v>0</v>
      </c>
      <c r="DS118" s="112"/>
      <c r="DT118" s="67"/>
      <c r="DU118" s="560"/>
      <c r="DV118" s="569"/>
      <c r="DW118" s="113">
        <v>0</v>
      </c>
      <c r="DX118" s="112"/>
      <c r="DY118" s="67"/>
      <c r="DZ118" s="560"/>
      <c r="EA118" s="569"/>
      <c r="EB118" s="113">
        <v>0</v>
      </c>
      <c r="EC118" s="112"/>
      <c r="ED118" s="67"/>
      <c r="EE118" s="560"/>
      <c r="EF118" s="569"/>
      <c r="EG118" s="113">
        <v>0</v>
      </c>
      <c r="EH118" s="112"/>
      <c r="EI118" s="67"/>
      <c r="EJ118" s="560"/>
      <c r="EK118" s="569"/>
      <c r="EL118" s="113">
        <f>SUM(CD118:CI118)</f>
        <v>11122195</v>
      </c>
      <c r="EM118" s="112"/>
      <c r="EN118" s="67"/>
      <c r="EO118" s="455"/>
    </row>
    <row r="119" spans="1:145" x14ac:dyDescent="0.2">
      <c r="A119" s="442"/>
      <c r="B119" s="442"/>
      <c r="C119" s="442"/>
      <c r="D119" s="455"/>
      <c r="E119" s="465"/>
      <c r="F119" s="442"/>
      <c r="G119" s="67"/>
      <c r="H119" s="67"/>
      <c r="I119" s="67"/>
      <c r="J119" s="560"/>
      <c r="K119" s="67"/>
      <c r="L119" s="67"/>
      <c r="M119" s="67"/>
      <c r="N119" s="67"/>
      <c r="O119" s="560"/>
      <c r="P119" s="67"/>
      <c r="Q119" s="67"/>
      <c r="R119" s="67"/>
      <c r="S119" s="67"/>
      <c r="T119" s="560"/>
      <c r="U119" s="67"/>
      <c r="V119" s="67"/>
      <c r="W119" s="67"/>
      <c r="X119" s="67"/>
      <c r="Y119" s="560"/>
      <c r="Z119" s="67"/>
      <c r="AA119" s="67"/>
      <c r="AB119" s="67"/>
      <c r="AC119" s="67"/>
      <c r="AD119" s="560"/>
      <c r="AE119" s="67"/>
      <c r="AF119" s="67"/>
      <c r="AG119" s="67"/>
      <c r="AH119" s="67"/>
      <c r="AI119" s="560"/>
      <c r="AJ119" s="67"/>
      <c r="AK119" s="67"/>
      <c r="AL119" s="67"/>
      <c r="AM119" s="67"/>
      <c r="AN119" s="560"/>
      <c r="AO119" s="67"/>
      <c r="AP119" s="67"/>
      <c r="AQ119" s="67"/>
      <c r="AR119" s="67"/>
      <c r="AS119" s="560"/>
      <c r="AT119" s="67"/>
      <c r="AU119" s="67"/>
      <c r="AV119" s="67"/>
      <c r="AW119" s="67"/>
      <c r="AX119" s="560"/>
      <c r="AY119" s="67"/>
      <c r="AZ119" s="67"/>
      <c r="BA119" s="67"/>
      <c r="BB119" s="67"/>
      <c r="BC119" s="560"/>
      <c r="BD119" s="67"/>
      <c r="BE119" s="67"/>
      <c r="BF119" s="67"/>
      <c r="BG119" s="67"/>
      <c r="BH119" s="560"/>
      <c r="BI119" s="67"/>
      <c r="BJ119" s="67"/>
      <c r="BK119" s="67"/>
      <c r="BL119" s="67"/>
      <c r="BM119" s="560"/>
      <c r="BN119" s="67"/>
      <c r="BO119" s="67"/>
      <c r="BP119" s="67"/>
      <c r="BQ119" s="67"/>
      <c r="BR119" s="560"/>
      <c r="BS119" s="67"/>
      <c r="BT119" s="67"/>
      <c r="BU119" s="67"/>
      <c r="BV119" s="67"/>
      <c r="BW119" s="560"/>
      <c r="BX119" s="67"/>
      <c r="BY119" s="67"/>
      <c r="BZ119" s="67"/>
      <c r="CA119" s="67"/>
      <c r="CB119" s="560"/>
      <c r="CC119" s="67"/>
      <c r="CD119" s="67"/>
      <c r="CE119" s="67"/>
      <c r="CF119" s="67"/>
      <c r="CG119" s="560"/>
      <c r="CH119" s="67"/>
      <c r="CI119" s="67"/>
      <c r="CJ119" s="67"/>
      <c r="CK119" s="67"/>
      <c r="CL119" s="560"/>
      <c r="CM119" s="67"/>
      <c r="CN119" s="67"/>
      <c r="CO119" s="67"/>
      <c r="CP119" s="67"/>
      <c r="CQ119" s="560"/>
      <c r="CR119" s="67"/>
      <c r="CS119" s="67"/>
      <c r="CT119" s="67"/>
      <c r="CU119" s="67"/>
      <c r="CV119" s="560"/>
      <c r="CW119" s="67"/>
      <c r="CX119" s="67"/>
      <c r="CY119" s="67"/>
      <c r="CZ119" s="67"/>
      <c r="DA119" s="560"/>
      <c r="DB119" s="67"/>
      <c r="DC119" s="67"/>
      <c r="DD119" s="67"/>
      <c r="DE119" s="67"/>
      <c r="DF119" s="560"/>
      <c r="DG119" s="67"/>
      <c r="DH119" s="67"/>
      <c r="DI119" s="67"/>
      <c r="DJ119" s="67"/>
      <c r="DK119" s="560"/>
      <c r="DL119" s="67"/>
      <c r="DM119" s="67"/>
      <c r="DN119" s="67"/>
      <c r="DO119" s="67"/>
      <c r="DP119" s="560"/>
      <c r="DQ119" s="67"/>
      <c r="DR119" s="67"/>
      <c r="DS119" s="67"/>
      <c r="DT119" s="67"/>
      <c r="DU119" s="560"/>
      <c r="DV119" s="67"/>
      <c r="DW119" s="67"/>
      <c r="DX119" s="67"/>
      <c r="DY119" s="67"/>
      <c r="DZ119" s="560"/>
      <c r="EA119" s="67"/>
      <c r="EB119" s="67"/>
      <c r="EC119" s="67"/>
      <c r="ED119" s="67"/>
      <c r="EE119" s="560"/>
      <c r="EF119" s="67"/>
      <c r="EG119" s="67"/>
      <c r="EH119" s="67"/>
      <c r="EI119" s="67"/>
      <c r="EJ119" s="560"/>
      <c r="EK119" s="67"/>
      <c r="EL119" s="67"/>
      <c r="EM119" s="67"/>
      <c r="EN119" s="67"/>
      <c r="EO119" s="455"/>
    </row>
    <row r="120" spans="1:145" x14ac:dyDescent="0.2">
      <c r="A120" s="442"/>
      <c r="B120" s="442"/>
      <c r="C120" s="442"/>
      <c r="D120" s="455" t="s">
        <v>473</v>
      </c>
      <c r="E120" s="465"/>
      <c r="F120" s="442"/>
      <c r="G120" s="67">
        <f>SUM(G121:G122)</f>
        <v>0</v>
      </c>
      <c r="H120" s="67"/>
      <c r="I120" s="67"/>
      <c r="J120" s="560"/>
      <c r="K120" s="67"/>
      <c r="L120" s="67">
        <f>SUM(L121:L122)</f>
        <v>0</v>
      </c>
      <c r="M120" s="67"/>
      <c r="N120" s="67"/>
      <c r="O120" s="560"/>
      <c r="P120" s="67"/>
      <c r="Q120" s="67">
        <f>SUM(Q121:Q122)</f>
        <v>0</v>
      </c>
      <c r="R120" s="67"/>
      <c r="S120" s="67"/>
      <c r="T120" s="560"/>
      <c r="U120" s="67"/>
      <c r="V120" s="67">
        <f>SUM(V121:V122)</f>
        <v>0</v>
      </c>
      <c r="W120" s="67"/>
      <c r="X120" s="67"/>
      <c r="Y120" s="560"/>
      <c r="Z120" s="67"/>
      <c r="AA120" s="67">
        <f>SUM(AA121:AA122)</f>
        <v>0</v>
      </c>
      <c r="AB120" s="67"/>
      <c r="AC120" s="67"/>
      <c r="AD120" s="560"/>
      <c r="AE120" s="67"/>
      <c r="AF120" s="67">
        <f>SUM(AF121:AF122)</f>
        <v>0</v>
      </c>
      <c r="AG120" s="67"/>
      <c r="AH120" s="67"/>
      <c r="AI120" s="560"/>
      <c r="AJ120" s="67"/>
      <c r="AK120" s="67">
        <f>SUM(AK121:AK122)</f>
        <v>0</v>
      </c>
      <c r="AL120" s="67"/>
      <c r="AM120" s="67"/>
      <c r="AN120" s="560"/>
      <c r="AO120" s="67"/>
      <c r="AP120" s="67">
        <f>SUM(AP121:AP122)</f>
        <v>0</v>
      </c>
      <c r="AQ120" s="67"/>
      <c r="AR120" s="67"/>
      <c r="AS120" s="560"/>
      <c r="AT120" s="67"/>
      <c r="AU120" s="67">
        <f>SUM(AU121:AU122)</f>
        <v>0</v>
      </c>
      <c r="AV120" s="67"/>
      <c r="AW120" s="67"/>
      <c r="AX120" s="560"/>
      <c r="AY120" s="67"/>
      <c r="AZ120" s="67">
        <f>SUM(AZ121:AZ122)</f>
        <v>0</v>
      </c>
      <c r="BA120" s="67"/>
      <c r="BB120" s="67"/>
      <c r="BC120" s="560"/>
      <c r="BD120" s="67"/>
      <c r="BE120" s="67">
        <f>SUM(BE121:BE122)</f>
        <v>0</v>
      </c>
      <c r="BF120" s="67"/>
      <c r="BG120" s="67"/>
      <c r="BH120" s="560"/>
      <c r="BI120" s="67"/>
      <c r="BJ120" s="67">
        <f>SUM(BJ121:BJ122)</f>
        <v>0</v>
      </c>
      <c r="BK120" s="67"/>
      <c r="BL120" s="67"/>
      <c r="BM120" s="560"/>
      <c r="BN120" s="67"/>
      <c r="BO120" s="67">
        <f>SUM(BO121:BO122)</f>
        <v>0</v>
      </c>
      <c r="BP120" s="67"/>
      <c r="BQ120" s="67"/>
      <c r="BR120" s="560"/>
      <c r="BS120" s="67"/>
      <c r="BT120" s="67">
        <f>SUM(BT121:BT122)</f>
        <v>0</v>
      </c>
      <c r="BU120" s="67"/>
      <c r="BV120" s="67"/>
      <c r="BW120" s="560"/>
      <c r="BX120" s="67"/>
      <c r="BY120" s="67">
        <f>SUM(BY121:BY122)</f>
        <v>24692267</v>
      </c>
      <c r="BZ120" s="67"/>
      <c r="CA120" s="67"/>
      <c r="CB120" s="560"/>
      <c r="CC120" s="67"/>
      <c r="CD120" s="67">
        <f>SUM(CD121:CD122)</f>
        <v>0</v>
      </c>
      <c r="CE120" s="67"/>
      <c r="CF120" s="67"/>
      <c r="CG120" s="560"/>
      <c r="CH120" s="67"/>
      <c r="CI120" s="67">
        <f>SUM(CI121:CI122)</f>
        <v>0</v>
      </c>
      <c r="CJ120" s="67"/>
      <c r="CK120" s="67"/>
      <c r="CL120" s="560"/>
      <c r="CM120" s="67"/>
      <c r="CN120" s="67">
        <f>SUM(CN121:CN122)</f>
        <v>0</v>
      </c>
      <c r="CO120" s="67"/>
      <c r="CP120" s="67"/>
      <c r="CQ120" s="560"/>
      <c r="CR120" s="67"/>
      <c r="CS120" s="67">
        <f>SUM(CS121:CS122)</f>
        <v>0</v>
      </c>
      <c r="CT120" s="67"/>
      <c r="CU120" s="67"/>
      <c r="CV120" s="560"/>
      <c r="CW120" s="67"/>
      <c r="CX120" s="67">
        <f>SUM(CX121:CX122)</f>
        <v>0</v>
      </c>
      <c r="CY120" s="67"/>
      <c r="CZ120" s="67"/>
      <c r="DA120" s="560"/>
      <c r="DB120" s="67"/>
      <c r="DC120" s="67">
        <f>SUM(DC121:DC122)</f>
        <v>0</v>
      </c>
      <c r="DD120" s="67"/>
      <c r="DE120" s="67"/>
      <c r="DF120" s="560"/>
      <c r="DG120" s="67"/>
      <c r="DH120" s="67">
        <f>SUM(DH121:DH122)</f>
        <v>0</v>
      </c>
      <c r="DI120" s="67"/>
      <c r="DJ120" s="67"/>
      <c r="DK120" s="560"/>
      <c r="DL120" s="67"/>
      <c r="DM120" s="67">
        <f>SUM(DM121:DM122)</f>
        <v>0</v>
      </c>
      <c r="DN120" s="67"/>
      <c r="DO120" s="67"/>
      <c r="DP120" s="560"/>
      <c r="DQ120" s="67"/>
      <c r="DR120" s="67">
        <f>SUM(DR121:DR122)</f>
        <v>0</v>
      </c>
      <c r="DS120" s="67"/>
      <c r="DT120" s="67"/>
      <c r="DU120" s="560"/>
      <c r="DV120" s="67"/>
      <c r="DW120" s="67">
        <f>SUM(DW121:DW122)</f>
        <v>0</v>
      </c>
      <c r="DX120" s="67"/>
      <c r="DY120" s="67"/>
      <c r="DZ120" s="560"/>
      <c r="EA120" s="67"/>
      <c r="EB120" s="67">
        <f>SUM(EB121:EB122)</f>
        <v>0</v>
      </c>
      <c r="EC120" s="67"/>
      <c r="ED120" s="67"/>
      <c r="EE120" s="560"/>
      <c r="EF120" s="67"/>
      <c r="EG120" s="67">
        <f>SUM(EG121:EG122)</f>
        <v>24692267</v>
      </c>
      <c r="EH120" s="67"/>
      <c r="EI120" s="67"/>
      <c r="EJ120" s="560"/>
      <c r="EK120" s="67"/>
      <c r="EL120" s="67">
        <f>SUM(EL121:EL122)</f>
        <v>0</v>
      </c>
      <c r="EM120" s="67"/>
      <c r="EN120" s="67"/>
      <c r="EO120" s="455"/>
    </row>
    <row r="121" spans="1:145" x14ac:dyDescent="0.2">
      <c r="A121" s="442"/>
      <c r="B121" s="442"/>
      <c r="C121" s="442"/>
      <c r="D121" s="455" t="s">
        <v>469</v>
      </c>
      <c r="E121" s="465"/>
      <c r="F121" s="473"/>
      <c r="G121" s="558">
        <v>0</v>
      </c>
      <c r="H121" s="559"/>
      <c r="I121" s="67"/>
      <c r="J121" s="560"/>
      <c r="K121" s="561"/>
      <c r="L121" s="558">
        <v>0</v>
      </c>
      <c r="M121" s="559"/>
      <c r="N121" s="67"/>
      <c r="O121" s="560"/>
      <c r="P121" s="561"/>
      <c r="Q121" s="558">
        <v>0</v>
      </c>
      <c r="R121" s="559"/>
      <c r="S121" s="67"/>
      <c r="T121" s="560"/>
      <c r="U121" s="561"/>
      <c r="V121" s="558">
        <v>0</v>
      </c>
      <c r="W121" s="559"/>
      <c r="X121" s="67"/>
      <c r="Y121" s="560"/>
      <c r="Z121" s="561"/>
      <c r="AA121" s="558">
        <v>0</v>
      </c>
      <c r="AB121" s="559"/>
      <c r="AC121" s="67"/>
      <c r="AD121" s="560"/>
      <c r="AE121" s="561"/>
      <c r="AF121" s="558">
        <v>0</v>
      </c>
      <c r="AG121" s="559"/>
      <c r="AH121" s="67"/>
      <c r="AI121" s="560"/>
      <c r="AJ121" s="561"/>
      <c r="AK121" s="558">
        <v>0</v>
      </c>
      <c r="AL121" s="559"/>
      <c r="AM121" s="67"/>
      <c r="AN121" s="560"/>
      <c r="AO121" s="561"/>
      <c r="AP121" s="558">
        <v>0</v>
      </c>
      <c r="AQ121" s="559"/>
      <c r="AR121" s="67"/>
      <c r="AS121" s="560"/>
      <c r="AT121" s="561"/>
      <c r="AU121" s="558">
        <v>0</v>
      </c>
      <c r="AV121" s="559"/>
      <c r="AW121" s="67"/>
      <c r="AX121" s="560"/>
      <c r="AY121" s="561"/>
      <c r="AZ121" s="558">
        <v>0</v>
      </c>
      <c r="BA121" s="559"/>
      <c r="BB121" s="67"/>
      <c r="BC121" s="560"/>
      <c r="BD121" s="561"/>
      <c r="BE121" s="558">
        <v>0</v>
      </c>
      <c r="BF121" s="559"/>
      <c r="BG121" s="67"/>
      <c r="BH121" s="560"/>
      <c r="BI121" s="561"/>
      <c r="BJ121" s="558">
        <v>0</v>
      </c>
      <c r="BK121" s="559"/>
      <c r="BL121" s="67"/>
      <c r="BM121" s="560"/>
      <c r="BN121" s="561"/>
      <c r="BO121" s="558">
        <v>0</v>
      </c>
      <c r="BP121" s="559"/>
      <c r="BQ121" s="67"/>
      <c r="BR121" s="560"/>
      <c r="BS121" s="561"/>
      <c r="BT121" s="558">
        <f>SUM(L121:BO121)</f>
        <v>0</v>
      </c>
      <c r="BU121" s="559"/>
      <c r="BV121" s="67"/>
      <c r="BW121" s="560"/>
      <c r="BX121" s="561"/>
      <c r="BY121" s="558">
        <v>12046193</v>
      </c>
      <c r="BZ121" s="559"/>
      <c r="CA121" s="67"/>
      <c r="CB121" s="560"/>
      <c r="CC121" s="561"/>
      <c r="CD121" s="558">
        <v>0</v>
      </c>
      <c r="CE121" s="559"/>
      <c r="CF121" s="67"/>
      <c r="CG121" s="560"/>
      <c r="CH121" s="561"/>
      <c r="CI121" s="558">
        <v>0</v>
      </c>
      <c r="CJ121" s="559"/>
      <c r="CK121" s="67"/>
      <c r="CL121" s="560"/>
      <c r="CM121" s="561"/>
      <c r="CN121" s="558">
        <v>0</v>
      </c>
      <c r="CO121" s="559"/>
      <c r="CP121" s="67"/>
      <c r="CQ121" s="560"/>
      <c r="CR121" s="561"/>
      <c r="CS121" s="558">
        <v>0</v>
      </c>
      <c r="CT121" s="559"/>
      <c r="CU121" s="67"/>
      <c r="CV121" s="560"/>
      <c r="CW121" s="561"/>
      <c r="CX121" s="558">
        <v>0</v>
      </c>
      <c r="CY121" s="559"/>
      <c r="CZ121" s="67"/>
      <c r="DA121" s="560"/>
      <c r="DB121" s="561"/>
      <c r="DC121" s="558">
        <v>0</v>
      </c>
      <c r="DD121" s="559"/>
      <c r="DE121" s="67"/>
      <c r="DF121" s="560"/>
      <c r="DG121" s="561"/>
      <c r="DH121" s="558">
        <v>0</v>
      </c>
      <c r="DI121" s="559"/>
      <c r="DJ121" s="67"/>
      <c r="DK121" s="560"/>
      <c r="DL121" s="561"/>
      <c r="DM121" s="558">
        <v>0</v>
      </c>
      <c r="DN121" s="559"/>
      <c r="DO121" s="67"/>
      <c r="DP121" s="560"/>
      <c r="DQ121" s="561"/>
      <c r="DR121" s="558">
        <v>0</v>
      </c>
      <c r="DS121" s="559"/>
      <c r="DT121" s="67"/>
      <c r="DU121" s="560"/>
      <c r="DV121" s="561"/>
      <c r="DW121" s="558">
        <v>0</v>
      </c>
      <c r="DX121" s="559"/>
      <c r="DY121" s="67"/>
      <c r="DZ121" s="560"/>
      <c r="EA121" s="561"/>
      <c r="EB121" s="558">
        <v>0</v>
      </c>
      <c r="EC121" s="559"/>
      <c r="ED121" s="67"/>
      <c r="EE121" s="560"/>
      <c r="EF121" s="561"/>
      <c r="EG121" s="558">
        <v>12046193</v>
      </c>
      <c r="EH121" s="559"/>
      <c r="EI121" s="67"/>
      <c r="EJ121" s="560"/>
      <c r="EK121" s="561"/>
      <c r="EL121" s="558">
        <f>SUM(CD121:CI121)</f>
        <v>0</v>
      </c>
      <c r="EM121" s="559"/>
      <c r="EN121" s="67"/>
      <c r="EO121" s="455"/>
    </row>
    <row r="122" spans="1:145" x14ac:dyDescent="0.2">
      <c r="A122" s="442"/>
      <c r="B122" s="442"/>
      <c r="C122" s="442"/>
      <c r="D122" s="455" t="s">
        <v>470</v>
      </c>
      <c r="E122" s="465"/>
      <c r="F122" s="488"/>
      <c r="G122" s="113">
        <v>0</v>
      </c>
      <c r="H122" s="112"/>
      <c r="I122" s="67"/>
      <c r="J122" s="560"/>
      <c r="K122" s="569"/>
      <c r="L122" s="113">
        <v>0</v>
      </c>
      <c r="M122" s="112"/>
      <c r="N122" s="67"/>
      <c r="O122" s="560"/>
      <c r="P122" s="569"/>
      <c r="Q122" s="113">
        <v>0</v>
      </c>
      <c r="R122" s="112"/>
      <c r="S122" s="67"/>
      <c r="T122" s="560"/>
      <c r="U122" s="569"/>
      <c r="V122" s="113">
        <v>0</v>
      </c>
      <c r="W122" s="112"/>
      <c r="X122" s="67"/>
      <c r="Y122" s="560"/>
      <c r="Z122" s="569"/>
      <c r="AA122" s="113">
        <v>0</v>
      </c>
      <c r="AB122" s="112"/>
      <c r="AC122" s="67"/>
      <c r="AD122" s="560"/>
      <c r="AE122" s="569"/>
      <c r="AF122" s="113">
        <v>0</v>
      </c>
      <c r="AG122" s="112"/>
      <c r="AH122" s="67"/>
      <c r="AI122" s="560"/>
      <c r="AJ122" s="569"/>
      <c r="AK122" s="113">
        <v>0</v>
      </c>
      <c r="AL122" s="112"/>
      <c r="AM122" s="67"/>
      <c r="AN122" s="560"/>
      <c r="AO122" s="569"/>
      <c r="AP122" s="113">
        <v>0</v>
      </c>
      <c r="AQ122" s="112"/>
      <c r="AR122" s="67"/>
      <c r="AS122" s="560"/>
      <c r="AT122" s="569"/>
      <c r="AU122" s="113">
        <v>0</v>
      </c>
      <c r="AV122" s="112"/>
      <c r="AW122" s="67"/>
      <c r="AX122" s="560"/>
      <c r="AY122" s="569"/>
      <c r="AZ122" s="113">
        <v>0</v>
      </c>
      <c r="BA122" s="112"/>
      <c r="BB122" s="67"/>
      <c r="BC122" s="560"/>
      <c r="BD122" s="569"/>
      <c r="BE122" s="113">
        <v>0</v>
      </c>
      <c r="BF122" s="112"/>
      <c r="BG122" s="67"/>
      <c r="BH122" s="560"/>
      <c r="BI122" s="569"/>
      <c r="BJ122" s="113">
        <v>0</v>
      </c>
      <c r="BK122" s="112"/>
      <c r="BL122" s="67"/>
      <c r="BM122" s="560"/>
      <c r="BN122" s="569"/>
      <c r="BO122" s="113">
        <v>0</v>
      </c>
      <c r="BP122" s="112"/>
      <c r="BQ122" s="67"/>
      <c r="BR122" s="560"/>
      <c r="BS122" s="569"/>
      <c r="BT122" s="113">
        <f>SUM(L122:BO122)</f>
        <v>0</v>
      </c>
      <c r="BU122" s="112"/>
      <c r="BV122" s="67"/>
      <c r="BW122" s="560"/>
      <c r="BX122" s="569"/>
      <c r="BY122" s="113">
        <v>12646074</v>
      </c>
      <c r="BZ122" s="112"/>
      <c r="CA122" s="67"/>
      <c r="CB122" s="560"/>
      <c r="CC122" s="569"/>
      <c r="CD122" s="113">
        <v>0</v>
      </c>
      <c r="CE122" s="112"/>
      <c r="CF122" s="67"/>
      <c r="CG122" s="560"/>
      <c r="CH122" s="569"/>
      <c r="CI122" s="113">
        <v>0</v>
      </c>
      <c r="CJ122" s="112"/>
      <c r="CK122" s="67"/>
      <c r="CL122" s="560"/>
      <c r="CM122" s="569"/>
      <c r="CN122" s="113">
        <v>0</v>
      </c>
      <c r="CO122" s="112"/>
      <c r="CP122" s="67"/>
      <c r="CQ122" s="560"/>
      <c r="CR122" s="569"/>
      <c r="CS122" s="113">
        <v>0</v>
      </c>
      <c r="CT122" s="112"/>
      <c r="CU122" s="67"/>
      <c r="CV122" s="560"/>
      <c r="CW122" s="569"/>
      <c r="CX122" s="113">
        <v>0</v>
      </c>
      <c r="CY122" s="112"/>
      <c r="CZ122" s="67"/>
      <c r="DA122" s="560"/>
      <c r="DB122" s="569"/>
      <c r="DC122" s="113">
        <v>0</v>
      </c>
      <c r="DD122" s="112"/>
      <c r="DE122" s="67"/>
      <c r="DF122" s="560"/>
      <c r="DG122" s="569"/>
      <c r="DH122" s="113">
        <v>0</v>
      </c>
      <c r="DI122" s="112"/>
      <c r="DJ122" s="67"/>
      <c r="DK122" s="560"/>
      <c r="DL122" s="569"/>
      <c r="DM122" s="113">
        <v>0</v>
      </c>
      <c r="DN122" s="112"/>
      <c r="DO122" s="67"/>
      <c r="DP122" s="560"/>
      <c r="DQ122" s="569"/>
      <c r="DR122" s="113">
        <v>0</v>
      </c>
      <c r="DS122" s="112"/>
      <c r="DT122" s="67"/>
      <c r="DU122" s="560"/>
      <c r="DV122" s="569"/>
      <c r="DW122" s="113">
        <v>0</v>
      </c>
      <c r="DX122" s="112"/>
      <c r="DY122" s="67"/>
      <c r="DZ122" s="560"/>
      <c r="EA122" s="569"/>
      <c r="EB122" s="113">
        <v>0</v>
      </c>
      <c r="EC122" s="112"/>
      <c r="ED122" s="67"/>
      <c r="EE122" s="560"/>
      <c r="EF122" s="569"/>
      <c r="EG122" s="113">
        <v>12646074</v>
      </c>
      <c r="EH122" s="112"/>
      <c r="EI122" s="67"/>
      <c r="EJ122" s="560"/>
      <c r="EK122" s="569"/>
      <c r="EL122" s="113">
        <f>SUM(CD122:CI122)</f>
        <v>0</v>
      </c>
      <c r="EM122" s="112"/>
      <c r="EN122" s="67"/>
      <c r="EO122" s="455"/>
    </row>
    <row r="123" spans="1:145" hidden="1" x14ac:dyDescent="0.2">
      <c r="A123" s="442"/>
      <c r="B123" s="442"/>
      <c r="C123" s="442"/>
      <c r="D123" s="455"/>
      <c r="E123" s="465"/>
      <c r="F123" s="442"/>
      <c r="G123" s="67"/>
      <c r="H123" s="67"/>
      <c r="I123" s="67"/>
      <c r="J123" s="560"/>
      <c r="K123" s="67"/>
      <c r="L123" s="67"/>
      <c r="M123" s="67"/>
      <c r="N123" s="67"/>
      <c r="O123" s="560"/>
      <c r="P123" s="67"/>
      <c r="Q123" s="67"/>
      <c r="R123" s="67"/>
      <c r="S123" s="67"/>
      <c r="T123" s="560"/>
      <c r="U123" s="67"/>
      <c r="V123" s="67"/>
      <c r="W123" s="67"/>
      <c r="X123" s="67"/>
      <c r="Y123" s="560"/>
      <c r="Z123" s="67"/>
      <c r="AA123" s="67"/>
      <c r="AB123" s="67"/>
      <c r="AC123" s="67"/>
      <c r="AD123" s="560"/>
      <c r="AE123" s="67"/>
      <c r="AF123" s="67"/>
      <c r="AG123" s="67"/>
      <c r="AH123" s="67"/>
      <c r="AI123" s="560"/>
      <c r="AJ123" s="67"/>
      <c r="AK123" s="67"/>
      <c r="AL123" s="67"/>
      <c r="AM123" s="67"/>
      <c r="AN123" s="560"/>
      <c r="AO123" s="67"/>
      <c r="AP123" s="67"/>
      <c r="AQ123" s="67"/>
      <c r="AR123" s="67"/>
      <c r="AS123" s="560"/>
      <c r="AT123" s="67"/>
      <c r="AU123" s="67"/>
      <c r="AV123" s="67"/>
      <c r="AW123" s="67"/>
      <c r="AX123" s="560"/>
      <c r="AY123" s="67"/>
      <c r="AZ123" s="67"/>
      <c r="BA123" s="67"/>
      <c r="BB123" s="67"/>
      <c r="BC123" s="560"/>
      <c r="BD123" s="67"/>
      <c r="BE123" s="67"/>
      <c r="BF123" s="67"/>
      <c r="BG123" s="67"/>
      <c r="BH123" s="560"/>
      <c r="BI123" s="67"/>
      <c r="BJ123" s="67"/>
      <c r="BK123" s="67"/>
      <c r="BL123" s="67"/>
      <c r="BM123" s="560"/>
      <c r="BN123" s="67"/>
      <c r="BO123" s="67"/>
      <c r="BP123" s="67"/>
      <c r="BQ123" s="67"/>
      <c r="BR123" s="560"/>
      <c r="BS123" s="67"/>
      <c r="BT123" s="67"/>
      <c r="BU123" s="67"/>
      <c r="BV123" s="67"/>
      <c r="BW123" s="560"/>
      <c r="BX123" s="67"/>
      <c r="BY123" s="67"/>
      <c r="BZ123" s="67"/>
      <c r="CA123" s="67"/>
      <c r="CB123" s="560"/>
      <c r="CC123" s="67"/>
      <c r="CD123" s="67"/>
      <c r="CE123" s="67"/>
      <c r="CF123" s="67"/>
      <c r="CG123" s="560"/>
      <c r="CH123" s="67"/>
      <c r="CI123" s="67"/>
      <c r="CJ123" s="67"/>
      <c r="CK123" s="67"/>
      <c r="CL123" s="560"/>
      <c r="CM123" s="67"/>
      <c r="CN123" s="67"/>
      <c r="CO123" s="67"/>
      <c r="CP123" s="67"/>
      <c r="CQ123" s="560"/>
      <c r="CR123" s="67"/>
      <c r="CS123" s="67"/>
      <c r="CT123" s="67"/>
      <c r="CU123" s="67"/>
      <c r="CV123" s="560"/>
      <c r="CW123" s="67"/>
      <c r="CX123" s="67"/>
      <c r="CY123" s="67"/>
      <c r="CZ123" s="67"/>
      <c r="DA123" s="560"/>
      <c r="DB123" s="67"/>
      <c r="DC123" s="67"/>
      <c r="DD123" s="67"/>
      <c r="DE123" s="67"/>
      <c r="DF123" s="560"/>
      <c r="DG123" s="67"/>
      <c r="DH123" s="67"/>
      <c r="DI123" s="67"/>
      <c r="DJ123" s="67"/>
      <c r="DK123" s="560"/>
      <c r="DL123" s="67"/>
      <c r="DM123" s="67"/>
      <c r="DN123" s="67"/>
      <c r="DO123" s="67"/>
      <c r="DP123" s="560"/>
      <c r="DQ123" s="67"/>
      <c r="DR123" s="67"/>
      <c r="DS123" s="67"/>
      <c r="DT123" s="67"/>
      <c r="DU123" s="560"/>
      <c r="DV123" s="67"/>
      <c r="DW123" s="67"/>
      <c r="DX123" s="67"/>
      <c r="DY123" s="67"/>
      <c r="DZ123" s="560"/>
      <c r="EA123" s="67"/>
      <c r="EB123" s="67"/>
      <c r="EC123" s="67"/>
      <c r="ED123" s="67"/>
      <c r="EE123" s="560"/>
      <c r="EF123" s="67"/>
      <c r="EG123" s="67"/>
      <c r="EH123" s="67"/>
      <c r="EI123" s="67"/>
      <c r="EJ123" s="560"/>
      <c r="EK123" s="67"/>
      <c r="EL123" s="67"/>
      <c r="EM123" s="67"/>
      <c r="EN123" s="67"/>
      <c r="EO123" s="455"/>
    </row>
    <row r="124" spans="1:145" hidden="1" x14ac:dyDescent="0.2">
      <c r="A124" s="442"/>
      <c r="B124" s="442"/>
      <c r="C124" s="442"/>
      <c r="D124" s="455" t="s">
        <v>474</v>
      </c>
      <c r="E124" s="465"/>
      <c r="F124" s="442"/>
      <c r="G124" s="67">
        <v>0</v>
      </c>
      <c r="H124" s="67"/>
      <c r="I124" s="67"/>
      <c r="J124" s="560"/>
      <c r="K124" s="67"/>
      <c r="L124" s="67">
        <f>SUM(L125:L126)</f>
        <v>0</v>
      </c>
      <c r="M124" s="67"/>
      <c r="N124" s="67"/>
      <c r="O124" s="560"/>
      <c r="P124" s="67"/>
      <c r="Q124" s="67">
        <f>SUM(Q125:Q126)</f>
        <v>0</v>
      </c>
      <c r="R124" s="67"/>
      <c r="S124" s="67"/>
      <c r="T124" s="560"/>
      <c r="U124" s="67"/>
      <c r="V124" s="67">
        <f>SUM(V125:V126)</f>
        <v>0</v>
      </c>
      <c r="W124" s="67"/>
      <c r="X124" s="67"/>
      <c r="Y124" s="560"/>
      <c r="Z124" s="67"/>
      <c r="AA124" s="67">
        <f>SUM(AA125:AA126)</f>
        <v>0</v>
      </c>
      <c r="AB124" s="67"/>
      <c r="AC124" s="67"/>
      <c r="AD124" s="560"/>
      <c r="AE124" s="67"/>
      <c r="AF124" s="67">
        <f>SUM(AF125:AF126)</f>
        <v>0</v>
      </c>
      <c r="AG124" s="67"/>
      <c r="AH124" s="67"/>
      <c r="AI124" s="560"/>
      <c r="AJ124" s="67"/>
      <c r="AK124" s="67">
        <f>SUM(AK125:AK126)</f>
        <v>0</v>
      </c>
      <c r="AL124" s="67"/>
      <c r="AM124" s="67"/>
      <c r="AN124" s="560"/>
      <c r="AO124" s="67"/>
      <c r="AP124" s="67">
        <f>SUM(AP125:AP126)</f>
        <v>0</v>
      </c>
      <c r="AQ124" s="67"/>
      <c r="AR124" s="67"/>
      <c r="AS124" s="560"/>
      <c r="AT124" s="67"/>
      <c r="AU124" s="67">
        <f>SUM(AU125:AU126)</f>
        <v>0</v>
      </c>
      <c r="AV124" s="67"/>
      <c r="AW124" s="67"/>
      <c r="AX124" s="560"/>
      <c r="AY124" s="67"/>
      <c r="AZ124" s="67">
        <f>SUM(AZ125:AZ126)</f>
        <v>0</v>
      </c>
      <c r="BA124" s="67"/>
      <c r="BB124" s="67"/>
      <c r="BC124" s="560"/>
      <c r="BD124" s="67"/>
      <c r="BE124" s="67">
        <f>SUM(BE125:BE126)</f>
        <v>0</v>
      </c>
      <c r="BF124" s="67"/>
      <c r="BG124" s="67"/>
      <c r="BH124" s="560"/>
      <c r="BI124" s="67"/>
      <c r="BJ124" s="67">
        <f>SUM(BJ125:BJ126)</f>
        <v>0</v>
      </c>
      <c r="BK124" s="67"/>
      <c r="BL124" s="67"/>
      <c r="BM124" s="560"/>
      <c r="BN124" s="67"/>
      <c r="BO124" s="67">
        <f>SUM(BO125:BO126)</f>
        <v>0</v>
      </c>
      <c r="BP124" s="67"/>
      <c r="BQ124" s="67"/>
      <c r="BR124" s="560"/>
      <c r="BS124" s="67"/>
      <c r="BT124" s="67">
        <f>SUM(BT125:BT126)</f>
        <v>0</v>
      </c>
      <c r="BU124" s="67"/>
      <c r="BV124" s="67"/>
      <c r="BW124" s="560"/>
      <c r="BX124" s="67"/>
      <c r="BY124" s="67">
        <f>SUM(BY125:BY126)</f>
        <v>0</v>
      </c>
      <c r="BZ124" s="67"/>
      <c r="CA124" s="67"/>
      <c r="CB124" s="560"/>
      <c r="CC124" s="67"/>
      <c r="CD124" s="67">
        <f>SUM(CD125:CD126)</f>
        <v>0</v>
      </c>
      <c r="CE124" s="67"/>
      <c r="CF124" s="67"/>
      <c r="CG124" s="560"/>
      <c r="CH124" s="67"/>
      <c r="CI124" s="67">
        <f>SUM(CI125:CI126)</f>
        <v>0</v>
      </c>
      <c r="CJ124" s="67"/>
      <c r="CK124" s="67"/>
      <c r="CL124" s="560"/>
      <c r="CM124" s="67"/>
      <c r="CN124" s="67">
        <f>SUM(CN125:CN126)</f>
        <v>0</v>
      </c>
      <c r="CO124" s="67"/>
      <c r="CP124" s="67"/>
      <c r="CQ124" s="560"/>
      <c r="CR124" s="67"/>
      <c r="CS124" s="67">
        <f>SUM(CS125:CS126)</f>
        <v>0</v>
      </c>
      <c r="CT124" s="67"/>
      <c r="CU124" s="67"/>
      <c r="CV124" s="560"/>
      <c r="CW124" s="67"/>
      <c r="CX124" s="67">
        <f>SUM(CX125:CX126)</f>
        <v>0</v>
      </c>
      <c r="CY124" s="67"/>
      <c r="CZ124" s="67"/>
      <c r="DA124" s="560"/>
      <c r="DB124" s="67"/>
      <c r="DC124" s="67">
        <f>SUM(DC125:DC126)</f>
        <v>0</v>
      </c>
      <c r="DD124" s="67"/>
      <c r="DE124" s="67"/>
      <c r="DF124" s="560"/>
      <c r="DG124" s="67"/>
      <c r="DH124" s="67">
        <f>SUM(DH125:DH126)</f>
        <v>0</v>
      </c>
      <c r="DI124" s="67"/>
      <c r="DJ124" s="67"/>
      <c r="DK124" s="560"/>
      <c r="DL124" s="67"/>
      <c r="DM124" s="67">
        <f>SUM(DM125:DM126)</f>
        <v>0</v>
      </c>
      <c r="DN124" s="67"/>
      <c r="DO124" s="67"/>
      <c r="DP124" s="560"/>
      <c r="DQ124" s="67"/>
      <c r="DR124" s="67">
        <f>SUM(DR125:DR126)</f>
        <v>0</v>
      </c>
      <c r="DS124" s="67"/>
      <c r="DT124" s="67"/>
      <c r="DU124" s="560"/>
      <c r="DV124" s="67"/>
      <c r="DW124" s="67">
        <f>SUM(DW125:DW126)</f>
        <v>0</v>
      </c>
      <c r="DX124" s="67"/>
      <c r="DY124" s="67"/>
      <c r="DZ124" s="560"/>
      <c r="EA124" s="67"/>
      <c r="EB124" s="67">
        <f>SUM(EB125:EB126)</f>
        <v>0</v>
      </c>
      <c r="EC124" s="67"/>
      <c r="ED124" s="67"/>
      <c r="EE124" s="560"/>
      <c r="EF124" s="67"/>
      <c r="EG124" s="67">
        <f>SUM(EG125:EG126)</f>
        <v>0</v>
      </c>
      <c r="EH124" s="67"/>
      <c r="EI124" s="67"/>
      <c r="EJ124" s="560"/>
      <c r="EK124" s="67"/>
      <c r="EL124" s="67">
        <f>SUM(EL125:EL126)</f>
        <v>0</v>
      </c>
      <c r="EM124" s="67"/>
      <c r="EN124" s="67"/>
      <c r="EO124" s="455"/>
    </row>
    <row r="125" spans="1:145" hidden="1" x14ac:dyDescent="0.2">
      <c r="A125" s="442"/>
      <c r="B125" s="442"/>
      <c r="C125" s="442"/>
      <c r="D125" s="455" t="s">
        <v>469</v>
      </c>
      <c r="E125" s="465"/>
      <c r="F125" s="473"/>
      <c r="G125" s="558">
        <v>0</v>
      </c>
      <c r="H125" s="559"/>
      <c r="I125" s="67"/>
      <c r="J125" s="560"/>
      <c r="K125" s="561"/>
      <c r="L125" s="558">
        <v>0</v>
      </c>
      <c r="M125" s="559"/>
      <c r="N125" s="67"/>
      <c r="O125" s="560"/>
      <c r="P125" s="561"/>
      <c r="Q125" s="558">
        <v>0</v>
      </c>
      <c r="R125" s="559"/>
      <c r="S125" s="67"/>
      <c r="T125" s="560"/>
      <c r="U125" s="561"/>
      <c r="V125" s="558">
        <v>0</v>
      </c>
      <c r="W125" s="559"/>
      <c r="X125" s="67"/>
      <c r="Y125" s="560"/>
      <c r="Z125" s="561"/>
      <c r="AA125" s="558">
        <v>0</v>
      </c>
      <c r="AB125" s="559"/>
      <c r="AC125" s="67"/>
      <c r="AD125" s="560"/>
      <c r="AE125" s="561"/>
      <c r="AF125" s="558">
        <v>0</v>
      </c>
      <c r="AG125" s="559"/>
      <c r="AH125" s="67"/>
      <c r="AI125" s="560"/>
      <c r="AJ125" s="561"/>
      <c r="AK125" s="558">
        <v>0</v>
      </c>
      <c r="AL125" s="559"/>
      <c r="AM125" s="67"/>
      <c r="AN125" s="560"/>
      <c r="AO125" s="561"/>
      <c r="AP125" s="558">
        <v>0</v>
      </c>
      <c r="AQ125" s="559"/>
      <c r="AR125" s="67"/>
      <c r="AS125" s="560"/>
      <c r="AT125" s="561"/>
      <c r="AU125" s="558">
        <v>0</v>
      </c>
      <c r="AV125" s="559"/>
      <c r="AW125" s="67"/>
      <c r="AX125" s="560"/>
      <c r="AY125" s="561"/>
      <c r="AZ125" s="558">
        <v>0</v>
      </c>
      <c r="BA125" s="559"/>
      <c r="BB125" s="67"/>
      <c r="BC125" s="560"/>
      <c r="BD125" s="561"/>
      <c r="BE125" s="558">
        <v>0</v>
      </c>
      <c r="BF125" s="559"/>
      <c r="BG125" s="67"/>
      <c r="BH125" s="560"/>
      <c r="BI125" s="561"/>
      <c r="BJ125" s="558">
        <v>0</v>
      </c>
      <c r="BK125" s="559"/>
      <c r="BL125" s="67"/>
      <c r="BM125" s="560"/>
      <c r="BN125" s="561"/>
      <c r="BO125" s="558">
        <v>0</v>
      </c>
      <c r="BP125" s="559"/>
      <c r="BQ125" s="67"/>
      <c r="BR125" s="560"/>
      <c r="BS125" s="561"/>
      <c r="BT125" s="558">
        <f>SUM(L125:BO125)</f>
        <v>0</v>
      </c>
      <c r="BU125" s="559"/>
      <c r="BV125" s="67"/>
      <c r="BW125" s="560"/>
      <c r="BX125" s="561"/>
      <c r="BY125" s="558">
        <f>SUM(Q125:BT125)</f>
        <v>0</v>
      </c>
      <c r="BZ125" s="559"/>
      <c r="CA125" s="67"/>
      <c r="CB125" s="560"/>
      <c r="CC125" s="561"/>
      <c r="CD125" s="558">
        <v>0</v>
      </c>
      <c r="CE125" s="559"/>
      <c r="CF125" s="67"/>
      <c r="CG125" s="560"/>
      <c r="CH125" s="561"/>
      <c r="CI125" s="558">
        <v>0</v>
      </c>
      <c r="CJ125" s="559"/>
      <c r="CK125" s="67"/>
      <c r="CL125" s="560"/>
      <c r="CM125" s="561"/>
      <c r="CN125" s="558">
        <v>0</v>
      </c>
      <c r="CO125" s="559"/>
      <c r="CP125" s="67"/>
      <c r="CQ125" s="560"/>
      <c r="CR125" s="561"/>
      <c r="CS125" s="558">
        <v>0</v>
      </c>
      <c r="CT125" s="559"/>
      <c r="CU125" s="67"/>
      <c r="CV125" s="560"/>
      <c r="CW125" s="561"/>
      <c r="CX125" s="558">
        <v>0</v>
      </c>
      <c r="CY125" s="559"/>
      <c r="CZ125" s="67"/>
      <c r="DA125" s="560"/>
      <c r="DB125" s="561"/>
      <c r="DC125" s="558">
        <v>0</v>
      </c>
      <c r="DD125" s="559"/>
      <c r="DE125" s="67"/>
      <c r="DF125" s="560"/>
      <c r="DG125" s="561"/>
      <c r="DH125" s="558">
        <v>0</v>
      </c>
      <c r="DI125" s="559"/>
      <c r="DJ125" s="67"/>
      <c r="DK125" s="560"/>
      <c r="DL125" s="561"/>
      <c r="DM125" s="558">
        <v>0</v>
      </c>
      <c r="DN125" s="559"/>
      <c r="DO125" s="67"/>
      <c r="DP125" s="560"/>
      <c r="DQ125" s="561"/>
      <c r="DR125" s="558">
        <v>0</v>
      </c>
      <c r="DS125" s="559"/>
      <c r="DT125" s="67"/>
      <c r="DU125" s="560"/>
      <c r="DV125" s="561"/>
      <c r="DW125" s="558">
        <v>0</v>
      </c>
      <c r="DX125" s="559"/>
      <c r="DY125" s="67"/>
      <c r="DZ125" s="560"/>
      <c r="EA125" s="561"/>
      <c r="EB125" s="558">
        <v>0</v>
      </c>
      <c r="EC125" s="559"/>
      <c r="ED125" s="67"/>
      <c r="EE125" s="560"/>
      <c r="EF125" s="561"/>
      <c r="EG125" s="558">
        <v>0</v>
      </c>
      <c r="EH125" s="559"/>
      <c r="EI125" s="67"/>
      <c r="EJ125" s="560"/>
      <c r="EK125" s="561"/>
      <c r="EL125" s="558">
        <f>SUM(CD125:EG125)</f>
        <v>0</v>
      </c>
      <c r="EM125" s="559"/>
      <c r="EN125" s="67"/>
      <c r="EO125" s="455"/>
    </row>
    <row r="126" spans="1:145" hidden="1" x14ac:dyDescent="0.2">
      <c r="A126" s="442"/>
      <c r="B126" s="442"/>
      <c r="C126" s="442"/>
      <c r="D126" s="455" t="s">
        <v>470</v>
      </c>
      <c r="E126" s="465"/>
      <c r="F126" s="488"/>
      <c r="G126" s="113">
        <v>0</v>
      </c>
      <c r="H126" s="112"/>
      <c r="I126" s="67"/>
      <c r="J126" s="560"/>
      <c r="K126" s="569"/>
      <c r="L126" s="113">
        <v>0</v>
      </c>
      <c r="M126" s="112"/>
      <c r="N126" s="67"/>
      <c r="O126" s="560"/>
      <c r="P126" s="569"/>
      <c r="Q126" s="113">
        <v>0</v>
      </c>
      <c r="R126" s="112"/>
      <c r="S126" s="67"/>
      <c r="T126" s="560"/>
      <c r="U126" s="569"/>
      <c r="V126" s="113">
        <v>0</v>
      </c>
      <c r="W126" s="112"/>
      <c r="X126" s="67"/>
      <c r="Y126" s="560"/>
      <c r="Z126" s="569"/>
      <c r="AA126" s="113">
        <v>0</v>
      </c>
      <c r="AB126" s="112"/>
      <c r="AC126" s="67"/>
      <c r="AD126" s="560"/>
      <c r="AE126" s="569"/>
      <c r="AF126" s="113">
        <v>0</v>
      </c>
      <c r="AG126" s="112"/>
      <c r="AH126" s="67"/>
      <c r="AI126" s="560"/>
      <c r="AJ126" s="569"/>
      <c r="AK126" s="113">
        <v>0</v>
      </c>
      <c r="AL126" s="112"/>
      <c r="AM126" s="67"/>
      <c r="AN126" s="560"/>
      <c r="AO126" s="569"/>
      <c r="AP126" s="113">
        <v>0</v>
      </c>
      <c r="AQ126" s="112"/>
      <c r="AR126" s="67"/>
      <c r="AS126" s="560"/>
      <c r="AT126" s="569"/>
      <c r="AU126" s="113">
        <v>0</v>
      </c>
      <c r="AV126" s="112"/>
      <c r="AW126" s="67"/>
      <c r="AX126" s="560"/>
      <c r="AY126" s="569"/>
      <c r="AZ126" s="113">
        <v>0</v>
      </c>
      <c r="BA126" s="112"/>
      <c r="BB126" s="67"/>
      <c r="BC126" s="560"/>
      <c r="BD126" s="569"/>
      <c r="BE126" s="113">
        <v>0</v>
      </c>
      <c r="BF126" s="112"/>
      <c r="BG126" s="67"/>
      <c r="BH126" s="560"/>
      <c r="BI126" s="569"/>
      <c r="BJ126" s="113">
        <v>0</v>
      </c>
      <c r="BK126" s="112"/>
      <c r="BL126" s="67"/>
      <c r="BM126" s="560"/>
      <c r="BN126" s="569"/>
      <c r="BO126" s="113">
        <v>0</v>
      </c>
      <c r="BP126" s="112"/>
      <c r="BQ126" s="67"/>
      <c r="BR126" s="560"/>
      <c r="BS126" s="569"/>
      <c r="BT126" s="113">
        <f>SUM(L126:BO126)</f>
        <v>0</v>
      </c>
      <c r="BU126" s="112"/>
      <c r="BV126" s="67"/>
      <c r="BW126" s="560"/>
      <c r="BX126" s="569"/>
      <c r="BY126" s="113">
        <f>SUM(Q126:BT126)</f>
        <v>0</v>
      </c>
      <c r="BZ126" s="112"/>
      <c r="CA126" s="67"/>
      <c r="CB126" s="560"/>
      <c r="CC126" s="569"/>
      <c r="CD126" s="113">
        <v>0</v>
      </c>
      <c r="CE126" s="112"/>
      <c r="CF126" s="67"/>
      <c r="CG126" s="560"/>
      <c r="CH126" s="569"/>
      <c r="CI126" s="113">
        <v>0</v>
      </c>
      <c r="CJ126" s="112"/>
      <c r="CK126" s="67"/>
      <c r="CL126" s="560"/>
      <c r="CM126" s="569"/>
      <c r="CN126" s="113">
        <v>0</v>
      </c>
      <c r="CO126" s="112"/>
      <c r="CP126" s="67"/>
      <c r="CQ126" s="560"/>
      <c r="CR126" s="569"/>
      <c r="CS126" s="113">
        <v>0</v>
      </c>
      <c r="CT126" s="112"/>
      <c r="CU126" s="67"/>
      <c r="CV126" s="560"/>
      <c r="CW126" s="569"/>
      <c r="CX126" s="113">
        <v>0</v>
      </c>
      <c r="CY126" s="112"/>
      <c r="CZ126" s="67"/>
      <c r="DA126" s="560"/>
      <c r="DB126" s="569"/>
      <c r="DC126" s="113">
        <v>0</v>
      </c>
      <c r="DD126" s="112"/>
      <c r="DE126" s="67"/>
      <c r="DF126" s="560"/>
      <c r="DG126" s="569"/>
      <c r="DH126" s="113">
        <v>0</v>
      </c>
      <c r="DI126" s="112"/>
      <c r="DJ126" s="67"/>
      <c r="DK126" s="560"/>
      <c r="DL126" s="569"/>
      <c r="DM126" s="113">
        <v>0</v>
      </c>
      <c r="DN126" s="112"/>
      <c r="DO126" s="67"/>
      <c r="DP126" s="560"/>
      <c r="DQ126" s="569"/>
      <c r="DR126" s="113">
        <v>0</v>
      </c>
      <c r="DS126" s="112"/>
      <c r="DT126" s="67"/>
      <c r="DU126" s="560"/>
      <c r="DV126" s="569"/>
      <c r="DW126" s="113">
        <v>0</v>
      </c>
      <c r="DX126" s="112"/>
      <c r="DY126" s="67"/>
      <c r="DZ126" s="560"/>
      <c r="EA126" s="569"/>
      <c r="EB126" s="113">
        <v>0</v>
      </c>
      <c r="EC126" s="112"/>
      <c r="ED126" s="67"/>
      <c r="EE126" s="560"/>
      <c r="EF126" s="569"/>
      <c r="EG126" s="113">
        <v>0</v>
      </c>
      <c r="EH126" s="112"/>
      <c r="EI126" s="67"/>
      <c r="EJ126" s="560"/>
      <c r="EK126" s="569"/>
      <c r="EL126" s="113">
        <f>SUM(CD126:EG126)</f>
        <v>0</v>
      </c>
      <c r="EM126" s="112"/>
      <c r="EN126" s="67"/>
      <c r="EO126" s="455"/>
    </row>
    <row r="127" spans="1:145" hidden="1" x14ac:dyDescent="0.2">
      <c r="A127" s="442"/>
      <c r="B127" s="442"/>
      <c r="C127" s="442"/>
      <c r="D127" s="455"/>
      <c r="E127" s="465"/>
      <c r="F127" s="442"/>
      <c r="G127" s="67"/>
      <c r="H127" s="67"/>
      <c r="I127" s="67"/>
      <c r="J127" s="560"/>
      <c r="K127" s="67"/>
      <c r="L127" s="67"/>
      <c r="M127" s="67"/>
      <c r="N127" s="67"/>
      <c r="O127" s="560"/>
      <c r="P127" s="67"/>
      <c r="Q127" s="67"/>
      <c r="R127" s="67"/>
      <c r="S127" s="67"/>
      <c r="T127" s="560"/>
      <c r="U127" s="67"/>
      <c r="V127" s="67"/>
      <c r="W127" s="67"/>
      <c r="X127" s="67"/>
      <c r="Y127" s="560"/>
      <c r="Z127" s="67"/>
      <c r="AA127" s="67"/>
      <c r="AB127" s="67"/>
      <c r="AC127" s="67"/>
      <c r="AD127" s="560"/>
      <c r="AE127" s="67"/>
      <c r="AF127" s="67"/>
      <c r="AG127" s="67"/>
      <c r="AH127" s="67"/>
      <c r="AI127" s="560"/>
      <c r="AJ127" s="67"/>
      <c r="AK127" s="67"/>
      <c r="AL127" s="67"/>
      <c r="AM127" s="67"/>
      <c r="AN127" s="560"/>
      <c r="AO127" s="67"/>
      <c r="AP127" s="67"/>
      <c r="AQ127" s="67"/>
      <c r="AR127" s="67"/>
      <c r="AS127" s="560"/>
      <c r="AT127" s="67"/>
      <c r="AU127" s="67"/>
      <c r="AV127" s="67"/>
      <c r="AW127" s="67"/>
      <c r="AX127" s="560"/>
      <c r="AY127" s="67"/>
      <c r="AZ127" s="67"/>
      <c r="BA127" s="67"/>
      <c r="BB127" s="67"/>
      <c r="BC127" s="560"/>
      <c r="BD127" s="67"/>
      <c r="BE127" s="67"/>
      <c r="BF127" s="67"/>
      <c r="BG127" s="67"/>
      <c r="BH127" s="560"/>
      <c r="BI127" s="67"/>
      <c r="BJ127" s="67"/>
      <c r="BK127" s="67"/>
      <c r="BL127" s="67"/>
      <c r="BM127" s="560"/>
      <c r="BN127" s="67"/>
      <c r="BO127" s="67"/>
      <c r="BP127" s="67"/>
      <c r="BQ127" s="67"/>
      <c r="BR127" s="560"/>
      <c r="BS127" s="67"/>
      <c r="BT127" s="67"/>
      <c r="BU127" s="67"/>
      <c r="BV127" s="67"/>
      <c r="BW127" s="560"/>
      <c r="BX127" s="67"/>
      <c r="BY127" s="67"/>
      <c r="BZ127" s="67"/>
      <c r="CA127" s="67"/>
      <c r="CB127" s="560"/>
      <c r="CC127" s="67"/>
      <c r="CD127" s="67"/>
      <c r="CE127" s="67"/>
      <c r="CF127" s="67"/>
      <c r="CG127" s="560"/>
      <c r="CH127" s="67"/>
      <c r="CI127" s="67"/>
      <c r="CJ127" s="67"/>
      <c r="CK127" s="67"/>
      <c r="CL127" s="560"/>
      <c r="CM127" s="67"/>
      <c r="CN127" s="67"/>
      <c r="CO127" s="67"/>
      <c r="CP127" s="67"/>
      <c r="CQ127" s="560"/>
      <c r="CR127" s="67"/>
      <c r="CS127" s="67"/>
      <c r="CT127" s="67"/>
      <c r="CU127" s="67"/>
      <c r="CV127" s="560"/>
      <c r="CW127" s="67"/>
      <c r="CX127" s="67"/>
      <c r="CY127" s="67"/>
      <c r="CZ127" s="67"/>
      <c r="DA127" s="560"/>
      <c r="DB127" s="67"/>
      <c r="DC127" s="67"/>
      <c r="DD127" s="67"/>
      <c r="DE127" s="67"/>
      <c r="DF127" s="560"/>
      <c r="DG127" s="67"/>
      <c r="DH127" s="67"/>
      <c r="DI127" s="67"/>
      <c r="DJ127" s="67"/>
      <c r="DK127" s="560"/>
      <c r="DL127" s="67"/>
      <c r="DM127" s="67"/>
      <c r="DN127" s="67"/>
      <c r="DO127" s="67"/>
      <c r="DP127" s="560"/>
      <c r="DQ127" s="67"/>
      <c r="DR127" s="67"/>
      <c r="DS127" s="67"/>
      <c r="DT127" s="67"/>
      <c r="DU127" s="560"/>
      <c r="DV127" s="67"/>
      <c r="DW127" s="67"/>
      <c r="DX127" s="67"/>
      <c r="DY127" s="67"/>
      <c r="DZ127" s="560"/>
      <c r="EA127" s="67"/>
      <c r="EB127" s="67"/>
      <c r="EC127" s="67"/>
      <c r="ED127" s="67"/>
      <c r="EE127" s="560"/>
      <c r="EF127" s="67"/>
      <c r="EG127" s="67"/>
      <c r="EH127" s="67"/>
      <c r="EI127" s="67"/>
      <c r="EJ127" s="560"/>
      <c r="EK127" s="67"/>
      <c r="EL127" s="67"/>
      <c r="EM127" s="67"/>
      <c r="EN127" s="67"/>
      <c r="EO127" s="455"/>
    </row>
    <row r="128" spans="1:145" hidden="1" x14ac:dyDescent="0.2">
      <c r="A128" s="442"/>
      <c r="B128" s="442"/>
      <c r="C128" s="442"/>
      <c r="D128" s="455" t="s">
        <v>475</v>
      </c>
      <c r="E128" s="465"/>
      <c r="F128" s="442"/>
      <c r="G128" s="67">
        <v>0</v>
      </c>
      <c r="H128" s="67"/>
      <c r="I128" s="67"/>
      <c r="J128" s="560"/>
      <c r="K128" s="67"/>
      <c r="L128" s="67">
        <f>SUM(L129:L130)</f>
        <v>0</v>
      </c>
      <c r="M128" s="67"/>
      <c r="N128" s="67"/>
      <c r="O128" s="560"/>
      <c r="P128" s="67"/>
      <c r="Q128" s="67">
        <f>SUM(Q129:Q130)</f>
        <v>0</v>
      </c>
      <c r="R128" s="67"/>
      <c r="S128" s="67"/>
      <c r="T128" s="560"/>
      <c r="U128" s="67"/>
      <c r="V128" s="67">
        <f>SUM(V129:V130)</f>
        <v>0</v>
      </c>
      <c r="W128" s="67"/>
      <c r="X128" s="67"/>
      <c r="Y128" s="560"/>
      <c r="Z128" s="67"/>
      <c r="AA128" s="67">
        <f>SUM(AA129:AA130)</f>
        <v>0</v>
      </c>
      <c r="AB128" s="67"/>
      <c r="AC128" s="67"/>
      <c r="AD128" s="560"/>
      <c r="AE128" s="67"/>
      <c r="AF128" s="67">
        <f>SUM(AF129:AF130)</f>
        <v>0</v>
      </c>
      <c r="AG128" s="67"/>
      <c r="AH128" s="67"/>
      <c r="AI128" s="560"/>
      <c r="AJ128" s="67"/>
      <c r="AK128" s="67">
        <f>SUM(AK129:AK130)</f>
        <v>0</v>
      </c>
      <c r="AL128" s="67"/>
      <c r="AM128" s="67"/>
      <c r="AN128" s="560"/>
      <c r="AO128" s="67"/>
      <c r="AP128" s="67">
        <f>SUM(AP129:AP130)</f>
        <v>0</v>
      </c>
      <c r="AQ128" s="67"/>
      <c r="AR128" s="67"/>
      <c r="AS128" s="560"/>
      <c r="AT128" s="67"/>
      <c r="AU128" s="67">
        <f>SUM(AU129:AU130)</f>
        <v>0</v>
      </c>
      <c r="AV128" s="67"/>
      <c r="AW128" s="67"/>
      <c r="AX128" s="560"/>
      <c r="AY128" s="67"/>
      <c r="AZ128" s="67">
        <f>SUM(AZ129:AZ130)</f>
        <v>0</v>
      </c>
      <c r="BA128" s="67"/>
      <c r="BB128" s="67"/>
      <c r="BC128" s="560"/>
      <c r="BD128" s="67"/>
      <c r="BE128" s="67">
        <f>SUM(BE129:BE130)</f>
        <v>0</v>
      </c>
      <c r="BF128" s="67"/>
      <c r="BG128" s="67"/>
      <c r="BH128" s="560"/>
      <c r="BI128" s="67"/>
      <c r="BJ128" s="67">
        <f>SUM(BJ129:BJ130)</f>
        <v>0</v>
      </c>
      <c r="BK128" s="67"/>
      <c r="BL128" s="67"/>
      <c r="BM128" s="560"/>
      <c r="BN128" s="67"/>
      <c r="BO128" s="67">
        <f>SUM(BO129:BO130)</f>
        <v>0</v>
      </c>
      <c r="BP128" s="67"/>
      <c r="BQ128" s="67"/>
      <c r="BR128" s="560"/>
      <c r="BS128" s="67"/>
      <c r="BT128" s="67">
        <f>SUM(BT129:BT130)</f>
        <v>0</v>
      </c>
      <c r="BU128" s="67"/>
      <c r="BV128" s="67"/>
      <c r="BW128" s="560"/>
      <c r="BX128" s="67"/>
      <c r="BY128" s="67">
        <f>SUM(BY129:BY130)</f>
        <v>0</v>
      </c>
      <c r="BZ128" s="67"/>
      <c r="CA128" s="67"/>
      <c r="CB128" s="560"/>
      <c r="CC128" s="67"/>
      <c r="CD128" s="67">
        <f>SUM(CD129:CD130)</f>
        <v>0</v>
      </c>
      <c r="CE128" s="67"/>
      <c r="CF128" s="67"/>
      <c r="CG128" s="560"/>
      <c r="CH128" s="67"/>
      <c r="CI128" s="67">
        <f>SUM(CI129:CI130)</f>
        <v>0</v>
      </c>
      <c r="CJ128" s="67"/>
      <c r="CK128" s="67"/>
      <c r="CL128" s="560"/>
      <c r="CM128" s="67"/>
      <c r="CN128" s="67">
        <f>SUM(CN129:CN130)</f>
        <v>0</v>
      </c>
      <c r="CO128" s="67"/>
      <c r="CP128" s="67"/>
      <c r="CQ128" s="560"/>
      <c r="CR128" s="67"/>
      <c r="CS128" s="67">
        <f>SUM(CS129:CS130)</f>
        <v>0</v>
      </c>
      <c r="CT128" s="67"/>
      <c r="CU128" s="67"/>
      <c r="CV128" s="560"/>
      <c r="CW128" s="67"/>
      <c r="CX128" s="67">
        <f>SUM(CX129:CX130)</f>
        <v>0</v>
      </c>
      <c r="CY128" s="67"/>
      <c r="CZ128" s="67"/>
      <c r="DA128" s="560"/>
      <c r="DB128" s="67"/>
      <c r="DC128" s="67">
        <f>SUM(DC129:DC130)</f>
        <v>0</v>
      </c>
      <c r="DD128" s="67"/>
      <c r="DE128" s="67"/>
      <c r="DF128" s="560"/>
      <c r="DG128" s="67"/>
      <c r="DH128" s="67">
        <f>SUM(DH129:DH130)</f>
        <v>0</v>
      </c>
      <c r="DI128" s="67"/>
      <c r="DJ128" s="67"/>
      <c r="DK128" s="560"/>
      <c r="DL128" s="67"/>
      <c r="DM128" s="67">
        <f>SUM(DM129:DM130)</f>
        <v>0</v>
      </c>
      <c r="DN128" s="67"/>
      <c r="DO128" s="67"/>
      <c r="DP128" s="560"/>
      <c r="DQ128" s="67"/>
      <c r="DR128" s="67">
        <f>SUM(DR129:DR130)</f>
        <v>0</v>
      </c>
      <c r="DS128" s="67"/>
      <c r="DT128" s="67"/>
      <c r="DU128" s="560"/>
      <c r="DV128" s="67"/>
      <c r="DW128" s="67">
        <f>SUM(DW129:DW130)</f>
        <v>0</v>
      </c>
      <c r="DX128" s="67"/>
      <c r="DY128" s="67"/>
      <c r="DZ128" s="560"/>
      <c r="EA128" s="67"/>
      <c r="EB128" s="67">
        <f>SUM(EB129:EB130)</f>
        <v>0</v>
      </c>
      <c r="EC128" s="67"/>
      <c r="ED128" s="67"/>
      <c r="EE128" s="560"/>
      <c r="EF128" s="67"/>
      <c r="EG128" s="67">
        <f>SUM(EG129:EG130)</f>
        <v>0</v>
      </c>
      <c r="EH128" s="67"/>
      <c r="EI128" s="67"/>
      <c r="EJ128" s="560"/>
      <c r="EK128" s="67"/>
      <c r="EL128" s="67">
        <f>SUM(EL129:EL130)</f>
        <v>0</v>
      </c>
      <c r="EM128" s="67"/>
      <c r="EN128" s="67"/>
      <c r="EO128" s="455"/>
    </row>
    <row r="129" spans="1:145" hidden="1" x14ac:dyDescent="0.2">
      <c r="A129" s="442"/>
      <c r="B129" s="442"/>
      <c r="C129" s="442"/>
      <c r="D129" s="455" t="s">
        <v>469</v>
      </c>
      <c r="E129" s="465"/>
      <c r="F129" s="473"/>
      <c r="G129" s="558">
        <v>0</v>
      </c>
      <c r="H129" s="559"/>
      <c r="I129" s="67"/>
      <c r="J129" s="560"/>
      <c r="K129" s="561"/>
      <c r="L129" s="558">
        <v>0</v>
      </c>
      <c r="M129" s="559"/>
      <c r="N129" s="67"/>
      <c r="O129" s="560"/>
      <c r="P129" s="561"/>
      <c r="Q129" s="558">
        <v>0</v>
      </c>
      <c r="R129" s="559"/>
      <c r="S129" s="67"/>
      <c r="T129" s="560"/>
      <c r="U129" s="561"/>
      <c r="V129" s="558">
        <v>0</v>
      </c>
      <c r="W129" s="559"/>
      <c r="X129" s="67"/>
      <c r="Y129" s="560"/>
      <c r="Z129" s="561"/>
      <c r="AA129" s="558">
        <v>0</v>
      </c>
      <c r="AB129" s="559"/>
      <c r="AC129" s="67"/>
      <c r="AD129" s="560"/>
      <c r="AE129" s="561"/>
      <c r="AF129" s="558">
        <v>0</v>
      </c>
      <c r="AG129" s="559"/>
      <c r="AH129" s="67"/>
      <c r="AI129" s="560"/>
      <c r="AJ129" s="561"/>
      <c r="AK129" s="558">
        <v>0</v>
      </c>
      <c r="AL129" s="559"/>
      <c r="AM129" s="67"/>
      <c r="AN129" s="560"/>
      <c r="AO129" s="561"/>
      <c r="AP129" s="558">
        <v>0</v>
      </c>
      <c r="AQ129" s="559"/>
      <c r="AR129" s="67"/>
      <c r="AS129" s="560"/>
      <c r="AT129" s="561"/>
      <c r="AU129" s="558">
        <v>0</v>
      </c>
      <c r="AV129" s="559"/>
      <c r="AW129" s="67"/>
      <c r="AX129" s="560"/>
      <c r="AY129" s="561"/>
      <c r="AZ129" s="558">
        <v>0</v>
      </c>
      <c r="BA129" s="559"/>
      <c r="BB129" s="67"/>
      <c r="BC129" s="560"/>
      <c r="BD129" s="561"/>
      <c r="BE129" s="558">
        <v>0</v>
      </c>
      <c r="BF129" s="559"/>
      <c r="BG129" s="67"/>
      <c r="BH129" s="560"/>
      <c r="BI129" s="561"/>
      <c r="BJ129" s="558">
        <v>0</v>
      </c>
      <c r="BK129" s="559"/>
      <c r="BL129" s="67"/>
      <c r="BM129" s="560"/>
      <c r="BN129" s="561"/>
      <c r="BO129" s="558">
        <v>0</v>
      </c>
      <c r="BP129" s="559"/>
      <c r="BQ129" s="67"/>
      <c r="BR129" s="560"/>
      <c r="BS129" s="561"/>
      <c r="BT129" s="558">
        <f>SUM(L129:BO129)</f>
        <v>0</v>
      </c>
      <c r="BU129" s="559"/>
      <c r="BV129" s="67"/>
      <c r="BW129" s="560"/>
      <c r="BX129" s="561"/>
      <c r="BY129" s="558">
        <f>SUM(Q129:BT129)</f>
        <v>0</v>
      </c>
      <c r="BZ129" s="559"/>
      <c r="CA129" s="67"/>
      <c r="CB129" s="560"/>
      <c r="CC129" s="561"/>
      <c r="CD129" s="558">
        <v>0</v>
      </c>
      <c r="CE129" s="559"/>
      <c r="CF129" s="67"/>
      <c r="CG129" s="560"/>
      <c r="CH129" s="561"/>
      <c r="CI129" s="558">
        <v>0</v>
      </c>
      <c r="CJ129" s="559"/>
      <c r="CK129" s="67"/>
      <c r="CL129" s="560"/>
      <c r="CM129" s="561"/>
      <c r="CN129" s="558">
        <v>0</v>
      </c>
      <c r="CO129" s="559"/>
      <c r="CP129" s="67"/>
      <c r="CQ129" s="560"/>
      <c r="CR129" s="561"/>
      <c r="CS129" s="558">
        <v>0</v>
      </c>
      <c r="CT129" s="559"/>
      <c r="CU129" s="67"/>
      <c r="CV129" s="560"/>
      <c r="CW129" s="561"/>
      <c r="CX129" s="558">
        <v>0</v>
      </c>
      <c r="CY129" s="559"/>
      <c r="CZ129" s="67"/>
      <c r="DA129" s="560"/>
      <c r="DB129" s="561"/>
      <c r="DC129" s="558">
        <v>0</v>
      </c>
      <c r="DD129" s="559"/>
      <c r="DE129" s="67"/>
      <c r="DF129" s="560"/>
      <c r="DG129" s="561"/>
      <c r="DH129" s="558">
        <v>0</v>
      </c>
      <c r="DI129" s="559"/>
      <c r="DJ129" s="67"/>
      <c r="DK129" s="560"/>
      <c r="DL129" s="561"/>
      <c r="DM129" s="558">
        <v>0</v>
      </c>
      <c r="DN129" s="559"/>
      <c r="DO129" s="67"/>
      <c r="DP129" s="560"/>
      <c r="DQ129" s="561"/>
      <c r="DR129" s="558">
        <v>0</v>
      </c>
      <c r="DS129" s="559"/>
      <c r="DT129" s="67"/>
      <c r="DU129" s="560"/>
      <c r="DV129" s="561"/>
      <c r="DW129" s="558">
        <v>0</v>
      </c>
      <c r="DX129" s="559"/>
      <c r="DY129" s="67"/>
      <c r="DZ129" s="560"/>
      <c r="EA129" s="561"/>
      <c r="EB129" s="558">
        <v>0</v>
      </c>
      <c r="EC129" s="559"/>
      <c r="ED129" s="67"/>
      <c r="EE129" s="560"/>
      <c r="EF129" s="561"/>
      <c r="EG129" s="558">
        <v>0</v>
      </c>
      <c r="EH129" s="559"/>
      <c r="EI129" s="67"/>
      <c r="EJ129" s="560"/>
      <c r="EK129" s="561"/>
      <c r="EL129" s="558">
        <f>SUM(CD129:EG129)</f>
        <v>0</v>
      </c>
      <c r="EM129" s="559"/>
      <c r="EN129" s="67"/>
      <c r="EO129" s="455"/>
    </row>
    <row r="130" spans="1:145" hidden="1" x14ac:dyDescent="0.2">
      <c r="A130" s="442"/>
      <c r="B130" s="442"/>
      <c r="C130" s="442"/>
      <c r="D130" s="455" t="s">
        <v>470</v>
      </c>
      <c r="E130" s="465"/>
      <c r="F130" s="488"/>
      <c r="G130" s="113">
        <v>0</v>
      </c>
      <c r="H130" s="112"/>
      <c r="I130" s="67"/>
      <c r="J130" s="560"/>
      <c r="K130" s="569"/>
      <c r="L130" s="113">
        <v>0</v>
      </c>
      <c r="M130" s="112"/>
      <c r="N130" s="67"/>
      <c r="O130" s="560"/>
      <c r="P130" s="569"/>
      <c r="Q130" s="113">
        <v>0</v>
      </c>
      <c r="R130" s="112"/>
      <c r="S130" s="67"/>
      <c r="T130" s="560"/>
      <c r="U130" s="569"/>
      <c r="V130" s="113">
        <v>0</v>
      </c>
      <c r="W130" s="112"/>
      <c r="X130" s="67"/>
      <c r="Y130" s="560"/>
      <c r="Z130" s="569"/>
      <c r="AA130" s="113">
        <v>0</v>
      </c>
      <c r="AB130" s="112"/>
      <c r="AC130" s="67"/>
      <c r="AD130" s="560"/>
      <c r="AE130" s="569"/>
      <c r="AF130" s="113">
        <v>0</v>
      </c>
      <c r="AG130" s="112"/>
      <c r="AH130" s="67"/>
      <c r="AI130" s="560"/>
      <c r="AJ130" s="569"/>
      <c r="AK130" s="113">
        <v>0</v>
      </c>
      <c r="AL130" s="112"/>
      <c r="AM130" s="67"/>
      <c r="AN130" s="560"/>
      <c r="AO130" s="569"/>
      <c r="AP130" s="113">
        <v>0</v>
      </c>
      <c r="AQ130" s="112"/>
      <c r="AR130" s="67"/>
      <c r="AS130" s="560"/>
      <c r="AT130" s="569"/>
      <c r="AU130" s="113">
        <v>0</v>
      </c>
      <c r="AV130" s="112"/>
      <c r="AW130" s="67"/>
      <c r="AX130" s="560"/>
      <c r="AY130" s="569"/>
      <c r="AZ130" s="113">
        <v>0</v>
      </c>
      <c r="BA130" s="112"/>
      <c r="BB130" s="67"/>
      <c r="BC130" s="560"/>
      <c r="BD130" s="569"/>
      <c r="BE130" s="113">
        <v>0</v>
      </c>
      <c r="BF130" s="112"/>
      <c r="BG130" s="67"/>
      <c r="BH130" s="560"/>
      <c r="BI130" s="569"/>
      <c r="BJ130" s="113">
        <v>0</v>
      </c>
      <c r="BK130" s="112"/>
      <c r="BL130" s="67"/>
      <c r="BM130" s="560"/>
      <c r="BN130" s="569"/>
      <c r="BO130" s="113">
        <v>0</v>
      </c>
      <c r="BP130" s="112"/>
      <c r="BQ130" s="67"/>
      <c r="BR130" s="560"/>
      <c r="BS130" s="569"/>
      <c r="BT130" s="113">
        <f>SUM(L130:BO130)</f>
        <v>0</v>
      </c>
      <c r="BU130" s="112"/>
      <c r="BV130" s="67"/>
      <c r="BW130" s="560"/>
      <c r="BX130" s="569"/>
      <c r="BY130" s="113">
        <f>SUM(Q130:BT130)</f>
        <v>0</v>
      </c>
      <c r="BZ130" s="112"/>
      <c r="CA130" s="67"/>
      <c r="CB130" s="560"/>
      <c r="CC130" s="569"/>
      <c r="CD130" s="113">
        <v>0</v>
      </c>
      <c r="CE130" s="112"/>
      <c r="CF130" s="67"/>
      <c r="CG130" s="560"/>
      <c r="CH130" s="569"/>
      <c r="CI130" s="113">
        <v>0</v>
      </c>
      <c r="CJ130" s="112"/>
      <c r="CK130" s="67"/>
      <c r="CL130" s="560"/>
      <c r="CM130" s="569"/>
      <c r="CN130" s="113">
        <v>0</v>
      </c>
      <c r="CO130" s="112"/>
      <c r="CP130" s="67"/>
      <c r="CQ130" s="560"/>
      <c r="CR130" s="569"/>
      <c r="CS130" s="113">
        <v>0</v>
      </c>
      <c r="CT130" s="112"/>
      <c r="CU130" s="67"/>
      <c r="CV130" s="560"/>
      <c r="CW130" s="569"/>
      <c r="CX130" s="113">
        <v>0</v>
      </c>
      <c r="CY130" s="112"/>
      <c r="CZ130" s="67"/>
      <c r="DA130" s="560"/>
      <c r="DB130" s="569"/>
      <c r="DC130" s="113">
        <v>0</v>
      </c>
      <c r="DD130" s="112"/>
      <c r="DE130" s="67"/>
      <c r="DF130" s="560"/>
      <c r="DG130" s="569"/>
      <c r="DH130" s="113">
        <v>0</v>
      </c>
      <c r="DI130" s="112"/>
      <c r="DJ130" s="67"/>
      <c r="DK130" s="560"/>
      <c r="DL130" s="569"/>
      <c r="DM130" s="113">
        <v>0</v>
      </c>
      <c r="DN130" s="112"/>
      <c r="DO130" s="67"/>
      <c r="DP130" s="560"/>
      <c r="DQ130" s="569"/>
      <c r="DR130" s="113">
        <v>0</v>
      </c>
      <c r="DS130" s="112"/>
      <c r="DT130" s="67"/>
      <c r="DU130" s="560"/>
      <c r="DV130" s="569"/>
      <c r="DW130" s="113">
        <v>0</v>
      </c>
      <c r="DX130" s="112"/>
      <c r="DY130" s="67"/>
      <c r="DZ130" s="560"/>
      <c r="EA130" s="569"/>
      <c r="EB130" s="113">
        <v>0</v>
      </c>
      <c r="EC130" s="112"/>
      <c r="ED130" s="67"/>
      <c r="EE130" s="560"/>
      <c r="EF130" s="569"/>
      <c r="EG130" s="113">
        <v>0</v>
      </c>
      <c r="EH130" s="112"/>
      <c r="EI130" s="67"/>
      <c r="EJ130" s="560"/>
      <c r="EK130" s="569"/>
      <c r="EL130" s="113">
        <f>SUM(CD130:EG130)</f>
        <v>0</v>
      </c>
      <c r="EM130" s="112"/>
      <c r="EN130" s="67"/>
      <c r="EO130" s="455"/>
    </row>
    <row r="131" spans="1:145" x14ac:dyDescent="0.2">
      <c r="A131" s="442"/>
      <c r="B131" s="442"/>
      <c r="C131" s="442"/>
      <c r="D131" s="455"/>
      <c r="E131" s="465"/>
      <c r="F131" s="442"/>
      <c r="G131" s="67"/>
      <c r="H131" s="67"/>
      <c r="I131" s="67"/>
      <c r="J131" s="560"/>
      <c r="K131" s="67"/>
      <c r="L131" s="67"/>
      <c r="M131" s="67"/>
      <c r="N131" s="67"/>
      <c r="O131" s="560"/>
      <c r="P131" s="67"/>
      <c r="Q131" s="67"/>
      <c r="R131" s="67"/>
      <c r="S131" s="67"/>
      <c r="T131" s="560"/>
      <c r="U131" s="67"/>
      <c r="V131" s="67"/>
      <c r="W131" s="67"/>
      <c r="X131" s="67"/>
      <c r="Y131" s="560"/>
      <c r="Z131" s="67"/>
      <c r="AA131" s="67"/>
      <c r="AB131" s="67"/>
      <c r="AC131" s="67"/>
      <c r="AD131" s="560"/>
      <c r="AE131" s="67"/>
      <c r="AF131" s="67"/>
      <c r="AG131" s="67"/>
      <c r="AH131" s="67"/>
      <c r="AI131" s="560"/>
      <c r="AJ131" s="67"/>
      <c r="AK131" s="67"/>
      <c r="AL131" s="67"/>
      <c r="AM131" s="67"/>
      <c r="AN131" s="560"/>
      <c r="AO131" s="67"/>
      <c r="AP131" s="67"/>
      <c r="AQ131" s="67"/>
      <c r="AR131" s="67"/>
      <c r="AS131" s="560"/>
      <c r="AT131" s="67"/>
      <c r="AU131" s="67"/>
      <c r="AV131" s="67"/>
      <c r="AW131" s="67"/>
      <c r="AX131" s="560"/>
      <c r="AY131" s="67"/>
      <c r="AZ131" s="67"/>
      <c r="BA131" s="67"/>
      <c r="BB131" s="67"/>
      <c r="BC131" s="560"/>
      <c r="BD131" s="67"/>
      <c r="BE131" s="67"/>
      <c r="BF131" s="67"/>
      <c r="BG131" s="67"/>
      <c r="BH131" s="560"/>
      <c r="BI131" s="67"/>
      <c r="BJ131" s="67"/>
      <c r="BK131" s="67"/>
      <c r="BL131" s="67"/>
      <c r="BM131" s="560"/>
      <c r="BN131" s="67"/>
      <c r="BO131" s="67"/>
      <c r="BP131" s="67"/>
      <c r="BQ131" s="67"/>
      <c r="BR131" s="560"/>
      <c r="BS131" s="67"/>
      <c r="BT131" s="67"/>
      <c r="BU131" s="67"/>
      <c r="BV131" s="67"/>
      <c r="BW131" s="560"/>
      <c r="BX131" s="67"/>
      <c r="BY131" s="67"/>
      <c r="BZ131" s="67"/>
      <c r="CA131" s="67"/>
      <c r="CB131" s="560"/>
      <c r="CC131" s="67"/>
      <c r="CD131" s="67"/>
      <c r="CE131" s="67"/>
      <c r="CF131" s="67"/>
      <c r="CG131" s="560"/>
      <c r="CH131" s="67"/>
      <c r="CI131" s="67"/>
      <c r="CJ131" s="67"/>
      <c r="CK131" s="67"/>
      <c r="CL131" s="560"/>
      <c r="CM131" s="67"/>
      <c r="CN131" s="67"/>
      <c r="CO131" s="67"/>
      <c r="CP131" s="67"/>
      <c r="CQ131" s="560"/>
      <c r="CR131" s="67"/>
      <c r="CS131" s="67"/>
      <c r="CT131" s="67"/>
      <c r="CU131" s="67"/>
      <c r="CV131" s="560"/>
      <c r="CW131" s="67"/>
      <c r="CX131" s="67"/>
      <c r="CY131" s="67"/>
      <c r="CZ131" s="67"/>
      <c r="DA131" s="560"/>
      <c r="DB131" s="67"/>
      <c r="DC131" s="67"/>
      <c r="DD131" s="67"/>
      <c r="DE131" s="67"/>
      <c r="DF131" s="560"/>
      <c r="DG131" s="67"/>
      <c r="DH131" s="67"/>
      <c r="DI131" s="67"/>
      <c r="DJ131" s="67"/>
      <c r="DK131" s="560"/>
      <c r="DL131" s="67"/>
      <c r="DM131" s="67"/>
      <c r="DN131" s="67"/>
      <c r="DO131" s="67"/>
      <c r="DP131" s="560"/>
      <c r="DQ131" s="67"/>
      <c r="DR131" s="67"/>
      <c r="DS131" s="67"/>
      <c r="DT131" s="67"/>
      <c r="DU131" s="560"/>
      <c r="DV131" s="67"/>
      <c r="DW131" s="67"/>
      <c r="DX131" s="67"/>
      <c r="DY131" s="67"/>
      <c r="DZ131" s="560"/>
      <c r="EA131" s="67"/>
      <c r="EB131" s="67"/>
      <c r="EC131" s="67"/>
      <c r="ED131" s="67"/>
      <c r="EE131" s="560"/>
      <c r="EF131" s="67"/>
      <c r="EG131" s="67"/>
      <c r="EH131" s="67"/>
      <c r="EI131" s="67"/>
      <c r="EJ131" s="560"/>
      <c r="EK131" s="67"/>
      <c r="EL131" s="67"/>
      <c r="EM131" s="67"/>
      <c r="EN131" s="67"/>
      <c r="EO131" s="455"/>
    </row>
    <row r="132" spans="1:145" x14ac:dyDescent="0.2">
      <c r="A132" s="442"/>
      <c r="B132" s="442"/>
      <c r="C132" s="442"/>
      <c r="D132" s="455" t="s">
        <v>476</v>
      </c>
      <c r="E132" s="465"/>
      <c r="F132" s="442"/>
      <c r="G132" s="67">
        <f>SUM(G133:G134)</f>
        <v>769000</v>
      </c>
      <c r="H132" s="67"/>
      <c r="I132" s="67"/>
      <c r="J132" s="560"/>
      <c r="K132" s="67"/>
      <c r="L132" s="67">
        <f>SUM(L133:L134)</f>
        <v>777665</v>
      </c>
      <c r="M132" s="67"/>
      <c r="N132" s="67"/>
      <c r="O132" s="560"/>
      <c r="P132" s="67"/>
      <c r="Q132" s="67">
        <f>SUM(Q133:Q134)</f>
        <v>0</v>
      </c>
      <c r="R132" s="67"/>
      <c r="S132" s="67"/>
      <c r="T132" s="560"/>
      <c r="U132" s="67"/>
      <c r="V132" s="67">
        <f>SUM(V133:V134)</f>
        <v>0</v>
      </c>
      <c r="W132" s="67"/>
      <c r="X132" s="67"/>
      <c r="Y132" s="560"/>
      <c r="Z132" s="67"/>
      <c r="AA132" s="67">
        <f>SUM(AA133:AA134)</f>
        <v>0</v>
      </c>
      <c r="AB132" s="67"/>
      <c r="AC132" s="67"/>
      <c r="AD132" s="560"/>
      <c r="AE132" s="67"/>
      <c r="AF132" s="67">
        <f>SUM(AF133:AF134)</f>
        <v>0</v>
      </c>
      <c r="AG132" s="67"/>
      <c r="AH132" s="67"/>
      <c r="AI132" s="560"/>
      <c r="AJ132" s="67"/>
      <c r="AK132" s="67">
        <f>SUM(AK133:AK134)</f>
        <v>0</v>
      </c>
      <c r="AL132" s="67"/>
      <c r="AM132" s="67"/>
      <c r="AN132" s="560"/>
      <c r="AO132" s="67"/>
      <c r="AP132" s="67">
        <f>SUM(AP133:AP134)</f>
        <v>0</v>
      </c>
      <c r="AQ132" s="67"/>
      <c r="AR132" s="67"/>
      <c r="AS132" s="560"/>
      <c r="AT132" s="67"/>
      <c r="AU132" s="67">
        <f>SUM(AU133:AU134)</f>
        <v>0</v>
      </c>
      <c r="AV132" s="67"/>
      <c r="AW132" s="67"/>
      <c r="AX132" s="560"/>
      <c r="AY132" s="67"/>
      <c r="AZ132" s="67">
        <f>SUM(AZ133:AZ134)</f>
        <v>0</v>
      </c>
      <c r="BA132" s="67"/>
      <c r="BB132" s="67"/>
      <c r="BC132" s="560"/>
      <c r="BD132" s="67"/>
      <c r="BE132" s="67">
        <f>SUM(BE133:BE134)</f>
        <v>0</v>
      </c>
      <c r="BF132" s="67"/>
      <c r="BG132" s="67"/>
      <c r="BH132" s="560"/>
      <c r="BI132" s="67"/>
      <c r="BJ132" s="67">
        <f>SUM(BJ133:BJ134)</f>
        <v>0</v>
      </c>
      <c r="BK132" s="67"/>
      <c r="BL132" s="67"/>
      <c r="BM132" s="560"/>
      <c r="BN132" s="67"/>
      <c r="BO132" s="67">
        <f>SUM(BO133:BO134)</f>
        <v>0</v>
      </c>
      <c r="BP132" s="67"/>
      <c r="BQ132" s="67"/>
      <c r="BR132" s="560"/>
      <c r="BS132" s="67"/>
      <c r="BT132" s="67">
        <f>SUM(BT133:BT134)</f>
        <v>777665</v>
      </c>
      <c r="BU132" s="67"/>
      <c r="BV132" s="67"/>
      <c r="BW132" s="560"/>
      <c r="BX132" s="67"/>
      <c r="BY132" s="67">
        <f>SUM(BY133:BY134)</f>
        <v>1282940</v>
      </c>
      <c r="BZ132" s="67"/>
      <c r="CA132" s="67"/>
      <c r="CB132" s="560"/>
      <c r="CC132" s="67"/>
      <c r="CD132" s="67">
        <f>SUM(CD133:CD134)</f>
        <v>628449</v>
      </c>
      <c r="CE132" s="67"/>
      <c r="CF132" s="67"/>
      <c r="CG132" s="560"/>
      <c r="CH132" s="67"/>
      <c r="CI132" s="67">
        <f>SUM(CI133:CI134)</f>
        <v>0</v>
      </c>
      <c r="CJ132" s="67"/>
      <c r="CK132" s="67"/>
      <c r="CL132" s="560"/>
      <c r="CM132" s="67"/>
      <c r="CN132" s="67">
        <f>SUM(CN133:CN134)</f>
        <v>0</v>
      </c>
      <c r="CO132" s="67"/>
      <c r="CP132" s="67"/>
      <c r="CQ132" s="560"/>
      <c r="CR132" s="67"/>
      <c r="CS132" s="67">
        <f>SUM(CS133:CS134)</f>
        <v>0</v>
      </c>
      <c r="CT132" s="67"/>
      <c r="CU132" s="67"/>
      <c r="CV132" s="560"/>
      <c r="CW132" s="67"/>
      <c r="CX132" s="67">
        <f>SUM(CX133:CX134)</f>
        <v>0</v>
      </c>
      <c r="CY132" s="67"/>
      <c r="CZ132" s="67"/>
      <c r="DA132" s="560"/>
      <c r="DB132" s="67"/>
      <c r="DC132" s="67">
        <f>SUM(DC133:DC134)</f>
        <v>0</v>
      </c>
      <c r="DD132" s="67"/>
      <c r="DE132" s="67"/>
      <c r="DF132" s="560"/>
      <c r="DG132" s="67"/>
      <c r="DH132" s="67">
        <f>SUM(DH133:DH134)</f>
        <v>654491</v>
      </c>
      <c r="DI132" s="67"/>
      <c r="DJ132" s="67"/>
      <c r="DK132" s="560"/>
      <c r="DL132" s="67"/>
      <c r="DM132" s="67">
        <f>SUM(DM133:DM134)</f>
        <v>0</v>
      </c>
      <c r="DN132" s="67"/>
      <c r="DO132" s="67"/>
      <c r="DP132" s="560"/>
      <c r="DQ132" s="67"/>
      <c r="DR132" s="67">
        <f>SUM(DR133:DR134)</f>
        <v>0</v>
      </c>
      <c r="DS132" s="67"/>
      <c r="DT132" s="67"/>
      <c r="DU132" s="560"/>
      <c r="DV132" s="67"/>
      <c r="DW132" s="67">
        <f>SUM(DW133:DW134)</f>
        <v>0</v>
      </c>
      <c r="DX132" s="67"/>
      <c r="DY132" s="67"/>
      <c r="DZ132" s="560"/>
      <c r="EA132" s="67"/>
      <c r="EB132" s="67">
        <f>SUM(EB133:EB134)</f>
        <v>0</v>
      </c>
      <c r="EC132" s="67"/>
      <c r="ED132" s="67"/>
      <c r="EE132" s="560"/>
      <c r="EF132" s="67"/>
      <c r="EG132" s="67">
        <f>SUM(EG133:EG134)</f>
        <v>0</v>
      </c>
      <c r="EH132" s="67"/>
      <c r="EI132" s="67"/>
      <c r="EJ132" s="560"/>
      <c r="EK132" s="67"/>
      <c r="EL132" s="67">
        <f>SUM(EL133:EL134)</f>
        <v>628449</v>
      </c>
      <c r="EM132" s="67"/>
      <c r="EN132" s="67"/>
      <c r="EO132" s="455"/>
    </row>
    <row r="133" spans="1:145" x14ac:dyDescent="0.2">
      <c r="A133" s="442"/>
      <c r="B133" s="442"/>
      <c r="C133" s="442"/>
      <c r="D133" s="455" t="s">
        <v>469</v>
      </c>
      <c r="E133" s="465"/>
      <c r="F133" s="473"/>
      <c r="G133" s="558">
        <v>392000</v>
      </c>
      <c r="H133" s="559"/>
      <c r="I133" s="67"/>
      <c r="J133" s="560"/>
      <c r="K133" s="561"/>
      <c r="L133" s="558">
        <v>391647</v>
      </c>
      <c r="M133" s="559"/>
      <c r="N133" s="67"/>
      <c r="O133" s="560"/>
      <c r="P133" s="561"/>
      <c r="Q133" s="558">
        <v>0</v>
      </c>
      <c r="R133" s="559"/>
      <c r="S133" s="67"/>
      <c r="T133" s="560"/>
      <c r="U133" s="561"/>
      <c r="V133" s="558">
        <v>0</v>
      </c>
      <c r="W133" s="559"/>
      <c r="X133" s="67"/>
      <c r="Y133" s="560"/>
      <c r="Z133" s="561"/>
      <c r="AA133" s="558">
        <v>0</v>
      </c>
      <c r="AB133" s="559"/>
      <c r="AC133" s="67"/>
      <c r="AD133" s="560"/>
      <c r="AE133" s="561"/>
      <c r="AF133" s="558">
        <v>0</v>
      </c>
      <c r="AG133" s="559"/>
      <c r="AH133" s="67"/>
      <c r="AI133" s="560"/>
      <c r="AJ133" s="561"/>
      <c r="AK133" s="558">
        <v>0</v>
      </c>
      <c r="AL133" s="559"/>
      <c r="AM133" s="67"/>
      <c r="AN133" s="560"/>
      <c r="AO133" s="561"/>
      <c r="AP133" s="558">
        <v>0</v>
      </c>
      <c r="AQ133" s="559"/>
      <c r="AR133" s="67"/>
      <c r="AS133" s="560"/>
      <c r="AT133" s="561"/>
      <c r="AU133" s="558">
        <v>0</v>
      </c>
      <c r="AV133" s="559"/>
      <c r="AW133" s="67"/>
      <c r="AX133" s="560"/>
      <c r="AY133" s="561"/>
      <c r="AZ133" s="558">
        <v>0</v>
      </c>
      <c r="BA133" s="559"/>
      <c r="BB133" s="67"/>
      <c r="BC133" s="560"/>
      <c r="BD133" s="561"/>
      <c r="BE133" s="558">
        <v>0</v>
      </c>
      <c r="BF133" s="559"/>
      <c r="BG133" s="67"/>
      <c r="BH133" s="560"/>
      <c r="BI133" s="561"/>
      <c r="BJ133" s="558">
        <v>0</v>
      </c>
      <c r="BK133" s="559"/>
      <c r="BL133" s="67"/>
      <c r="BM133" s="560"/>
      <c r="BN133" s="561"/>
      <c r="BO133" s="558">
        <v>0</v>
      </c>
      <c r="BP133" s="559"/>
      <c r="BQ133" s="67"/>
      <c r="BR133" s="560"/>
      <c r="BS133" s="561"/>
      <c r="BT133" s="558">
        <f>SUM(L133:BO133)</f>
        <v>391647</v>
      </c>
      <c r="BU133" s="559"/>
      <c r="BV133" s="67"/>
      <c r="BW133" s="560"/>
      <c r="BX133" s="561"/>
      <c r="BY133" s="558">
        <v>783294</v>
      </c>
      <c r="BZ133" s="559"/>
      <c r="CA133" s="67"/>
      <c r="CB133" s="560"/>
      <c r="CC133" s="561"/>
      <c r="CD133" s="558">
        <v>391647</v>
      </c>
      <c r="CE133" s="559"/>
      <c r="CF133" s="67"/>
      <c r="CG133" s="560"/>
      <c r="CH133" s="561"/>
      <c r="CI133" s="558">
        <v>0</v>
      </c>
      <c r="CJ133" s="559"/>
      <c r="CK133" s="67"/>
      <c r="CL133" s="560"/>
      <c r="CM133" s="561"/>
      <c r="CN133" s="558">
        <v>0</v>
      </c>
      <c r="CO133" s="559"/>
      <c r="CP133" s="67"/>
      <c r="CQ133" s="560"/>
      <c r="CR133" s="561"/>
      <c r="CS133" s="558">
        <v>0</v>
      </c>
      <c r="CT133" s="559"/>
      <c r="CU133" s="67"/>
      <c r="CV133" s="560"/>
      <c r="CW133" s="561"/>
      <c r="CX133" s="558">
        <v>0</v>
      </c>
      <c r="CY133" s="559"/>
      <c r="CZ133" s="67"/>
      <c r="DA133" s="560"/>
      <c r="DB133" s="561"/>
      <c r="DC133" s="558">
        <v>0</v>
      </c>
      <c r="DD133" s="559"/>
      <c r="DE133" s="67"/>
      <c r="DF133" s="560"/>
      <c r="DG133" s="561"/>
      <c r="DH133" s="558">
        <v>391647</v>
      </c>
      <c r="DI133" s="559"/>
      <c r="DJ133" s="67"/>
      <c r="DK133" s="560"/>
      <c r="DL133" s="561"/>
      <c r="DM133" s="558">
        <v>0</v>
      </c>
      <c r="DN133" s="559"/>
      <c r="DO133" s="67"/>
      <c r="DP133" s="560"/>
      <c r="DQ133" s="561"/>
      <c r="DR133" s="558">
        <v>0</v>
      </c>
      <c r="DS133" s="559"/>
      <c r="DT133" s="67"/>
      <c r="DU133" s="560"/>
      <c r="DV133" s="561"/>
      <c r="DW133" s="558">
        <v>0</v>
      </c>
      <c r="DX133" s="559"/>
      <c r="DY133" s="67"/>
      <c r="DZ133" s="560"/>
      <c r="EA133" s="561"/>
      <c r="EB133" s="558">
        <v>0</v>
      </c>
      <c r="EC133" s="559"/>
      <c r="ED133" s="67"/>
      <c r="EE133" s="560"/>
      <c r="EF133" s="561"/>
      <c r="EG133" s="558">
        <v>0</v>
      </c>
      <c r="EH133" s="559"/>
      <c r="EI133" s="67"/>
      <c r="EJ133" s="560"/>
      <c r="EK133" s="561"/>
      <c r="EL133" s="558">
        <f>SUM(CD133:CI133)</f>
        <v>391647</v>
      </c>
      <c r="EM133" s="559"/>
      <c r="EN133" s="67"/>
      <c r="EO133" s="455"/>
    </row>
    <row r="134" spans="1:145" x14ac:dyDescent="0.2">
      <c r="A134" s="442"/>
      <c r="B134" s="442"/>
      <c r="C134" s="442"/>
      <c r="D134" s="455" t="s">
        <v>470</v>
      </c>
      <c r="E134" s="465"/>
      <c r="F134" s="488"/>
      <c r="G134" s="113">
        <v>377000</v>
      </c>
      <c r="H134" s="112"/>
      <c r="I134" s="67"/>
      <c r="J134" s="560"/>
      <c r="K134" s="569"/>
      <c r="L134" s="113">
        <v>386018</v>
      </c>
      <c r="M134" s="112"/>
      <c r="N134" s="67"/>
      <c r="O134" s="560"/>
      <c r="P134" s="569"/>
      <c r="Q134" s="113">
        <v>0</v>
      </c>
      <c r="R134" s="112"/>
      <c r="S134" s="67"/>
      <c r="T134" s="560"/>
      <c r="U134" s="569"/>
      <c r="V134" s="113">
        <v>0</v>
      </c>
      <c r="W134" s="112"/>
      <c r="X134" s="67"/>
      <c r="Y134" s="560"/>
      <c r="Z134" s="569"/>
      <c r="AA134" s="113">
        <v>0</v>
      </c>
      <c r="AB134" s="112"/>
      <c r="AC134" s="67"/>
      <c r="AD134" s="560"/>
      <c r="AE134" s="569"/>
      <c r="AF134" s="113">
        <v>0</v>
      </c>
      <c r="AG134" s="112"/>
      <c r="AH134" s="67"/>
      <c r="AI134" s="560"/>
      <c r="AJ134" s="569"/>
      <c r="AK134" s="113">
        <v>0</v>
      </c>
      <c r="AL134" s="112"/>
      <c r="AM134" s="67"/>
      <c r="AN134" s="560"/>
      <c r="AO134" s="569"/>
      <c r="AP134" s="113">
        <v>0</v>
      </c>
      <c r="AQ134" s="112"/>
      <c r="AR134" s="67"/>
      <c r="AS134" s="560"/>
      <c r="AT134" s="569"/>
      <c r="AU134" s="113">
        <v>0</v>
      </c>
      <c r="AV134" s="112"/>
      <c r="AW134" s="67"/>
      <c r="AX134" s="560"/>
      <c r="AY134" s="569"/>
      <c r="AZ134" s="113">
        <v>0</v>
      </c>
      <c r="BA134" s="112"/>
      <c r="BB134" s="67"/>
      <c r="BC134" s="560"/>
      <c r="BD134" s="569"/>
      <c r="BE134" s="113">
        <v>0</v>
      </c>
      <c r="BF134" s="112"/>
      <c r="BG134" s="67"/>
      <c r="BH134" s="560"/>
      <c r="BI134" s="569"/>
      <c r="BJ134" s="113">
        <v>0</v>
      </c>
      <c r="BK134" s="112"/>
      <c r="BL134" s="67"/>
      <c r="BM134" s="560"/>
      <c r="BN134" s="569"/>
      <c r="BO134" s="113">
        <v>0</v>
      </c>
      <c r="BP134" s="112"/>
      <c r="BQ134" s="67"/>
      <c r="BR134" s="560"/>
      <c r="BS134" s="569"/>
      <c r="BT134" s="113">
        <f>SUM(L134:BO134)</f>
        <v>386018</v>
      </c>
      <c r="BU134" s="112"/>
      <c r="BV134" s="67"/>
      <c r="BW134" s="560"/>
      <c r="BX134" s="569"/>
      <c r="BY134" s="113">
        <v>499646</v>
      </c>
      <c r="BZ134" s="112"/>
      <c r="CA134" s="67"/>
      <c r="CB134" s="560"/>
      <c r="CC134" s="569"/>
      <c r="CD134" s="113">
        <v>236802</v>
      </c>
      <c r="CE134" s="112"/>
      <c r="CF134" s="67"/>
      <c r="CG134" s="560"/>
      <c r="CH134" s="569"/>
      <c r="CI134" s="113">
        <v>0</v>
      </c>
      <c r="CJ134" s="112"/>
      <c r="CK134" s="67"/>
      <c r="CL134" s="560"/>
      <c r="CM134" s="569"/>
      <c r="CN134" s="113">
        <v>0</v>
      </c>
      <c r="CO134" s="112"/>
      <c r="CP134" s="67"/>
      <c r="CQ134" s="560"/>
      <c r="CR134" s="569"/>
      <c r="CS134" s="113">
        <v>0</v>
      </c>
      <c r="CT134" s="112"/>
      <c r="CU134" s="67"/>
      <c r="CV134" s="560"/>
      <c r="CW134" s="569"/>
      <c r="CX134" s="113">
        <v>0</v>
      </c>
      <c r="CY134" s="112"/>
      <c r="CZ134" s="67"/>
      <c r="DA134" s="560"/>
      <c r="DB134" s="569"/>
      <c r="DC134" s="113">
        <v>0</v>
      </c>
      <c r="DD134" s="112"/>
      <c r="DE134" s="67"/>
      <c r="DF134" s="560"/>
      <c r="DG134" s="569"/>
      <c r="DH134" s="113">
        <v>262844</v>
      </c>
      <c r="DI134" s="112"/>
      <c r="DJ134" s="67"/>
      <c r="DK134" s="560"/>
      <c r="DL134" s="569"/>
      <c r="DM134" s="113">
        <v>0</v>
      </c>
      <c r="DN134" s="112"/>
      <c r="DO134" s="67"/>
      <c r="DP134" s="560"/>
      <c r="DQ134" s="569"/>
      <c r="DR134" s="113">
        <v>0</v>
      </c>
      <c r="DS134" s="112"/>
      <c r="DT134" s="67"/>
      <c r="DU134" s="560"/>
      <c r="DV134" s="569"/>
      <c r="DW134" s="113">
        <v>0</v>
      </c>
      <c r="DX134" s="112"/>
      <c r="DY134" s="67"/>
      <c r="DZ134" s="560"/>
      <c r="EA134" s="569"/>
      <c r="EB134" s="113">
        <v>0</v>
      </c>
      <c r="EC134" s="112"/>
      <c r="ED134" s="67"/>
      <c r="EE134" s="560"/>
      <c r="EF134" s="569"/>
      <c r="EG134" s="113">
        <v>0</v>
      </c>
      <c r="EH134" s="112"/>
      <c r="EI134" s="67"/>
      <c r="EJ134" s="560"/>
      <c r="EK134" s="569"/>
      <c r="EL134" s="113">
        <f>SUM(CD134:CI134)</f>
        <v>236802</v>
      </c>
      <c r="EM134" s="112"/>
      <c r="EN134" s="67"/>
      <c r="EO134" s="455"/>
    </row>
    <row r="135" spans="1:145" ht="12.75" customHeight="1" x14ac:dyDescent="0.2">
      <c r="A135" s="442"/>
      <c r="B135" s="442"/>
      <c r="C135" s="442"/>
      <c r="D135" s="455"/>
      <c r="E135" s="465"/>
      <c r="F135" s="442"/>
      <c r="G135" s="67"/>
      <c r="H135" s="67"/>
      <c r="I135" s="67"/>
      <c r="J135" s="560"/>
      <c r="K135" s="67"/>
      <c r="L135" s="67"/>
      <c r="M135" s="67"/>
      <c r="N135" s="67"/>
      <c r="O135" s="560"/>
      <c r="P135" s="67"/>
      <c r="Q135" s="67"/>
      <c r="R135" s="67"/>
      <c r="S135" s="67"/>
      <c r="T135" s="560"/>
      <c r="U135" s="67"/>
      <c r="V135" s="67"/>
      <c r="W135" s="67"/>
      <c r="X135" s="67"/>
      <c r="Y135" s="560"/>
      <c r="Z135" s="67"/>
      <c r="AA135" s="67"/>
      <c r="AB135" s="67"/>
      <c r="AC135" s="67"/>
      <c r="AD135" s="560"/>
      <c r="AE135" s="67"/>
      <c r="AF135" s="67"/>
      <c r="AG135" s="67"/>
      <c r="AH135" s="67"/>
      <c r="AI135" s="560"/>
      <c r="AJ135" s="67"/>
      <c r="AK135" s="67"/>
      <c r="AL135" s="67"/>
      <c r="AM135" s="67"/>
      <c r="AN135" s="560"/>
      <c r="AO135" s="67"/>
      <c r="AP135" s="67"/>
      <c r="AQ135" s="67"/>
      <c r="AR135" s="67"/>
      <c r="AS135" s="560"/>
      <c r="AT135" s="67"/>
      <c r="AU135" s="67"/>
      <c r="AV135" s="67"/>
      <c r="AW135" s="67"/>
      <c r="AX135" s="560"/>
      <c r="AY135" s="67"/>
      <c r="AZ135" s="67"/>
      <c r="BA135" s="67"/>
      <c r="BB135" s="67"/>
      <c r="BC135" s="560"/>
      <c r="BD135" s="67"/>
      <c r="BE135" s="67"/>
      <c r="BF135" s="67"/>
      <c r="BG135" s="67"/>
      <c r="BH135" s="560"/>
      <c r="BI135" s="67"/>
      <c r="BJ135" s="67"/>
      <c r="BK135" s="67"/>
      <c r="BL135" s="67"/>
      <c r="BM135" s="560"/>
      <c r="BN135" s="67"/>
      <c r="BO135" s="67"/>
      <c r="BP135" s="67"/>
      <c r="BQ135" s="67"/>
      <c r="BR135" s="560"/>
      <c r="BS135" s="67"/>
      <c r="BT135" s="67"/>
      <c r="BU135" s="67"/>
      <c r="BV135" s="67"/>
      <c r="BW135" s="560"/>
      <c r="BX135" s="67"/>
      <c r="BY135" s="67"/>
      <c r="BZ135" s="67"/>
      <c r="CA135" s="67"/>
      <c r="CB135" s="560"/>
      <c r="CC135" s="67"/>
      <c r="CD135" s="67"/>
      <c r="CE135" s="67"/>
      <c r="CF135" s="67"/>
      <c r="CG135" s="560"/>
      <c r="CH135" s="67"/>
      <c r="CI135" s="67"/>
      <c r="CJ135" s="67"/>
      <c r="CK135" s="67"/>
      <c r="CL135" s="560"/>
      <c r="CM135" s="67"/>
      <c r="CN135" s="67"/>
      <c r="CO135" s="67"/>
      <c r="CP135" s="67"/>
      <c r="CQ135" s="560"/>
      <c r="CR135" s="67"/>
      <c r="CS135" s="67"/>
      <c r="CT135" s="67"/>
      <c r="CU135" s="67"/>
      <c r="CV135" s="560"/>
      <c r="CW135" s="67"/>
      <c r="CX135" s="67"/>
      <c r="CY135" s="67"/>
      <c r="CZ135" s="67"/>
      <c r="DA135" s="560"/>
      <c r="DB135" s="67"/>
      <c r="DC135" s="67"/>
      <c r="DD135" s="67"/>
      <c r="DE135" s="67"/>
      <c r="DF135" s="560"/>
      <c r="DG135" s="67"/>
      <c r="DH135" s="67"/>
      <c r="DI135" s="67"/>
      <c r="DJ135" s="67"/>
      <c r="DK135" s="560"/>
      <c r="DL135" s="67"/>
      <c r="DM135" s="67"/>
      <c r="DN135" s="67"/>
      <c r="DO135" s="67"/>
      <c r="DP135" s="560"/>
      <c r="DQ135" s="67"/>
      <c r="DR135" s="67"/>
      <c r="DS135" s="67"/>
      <c r="DT135" s="67"/>
      <c r="DU135" s="560"/>
      <c r="DV135" s="67"/>
      <c r="DW135" s="67"/>
      <c r="DX135" s="67"/>
      <c r="DY135" s="67"/>
      <c r="DZ135" s="560"/>
      <c r="EA135" s="67"/>
      <c r="EB135" s="67"/>
      <c r="EC135" s="67"/>
      <c r="ED135" s="67"/>
      <c r="EE135" s="560"/>
      <c r="EF135" s="67"/>
      <c r="EG135" s="67"/>
      <c r="EH135" s="67"/>
      <c r="EI135" s="67"/>
      <c r="EJ135" s="560"/>
      <c r="EK135" s="67"/>
      <c r="EL135" s="67"/>
      <c r="EM135" s="67"/>
      <c r="EN135" s="67"/>
      <c r="EO135" s="455"/>
    </row>
    <row r="136" spans="1:145" ht="12.75" customHeight="1" x14ac:dyDescent="0.2">
      <c r="A136" s="442"/>
      <c r="B136" s="442"/>
      <c r="C136" s="442"/>
      <c r="D136" s="455" t="s">
        <v>477</v>
      </c>
      <c r="E136" s="465"/>
      <c r="F136" s="442"/>
      <c r="G136" s="67">
        <f>SUM(G137:G138)</f>
        <v>4138000</v>
      </c>
      <c r="H136" s="67"/>
      <c r="I136" s="67"/>
      <c r="J136" s="560"/>
      <c r="K136" s="67"/>
      <c r="L136" s="67">
        <f>SUM(L137:L138)</f>
        <v>0</v>
      </c>
      <c r="M136" s="67"/>
      <c r="N136" s="67"/>
      <c r="O136" s="560"/>
      <c r="P136" s="67"/>
      <c r="Q136" s="67">
        <f>SUM(Q137:Q138)</f>
        <v>4923900</v>
      </c>
      <c r="R136" s="67"/>
      <c r="S136" s="67"/>
      <c r="T136" s="560"/>
      <c r="U136" s="67"/>
      <c r="V136" s="67">
        <f>SUM(V137:V138)</f>
        <v>0</v>
      </c>
      <c r="W136" s="67"/>
      <c r="X136" s="67"/>
      <c r="Y136" s="560"/>
      <c r="Z136" s="67"/>
      <c r="AA136" s="67">
        <f>SUM(AA137:AA138)</f>
        <v>0</v>
      </c>
      <c r="AB136" s="67"/>
      <c r="AC136" s="67"/>
      <c r="AD136" s="560"/>
      <c r="AE136" s="67"/>
      <c r="AF136" s="67">
        <f>SUM(AF137:AF138)</f>
        <v>0</v>
      </c>
      <c r="AG136" s="67"/>
      <c r="AH136" s="67"/>
      <c r="AI136" s="560"/>
      <c r="AJ136" s="67"/>
      <c r="AK136" s="67">
        <f>SUM(AK137:AK138)</f>
        <v>0</v>
      </c>
      <c r="AL136" s="67"/>
      <c r="AM136" s="67"/>
      <c r="AN136" s="560"/>
      <c r="AO136" s="67"/>
      <c r="AP136" s="67">
        <f>SUM(AP137:AP138)</f>
        <v>0</v>
      </c>
      <c r="AQ136" s="67"/>
      <c r="AR136" s="67"/>
      <c r="AS136" s="560"/>
      <c r="AT136" s="67"/>
      <c r="AU136" s="67">
        <f>SUM(AU137:AU138)</f>
        <v>0</v>
      </c>
      <c r="AV136" s="67"/>
      <c r="AW136" s="67"/>
      <c r="AX136" s="560"/>
      <c r="AY136" s="67"/>
      <c r="AZ136" s="67">
        <f>SUM(AZ137:AZ138)</f>
        <v>0</v>
      </c>
      <c r="BA136" s="67"/>
      <c r="BB136" s="67"/>
      <c r="BC136" s="560"/>
      <c r="BD136" s="67"/>
      <c r="BE136" s="67">
        <f>SUM(BE137:BE138)</f>
        <v>0</v>
      </c>
      <c r="BF136" s="67"/>
      <c r="BG136" s="67"/>
      <c r="BH136" s="560"/>
      <c r="BI136" s="67"/>
      <c r="BJ136" s="67">
        <f>SUM(BJ137:BJ138)</f>
        <v>0</v>
      </c>
      <c r="BK136" s="67"/>
      <c r="BL136" s="67"/>
      <c r="BM136" s="560"/>
      <c r="BN136" s="67"/>
      <c r="BO136" s="67">
        <f>SUM(BO137:BO138)</f>
        <v>0</v>
      </c>
      <c r="BP136" s="67"/>
      <c r="BQ136" s="67"/>
      <c r="BR136" s="560"/>
      <c r="BS136" s="67"/>
      <c r="BT136" s="67">
        <f>SUM(BT137:BT138)</f>
        <v>4923900</v>
      </c>
      <c r="BU136" s="67"/>
      <c r="BV136" s="67"/>
      <c r="BW136" s="560"/>
      <c r="BX136" s="67"/>
      <c r="BY136" s="67">
        <v>0</v>
      </c>
      <c r="BZ136" s="67"/>
      <c r="CA136" s="67"/>
      <c r="CB136" s="560"/>
      <c r="CC136" s="67"/>
      <c r="CD136" s="67">
        <f>SUM(CD137:CD138)</f>
        <v>0</v>
      </c>
      <c r="CE136" s="67"/>
      <c r="CF136" s="67"/>
      <c r="CG136" s="560"/>
      <c r="CH136" s="67"/>
      <c r="CI136" s="67">
        <f>SUM(CI137:CI138)</f>
        <v>0</v>
      </c>
      <c r="CJ136" s="67"/>
      <c r="CK136" s="67"/>
      <c r="CL136" s="560"/>
      <c r="CM136" s="67"/>
      <c r="CN136" s="67">
        <f>SUM(CN137:CN138)</f>
        <v>0</v>
      </c>
      <c r="CO136" s="67"/>
      <c r="CP136" s="67"/>
      <c r="CQ136" s="560"/>
      <c r="CR136" s="67"/>
      <c r="CS136" s="67">
        <f>SUM(CS137:CS138)</f>
        <v>0</v>
      </c>
      <c r="CT136" s="67"/>
      <c r="CU136" s="67"/>
      <c r="CV136" s="560"/>
      <c r="CW136" s="67"/>
      <c r="CX136" s="67">
        <f>SUM(CX137:CX138)</f>
        <v>0</v>
      </c>
      <c r="CY136" s="67"/>
      <c r="CZ136" s="67"/>
      <c r="DA136" s="560"/>
      <c r="DB136" s="67"/>
      <c r="DC136" s="67">
        <f>SUM(DC137:DC138)</f>
        <v>0</v>
      </c>
      <c r="DD136" s="67"/>
      <c r="DE136" s="67"/>
      <c r="DF136" s="560"/>
      <c r="DG136" s="67"/>
      <c r="DH136" s="67">
        <f>SUM(DH137:DH138)</f>
        <v>0</v>
      </c>
      <c r="DI136" s="67"/>
      <c r="DJ136" s="67"/>
      <c r="DK136" s="560"/>
      <c r="DL136" s="67"/>
      <c r="DM136" s="67">
        <f>SUM(DM137:DM138)</f>
        <v>0</v>
      </c>
      <c r="DN136" s="67"/>
      <c r="DO136" s="67"/>
      <c r="DP136" s="560"/>
      <c r="DQ136" s="67"/>
      <c r="DR136" s="67">
        <f>SUM(DR137:DR138)</f>
        <v>0</v>
      </c>
      <c r="DS136" s="67"/>
      <c r="DT136" s="67"/>
      <c r="DU136" s="560"/>
      <c r="DV136" s="67"/>
      <c r="DW136" s="67">
        <f>SUM(DW137:DW138)</f>
        <v>0</v>
      </c>
      <c r="DX136" s="67"/>
      <c r="DY136" s="67"/>
      <c r="DZ136" s="560"/>
      <c r="EA136" s="67"/>
      <c r="EB136" s="67">
        <f>SUM(EB137:EB138)</f>
        <v>0</v>
      </c>
      <c r="EC136" s="67"/>
      <c r="ED136" s="67"/>
      <c r="EE136" s="560"/>
      <c r="EF136" s="67"/>
      <c r="EG136" s="67">
        <f>SUM(EG137:EG138)</f>
        <v>0</v>
      </c>
      <c r="EH136" s="67"/>
      <c r="EI136" s="67"/>
      <c r="EJ136" s="560"/>
      <c r="EK136" s="67"/>
      <c r="EL136" s="67">
        <f>SUM(EL137:EL138)</f>
        <v>0</v>
      </c>
      <c r="EM136" s="67"/>
      <c r="EN136" s="67"/>
      <c r="EO136" s="455"/>
    </row>
    <row r="137" spans="1:145" ht="12.75" customHeight="1" x14ac:dyDescent="0.2">
      <c r="A137" s="442"/>
      <c r="B137" s="442"/>
      <c r="C137" s="442"/>
      <c r="D137" s="455" t="s">
        <v>469</v>
      </c>
      <c r="E137" s="465"/>
      <c r="F137" s="473"/>
      <c r="G137" s="558">
        <v>1961000</v>
      </c>
      <c r="H137" s="559"/>
      <c r="I137" s="67"/>
      <c r="J137" s="560"/>
      <c r="K137" s="473"/>
      <c r="L137" s="558">
        <v>0</v>
      </c>
      <c r="M137" s="559"/>
      <c r="N137" s="67"/>
      <c r="O137" s="560"/>
      <c r="P137" s="473"/>
      <c r="Q137" s="558">
        <v>1960784</v>
      </c>
      <c r="R137" s="559"/>
      <c r="S137" s="67"/>
      <c r="T137" s="560"/>
      <c r="U137" s="473"/>
      <c r="V137" s="558">
        <v>0</v>
      </c>
      <c r="W137" s="559"/>
      <c r="X137" s="67"/>
      <c r="Y137" s="560"/>
      <c r="Z137" s="473"/>
      <c r="AA137" s="558">
        <v>0</v>
      </c>
      <c r="AB137" s="559"/>
      <c r="AC137" s="67"/>
      <c r="AD137" s="560"/>
      <c r="AE137" s="473"/>
      <c r="AF137" s="558">
        <v>0</v>
      </c>
      <c r="AG137" s="559"/>
      <c r="AH137" s="67"/>
      <c r="AI137" s="560"/>
      <c r="AJ137" s="473"/>
      <c r="AK137" s="558">
        <v>0</v>
      </c>
      <c r="AL137" s="559"/>
      <c r="AM137" s="67"/>
      <c r="AN137" s="560"/>
      <c r="AO137" s="473"/>
      <c r="AP137" s="558">
        <v>0</v>
      </c>
      <c r="AQ137" s="559"/>
      <c r="AR137" s="67"/>
      <c r="AS137" s="560"/>
      <c r="AT137" s="473"/>
      <c r="AU137" s="558">
        <v>0</v>
      </c>
      <c r="AV137" s="559"/>
      <c r="AW137" s="67"/>
      <c r="AX137" s="560"/>
      <c r="AY137" s="473"/>
      <c r="AZ137" s="558">
        <v>0</v>
      </c>
      <c r="BA137" s="559"/>
      <c r="BB137" s="67"/>
      <c r="BC137" s="560"/>
      <c r="BD137" s="473"/>
      <c r="BE137" s="558">
        <v>0</v>
      </c>
      <c r="BF137" s="559"/>
      <c r="BG137" s="67"/>
      <c r="BH137" s="560"/>
      <c r="BI137" s="473"/>
      <c r="BJ137" s="558">
        <v>0</v>
      </c>
      <c r="BK137" s="559"/>
      <c r="BL137" s="67"/>
      <c r="BM137" s="560"/>
      <c r="BN137" s="473"/>
      <c r="BO137" s="558">
        <v>0</v>
      </c>
      <c r="BP137" s="559"/>
      <c r="BQ137" s="67"/>
      <c r="BR137" s="560"/>
      <c r="BS137" s="473"/>
      <c r="BT137" s="558">
        <f>SUM(L137:BO137)</f>
        <v>1960784</v>
      </c>
      <c r="BU137" s="559"/>
      <c r="BV137" s="67"/>
      <c r="BW137" s="560"/>
      <c r="BX137" s="473"/>
      <c r="BY137" s="558">
        <v>0</v>
      </c>
      <c r="BZ137" s="559"/>
      <c r="CA137" s="67"/>
      <c r="CB137" s="560"/>
      <c r="CC137" s="473"/>
      <c r="CD137" s="558">
        <v>0</v>
      </c>
      <c r="CE137" s="559"/>
      <c r="CF137" s="67"/>
      <c r="CG137" s="560"/>
      <c r="CH137" s="473"/>
      <c r="CI137" s="558">
        <v>0</v>
      </c>
      <c r="CJ137" s="559"/>
      <c r="CK137" s="67"/>
      <c r="CL137" s="560"/>
      <c r="CM137" s="473"/>
      <c r="CN137" s="558">
        <v>0</v>
      </c>
      <c r="CO137" s="559"/>
      <c r="CP137" s="67"/>
      <c r="CQ137" s="560"/>
      <c r="CR137" s="473"/>
      <c r="CS137" s="558">
        <v>0</v>
      </c>
      <c r="CT137" s="559"/>
      <c r="CU137" s="67"/>
      <c r="CV137" s="560"/>
      <c r="CW137" s="473"/>
      <c r="CX137" s="558">
        <v>0</v>
      </c>
      <c r="CY137" s="559"/>
      <c r="CZ137" s="67"/>
      <c r="DA137" s="560"/>
      <c r="DB137" s="473"/>
      <c r="DC137" s="558">
        <v>0</v>
      </c>
      <c r="DD137" s="559"/>
      <c r="DE137" s="67"/>
      <c r="DF137" s="560"/>
      <c r="DG137" s="473"/>
      <c r="DH137" s="558">
        <v>0</v>
      </c>
      <c r="DI137" s="559"/>
      <c r="DJ137" s="67"/>
      <c r="DK137" s="560"/>
      <c r="DL137" s="473"/>
      <c r="DM137" s="558">
        <v>0</v>
      </c>
      <c r="DN137" s="559"/>
      <c r="DO137" s="67"/>
      <c r="DP137" s="560"/>
      <c r="DQ137" s="473"/>
      <c r="DR137" s="558">
        <v>0</v>
      </c>
      <c r="DS137" s="559"/>
      <c r="DT137" s="67"/>
      <c r="DU137" s="560"/>
      <c r="DV137" s="473"/>
      <c r="DW137" s="558">
        <v>0</v>
      </c>
      <c r="DX137" s="559"/>
      <c r="DY137" s="67"/>
      <c r="DZ137" s="560"/>
      <c r="EA137" s="473"/>
      <c r="EB137" s="558">
        <v>0</v>
      </c>
      <c r="EC137" s="559"/>
      <c r="ED137" s="67"/>
      <c r="EE137" s="560"/>
      <c r="EF137" s="473"/>
      <c r="EG137" s="558">
        <v>0</v>
      </c>
      <c r="EH137" s="559"/>
      <c r="EI137" s="67"/>
      <c r="EJ137" s="560"/>
      <c r="EK137" s="473"/>
      <c r="EL137" s="558">
        <f>SUM(CD137:EG137)</f>
        <v>0</v>
      </c>
      <c r="EM137" s="559"/>
      <c r="EN137" s="67"/>
      <c r="EO137" s="455"/>
    </row>
    <row r="138" spans="1:145" ht="12.75" customHeight="1" x14ac:dyDescent="0.2">
      <c r="A138" s="442"/>
      <c r="B138" s="442"/>
      <c r="C138" s="442"/>
      <c r="D138" s="455" t="s">
        <v>470</v>
      </c>
      <c r="E138" s="465"/>
      <c r="F138" s="488"/>
      <c r="G138" s="113">
        <v>2177000</v>
      </c>
      <c r="H138" s="112"/>
      <c r="I138" s="67"/>
      <c r="J138" s="560"/>
      <c r="K138" s="488"/>
      <c r="L138" s="113">
        <v>0</v>
      </c>
      <c r="M138" s="112"/>
      <c r="N138" s="67"/>
      <c r="O138" s="560"/>
      <c r="P138" s="488"/>
      <c r="Q138" s="113">
        <v>2963116</v>
      </c>
      <c r="R138" s="112"/>
      <c r="S138" s="67"/>
      <c r="T138" s="560"/>
      <c r="U138" s="488"/>
      <c r="V138" s="113">
        <v>0</v>
      </c>
      <c r="W138" s="112"/>
      <c r="X138" s="67"/>
      <c r="Y138" s="560"/>
      <c r="Z138" s="488"/>
      <c r="AA138" s="113">
        <v>0</v>
      </c>
      <c r="AB138" s="112"/>
      <c r="AC138" s="67"/>
      <c r="AD138" s="560"/>
      <c r="AE138" s="488"/>
      <c r="AF138" s="113">
        <v>0</v>
      </c>
      <c r="AG138" s="112"/>
      <c r="AH138" s="67"/>
      <c r="AI138" s="560"/>
      <c r="AJ138" s="488"/>
      <c r="AK138" s="113">
        <v>0</v>
      </c>
      <c r="AL138" s="112"/>
      <c r="AM138" s="67"/>
      <c r="AN138" s="560"/>
      <c r="AO138" s="488"/>
      <c r="AP138" s="113">
        <v>0</v>
      </c>
      <c r="AQ138" s="112"/>
      <c r="AR138" s="67"/>
      <c r="AS138" s="560"/>
      <c r="AT138" s="488"/>
      <c r="AU138" s="113">
        <v>0</v>
      </c>
      <c r="AV138" s="112"/>
      <c r="AW138" s="67"/>
      <c r="AX138" s="560"/>
      <c r="AY138" s="488"/>
      <c r="AZ138" s="113">
        <v>0</v>
      </c>
      <c r="BA138" s="112"/>
      <c r="BB138" s="67"/>
      <c r="BC138" s="560"/>
      <c r="BD138" s="488"/>
      <c r="BE138" s="113">
        <v>0</v>
      </c>
      <c r="BF138" s="112"/>
      <c r="BG138" s="67"/>
      <c r="BH138" s="560"/>
      <c r="BI138" s="488"/>
      <c r="BJ138" s="113">
        <v>0</v>
      </c>
      <c r="BK138" s="112"/>
      <c r="BL138" s="67"/>
      <c r="BM138" s="560"/>
      <c r="BN138" s="488"/>
      <c r="BO138" s="113">
        <v>0</v>
      </c>
      <c r="BP138" s="112"/>
      <c r="BQ138" s="67"/>
      <c r="BR138" s="560"/>
      <c r="BS138" s="488"/>
      <c r="BT138" s="113">
        <f>SUM(L138:BO138)</f>
        <v>2963116</v>
      </c>
      <c r="BU138" s="112"/>
      <c r="BV138" s="67"/>
      <c r="BW138" s="560"/>
      <c r="BX138" s="488"/>
      <c r="BY138" s="113">
        <v>0</v>
      </c>
      <c r="BZ138" s="112"/>
      <c r="CA138" s="67"/>
      <c r="CB138" s="560"/>
      <c r="CC138" s="488"/>
      <c r="CD138" s="113">
        <v>0</v>
      </c>
      <c r="CE138" s="112"/>
      <c r="CF138" s="67"/>
      <c r="CG138" s="560"/>
      <c r="CH138" s="488"/>
      <c r="CI138" s="113">
        <v>0</v>
      </c>
      <c r="CJ138" s="112"/>
      <c r="CK138" s="67"/>
      <c r="CL138" s="560"/>
      <c r="CM138" s="488"/>
      <c r="CN138" s="113">
        <v>0</v>
      </c>
      <c r="CO138" s="112"/>
      <c r="CP138" s="67"/>
      <c r="CQ138" s="560"/>
      <c r="CR138" s="488"/>
      <c r="CS138" s="113">
        <v>0</v>
      </c>
      <c r="CT138" s="112"/>
      <c r="CU138" s="67"/>
      <c r="CV138" s="560"/>
      <c r="CW138" s="488"/>
      <c r="CX138" s="113">
        <v>0</v>
      </c>
      <c r="CY138" s="112"/>
      <c r="CZ138" s="67"/>
      <c r="DA138" s="560"/>
      <c r="DB138" s="488"/>
      <c r="DC138" s="113">
        <v>0</v>
      </c>
      <c r="DD138" s="112"/>
      <c r="DE138" s="67"/>
      <c r="DF138" s="560"/>
      <c r="DG138" s="488"/>
      <c r="DH138" s="113">
        <v>0</v>
      </c>
      <c r="DI138" s="112"/>
      <c r="DJ138" s="67"/>
      <c r="DK138" s="560"/>
      <c r="DL138" s="488"/>
      <c r="DM138" s="113">
        <v>0</v>
      </c>
      <c r="DN138" s="112"/>
      <c r="DO138" s="67"/>
      <c r="DP138" s="560"/>
      <c r="DQ138" s="488"/>
      <c r="DR138" s="113">
        <v>0</v>
      </c>
      <c r="DS138" s="112"/>
      <c r="DT138" s="67"/>
      <c r="DU138" s="560"/>
      <c r="DV138" s="488"/>
      <c r="DW138" s="113">
        <v>0</v>
      </c>
      <c r="DX138" s="112"/>
      <c r="DY138" s="67"/>
      <c r="DZ138" s="560"/>
      <c r="EA138" s="488"/>
      <c r="EB138" s="113">
        <v>0</v>
      </c>
      <c r="EC138" s="112"/>
      <c r="ED138" s="67"/>
      <c r="EE138" s="560"/>
      <c r="EF138" s="488"/>
      <c r="EG138" s="113">
        <v>0</v>
      </c>
      <c r="EH138" s="112"/>
      <c r="EI138" s="67"/>
      <c r="EJ138" s="560"/>
      <c r="EK138" s="488"/>
      <c r="EL138" s="113">
        <f>SUM(CD138:EG138)</f>
        <v>0</v>
      </c>
      <c r="EM138" s="112"/>
      <c r="EN138" s="67"/>
      <c r="EO138" s="455"/>
    </row>
    <row r="139" spans="1:145" x14ac:dyDescent="0.2">
      <c r="A139" s="442"/>
      <c r="B139" s="442"/>
      <c r="C139" s="442"/>
      <c r="D139" s="455"/>
      <c r="E139" s="465"/>
      <c r="F139" s="442"/>
      <c r="G139" s="67"/>
      <c r="H139" s="67"/>
      <c r="I139" s="67"/>
      <c r="J139" s="560"/>
      <c r="K139" s="67"/>
      <c r="L139" s="67"/>
      <c r="M139" s="67"/>
      <c r="N139" s="67"/>
      <c r="O139" s="560"/>
      <c r="P139" s="67"/>
      <c r="Q139" s="67"/>
      <c r="R139" s="67"/>
      <c r="S139" s="67"/>
      <c r="T139" s="560"/>
      <c r="U139" s="67"/>
      <c r="V139" s="67"/>
      <c r="W139" s="67"/>
      <c r="X139" s="67"/>
      <c r="Y139" s="560"/>
      <c r="Z139" s="67"/>
      <c r="AA139" s="67"/>
      <c r="AB139" s="67"/>
      <c r="AC139" s="67"/>
      <c r="AD139" s="560"/>
      <c r="AE139" s="67"/>
      <c r="AF139" s="67"/>
      <c r="AG139" s="67"/>
      <c r="AH139" s="67"/>
      <c r="AI139" s="560"/>
      <c r="AJ139" s="67"/>
      <c r="AK139" s="67"/>
      <c r="AL139" s="67"/>
      <c r="AM139" s="67"/>
      <c r="AN139" s="560"/>
      <c r="AO139" s="67"/>
      <c r="AP139" s="67"/>
      <c r="AQ139" s="67"/>
      <c r="AR139" s="67"/>
      <c r="AS139" s="560"/>
      <c r="AT139" s="67"/>
      <c r="AU139" s="67"/>
      <c r="AV139" s="67"/>
      <c r="AW139" s="67"/>
      <c r="AX139" s="560"/>
      <c r="AY139" s="67"/>
      <c r="AZ139" s="67"/>
      <c r="BA139" s="67"/>
      <c r="BB139" s="67"/>
      <c r="BC139" s="560"/>
      <c r="BD139" s="67"/>
      <c r="BE139" s="67"/>
      <c r="BF139" s="67"/>
      <c r="BG139" s="67"/>
      <c r="BH139" s="560"/>
      <c r="BI139" s="67"/>
      <c r="BJ139" s="67"/>
      <c r="BK139" s="67"/>
      <c r="BL139" s="67"/>
      <c r="BM139" s="560"/>
      <c r="BN139" s="67"/>
      <c r="BO139" s="67"/>
      <c r="BP139" s="67"/>
      <c r="BQ139" s="67"/>
      <c r="BR139" s="560"/>
      <c r="BS139" s="67"/>
      <c r="BT139" s="67"/>
      <c r="BU139" s="67"/>
      <c r="BV139" s="67"/>
      <c r="BW139" s="560"/>
      <c r="BX139" s="67"/>
      <c r="BY139" s="67"/>
      <c r="BZ139" s="67"/>
      <c r="CA139" s="67"/>
      <c r="CB139" s="560"/>
      <c r="CC139" s="67"/>
      <c r="CD139" s="67"/>
      <c r="CE139" s="67"/>
      <c r="CF139" s="67"/>
      <c r="CG139" s="560"/>
      <c r="CH139" s="67"/>
      <c r="CI139" s="67"/>
      <c r="CJ139" s="67"/>
      <c r="CK139" s="67"/>
      <c r="CL139" s="560"/>
      <c r="CM139" s="67"/>
      <c r="CN139" s="67"/>
      <c r="CO139" s="67"/>
      <c r="CP139" s="67"/>
      <c r="CQ139" s="560"/>
      <c r="CR139" s="67"/>
      <c r="CS139" s="67"/>
      <c r="CT139" s="67"/>
      <c r="CU139" s="67"/>
      <c r="CV139" s="560"/>
      <c r="CW139" s="67"/>
      <c r="CX139" s="67"/>
      <c r="CY139" s="67"/>
      <c r="CZ139" s="67"/>
      <c r="DA139" s="560"/>
      <c r="DB139" s="67"/>
      <c r="DC139" s="67"/>
      <c r="DD139" s="67"/>
      <c r="DE139" s="67"/>
      <c r="DF139" s="560"/>
      <c r="DG139" s="67"/>
      <c r="DH139" s="67"/>
      <c r="DI139" s="67"/>
      <c r="DJ139" s="67"/>
      <c r="DK139" s="560"/>
      <c r="DL139" s="67"/>
      <c r="DM139" s="67"/>
      <c r="DN139" s="67"/>
      <c r="DO139" s="67"/>
      <c r="DP139" s="560"/>
      <c r="DQ139" s="67"/>
      <c r="DR139" s="67"/>
      <c r="DS139" s="67"/>
      <c r="DT139" s="67"/>
      <c r="DU139" s="560"/>
      <c r="DV139" s="67"/>
      <c r="DW139" s="67"/>
      <c r="DX139" s="67"/>
      <c r="DY139" s="67"/>
      <c r="DZ139" s="560"/>
      <c r="EA139" s="67"/>
      <c r="EB139" s="67"/>
      <c r="EC139" s="67"/>
      <c r="ED139" s="67"/>
      <c r="EE139" s="560"/>
      <c r="EF139" s="67"/>
      <c r="EG139" s="67"/>
      <c r="EH139" s="67"/>
      <c r="EI139" s="67"/>
      <c r="EJ139" s="560"/>
      <c r="EK139" s="67"/>
      <c r="EL139" s="67"/>
      <c r="EM139" s="67"/>
      <c r="EN139" s="67"/>
      <c r="EO139" s="455"/>
    </row>
    <row r="140" spans="1:145" x14ac:dyDescent="0.2">
      <c r="A140" s="442"/>
      <c r="B140" s="442"/>
      <c r="C140" s="442"/>
      <c r="D140" s="455" t="s">
        <v>478</v>
      </c>
      <c r="E140" s="465"/>
      <c r="F140" s="442"/>
      <c r="G140" s="67">
        <f>SUM(G141:G142)</f>
        <v>7315000</v>
      </c>
      <c r="H140" s="67"/>
      <c r="I140" s="67"/>
      <c r="J140" s="560"/>
      <c r="K140" s="67"/>
      <c r="L140" s="67">
        <f>SUM(L141:L142)</f>
        <v>0</v>
      </c>
      <c r="M140" s="67"/>
      <c r="N140" s="67"/>
      <c r="O140" s="560"/>
      <c r="P140" s="67"/>
      <c r="Q140" s="67">
        <f>SUM(Q141:Q142)</f>
        <v>0</v>
      </c>
      <c r="R140" s="67"/>
      <c r="S140" s="67"/>
      <c r="T140" s="560"/>
      <c r="U140" s="67"/>
      <c r="V140" s="67">
        <f>SUM(V141:V142)</f>
        <v>0</v>
      </c>
      <c r="W140" s="67"/>
      <c r="X140" s="67"/>
      <c r="Y140" s="560"/>
      <c r="Z140" s="67"/>
      <c r="AA140" s="67">
        <f>SUM(AA141:AA142)</f>
        <v>0</v>
      </c>
      <c r="AB140" s="67"/>
      <c r="AC140" s="67"/>
      <c r="AD140" s="560"/>
      <c r="AE140" s="67"/>
      <c r="AF140" s="67">
        <f>SUM(AF141:AF142)</f>
        <v>0</v>
      </c>
      <c r="AG140" s="67"/>
      <c r="AH140" s="67"/>
      <c r="AI140" s="560"/>
      <c r="AJ140" s="67"/>
      <c r="AK140" s="67">
        <f>SUM(AK141:AK142)</f>
        <v>0</v>
      </c>
      <c r="AL140" s="67"/>
      <c r="AM140" s="67"/>
      <c r="AN140" s="560"/>
      <c r="AO140" s="67"/>
      <c r="AP140" s="67">
        <f>SUM(AP141:AP142)</f>
        <v>0</v>
      </c>
      <c r="AQ140" s="67"/>
      <c r="AR140" s="67"/>
      <c r="AS140" s="560"/>
      <c r="AT140" s="67"/>
      <c r="AU140" s="67">
        <f>SUM(AU141:AU142)</f>
        <v>0</v>
      </c>
      <c r="AV140" s="67"/>
      <c r="AW140" s="67"/>
      <c r="AX140" s="560"/>
      <c r="AY140" s="67"/>
      <c r="AZ140" s="67">
        <f>SUM(AZ141:AZ142)</f>
        <v>0</v>
      </c>
      <c r="BA140" s="67"/>
      <c r="BB140" s="67"/>
      <c r="BC140" s="560"/>
      <c r="BD140" s="67"/>
      <c r="BE140" s="67">
        <f>SUM(BE141:BE142)</f>
        <v>0</v>
      </c>
      <c r="BF140" s="67"/>
      <c r="BG140" s="67"/>
      <c r="BH140" s="560"/>
      <c r="BI140" s="67"/>
      <c r="BJ140" s="67">
        <f>SUM(BJ141:BJ142)</f>
        <v>0</v>
      </c>
      <c r="BK140" s="67"/>
      <c r="BL140" s="67"/>
      <c r="BM140" s="560"/>
      <c r="BN140" s="67"/>
      <c r="BO140" s="67">
        <f>SUM(BO141:BO142)</f>
        <v>0</v>
      </c>
      <c r="BP140" s="67"/>
      <c r="BQ140" s="67"/>
      <c r="BR140" s="560"/>
      <c r="BS140" s="67"/>
      <c r="BT140" s="67">
        <f>SUM(BT141:BT142)</f>
        <v>0</v>
      </c>
      <c r="BU140" s="67"/>
      <c r="BV140" s="67"/>
      <c r="BW140" s="560"/>
      <c r="BX140" s="67"/>
      <c r="BY140" s="67">
        <v>0</v>
      </c>
      <c r="BZ140" s="67"/>
      <c r="CA140" s="67"/>
      <c r="CB140" s="560"/>
      <c r="CC140" s="67"/>
      <c r="CD140" s="67">
        <f>SUM(CD141:CD142)</f>
        <v>0</v>
      </c>
      <c r="CE140" s="67"/>
      <c r="CF140" s="67"/>
      <c r="CG140" s="560"/>
      <c r="CH140" s="67"/>
      <c r="CI140" s="67">
        <f>SUM(CI141:CI142)</f>
        <v>0</v>
      </c>
      <c r="CJ140" s="67"/>
      <c r="CK140" s="67"/>
      <c r="CL140" s="560"/>
      <c r="CM140" s="67"/>
      <c r="CN140" s="67">
        <f>SUM(CN141:CN142)</f>
        <v>0</v>
      </c>
      <c r="CO140" s="67"/>
      <c r="CP140" s="67"/>
      <c r="CQ140" s="560"/>
      <c r="CR140" s="67"/>
      <c r="CS140" s="67">
        <f>SUM(CS141:CS142)</f>
        <v>0</v>
      </c>
      <c r="CT140" s="67"/>
      <c r="CU140" s="67"/>
      <c r="CV140" s="560"/>
      <c r="CW140" s="67"/>
      <c r="CX140" s="67">
        <f>SUM(CX141:CX142)</f>
        <v>0</v>
      </c>
      <c r="CY140" s="67"/>
      <c r="CZ140" s="67"/>
      <c r="DA140" s="560"/>
      <c r="DB140" s="67"/>
      <c r="DC140" s="67">
        <f>SUM(DC141:DC142)</f>
        <v>0</v>
      </c>
      <c r="DD140" s="67"/>
      <c r="DE140" s="67"/>
      <c r="DF140" s="560"/>
      <c r="DG140" s="67"/>
      <c r="DH140" s="67">
        <f>SUM(DH141:DH142)</f>
        <v>0</v>
      </c>
      <c r="DI140" s="67"/>
      <c r="DJ140" s="67"/>
      <c r="DK140" s="560"/>
      <c r="DL140" s="67"/>
      <c r="DM140" s="67">
        <f>SUM(DM141:DM142)</f>
        <v>0</v>
      </c>
      <c r="DN140" s="67"/>
      <c r="DO140" s="67"/>
      <c r="DP140" s="560"/>
      <c r="DQ140" s="67"/>
      <c r="DR140" s="67">
        <f>SUM(DR141:DR142)</f>
        <v>0</v>
      </c>
      <c r="DS140" s="67"/>
      <c r="DT140" s="67"/>
      <c r="DU140" s="560"/>
      <c r="DV140" s="67"/>
      <c r="DW140" s="67">
        <f>SUM(DW141:DW142)</f>
        <v>0</v>
      </c>
      <c r="DX140" s="67"/>
      <c r="DY140" s="67"/>
      <c r="DZ140" s="560"/>
      <c r="EA140" s="67"/>
      <c r="EB140" s="67">
        <f>SUM(EB141:EB142)</f>
        <v>0</v>
      </c>
      <c r="EC140" s="67"/>
      <c r="ED140" s="67"/>
      <c r="EE140" s="560"/>
      <c r="EF140" s="67"/>
      <c r="EG140" s="67">
        <f>SUM(EG141:EG142)</f>
        <v>0</v>
      </c>
      <c r="EH140" s="67"/>
      <c r="EI140" s="67"/>
      <c r="EJ140" s="560"/>
      <c r="EK140" s="67"/>
      <c r="EL140" s="67">
        <f>SUM(EL141:EL142)</f>
        <v>0</v>
      </c>
      <c r="EM140" s="67"/>
      <c r="EN140" s="67"/>
      <c r="EO140" s="455"/>
    </row>
    <row r="141" spans="1:145" x14ac:dyDescent="0.2">
      <c r="A141" s="442"/>
      <c r="B141" s="442"/>
      <c r="C141" s="442"/>
      <c r="D141" s="455" t="s">
        <v>469</v>
      </c>
      <c r="E141" s="465"/>
      <c r="F141" s="473"/>
      <c r="G141" s="558">
        <v>5604000</v>
      </c>
      <c r="H141" s="559"/>
      <c r="I141" s="67"/>
      <c r="J141" s="560"/>
      <c r="K141" s="473"/>
      <c r="L141" s="558">
        <v>0</v>
      </c>
      <c r="M141" s="559"/>
      <c r="N141" s="67"/>
      <c r="O141" s="560"/>
      <c r="P141" s="473"/>
      <c r="Q141" s="558">
        <v>0</v>
      </c>
      <c r="R141" s="559"/>
      <c r="S141" s="67"/>
      <c r="T141" s="560"/>
      <c r="U141" s="473"/>
      <c r="V141" s="558">
        <v>0</v>
      </c>
      <c r="W141" s="559"/>
      <c r="X141" s="67"/>
      <c r="Y141" s="560"/>
      <c r="Z141" s="473"/>
      <c r="AA141" s="558">
        <v>0</v>
      </c>
      <c r="AB141" s="559"/>
      <c r="AC141" s="67"/>
      <c r="AD141" s="560"/>
      <c r="AE141" s="473"/>
      <c r="AF141" s="558">
        <v>0</v>
      </c>
      <c r="AG141" s="559"/>
      <c r="AH141" s="67"/>
      <c r="AI141" s="560"/>
      <c r="AJ141" s="473"/>
      <c r="AK141" s="558">
        <v>0</v>
      </c>
      <c r="AL141" s="559"/>
      <c r="AM141" s="67"/>
      <c r="AN141" s="560"/>
      <c r="AO141" s="473"/>
      <c r="AP141" s="558">
        <v>0</v>
      </c>
      <c r="AQ141" s="559"/>
      <c r="AR141" s="67"/>
      <c r="AS141" s="560"/>
      <c r="AT141" s="473"/>
      <c r="AU141" s="558">
        <v>0</v>
      </c>
      <c r="AV141" s="559"/>
      <c r="AW141" s="67"/>
      <c r="AX141" s="560"/>
      <c r="AY141" s="473"/>
      <c r="AZ141" s="558">
        <v>0</v>
      </c>
      <c r="BA141" s="559"/>
      <c r="BB141" s="67"/>
      <c r="BC141" s="560"/>
      <c r="BD141" s="473"/>
      <c r="BE141" s="558">
        <v>0</v>
      </c>
      <c r="BF141" s="559"/>
      <c r="BG141" s="67"/>
      <c r="BH141" s="560"/>
      <c r="BI141" s="473"/>
      <c r="BJ141" s="558">
        <v>0</v>
      </c>
      <c r="BK141" s="559"/>
      <c r="BL141" s="67"/>
      <c r="BM141" s="560"/>
      <c r="BN141" s="473"/>
      <c r="BO141" s="558">
        <v>0</v>
      </c>
      <c r="BP141" s="559"/>
      <c r="BQ141" s="67"/>
      <c r="BR141" s="560"/>
      <c r="BS141" s="473"/>
      <c r="BT141" s="558">
        <f>SUM(L141:BO141)</f>
        <v>0</v>
      </c>
      <c r="BU141" s="559"/>
      <c r="BV141" s="67"/>
      <c r="BW141" s="560"/>
      <c r="BX141" s="473"/>
      <c r="BY141" s="558">
        <v>0</v>
      </c>
      <c r="BZ141" s="559"/>
      <c r="CA141" s="67"/>
      <c r="CB141" s="560"/>
      <c r="CC141" s="473"/>
      <c r="CD141" s="558">
        <v>0</v>
      </c>
      <c r="CE141" s="559"/>
      <c r="CF141" s="67"/>
      <c r="CG141" s="560"/>
      <c r="CH141" s="473"/>
      <c r="CI141" s="558">
        <v>0</v>
      </c>
      <c r="CJ141" s="559"/>
      <c r="CK141" s="67"/>
      <c r="CL141" s="560"/>
      <c r="CM141" s="473"/>
      <c r="CN141" s="558">
        <v>0</v>
      </c>
      <c r="CO141" s="559"/>
      <c r="CP141" s="67"/>
      <c r="CQ141" s="560"/>
      <c r="CR141" s="473"/>
      <c r="CS141" s="558">
        <v>0</v>
      </c>
      <c r="CT141" s="559"/>
      <c r="CU141" s="67"/>
      <c r="CV141" s="560"/>
      <c r="CW141" s="473"/>
      <c r="CX141" s="558">
        <v>0</v>
      </c>
      <c r="CY141" s="559"/>
      <c r="CZ141" s="67"/>
      <c r="DA141" s="560"/>
      <c r="DB141" s="473"/>
      <c r="DC141" s="558">
        <v>0</v>
      </c>
      <c r="DD141" s="559"/>
      <c r="DE141" s="67"/>
      <c r="DF141" s="560"/>
      <c r="DG141" s="473"/>
      <c r="DH141" s="558">
        <v>0</v>
      </c>
      <c r="DI141" s="559"/>
      <c r="DJ141" s="67"/>
      <c r="DK141" s="560"/>
      <c r="DL141" s="473"/>
      <c r="DM141" s="558">
        <v>0</v>
      </c>
      <c r="DN141" s="559"/>
      <c r="DO141" s="67"/>
      <c r="DP141" s="560"/>
      <c r="DQ141" s="473"/>
      <c r="DR141" s="558">
        <v>0</v>
      </c>
      <c r="DS141" s="559"/>
      <c r="DT141" s="67"/>
      <c r="DU141" s="560"/>
      <c r="DV141" s="473"/>
      <c r="DW141" s="558">
        <v>0</v>
      </c>
      <c r="DX141" s="559"/>
      <c r="DY141" s="67"/>
      <c r="DZ141" s="560"/>
      <c r="EA141" s="473"/>
      <c r="EB141" s="558">
        <v>0</v>
      </c>
      <c r="EC141" s="559"/>
      <c r="ED141" s="67"/>
      <c r="EE141" s="560"/>
      <c r="EF141" s="473"/>
      <c r="EG141" s="558">
        <v>0</v>
      </c>
      <c r="EH141" s="559"/>
      <c r="EI141" s="67"/>
      <c r="EJ141" s="560"/>
      <c r="EK141" s="473"/>
      <c r="EL141" s="558">
        <f>SUM(CD141:EG141)</f>
        <v>0</v>
      </c>
      <c r="EM141" s="559"/>
      <c r="EN141" s="67"/>
      <c r="EO141" s="455"/>
    </row>
    <row r="142" spans="1:145" x14ac:dyDescent="0.2">
      <c r="A142" s="442"/>
      <c r="B142" s="442"/>
      <c r="C142" s="442"/>
      <c r="D142" s="455" t="s">
        <v>470</v>
      </c>
      <c r="E142" s="465"/>
      <c r="F142" s="488"/>
      <c r="G142" s="113">
        <v>1711000</v>
      </c>
      <c r="H142" s="112"/>
      <c r="I142" s="67"/>
      <c r="J142" s="560"/>
      <c r="K142" s="488"/>
      <c r="L142" s="113">
        <v>0</v>
      </c>
      <c r="M142" s="112"/>
      <c r="N142" s="67"/>
      <c r="O142" s="560"/>
      <c r="P142" s="488"/>
      <c r="Q142" s="113">
        <v>0</v>
      </c>
      <c r="R142" s="112"/>
      <c r="S142" s="67"/>
      <c r="T142" s="560"/>
      <c r="U142" s="488"/>
      <c r="V142" s="113">
        <v>0</v>
      </c>
      <c r="W142" s="112"/>
      <c r="X142" s="67"/>
      <c r="Y142" s="560"/>
      <c r="Z142" s="488"/>
      <c r="AA142" s="113">
        <v>0</v>
      </c>
      <c r="AB142" s="112"/>
      <c r="AC142" s="67"/>
      <c r="AD142" s="560"/>
      <c r="AE142" s="488"/>
      <c r="AF142" s="113">
        <v>0</v>
      </c>
      <c r="AG142" s="112"/>
      <c r="AH142" s="67"/>
      <c r="AI142" s="560"/>
      <c r="AJ142" s="488"/>
      <c r="AK142" s="113">
        <v>0</v>
      </c>
      <c r="AL142" s="112"/>
      <c r="AM142" s="67"/>
      <c r="AN142" s="560"/>
      <c r="AO142" s="488"/>
      <c r="AP142" s="113">
        <v>0</v>
      </c>
      <c r="AQ142" s="112"/>
      <c r="AR142" s="67"/>
      <c r="AS142" s="560"/>
      <c r="AT142" s="488"/>
      <c r="AU142" s="113">
        <v>0</v>
      </c>
      <c r="AV142" s="112"/>
      <c r="AW142" s="67"/>
      <c r="AX142" s="560"/>
      <c r="AY142" s="488"/>
      <c r="AZ142" s="113">
        <v>0</v>
      </c>
      <c r="BA142" s="112"/>
      <c r="BB142" s="67"/>
      <c r="BC142" s="560"/>
      <c r="BD142" s="488"/>
      <c r="BE142" s="113">
        <v>0</v>
      </c>
      <c r="BF142" s="112"/>
      <c r="BG142" s="67"/>
      <c r="BH142" s="560"/>
      <c r="BI142" s="488"/>
      <c r="BJ142" s="113">
        <v>0</v>
      </c>
      <c r="BK142" s="112"/>
      <c r="BL142" s="67"/>
      <c r="BM142" s="560"/>
      <c r="BN142" s="488"/>
      <c r="BO142" s="113">
        <v>0</v>
      </c>
      <c r="BP142" s="112"/>
      <c r="BQ142" s="67"/>
      <c r="BR142" s="560"/>
      <c r="BS142" s="488"/>
      <c r="BT142" s="113">
        <f>SUM(L142:BO142)</f>
        <v>0</v>
      </c>
      <c r="BU142" s="112"/>
      <c r="BV142" s="67"/>
      <c r="BW142" s="560"/>
      <c r="BX142" s="488"/>
      <c r="BY142" s="113">
        <v>0</v>
      </c>
      <c r="BZ142" s="112"/>
      <c r="CA142" s="67"/>
      <c r="CB142" s="560"/>
      <c r="CC142" s="488"/>
      <c r="CD142" s="113">
        <v>0</v>
      </c>
      <c r="CE142" s="112"/>
      <c r="CF142" s="67"/>
      <c r="CG142" s="560"/>
      <c r="CH142" s="488"/>
      <c r="CI142" s="113">
        <v>0</v>
      </c>
      <c r="CJ142" s="112"/>
      <c r="CK142" s="67"/>
      <c r="CL142" s="560"/>
      <c r="CM142" s="488"/>
      <c r="CN142" s="113">
        <v>0</v>
      </c>
      <c r="CO142" s="112"/>
      <c r="CP142" s="67"/>
      <c r="CQ142" s="560"/>
      <c r="CR142" s="488"/>
      <c r="CS142" s="113">
        <v>0</v>
      </c>
      <c r="CT142" s="112"/>
      <c r="CU142" s="67"/>
      <c r="CV142" s="560"/>
      <c r="CW142" s="488"/>
      <c r="CX142" s="113">
        <v>0</v>
      </c>
      <c r="CY142" s="112"/>
      <c r="CZ142" s="67"/>
      <c r="DA142" s="560"/>
      <c r="DB142" s="488"/>
      <c r="DC142" s="113">
        <v>0</v>
      </c>
      <c r="DD142" s="112"/>
      <c r="DE142" s="67"/>
      <c r="DF142" s="560"/>
      <c r="DG142" s="488"/>
      <c r="DH142" s="113">
        <v>0</v>
      </c>
      <c r="DI142" s="112"/>
      <c r="DJ142" s="67"/>
      <c r="DK142" s="560"/>
      <c r="DL142" s="488"/>
      <c r="DM142" s="113">
        <v>0</v>
      </c>
      <c r="DN142" s="112"/>
      <c r="DO142" s="67"/>
      <c r="DP142" s="560"/>
      <c r="DQ142" s="488"/>
      <c r="DR142" s="113">
        <v>0</v>
      </c>
      <c r="DS142" s="112"/>
      <c r="DT142" s="67"/>
      <c r="DU142" s="560"/>
      <c r="DV142" s="488"/>
      <c r="DW142" s="113">
        <v>0</v>
      </c>
      <c r="DX142" s="112"/>
      <c r="DY142" s="67"/>
      <c r="DZ142" s="560"/>
      <c r="EA142" s="488"/>
      <c r="EB142" s="113">
        <v>0</v>
      </c>
      <c r="EC142" s="112"/>
      <c r="ED142" s="67"/>
      <c r="EE142" s="560"/>
      <c r="EF142" s="488"/>
      <c r="EG142" s="113">
        <v>0</v>
      </c>
      <c r="EH142" s="112"/>
      <c r="EI142" s="67"/>
      <c r="EJ142" s="560"/>
      <c r="EK142" s="488"/>
      <c r="EL142" s="113">
        <f>SUM(CD142:EG142)</f>
        <v>0</v>
      </c>
      <c r="EM142" s="112"/>
      <c r="EN142" s="67"/>
      <c r="EO142" s="455"/>
    </row>
    <row r="143" spans="1:145" x14ac:dyDescent="0.2">
      <c r="A143" s="442"/>
      <c r="B143" s="442"/>
      <c r="C143" s="442"/>
      <c r="D143" s="455"/>
      <c r="E143" s="465"/>
      <c r="F143" s="442"/>
      <c r="G143" s="67"/>
      <c r="H143" s="67"/>
      <c r="I143" s="67"/>
      <c r="J143" s="560"/>
      <c r="K143" s="442"/>
      <c r="L143" s="67"/>
      <c r="M143" s="67"/>
      <c r="N143" s="67"/>
      <c r="O143" s="560"/>
      <c r="P143" s="442"/>
      <c r="Q143" s="67"/>
      <c r="R143" s="67"/>
      <c r="S143" s="67"/>
      <c r="T143" s="560"/>
      <c r="U143" s="442"/>
      <c r="V143" s="67"/>
      <c r="W143" s="67"/>
      <c r="X143" s="67"/>
      <c r="Y143" s="560"/>
      <c r="Z143" s="442"/>
      <c r="AA143" s="67"/>
      <c r="AB143" s="67"/>
      <c r="AC143" s="67"/>
      <c r="AD143" s="560"/>
      <c r="AE143" s="442"/>
      <c r="AF143" s="67"/>
      <c r="AG143" s="67"/>
      <c r="AH143" s="67"/>
      <c r="AI143" s="560"/>
      <c r="AJ143" s="442"/>
      <c r="AK143" s="67"/>
      <c r="AL143" s="67"/>
      <c r="AM143" s="67"/>
      <c r="AN143" s="560"/>
      <c r="AO143" s="442"/>
      <c r="AP143" s="67"/>
      <c r="AQ143" s="67"/>
      <c r="AR143" s="67"/>
      <c r="AS143" s="560"/>
      <c r="AT143" s="442"/>
      <c r="AU143" s="67"/>
      <c r="AV143" s="67"/>
      <c r="AW143" s="67"/>
      <c r="AX143" s="560"/>
      <c r="AY143" s="442"/>
      <c r="AZ143" s="67"/>
      <c r="BA143" s="67"/>
      <c r="BB143" s="67"/>
      <c r="BC143" s="560"/>
      <c r="BD143" s="442"/>
      <c r="BE143" s="67"/>
      <c r="BF143" s="67"/>
      <c r="BG143" s="67"/>
      <c r="BH143" s="560"/>
      <c r="BI143" s="442"/>
      <c r="BJ143" s="67"/>
      <c r="BK143" s="67"/>
      <c r="BL143" s="67"/>
      <c r="BM143" s="560"/>
      <c r="BN143" s="442"/>
      <c r="BO143" s="67"/>
      <c r="BP143" s="67"/>
      <c r="BQ143" s="67"/>
      <c r="BR143" s="560"/>
      <c r="BS143" s="442"/>
      <c r="BT143" s="67"/>
      <c r="BU143" s="67"/>
      <c r="BV143" s="67"/>
      <c r="BW143" s="560"/>
      <c r="BX143" s="442"/>
      <c r="BY143" s="67"/>
      <c r="BZ143" s="67"/>
      <c r="CA143" s="67"/>
      <c r="CB143" s="560"/>
      <c r="CC143" s="442"/>
      <c r="CD143" s="67"/>
      <c r="CE143" s="67"/>
      <c r="CF143" s="67"/>
      <c r="CG143" s="560"/>
      <c r="CH143" s="442"/>
      <c r="CI143" s="67"/>
      <c r="CJ143" s="67"/>
      <c r="CK143" s="67"/>
      <c r="CL143" s="560"/>
      <c r="CM143" s="442"/>
      <c r="CN143" s="67"/>
      <c r="CO143" s="67"/>
      <c r="CP143" s="67"/>
      <c r="CQ143" s="560"/>
      <c r="CR143" s="442"/>
      <c r="CS143" s="67"/>
      <c r="CT143" s="67"/>
      <c r="CU143" s="67"/>
      <c r="CV143" s="560"/>
      <c r="CW143" s="442"/>
      <c r="CX143" s="67"/>
      <c r="CY143" s="67"/>
      <c r="CZ143" s="67"/>
      <c r="DA143" s="560"/>
      <c r="DB143" s="442"/>
      <c r="DC143" s="67"/>
      <c r="DD143" s="67"/>
      <c r="DE143" s="67"/>
      <c r="DF143" s="560"/>
      <c r="DG143" s="442"/>
      <c r="DH143" s="67"/>
      <c r="DI143" s="67"/>
      <c r="DJ143" s="67"/>
      <c r="DK143" s="560"/>
      <c r="DL143" s="442"/>
      <c r="DM143" s="67"/>
      <c r="DN143" s="67"/>
      <c r="DO143" s="67"/>
      <c r="DP143" s="560"/>
      <c r="DQ143" s="442"/>
      <c r="DR143" s="67"/>
      <c r="DS143" s="67"/>
      <c r="DT143" s="67"/>
      <c r="DU143" s="560"/>
      <c r="DV143" s="442"/>
      <c r="DW143" s="67"/>
      <c r="DX143" s="67"/>
      <c r="DY143" s="67"/>
      <c r="DZ143" s="560"/>
      <c r="EA143" s="442"/>
      <c r="EB143" s="67"/>
      <c r="EC143" s="67"/>
      <c r="ED143" s="67"/>
      <c r="EE143" s="560"/>
      <c r="EF143" s="442"/>
      <c r="EG143" s="67"/>
      <c r="EH143" s="67"/>
      <c r="EI143" s="67"/>
      <c r="EJ143" s="560"/>
      <c r="EK143" s="442"/>
      <c r="EL143" s="67"/>
      <c r="EM143" s="67"/>
      <c r="EN143" s="67"/>
      <c r="EO143" s="455"/>
    </row>
    <row r="144" spans="1:145" x14ac:dyDescent="0.2">
      <c r="A144" s="442"/>
      <c r="B144" s="442"/>
      <c r="C144" s="442"/>
      <c r="D144" s="455" t="s">
        <v>479</v>
      </c>
      <c r="E144" s="465"/>
      <c r="F144" s="442"/>
      <c r="G144" s="67">
        <f>SUM(G145:G146)</f>
        <v>6000</v>
      </c>
      <c r="H144" s="67"/>
      <c r="I144" s="67"/>
      <c r="J144" s="560"/>
      <c r="K144" s="67"/>
      <c r="L144" s="67">
        <f>SUM(L145:L146)</f>
        <v>0</v>
      </c>
      <c r="M144" s="67"/>
      <c r="N144" s="67"/>
      <c r="O144" s="560"/>
      <c r="P144" s="67"/>
      <c r="Q144" s="67">
        <f>SUM(Q145:Q146)</f>
        <v>8086</v>
      </c>
      <c r="R144" s="67"/>
      <c r="S144" s="67"/>
      <c r="T144" s="560"/>
      <c r="U144" s="67"/>
      <c r="V144" s="67">
        <f>SUM(V145:V146)</f>
        <v>0</v>
      </c>
      <c r="W144" s="67"/>
      <c r="X144" s="67"/>
      <c r="Y144" s="560"/>
      <c r="Z144" s="67"/>
      <c r="AA144" s="67">
        <f>SUM(AA145:AA146)</f>
        <v>0</v>
      </c>
      <c r="AB144" s="67"/>
      <c r="AC144" s="67"/>
      <c r="AD144" s="560"/>
      <c r="AE144" s="67"/>
      <c r="AF144" s="67">
        <f>SUM(AF145:AF146)</f>
        <v>0</v>
      </c>
      <c r="AG144" s="67"/>
      <c r="AH144" s="67"/>
      <c r="AI144" s="560"/>
      <c r="AJ144" s="67"/>
      <c r="AK144" s="67">
        <f>SUM(AK145:AK146)</f>
        <v>0</v>
      </c>
      <c r="AL144" s="67"/>
      <c r="AM144" s="67"/>
      <c r="AN144" s="560"/>
      <c r="AO144" s="67"/>
      <c r="AP144" s="67">
        <f>SUM(AP145:AP146)</f>
        <v>0</v>
      </c>
      <c r="AQ144" s="67"/>
      <c r="AR144" s="67"/>
      <c r="AS144" s="560"/>
      <c r="AT144" s="67"/>
      <c r="AU144" s="67">
        <f>SUM(AU145:AU146)</f>
        <v>0</v>
      </c>
      <c r="AV144" s="67"/>
      <c r="AW144" s="67"/>
      <c r="AX144" s="560"/>
      <c r="AY144" s="67"/>
      <c r="AZ144" s="67">
        <f>SUM(AZ145:AZ146)</f>
        <v>0</v>
      </c>
      <c r="BA144" s="67"/>
      <c r="BB144" s="67"/>
      <c r="BC144" s="560"/>
      <c r="BD144" s="67"/>
      <c r="BE144" s="67">
        <f>SUM(BE145:BE146)</f>
        <v>0</v>
      </c>
      <c r="BF144" s="67"/>
      <c r="BG144" s="67"/>
      <c r="BH144" s="560"/>
      <c r="BI144" s="67"/>
      <c r="BJ144" s="67">
        <f>SUM(BJ145:BJ146)</f>
        <v>0</v>
      </c>
      <c r="BK144" s="67"/>
      <c r="BL144" s="67"/>
      <c r="BM144" s="560"/>
      <c r="BN144" s="67"/>
      <c r="BO144" s="67">
        <f>SUM(BO145:BO146)</f>
        <v>0</v>
      </c>
      <c r="BP144" s="67"/>
      <c r="BQ144" s="67"/>
      <c r="BR144" s="560"/>
      <c r="BS144" s="67"/>
      <c r="BT144" s="67">
        <f>SUM(BT145:BT146)</f>
        <v>8086</v>
      </c>
      <c r="BU144" s="67"/>
      <c r="BV144" s="67"/>
      <c r="BW144" s="560"/>
      <c r="BX144" s="67"/>
      <c r="BY144" s="67">
        <v>0</v>
      </c>
      <c r="BZ144" s="67"/>
      <c r="CA144" s="67"/>
      <c r="CB144" s="560"/>
      <c r="CC144" s="67"/>
      <c r="CD144" s="67">
        <f>SUM(CD145:CD146)</f>
        <v>0</v>
      </c>
      <c r="CE144" s="67"/>
      <c r="CF144" s="67"/>
      <c r="CG144" s="560"/>
      <c r="CH144" s="67"/>
      <c r="CI144" s="67">
        <f>SUM(CI145:CI146)</f>
        <v>0</v>
      </c>
      <c r="CJ144" s="67"/>
      <c r="CK144" s="67"/>
      <c r="CL144" s="560"/>
      <c r="CM144" s="67"/>
      <c r="CN144" s="67">
        <f>SUM(CN145:CN146)</f>
        <v>0</v>
      </c>
      <c r="CO144" s="67"/>
      <c r="CP144" s="67"/>
      <c r="CQ144" s="560"/>
      <c r="CR144" s="67"/>
      <c r="CS144" s="67">
        <f>SUM(CS145:CS146)</f>
        <v>0</v>
      </c>
      <c r="CT144" s="67"/>
      <c r="CU144" s="67"/>
      <c r="CV144" s="560"/>
      <c r="CW144" s="67"/>
      <c r="CX144" s="67">
        <f>SUM(CX145:CX146)</f>
        <v>0</v>
      </c>
      <c r="CY144" s="67"/>
      <c r="CZ144" s="67"/>
      <c r="DA144" s="560"/>
      <c r="DB144" s="67"/>
      <c r="DC144" s="67">
        <f>SUM(DC145:DC146)</f>
        <v>0</v>
      </c>
      <c r="DD144" s="67"/>
      <c r="DE144" s="67"/>
      <c r="DF144" s="560"/>
      <c r="DG144" s="67"/>
      <c r="DH144" s="67">
        <f>SUM(DH145:DH146)</f>
        <v>0</v>
      </c>
      <c r="DI144" s="67"/>
      <c r="DJ144" s="67"/>
      <c r="DK144" s="560"/>
      <c r="DL144" s="67"/>
      <c r="DM144" s="67">
        <f>SUM(DM145:DM146)</f>
        <v>0</v>
      </c>
      <c r="DN144" s="67"/>
      <c r="DO144" s="67"/>
      <c r="DP144" s="560"/>
      <c r="DQ144" s="67"/>
      <c r="DR144" s="67">
        <f>SUM(DR145:DR146)</f>
        <v>0</v>
      </c>
      <c r="DS144" s="67"/>
      <c r="DT144" s="67"/>
      <c r="DU144" s="560"/>
      <c r="DV144" s="67"/>
      <c r="DW144" s="67">
        <f>SUM(DW145:DW146)</f>
        <v>0</v>
      </c>
      <c r="DX144" s="67"/>
      <c r="DY144" s="67"/>
      <c r="DZ144" s="560"/>
      <c r="EA144" s="67"/>
      <c r="EB144" s="67">
        <f>SUM(EB145:EB146)</f>
        <v>0</v>
      </c>
      <c r="EC144" s="67"/>
      <c r="ED144" s="67"/>
      <c r="EE144" s="560"/>
      <c r="EF144" s="67"/>
      <c r="EG144" s="67">
        <f>SUM(EG145:EG146)</f>
        <v>0</v>
      </c>
      <c r="EH144" s="67"/>
      <c r="EI144" s="67"/>
      <c r="EJ144" s="560"/>
      <c r="EK144" s="67"/>
      <c r="EL144" s="67">
        <f>SUM(EL145:EL146)</f>
        <v>0</v>
      </c>
      <c r="EM144" s="67"/>
      <c r="EN144" s="67"/>
      <c r="EO144" s="455"/>
    </row>
    <row r="145" spans="1:148" x14ac:dyDescent="0.2">
      <c r="A145" s="442"/>
      <c r="B145" s="442"/>
      <c r="C145" s="442"/>
      <c r="D145" s="455" t="s">
        <v>469</v>
      </c>
      <c r="E145" s="465"/>
      <c r="F145" s="473"/>
      <c r="G145" s="558">
        <v>2000</v>
      </c>
      <c r="H145" s="559"/>
      <c r="I145" s="67"/>
      <c r="J145" s="560"/>
      <c r="K145" s="473"/>
      <c r="L145" s="558">
        <v>0</v>
      </c>
      <c r="M145" s="559"/>
      <c r="N145" s="67"/>
      <c r="O145" s="560"/>
      <c r="P145" s="473"/>
      <c r="Q145" s="558">
        <v>1939</v>
      </c>
      <c r="R145" s="559"/>
      <c r="S145" s="67"/>
      <c r="T145" s="560"/>
      <c r="U145" s="473"/>
      <c r="V145" s="558">
        <v>0</v>
      </c>
      <c r="W145" s="559"/>
      <c r="X145" s="67"/>
      <c r="Y145" s="560"/>
      <c r="Z145" s="473"/>
      <c r="AA145" s="558">
        <v>0</v>
      </c>
      <c r="AB145" s="559"/>
      <c r="AC145" s="67"/>
      <c r="AD145" s="560"/>
      <c r="AE145" s="473"/>
      <c r="AF145" s="558">
        <v>0</v>
      </c>
      <c r="AG145" s="559"/>
      <c r="AH145" s="67"/>
      <c r="AI145" s="560"/>
      <c r="AJ145" s="473"/>
      <c r="AK145" s="558">
        <v>0</v>
      </c>
      <c r="AL145" s="559"/>
      <c r="AM145" s="67"/>
      <c r="AN145" s="560"/>
      <c r="AO145" s="473"/>
      <c r="AP145" s="558">
        <v>0</v>
      </c>
      <c r="AQ145" s="559"/>
      <c r="AR145" s="67"/>
      <c r="AS145" s="560"/>
      <c r="AT145" s="473"/>
      <c r="AU145" s="558">
        <v>0</v>
      </c>
      <c r="AV145" s="559"/>
      <c r="AW145" s="67"/>
      <c r="AX145" s="560"/>
      <c r="AY145" s="473"/>
      <c r="AZ145" s="558">
        <v>0</v>
      </c>
      <c r="BA145" s="559"/>
      <c r="BB145" s="67"/>
      <c r="BC145" s="560"/>
      <c r="BD145" s="473"/>
      <c r="BE145" s="558">
        <v>0</v>
      </c>
      <c r="BF145" s="559"/>
      <c r="BG145" s="67"/>
      <c r="BH145" s="560"/>
      <c r="BI145" s="473"/>
      <c r="BJ145" s="558">
        <v>0</v>
      </c>
      <c r="BK145" s="559"/>
      <c r="BL145" s="67"/>
      <c r="BM145" s="560"/>
      <c r="BN145" s="473"/>
      <c r="BO145" s="558">
        <v>0</v>
      </c>
      <c r="BP145" s="559"/>
      <c r="BQ145" s="67"/>
      <c r="BR145" s="560"/>
      <c r="BS145" s="473"/>
      <c r="BT145" s="558">
        <f>SUM(L145:BO145)</f>
        <v>1939</v>
      </c>
      <c r="BU145" s="559"/>
      <c r="BV145" s="67"/>
      <c r="BW145" s="560"/>
      <c r="BX145" s="473"/>
      <c r="BY145" s="558">
        <v>0</v>
      </c>
      <c r="BZ145" s="559"/>
      <c r="CA145" s="67"/>
      <c r="CB145" s="560"/>
      <c r="CC145" s="473"/>
      <c r="CD145" s="558">
        <v>0</v>
      </c>
      <c r="CE145" s="559"/>
      <c r="CF145" s="67"/>
      <c r="CG145" s="560"/>
      <c r="CH145" s="473"/>
      <c r="CI145" s="558">
        <v>0</v>
      </c>
      <c r="CJ145" s="559"/>
      <c r="CK145" s="67"/>
      <c r="CL145" s="560"/>
      <c r="CM145" s="473"/>
      <c r="CN145" s="558">
        <v>0</v>
      </c>
      <c r="CO145" s="559"/>
      <c r="CP145" s="67"/>
      <c r="CQ145" s="560"/>
      <c r="CR145" s="473"/>
      <c r="CS145" s="558">
        <v>0</v>
      </c>
      <c r="CT145" s="559"/>
      <c r="CU145" s="67"/>
      <c r="CV145" s="560"/>
      <c r="CW145" s="473"/>
      <c r="CX145" s="558">
        <v>0</v>
      </c>
      <c r="CY145" s="559"/>
      <c r="CZ145" s="67"/>
      <c r="DA145" s="560"/>
      <c r="DB145" s="473"/>
      <c r="DC145" s="558">
        <v>0</v>
      </c>
      <c r="DD145" s="559"/>
      <c r="DE145" s="67"/>
      <c r="DF145" s="560"/>
      <c r="DG145" s="473"/>
      <c r="DH145" s="558">
        <v>0</v>
      </c>
      <c r="DI145" s="559"/>
      <c r="DJ145" s="67"/>
      <c r="DK145" s="560"/>
      <c r="DL145" s="473"/>
      <c r="DM145" s="558">
        <v>0</v>
      </c>
      <c r="DN145" s="559"/>
      <c r="DO145" s="67"/>
      <c r="DP145" s="560"/>
      <c r="DQ145" s="473"/>
      <c r="DR145" s="558">
        <v>0</v>
      </c>
      <c r="DS145" s="559"/>
      <c r="DT145" s="67"/>
      <c r="DU145" s="560"/>
      <c r="DV145" s="473"/>
      <c r="DW145" s="558">
        <v>0</v>
      </c>
      <c r="DX145" s="559"/>
      <c r="DY145" s="67"/>
      <c r="DZ145" s="560"/>
      <c r="EA145" s="473"/>
      <c r="EB145" s="558">
        <v>0</v>
      </c>
      <c r="EC145" s="559"/>
      <c r="ED145" s="67"/>
      <c r="EE145" s="560"/>
      <c r="EF145" s="473"/>
      <c r="EG145" s="558">
        <v>0</v>
      </c>
      <c r="EH145" s="559"/>
      <c r="EI145" s="67"/>
      <c r="EJ145" s="560"/>
      <c r="EK145" s="473"/>
      <c r="EL145" s="558">
        <f>SUM(CD145:EG145)</f>
        <v>0</v>
      </c>
      <c r="EM145" s="559"/>
      <c r="EN145" s="67"/>
      <c r="EO145" s="455"/>
    </row>
    <row r="146" spans="1:148" x14ac:dyDescent="0.2">
      <c r="A146" s="442"/>
      <c r="B146" s="442"/>
      <c r="C146" s="442"/>
      <c r="D146" s="455" t="s">
        <v>470</v>
      </c>
      <c r="E146" s="465"/>
      <c r="F146" s="488"/>
      <c r="G146" s="113">
        <v>4000</v>
      </c>
      <c r="H146" s="112"/>
      <c r="I146" s="67"/>
      <c r="J146" s="560"/>
      <c r="K146" s="488"/>
      <c r="L146" s="113">
        <v>0</v>
      </c>
      <c r="M146" s="112"/>
      <c r="N146" s="67"/>
      <c r="O146" s="560"/>
      <c r="P146" s="488"/>
      <c r="Q146" s="113">
        <v>6147</v>
      </c>
      <c r="R146" s="112"/>
      <c r="S146" s="67"/>
      <c r="T146" s="560"/>
      <c r="U146" s="488"/>
      <c r="V146" s="113">
        <v>0</v>
      </c>
      <c r="W146" s="112"/>
      <c r="X146" s="67"/>
      <c r="Y146" s="560"/>
      <c r="Z146" s="488"/>
      <c r="AA146" s="113">
        <v>0</v>
      </c>
      <c r="AB146" s="112"/>
      <c r="AC146" s="67"/>
      <c r="AD146" s="560"/>
      <c r="AE146" s="488"/>
      <c r="AF146" s="113">
        <v>0</v>
      </c>
      <c r="AG146" s="112"/>
      <c r="AH146" s="67"/>
      <c r="AI146" s="560"/>
      <c r="AJ146" s="488"/>
      <c r="AK146" s="113">
        <v>0</v>
      </c>
      <c r="AL146" s="112"/>
      <c r="AM146" s="67"/>
      <c r="AN146" s="560"/>
      <c r="AO146" s="488"/>
      <c r="AP146" s="113">
        <v>0</v>
      </c>
      <c r="AQ146" s="112"/>
      <c r="AR146" s="67"/>
      <c r="AS146" s="560"/>
      <c r="AT146" s="488"/>
      <c r="AU146" s="113">
        <v>0</v>
      </c>
      <c r="AV146" s="112"/>
      <c r="AW146" s="67"/>
      <c r="AX146" s="560"/>
      <c r="AY146" s="488"/>
      <c r="AZ146" s="113">
        <v>0</v>
      </c>
      <c r="BA146" s="112"/>
      <c r="BB146" s="67"/>
      <c r="BC146" s="560"/>
      <c r="BD146" s="488"/>
      <c r="BE146" s="113">
        <v>0</v>
      </c>
      <c r="BF146" s="112"/>
      <c r="BG146" s="67"/>
      <c r="BH146" s="560"/>
      <c r="BI146" s="488"/>
      <c r="BJ146" s="113">
        <v>0</v>
      </c>
      <c r="BK146" s="112"/>
      <c r="BL146" s="67"/>
      <c r="BM146" s="560"/>
      <c r="BN146" s="488"/>
      <c r="BO146" s="113">
        <v>0</v>
      </c>
      <c r="BP146" s="112"/>
      <c r="BQ146" s="67"/>
      <c r="BR146" s="560"/>
      <c r="BS146" s="488"/>
      <c r="BT146" s="113">
        <f>SUM(L146:BO146)</f>
        <v>6147</v>
      </c>
      <c r="BU146" s="112"/>
      <c r="BV146" s="67"/>
      <c r="BW146" s="560"/>
      <c r="BX146" s="488"/>
      <c r="BY146" s="113">
        <v>0</v>
      </c>
      <c r="BZ146" s="112"/>
      <c r="CA146" s="67"/>
      <c r="CB146" s="560"/>
      <c r="CC146" s="488"/>
      <c r="CD146" s="113">
        <v>0</v>
      </c>
      <c r="CE146" s="112"/>
      <c r="CF146" s="67"/>
      <c r="CG146" s="560"/>
      <c r="CH146" s="488"/>
      <c r="CI146" s="113">
        <v>0</v>
      </c>
      <c r="CJ146" s="112"/>
      <c r="CK146" s="67"/>
      <c r="CL146" s="560"/>
      <c r="CM146" s="488"/>
      <c r="CN146" s="113">
        <v>0</v>
      </c>
      <c r="CO146" s="112"/>
      <c r="CP146" s="67"/>
      <c r="CQ146" s="560"/>
      <c r="CR146" s="488"/>
      <c r="CS146" s="113">
        <v>0</v>
      </c>
      <c r="CT146" s="112"/>
      <c r="CU146" s="67"/>
      <c r="CV146" s="560"/>
      <c r="CW146" s="488"/>
      <c r="CX146" s="113">
        <v>0</v>
      </c>
      <c r="CY146" s="112"/>
      <c r="CZ146" s="67"/>
      <c r="DA146" s="560"/>
      <c r="DB146" s="488"/>
      <c r="DC146" s="113">
        <v>0</v>
      </c>
      <c r="DD146" s="112"/>
      <c r="DE146" s="67"/>
      <c r="DF146" s="560"/>
      <c r="DG146" s="488"/>
      <c r="DH146" s="113">
        <v>0</v>
      </c>
      <c r="DI146" s="112"/>
      <c r="DJ146" s="67"/>
      <c r="DK146" s="560"/>
      <c r="DL146" s="488"/>
      <c r="DM146" s="113">
        <v>0</v>
      </c>
      <c r="DN146" s="112"/>
      <c r="DO146" s="67"/>
      <c r="DP146" s="560"/>
      <c r="DQ146" s="488"/>
      <c r="DR146" s="113">
        <v>0</v>
      </c>
      <c r="DS146" s="112"/>
      <c r="DT146" s="67"/>
      <c r="DU146" s="560"/>
      <c r="DV146" s="488"/>
      <c r="DW146" s="113">
        <v>0</v>
      </c>
      <c r="DX146" s="112"/>
      <c r="DY146" s="67"/>
      <c r="DZ146" s="560"/>
      <c r="EA146" s="488"/>
      <c r="EB146" s="113">
        <v>0</v>
      </c>
      <c r="EC146" s="112"/>
      <c r="ED146" s="67"/>
      <c r="EE146" s="560"/>
      <c r="EF146" s="488"/>
      <c r="EG146" s="113">
        <v>0</v>
      </c>
      <c r="EH146" s="112"/>
      <c r="EI146" s="67"/>
      <c r="EJ146" s="560"/>
      <c r="EK146" s="488"/>
      <c r="EL146" s="113">
        <f>SUM(CD146:EG146)</f>
        <v>0</v>
      </c>
      <c r="EM146" s="112"/>
      <c r="EN146" s="67"/>
      <c r="EO146" s="455"/>
    </row>
    <row r="147" spans="1:148" ht="12.75" customHeight="1" x14ac:dyDescent="0.2">
      <c r="A147" s="442"/>
      <c r="B147" s="442"/>
      <c r="C147" s="442"/>
      <c r="D147" s="455"/>
      <c r="E147" s="465"/>
      <c r="F147" s="442"/>
      <c r="G147" s="67"/>
      <c r="H147" s="67"/>
      <c r="I147" s="67"/>
      <c r="J147" s="560"/>
      <c r="K147" s="67"/>
      <c r="L147" s="67"/>
      <c r="M147" s="67"/>
      <c r="N147" s="67"/>
      <c r="O147" s="560"/>
      <c r="P147" s="67"/>
      <c r="Q147" s="67"/>
      <c r="R147" s="67"/>
      <c r="S147" s="67"/>
      <c r="T147" s="560"/>
      <c r="U147" s="67"/>
      <c r="V147" s="67"/>
      <c r="W147" s="67"/>
      <c r="X147" s="67"/>
      <c r="Y147" s="560"/>
      <c r="Z147" s="67"/>
      <c r="AA147" s="67"/>
      <c r="AB147" s="67"/>
      <c r="AC147" s="67"/>
      <c r="AD147" s="560"/>
      <c r="AE147" s="67"/>
      <c r="AF147" s="67"/>
      <c r="AG147" s="67"/>
      <c r="AH147" s="67"/>
      <c r="AI147" s="560"/>
      <c r="AJ147" s="67"/>
      <c r="AK147" s="67"/>
      <c r="AL147" s="67"/>
      <c r="AM147" s="67"/>
      <c r="AN147" s="560"/>
      <c r="AO147" s="67"/>
      <c r="AP147" s="67"/>
      <c r="AQ147" s="67"/>
      <c r="AR147" s="67"/>
      <c r="AS147" s="560"/>
      <c r="AT147" s="67"/>
      <c r="AU147" s="67"/>
      <c r="AV147" s="67"/>
      <c r="AW147" s="67"/>
      <c r="AX147" s="560"/>
      <c r="AY147" s="67"/>
      <c r="AZ147" s="67"/>
      <c r="BA147" s="67"/>
      <c r="BB147" s="67"/>
      <c r="BC147" s="560"/>
      <c r="BD147" s="67"/>
      <c r="BE147" s="67"/>
      <c r="BF147" s="67"/>
      <c r="BG147" s="67"/>
      <c r="BH147" s="560"/>
      <c r="BI147" s="67"/>
      <c r="BJ147" s="67"/>
      <c r="BK147" s="67"/>
      <c r="BL147" s="67"/>
      <c r="BM147" s="560"/>
      <c r="BN147" s="67"/>
      <c r="BO147" s="67"/>
      <c r="BP147" s="67"/>
      <c r="BQ147" s="67"/>
      <c r="BR147" s="560"/>
      <c r="BS147" s="67"/>
      <c r="BT147" s="67"/>
      <c r="BU147" s="67"/>
      <c r="BV147" s="67"/>
      <c r="BW147" s="560"/>
      <c r="BX147" s="67"/>
      <c r="BY147" s="67"/>
      <c r="BZ147" s="67"/>
      <c r="CA147" s="67"/>
      <c r="CB147" s="560"/>
      <c r="CC147" s="67"/>
      <c r="CD147" s="67"/>
      <c r="CE147" s="67"/>
      <c r="CF147" s="67"/>
      <c r="CG147" s="560"/>
      <c r="CH147" s="67"/>
      <c r="CI147" s="67"/>
      <c r="CJ147" s="67"/>
      <c r="CK147" s="67"/>
      <c r="CL147" s="560"/>
      <c r="CM147" s="67"/>
      <c r="CN147" s="67"/>
      <c r="CO147" s="67"/>
      <c r="CP147" s="67"/>
      <c r="CQ147" s="560"/>
      <c r="CR147" s="67"/>
      <c r="CS147" s="67"/>
      <c r="CT147" s="67"/>
      <c r="CU147" s="67"/>
      <c r="CV147" s="560"/>
      <c r="CW147" s="67"/>
      <c r="CX147" s="67"/>
      <c r="CY147" s="67"/>
      <c r="CZ147" s="67"/>
      <c r="DA147" s="560"/>
      <c r="DB147" s="67"/>
      <c r="DC147" s="67"/>
      <c r="DD147" s="67"/>
      <c r="DE147" s="67"/>
      <c r="DF147" s="560"/>
      <c r="DG147" s="67"/>
      <c r="DH147" s="67"/>
      <c r="DI147" s="67"/>
      <c r="DJ147" s="67"/>
      <c r="DK147" s="560"/>
      <c r="DL147" s="67"/>
      <c r="DM147" s="67"/>
      <c r="DN147" s="67"/>
      <c r="DO147" s="67"/>
      <c r="DP147" s="560"/>
      <c r="DQ147" s="67"/>
      <c r="DR147" s="67"/>
      <c r="DS147" s="67"/>
      <c r="DT147" s="67"/>
      <c r="DU147" s="560"/>
      <c r="DV147" s="67"/>
      <c r="DW147" s="67"/>
      <c r="DX147" s="67"/>
      <c r="DY147" s="67"/>
      <c r="DZ147" s="560"/>
      <c r="EA147" s="67"/>
      <c r="EB147" s="67"/>
      <c r="EC147" s="67"/>
      <c r="ED147" s="67"/>
      <c r="EE147" s="560"/>
      <c r="EF147" s="67"/>
      <c r="EG147" s="67"/>
      <c r="EH147" s="67"/>
      <c r="EI147" s="67"/>
      <c r="EJ147" s="560"/>
      <c r="EK147" s="67"/>
      <c r="EL147" s="67"/>
      <c r="EM147" s="67"/>
      <c r="EN147" s="67"/>
      <c r="EO147" s="455"/>
    </row>
    <row r="148" spans="1:148" ht="12.75" customHeight="1" x14ac:dyDescent="0.2">
      <c r="A148" s="442"/>
      <c r="B148" s="442"/>
      <c r="C148" s="442"/>
      <c r="D148" s="455" t="s">
        <v>480</v>
      </c>
      <c r="E148" s="465"/>
      <c r="F148" s="442"/>
      <c r="G148" s="67">
        <f>SUM(G149:G150)</f>
        <v>0</v>
      </c>
      <c r="H148" s="67"/>
      <c r="I148" s="67"/>
      <c r="J148" s="560"/>
      <c r="K148" s="67"/>
      <c r="L148" s="67">
        <f>SUM(L149:L150)</f>
        <v>0</v>
      </c>
      <c r="M148" s="67"/>
      <c r="N148" s="67"/>
      <c r="O148" s="560"/>
      <c r="P148" s="67"/>
      <c r="Q148" s="67">
        <f>SUM(Q149:Q150)</f>
        <v>0</v>
      </c>
      <c r="R148" s="67"/>
      <c r="S148" s="67"/>
      <c r="T148" s="560"/>
      <c r="U148" s="67"/>
      <c r="V148" s="67">
        <f>SUM(V149:V150)</f>
        <v>0</v>
      </c>
      <c r="W148" s="67"/>
      <c r="X148" s="67"/>
      <c r="Y148" s="560"/>
      <c r="Z148" s="67"/>
      <c r="AA148" s="67">
        <f>SUM(AA149:AA150)</f>
        <v>0</v>
      </c>
      <c r="AB148" s="67"/>
      <c r="AC148" s="67"/>
      <c r="AD148" s="560"/>
      <c r="AE148" s="67"/>
      <c r="AF148" s="67">
        <f>SUM(AF149:AF150)</f>
        <v>0</v>
      </c>
      <c r="AG148" s="67"/>
      <c r="AH148" s="67"/>
      <c r="AI148" s="560"/>
      <c r="AJ148" s="67"/>
      <c r="AK148" s="67">
        <f>SUM(AK149:AK150)</f>
        <v>0</v>
      </c>
      <c r="AL148" s="67"/>
      <c r="AM148" s="67"/>
      <c r="AN148" s="560"/>
      <c r="AO148" s="67"/>
      <c r="AP148" s="67">
        <f>SUM(AP149:AP150)</f>
        <v>0</v>
      </c>
      <c r="AQ148" s="67"/>
      <c r="AR148" s="67"/>
      <c r="AS148" s="560"/>
      <c r="AT148" s="67"/>
      <c r="AU148" s="67">
        <f>SUM(AU149:AU150)</f>
        <v>0</v>
      </c>
      <c r="AV148" s="67"/>
      <c r="AW148" s="67"/>
      <c r="AX148" s="560"/>
      <c r="AY148" s="67"/>
      <c r="AZ148" s="67">
        <f>SUM(AZ149:AZ150)</f>
        <v>0</v>
      </c>
      <c r="BA148" s="67"/>
      <c r="BB148" s="67"/>
      <c r="BC148" s="560"/>
      <c r="BD148" s="67"/>
      <c r="BE148" s="67">
        <f>SUM(BE149:BE150)</f>
        <v>0</v>
      </c>
      <c r="BF148" s="67"/>
      <c r="BG148" s="67"/>
      <c r="BH148" s="560"/>
      <c r="BI148" s="67"/>
      <c r="BJ148" s="67">
        <f>SUM(BJ149:BJ150)</f>
        <v>0</v>
      </c>
      <c r="BK148" s="67"/>
      <c r="BL148" s="67"/>
      <c r="BM148" s="560"/>
      <c r="BN148" s="67"/>
      <c r="BO148" s="67">
        <f>SUM(BO149:BO150)</f>
        <v>0</v>
      </c>
      <c r="BP148" s="67"/>
      <c r="BQ148" s="67"/>
      <c r="BR148" s="560"/>
      <c r="BS148" s="67"/>
      <c r="BT148" s="67">
        <f>SUM(BT149:BT150)</f>
        <v>0</v>
      </c>
      <c r="BU148" s="67"/>
      <c r="BV148" s="67"/>
      <c r="BW148" s="560"/>
      <c r="BX148" s="67"/>
      <c r="BY148" s="67">
        <v>0</v>
      </c>
      <c r="BZ148" s="67"/>
      <c r="CA148" s="67"/>
      <c r="CB148" s="560"/>
      <c r="CC148" s="67"/>
      <c r="CD148" s="67">
        <f>SUM(CD149:CD150)</f>
        <v>0</v>
      </c>
      <c r="CE148" s="67"/>
      <c r="CF148" s="67"/>
      <c r="CG148" s="560"/>
      <c r="CH148" s="67"/>
      <c r="CI148" s="67">
        <f>SUM(CI149:CI150)</f>
        <v>0</v>
      </c>
      <c r="CJ148" s="67"/>
      <c r="CK148" s="67"/>
      <c r="CL148" s="560"/>
      <c r="CM148" s="67"/>
      <c r="CN148" s="67">
        <f>SUM(CN149:CN150)</f>
        <v>0</v>
      </c>
      <c r="CO148" s="67"/>
      <c r="CP148" s="67"/>
      <c r="CQ148" s="560"/>
      <c r="CR148" s="67"/>
      <c r="CS148" s="67">
        <f>SUM(CS149:CS150)</f>
        <v>0</v>
      </c>
      <c r="CT148" s="67"/>
      <c r="CU148" s="67"/>
      <c r="CV148" s="560"/>
      <c r="CW148" s="67"/>
      <c r="CX148" s="67">
        <f>SUM(CX149:CX150)</f>
        <v>0</v>
      </c>
      <c r="CY148" s="67"/>
      <c r="CZ148" s="67"/>
      <c r="DA148" s="560"/>
      <c r="DB148" s="67"/>
      <c r="DC148" s="67">
        <f>SUM(DC149:DC150)</f>
        <v>0</v>
      </c>
      <c r="DD148" s="67"/>
      <c r="DE148" s="67"/>
      <c r="DF148" s="560"/>
      <c r="DG148" s="67"/>
      <c r="DH148" s="67">
        <f>SUM(DH149:DH150)</f>
        <v>0</v>
      </c>
      <c r="DI148" s="67"/>
      <c r="DJ148" s="67"/>
      <c r="DK148" s="560"/>
      <c r="DL148" s="67"/>
      <c r="DM148" s="67">
        <f>SUM(DM149:DM150)</f>
        <v>0</v>
      </c>
      <c r="DN148" s="67"/>
      <c r="DO148" s="67"/>
      <c r="DP148" s="560"/>
      <c r="DQ148" s="67"/>
      <c r="DR148" s="67">
        <f>SUM(DR149:DR150)</f>
        <v>0</v>
      </c>
      <c r="DS148" s="67"/>
      <c r="DT148" s="67"/>
      <c r="DU148" s="560"/>
      <c r="DV148" s="67"/>
      <c r="DW148" s="67">
        <f>SUM(DW149:DW150)</f>
        <v>0</v>
      </c>
      <c r="DX148" s="67"/>
      <c r="DY148" s="67"/>
      <c r="DZ148" s="560"/>
      <c r="EA148" s="67"/>
      <c r="EB148" s="67">
        <f>SUM(EB149:EB150)</f>
        <v>0</v>
      </c>
      <c r="EC148" s="67"/>
      <c r="ED148" s="67"/>
      <c r="EE148" s="560"/>
      <c r="EF148" s="67"/>
      <c r="EG148" s="67">
        <f>SUM(EG149:EG150)</f>
        <v>0</v>
      </c>
      <c r="EH148" s="67"/>
      <c r="EI148" s="67"/>
      <c r="EJ148" s="560"/>
      <c r="EK148" s="67"/>
      <c r="EL148" s="67">
        <f>SUM(EL149:EL150)</f>
        <v>0</v>
      </c>
      <c r="EM148" s="67"/>
      <c r="EN148" s="67"/>
      <c r="EO148" s="455"/>
    </row>
    <row r="149" spans="1:148" ht="12.75" customHeight="1" x14ac:dyDescent="0.2">
      <c r="A149" s="442"/>
      <c r="B149" s="442"/>
      <c r="C149" s="442"/>
      <c r="D149" s="455" t="s">
        <v>469</v>
      </c>
      <c r="E149" s="465"/>
      <c r="F149" s="473"/>
      <c r="G149" s="558">
        <v>0</v>
      </c>
      <c r="H149" s="559"/>
      <c r="I149" s="67"/>
      <c r="J149" s="560"/>
      <c r="K149" s="561"/>
      <c r="L149" s="558">
        <v>0</v>
      </c>
      <c r="M149" s="559"/>
      <c r="N149" s="67"/>
      <c r="O149" s="560"/>
      <c r="P149" s="561"/>
      <c r="Q149" s="558">
        <v>0</v>
      </c>
      <c r="R149" s="559"/>
      <c r="S149" s="67"/>
      <c r="T149" s="560"/>
      <c r="U149" s="561"/>
      <c r="V149" s="558">
        <v>0</v>
      </c>
      <c r="W149" s="559"/>
      <c r="X149" s="67"/>
      <c r="Y149" s="560"/>
      <c r="Z149" s="561"/>
      <c r="AA149" s="558">
        <v>0</v>
      </c>
      <c r="AB149" s="559"/>
      <c r="AC149" s="67"/>
      <c r="AD149" s="560"/>
      <c r="AE149" s="561"/>
      <c r="AF149" s="558">
        <v>0</v>
      </c>
      <c r="AG149" s="559"/>
      <c r="AH149" s="67"/>
      <c r="AI149" s="560"/>
      <c r="AJ149" s="561"/>
      <c r="AK149" s="558">
        <v>0</v>
      </c>
      <c r="AL149" s="559"/>
      <c r="AM149" s="67"/>
      <c r="AN149" s="560"/>
      <c r="AO149" s="561"/>
      <c r="AP149" s="558">
        <v>0</v>
      </c>
      <c r="AQ149" s="559"/>
      <c r="AR149" s="67"/>
      <c r="AS149" s="560"/>
      <c r="AT149" s="561"/>
      <c r="AU149" s="558">
        <v>0</v>
      </c>
      <c r="AV149" s="559"/>
      <c r="AW149" s="67"/>
      <c r="AX149" s="560"/>
      <c r="AY149" s="561"/>
      <c r="AZ149" s="558">
        <v>0</v>
      </c>
      <c r="BA149" s="559"/>
      <c r="BB149" s="67"/>
      <c r="BC149" s="560"/>
      <c r="BD149" s="561"/>
      <c r="BE149" s="558">
        <v>0</v>
      </c>
      <c r="BF149" s="559"/>
      <c r="BG149" s="67"/>
      <c r="BH149" s="560"/>
      <c r="BI149" s="561"/>
      <c r="BJ149" s="558">
        <v>0</v>
      </c>
      <c r="BK149" s="559"/>
      <c r="BL149" s="67"/>
      <c r="BM149" s="560"/>
      <c r="BN149" s="561"/>
      <c r="BO149" s="558">
        <v>0</v>
      </c>
      <c r="BP149" s="559"/>
      <c r="BQ149" s="67"/>
      <c r="BR149" s="560"/>
      <c r="BS149" s="561"/>
      <c r="BT149" s="558">
        <f>SUM(L149:BO149)</f>
        <v>0</v>
      </c>
      <c r="BU149" s="559"/>
      <c r="BV149" s="67"/>
      <c r="BW149" s="560"/>
      <c r="BX149" s="561"/>
      <c r="BY149" s="558">
        <v>0</v>
      </c>
      <c r="BZ149" s="559"/>
      <c r="CA149" s="67"/>
      <c r="CB149" s="560"/>
      <c r="CC149" s="561"/>
      <c r="CD149" s="558">
        <v>0</v>
      </c>
      <c r="CE149" s="559"/>
      <c r="CF149" s="67"/>
      <c r="CG149" s="560"/>
      <c r="CH149" s="561"/>
      <c r="CI149" s="558">
        <v>0</v>
      </c>
      <c r="CJ149" s="559"/>
      <c r="CK149" s="67"/>
      <c r="CL149" s="560"/>
      <c r="CM149" s="561"/>
      <c r="CN149" s="558">
        <v>0</v>
      </c>
      <c r="CO149" s="559"/>
      <c r="CP149" s="67"/>
      <c r="CQ149" s="560"/>
      <c r="CR149" s="561"/>
      <c r="CS149" s="558">
        <v>0</v>
      </c>
      <c r="CT149" s="559"/>
      <c r="CU149" s="67"/>
      <c r="CV149" s="560"/>
      <c r="CW149" s="561"/>
      <c r="CX149" s="558">
        <v>0</v>
      </c>
      <c r="CY149" s="559"/>
      <c r="CZ149" s="67"/>
      <c r="DA149" s="560"/>
      <c r="DB149" s="561"/>
      <c r="DC149" s="558">
        <v>0</v>
      </c>
      <c r="DD149" s="559"/>
      <c r="DE149" s="67"/>
      <c r="DF149" s="560"/>
      <c r="DG149" s="561"/>
      <c r="DH149" s="558">
        <v>0</v>
      </c>
      <c r="DI149" s="559"/>
      <c r="DJ149" s="67"/>
      <c r="DK149" s="560"/>
      <c r="DL149" s="561"/>
      <c r="DM149" s="558">
        <v>0</v>
      </c>
      <c r="DN149" s="559"/>
      <c r="DO149" s="67"/>
      <c r="DP149" s="560"/>
      <c r="DQ149" s="561"/>
      <c r="DR149" s="558">
        <v>0</v>
      </c>
      <c r="DS149" s="559"/>
      <c r="DT149" s="67"/>
      <c r="DU149" s="560"/>
      <c r="DV149" s="561"/>
      <c r="DW149" s="558">
        <v>0</v>
      </c>
      <c r="DX149" s="559"/>
      <c r="DY149" s="67"/>
      <c r="DZ149" s="560"/>
      <c r="EA149" s="561"/>
      <c r="EB149" s="558">
        <v>0</v>
      </c>
      <c r="EC149" s="559"/>
      <c r="ED149" s="67"/>
      <c r="EE149" s="560"/>
      <c r="EF149" s="561"/>
      <c r="EG149" s="558">
        <v>0</v>
      </c>
      <c r="EH149" s="559"/>
      <c r="EI149" s="67"/>
      <c r="EJ149" s="560"/>
      <c r="EK149" s="561"/>
      <c r="EL149" s="558">
        <f>SUM(CD149:EG149)</f>
        <v>0</v>
      </c>
      <c r="EM149" s="559"/>
      <c r="EN149" s="67"/>
      <c r="EO149" s="455"/>
    </row>
    <row r="150" spans="1:148" ht="12.75" customHeight="1" x14ac:dyDescent="0.2">
      <c r="A150" s="442"/>
      <c r="B150" s="442"/>
      <c r="C150" s="442"/>
      <c r="D150" s="455" t="s">
        <v>470</v>
      </c>
      <c r="E150" s="465"/>
      <c r="F150" s="488"/>
      <c r="G150" s="113">
        <v>0</v>
      </c>
      <c r="H150" s="112"/>
      <c r="I150" s="67"/>
      <c r="J150" s="560"/>
      <c r="K150" s="569"/>
      <c r="L150" s="113">
        <v>0</v>
      </c>
      <c r="M150" s="112"/>
      <c r="N150" s="67"/>
      <c r="O150" s="560"/>
      <c r="P150" s="569"/>
      <c r="Q150" s="113">
        <v>0</v>
      </c>
      <c r="R150" s="112"/>
      <c r="S150" s="67"/>
      <c r="T150" s="560"/>
      <c r="U150" s="569"/>
      <c r="V150" s="113">
        <v>0</v>
      </c>
      <c r="W150" s="112"/>
      <c r="X150" s="67"/>
      <c r="Y150" s="560"/>
      <c r="Z150" s="569"/>
      <c r="AA150" s="113">
        <v>0</v>
      </c>
      <c r="AB150" s="112"/>
      <c r="AC150" s="67"/>
      <c r="AD150" s="560"/>
      <c r="AE150" s="569"/>
      <c r="AF150" s="113">
        <v>0</v>
      </c>
      <c r="AG150" s="112"/>
      <c r="AH150" s="67"/>
      <c r="AI150" s="560"/>
      <c r="AJ150" s="569"/>
      <c r="AK150" s="113">
        <v>0</v>
      </c>
      <c r="AL150" s="112"/>
      <c r="AM150" s="67"/>
      <c r="AN150" s="560"/>
      <c r="AO150" s="569"/>
      <c r="AP150" s="113">
        <v>0</v>
      </c>
      <c r="AQ150" s="112"/>
      <c r="AR150" s="67"/>
      <c r="AS150" s="560"/>
      <c r="AT150" s="569"/>
      <c r="AU150" s="113">
        <v>0</v>
      </c>
      <c r="AV150" s="112"/>
      <c r="AW150" s="67"/>
      <c r="AX150" s="560"/>
      <c r="AY150" s="569"/>
      <c r="AZ150" s="113">
        <v>0</v>
      </c>
      <c r="BA150" s="112"/>
      <c r="BB150" s="67"/>
      <c r="BC150" s="560"/>
      <c r="BD150" s="569"/>
      <c r="BE150" s="113">
        <v>0</v>
      </c>
      <c r="BF150" s="112"/>
      <c r="BG150" s="67"/>
      <c r="BH150" s="560"/>
      <c r="BI150" s="569"/>
      <c r="BJ150" s="113">
        <v>0</v>
      </c>
      <c r="BK150" s="112"/>
      <c r="BL150" s="67"/>
      <c r="BM150" s="560"/>
      <c r="BN150" s="569"/>
      <c r="BO150" s="113">
        <v>0</v>
      </c>
      <c r="BP150" s="112"/>
      <c r="BQ150" s="67"/>
      <c r="BR150" s="560"/>
      <c r="BS150" s="569"/>
      <c r="BT150" s="113">
        <f>SUM(L150:BO150)</f>
        <v>0</v>
      </c>
      <c r="BU150" s="112"/>
      <c r="BV150" s="67"/>
      <c r="BW150" s="560"/>
      <c r="BX150" s="569"/>
      <c r="BY150" s="113">
        <v>0</v>
      </c>
      <c r="BZ150" s="112"/>
      <c r="CA150" s="67"/>
      <c r="CB150" s="560"/>
      <c r="CC150" s="569"/>
      <c r="CD150" s="113">
        <v>0</v>
      </c>
      <c r="CE150" s="112"/>
      <c r="CF150" s="67"/>
      <c r="CG150" s="560"/>
      <c r="CH150" s="569"/>
      <c r="CI150" s="113">
        <v>0</v>
      </c>
      <c r="CJ150" s="112"/>
      <c r="CK150" s="67"/>
      <c r="CL150" s="560"/>
      <c r="CM150" s="569"/>
      <c r="CN150" s="113">
        <v>0</v>
      </c>
      <c r="CO150" s="112"/>
      <c r="CP150" s="67"/>
      <c r="CQ150" s="560"/>
      <c r="CR150" s="569"/>
      <c r="CS150" s="113">
        <v>0</v>
      </c>
      <c r="CT150" s="112"/>
      <c r="CU150" s="67"/>
      <c r="CV150" s="560"/>
      <c r="CW150" s="569"/>
      <c r="CX150" s="113">
        <v>0</v>
      </c>
      <c r="CY150" s="112"/>
      <c r="CZ150" s="67"/>
      <c r="DA150" s="560"/>
      <c r="DB150" s="569"/>
      <c r="DC150" s="113">
        <v>0</v>
      </c>
      <c r="DD150" s="112"/>
      <c r="DE150" s="67"/>
      <c r="DF150" s="560"/>
      <c r="DG150" s="569"/>
      <c r="DH150" s="113">
        <v>0</v>
      </c>
      <c r="DI150" s="112"/>
      <c r="DJ150" s="67"/>
      <c r="DK150" s="560"/>
      <c r="DL150" s="569"/>
      <c r="DM150" s="113">
        <v>0</v>
      </c>
      <c r="DN150" s="112"/>
      <c r="DO150" s="67"/>
      <c r="DP150" s="560"/>
      <c r="DQ150" s="569"/>
      <c r="DR150" s="113">
        <v>0</v>
      </c>
      <c r="DS150" s="112"/>
      <c r="DT150" s="67"/>
      <c r="DU150" s="560"/>
      <c r="DV150" s="569"/>
      <c r="DW150" s="113">
        <v>0</v>
      </c>
      <c r="DX150" s="112"/>
      <c r="DY150" s="67"/>
      <c r="DZ150" s="560"/>
      <c r="EA150" s="569"/>
      <c r="EB150" s="113">
        <v>0</v>
      </c>
      <c r="EC150" s="112"/>
      <c r="ED150" s="67"/>
      <c r="EE150" s="560"/>
      <c r="EF150" s="569"/>
      <c r="EG150" s="113">
        <v>0</v>
      </c>
      <c r="EH150" s="112"/>
      <c r="EI150" s="67"/>
      <c r="EJ150" s="560"/>
      <c r="EK150" s="569"/>
      <c r="EL150" s="113">
        <f>SUM(CD150:EG150)</f>
        <v>0</v>
      </c>
      <c r="EM150" s="112"/>
      <c r="EN150" s="67"/>
      <c r="EO150" s="455"/>
    </row>
    <row r="151" spans="1:148" ht="12.75" customHeight="1" x14ac:dyDescent="0.2">
      <c r="A151" s="442"/>
      <c r="B151" s="442"/>
      <c r="C151" s="442"/>
      <c r="D151" s="455"/>
      <c r="E151" s="465"/>
      <c r="F151" s="442"/>
      <c r="G151" s="67"/>
      <c r="H151" s="67"/>
      <c r="I151" s="67"/>
      <c r="J151" s="560"/>
      <c r="K151" s="67"/>
      <c r="L151" s="67"/>
      <c r="M151" s="67"/>
      <c r="N151" s="67"/>
      <c r="O151" s="560"/>
      <c r="P151" s="67"/>
      <c r="Q151" s="67"/>
      <c r="R151" s="67"/>
      <c r="S151" s="67"/>
      <c r="T151" s="560"/>
      <c r="U151" s="67"/>
      <c r="V151" s="67"/>
      <c r="W151" s="67"/>
      <c r="X151" s="67"/>
      <c r="Y151" s="560"/>
      <c r="Z151" s="67"/>
      <c r="AA151" s="67"/>
      <c r="AB151" s="67"/>
      <c r="AC151" s="67"/>
      <c r="AD151" s="560"/>
      <c r="AE151" s="67"/>
      <c r="AF151" s="67"/>
      <c r="AG151" s="67"/>
      <c r="AH151" s="67"/>
      <c r="AI151" s="560"/>
      <c r="AJ151" s="67"/>
      <c r="AK151" s="67"/>
      <c r="AL151" s="67"/>
      <c r="AM151" s="67"/>
      <c r="AN151" s="560"/>
      <c r="AO151" s="67"/>
      <c r="AP151" s="67"/>
      <c r="AQ151" s="67"/>
      <c r="AR151" s="67"/>
      <c r="AS151" s="560"/>
      <c r="AT151" s="67"/>
      <c r="AU151" s="67"/>
      <c r="AV151" s="67"/>
      <c r="AW151" s="67"/>
      <c r="AX151" s="560"/>
      <c r="AY151" s="67"/>
      <c r="AZ151" s="67"/>
      <c r="BA151" s="67"/>
      <c r="BB151" s="67"/>
      <c r="BC151" s="560"/>
      <c r="BD151" s="67"/>
      <c r="BE151" s="67"/>
      <c r="BF151" s="67"/>
      <c r="BG151" s="67"/>
      <c r="BH151" s="560"/>
      <c r="BI151" s="67"/>
      <c r="BJ151" s="67"/>
      <c r="BK151" s="67"/>
      <c r="BL151" s="67"/>
      <c r="BM151" s="560"/>
      <c r="BN151" s="67"/>
      <c r="BO151" s="67"/>
      <c r="BP151" s="67"/>
      <c r="BQ151" s="67"/>
      <c r="BR151" s="560"/>
      <c r="BS151" s="67"/>
      <c r="BT151" s="67"/>
      <c r="BU151" s="67"/>
      <c r="BV151" s="67"/>
      <c r="BW151" s="560"/>
      <c r="BX151" s="67"/>
      <c r="BY151" s="67"/>
      <c r="BZ151" s="67"/>
      <c r="CA151" s="67"/>
      <c r="CB151" s="560"/>
      <c r="CC151" s="67"/>
      <c r="CD151" s="67"/>
      <c r="CE151" s="67"/>
      <c r="CF151" s="67"/>
      <c r="CG151" s="560"/>
      <c r="CH151" s="67"/>
      <c r="CI151" s="67"/>
      <c r="CJ151" s="67"/>
      <c r="CK151" s="67"/>
      <c r="CL151" s="560"/>
      <c r="CM151" s="67"/>
      <c r="CN151" s="67"/>
      <c r="CO151" s="67"/>
      <c r="CP151" s="67"/>
      <c r="CQ151" s="560"/>
      <c r="CR151" s="67"/>
      <c r="CS151" s="67"/>
      <c r="CT151" s="67"/>
      <c r="CU151" s="67"/>
      <c r="CV151" s="560"/>
      <c r="CW151" s="67"/>
      <c r="CX151" s="67"/>
      <c r="CY151" s="67"/>
      <c r="CZ151" s="67"/>
      <c r="DA151" s="560"/>
      <c r="DB151" s="67"/>
      <c r="DC151" s="67"/>
      <c r="DD151" s="67"/>
      <c r="DE151" s="67"/>
      <c r="DF151" s="560"/>
      <c r="DG151" s="67"/>
      <c r="DH151" s="67"/>
      <c r="DI151" s="67"/>
      <c r="DJ151" s="67"/>
      <c r="DK151" s="560"/>
      <c r="DL151" s="67"/>
      <c r="DM151" s="67"/>
      <c r="DN151" s="67"/>
      <c r="DO151" s="67"/>
      <c r="DP151" s="560"/>
      <c r="DQ151" s="67"/>
      <c r="DR151" s="67"/>
      <c r="DS151" s="67"/>
      <c r="DT151" s="67"/>
      <c r="DU151" s="560"/>
      <c r="DV151" s="67"/>
      <c r="DW151" s="67"/>
      <c r="DX151" s="67"/>
      <c r="DY151" s="67"/>
      <c r="DZ151" s="560"/>
      <c r="EA151" s="67"/>
      <c r="EB151" s="67"/>
      <c r="EC151" s="67"/>
      <c r="ED151" s="67"/>
      <c r="EE151" s="560"/>
      <c r="EF151" s="67"/>
      <c r="EG151" s="67"/>
      <c r="EH151" s="67"/>
      <c r="EI151" s="67"/>
      <c r="EJ151" s="560"/>
      <c r="EK151" s="67"/>
      <c r="EL151" s="67"/>
      <c r="EM151" s="67"/>
      <c r="EN151" s="67"/>
      <c r="EO151" s="455"/>
    </row>
    <row r="152" spans="1:148" ht="12.75" customHeight="1" x14ac:dyDescent="0.2">
      <c r="A152" s="442"/>
      <c r="B152" s="442"/>
      <c r="C152" s="442"/>
      <c r="D152" s="455" t="s">
        <v>481</v>
      </c>
      <c r="E152" s="465"/>
      <c r="F152" s="442"/>
      <c r="G152" s="67">
        <f>SUM(G153:G154)</f>
        <v>0</v>
      </c>
      <c r="H152" s="67"/>
      <c r="I152" s="67"/>
      <c r="J152" s="560"/>
      <c r="K152" s="67"/>
      <c r="L152" s="67">
        <f>SUM(L153:L154)</f>
        <v>0</v>
      </c>
      <c r="M152" s="67"/>
      <c r="N152" s="67"/>
      <c r="O152" s="560"/>
      <c r="P152" s="67"/>
      <c r="Q152" s="67">
        <f>SUM(Q153:Q154)</f>
        <v>0</v>
      </c>
      <c r="R152" s="67"/>
      <c r="S152" s="67"/>
      <c r="T152" s="560"/>
      <c r="U152" s="67"/>
      <c r="V152" s="67">
        <f>SUM(V153:V154)</f>
        <v>0</v>
      </c>
      <c r="W152" s="67"/>
      <c r="X152" s="67"/>
      <c r="Y152" s="560"/>
      <c r="Z152" s="67"/>
      <c r="AA152" s="67">
        <f>SUM(AA153:AA154)</f>
        <v>0</v>
      </c>
      <c r="AB152" s="67"/>
      <c r="AC152" s="67"/>
      <c r="AD152" s="560"/>
      <c r="AE152" s="67"/>
      <c r="AF152" s="67">
        <f>SUM(AF153:AF154)</f>
        <v>0</v>
      </c>
      <c r="AG152" s="67"/>
      <c r="AH152" s="67"/>
      <c r="AI152" s="560"/>
      <c r="AJ152" s="67"/>
      <c r="AK152" s="67">
        <f>SUM(AK153:AK154)</f>
        <v>0</v>
      </c>
      <c r="AL152" s="67"/>
      <c r="AM152" s="67"/>
      <c r="AN152" s="560"/>
      <c r="AO152" s="67"/>
      <c r="AP152" s="67">
        <f>SUM(AP153:AP154)</f>
        <v>0</v>
      </c>
      <c r="AQ152" s="67"/>
      <c r="AR152" s="67"/>
      <c r="AS152" s="560"/>
      <c r="AT152" s="67"/>
      <c r="AU152" s="67">
        <f>SUM(AU153:AU154)</f>
        <v>0</v>
      </c>
      <c r="AV152" s="67"/>
      <c r="AW152" s="67"/>
      <c r="AX152" s="560"/>
      <c r="AY152" s="67"/>
      <c r="AZ152" s="67">
        <f>SUM(AZ153:AZ154)</f>
        <v>0</v>
      </c>
      <c r="BA152" s="67"/>
      <c r="BB152" s="67"/>
      <c r="BC152" s="560"/>
      <c r="BD152" s="67"/>
      <c r="BE152" s="67">
        <f>SUM(BE153:BE154)</f>
        <v>0</v>
      </c>
      <c r="BF152" s="67"/>
      <c r="BG152" s="67"/>
      <c r="BH152" s="560"/>
      <c r="BI152" s="67"/>
      <c r="BJ152" s="67">
        <f>SUM(BJ153:BJ154)</f>
        <v>0</v>
      </c>
      <c r="BK152" s="67"/>
      <c r="BL152" s="67"/>
      <c r="BM152" s="560"/>
      <c r="BN152" s="67"/>
      <c r="BO152" s="67">
        <f>SUM(BO153:BO154)</f>
        <v>0</v>
      </c>
      <c r="BP152" s="67"/>
      <c r="BQ152" s="67"/>
      <c r="BR152" s="560"/>
      <c r="BS152" s="67"/>
      <c r="BT152" s="67">
        <f>SUM(BT153:BT154)</f>
        <v>0</v>
      </c>
      <c r="BU152" s="67"/>
      <c r="BV152" s="67"/>
      <c r="BW152" s="560"/>
      <c r="BX152" s="67"/>
      <c r="BY152" s="67">
        <v>0</v>
      </c>
      <c r="BZ152" s="67"/>
      <c r="CA152" s="67"/>
      <c r="CB152" s="560"/>
      <c r="CC152" s="67"/>
      <c r="CD152" s="67">
        <f>SUM(CD153:CD154)</f>
        <v>0</v>
      </c>
      <c r="CE152" s="67"/>
      <c r="CF152" s="67"/>
      <c r="CG152" s="560"/>
      <c r="CH152" s="67"/>
      <c r="CI152" s="67">
        <f>SUM(CI153:CI154)</f>
        <v>0</v>
      </c>
      <c r="CJ152" s="67"/>
      <c r="CK152" s="67"/>
      <c r="CL152" s="560"/>
      <c r="CM152" s="67"/>
      <c r="CN152" s="67">
        <f>SUM(CN153:CN154)</f>
        <v>0</v>
      </c>
      <c r="CO152" s="67"/>
      <c r="CP152" s="67"/>
      <c r="CQ152" s="560"/>
      <c r="CR152" s="67"/>
      <c r="CS152" s="67">
        <f>SUM(CS153:CS154)</f>
        <v>0</v>
      </c>
      <c r="CT152" s="67"/>
      <c r="CU152" s="67"/>
      <c r="CV152" s="560"/>
      <c r="CW152" s="67"/>
      <c r="CX152" s="67">
        <f>SUM(CX153:CX154)</f>
        <v>0</v>
      </c>
      <c r="CY152" s="67"/>
      <c r="CZ152" s="67"/>
      <c r="DA152" s="560"/>
      <c r="DB152" s="67"/>
      <c r="DC152" s="67">
        <f>SUM(DC153:DC154)</f>
        <v>0</v>
      </c>
      <c r="DD152" s="67"/>
      <c r="DE152" s="67"/>
      <c r="DF152" s="560"/>
      <c r="DG152" s="67"/>
      <c r="DH152" s="67">
        <f>SUM(DH153:DH154)</f>
        <v>0</v>
      </c>
      <c r="DI152" s="67"/>
      <c r="DJ152" s="67"/>
      <c r="DK152" s="560"/>
      <c r="DL152" s="67"/>
      <c r="DM152" s="67">
        <f>SUM(DM153:DM154)</f>
        <v>0</v>
      </c>
      <c r="DN152" s="67"/>
      <c r="DO152" s="67"/>
      <c r="DP152" s="560"/>
      <c r="DQ152" s="67"/>
      <c r="DR152" s="67">
        <f>SUM(DR153:DR154)</f>
        <v>0</v>
      </c>
      <c r="DS152" s="67"/>
      <c r="DT152" s="67"/>
      <c r="DU152" s="560"/>
      <c r="DV152" s="67"/>
      <c r="DW152" s="67">
        <f>SUM(DW153:DW154)</f>
        <v>0</v>
      </c>
      <c r="DX152" s="67"/>
      <c r="DY152" s="67"/>
      <c r="DZ152" s="560"/>
      <c r="EA152" s="67"/>
      <c r="EB152" s="67">
        <f>SUM(EB153:EB154)</f>
        <v>0</v>
      </c>
      <c r="EC152" s="67"/>
      <c r="ED152" s="67"/>
      <c r="EE152" s="560"/>
      <c r="EF152" s="67"/>
      <c r="EG152" s="67">
        <f>SUM(EG153:EG154)</f>
        <v>0</v>
      </c>
      <c r="EH152" s="67"/>
      <c r="EI152" s="67"/>
      <c r="EJ152" s="560"/>
      <c r="EK152" s="67"/>
      <c r="EL152" s="67">
        <f>SUM(EL153:EL154)</f>
        <v>0</v>
      </c>
      <c r="EM152" s="67"/>
      <c r="EN152" s="67"/>
      <c r="EO152" s="455"/>
    </row>
    <row r="153" spans="1:148" ht="12.75" customHeight="1" x14ac:dyDescent="0.2">
      <c r="A153" s="442"/>
      <c r="B153" s="442"/>
      <c r="C153" s="442"/>
      <c r="D153" s="455" t="s">
        <v>469</v>
      </c>
      <c r="E153" s="465"/>
      <c r="F153" s="473"/>
      <c r="G153" s="558">
        <v>0</v>
      </c>
      <c r="H153" s="559"/>
      <c r="I153" s="67"/>
      <c r="J153" s="560"/>
      <c r="K153" s="561"/>
      <c r="L153" s="558">
        <v>0</v>
      </c>
      <c r="M153" s="559"/>
      <c r="N153" s="67"/>
      <c r="O153" s="560"/>
      <c r="P153" s="561"/>
      <c r="Q153" s="558">
        <v>0</v>
      </c>
      <c r="R153" s="559"/>
      <c r="S153" s="67"/>
      <c r="T153" s="560"/>
      <c r="U153" s="561"/>
      <c r="V153" s="558">
        <v>0</v>
      </c>
      <c r="W153" s="559"/>
      <c r="X153" s="67"/>
      <c r="Y153" s="560"/>
      <c r="Z153" s="561"/>
      <c r="AA153" s="558">
        <v>0</v>
      </c>
      <c r="AB153" s="559"/>
      <c r="AC153" s="67"/>
      <c r="AD153" s="560"/>
      <c r="AE153" s="561"/>
      <c r="AF153" s="558">
        <v>0</v>
      </c>
      <c r="AG153" s="559"/>
      <c r="AH153" s="67"/>
      <c r="AI153" s="560"/>
      <c r="AJ153" s="561"/>
      <c r="AK153" s="558">
        <v>0</v>
      </c>
      <c r="AL153" s="559"/>
      <c r="AM153" s="67"/>
      <c r="AN153" s="560"/>
      <c r="AO153" s="561"/>
      <c r="AP153" s="558">
        <v>0</v>
      </c>
      <c r="AQ153" s="559"/>
      <c r="AR153" s="67"/>
      <c r="AS153" s="560"/>
      <c r="AT153" s="561"/>
      <c r="AU153" s="558">
        <v>0</v>
      </c>
      <c r="AV153" s="559"/>
      <c r="AW153" s="67"/>
      <c r="AX153" s="560"/>
      <c r="AY153" s="561"/>
      <c r="AZ153" s="558">
        <v>0</v>
      </c>
      <c r="BA153" s="559"/>
      <c r="BB153" s="67"/>
      <c r="BC153" s="560"/>
      <c r="BD153" s="561"/>
      <c r="BE153" s="558">
        <v>0</v>
      </c>
      <c r="BF153" s="559"/>
      <c r="BG153" s="67"/>
      <c r="BH153" s="560"/>
      <c r="BI153" s="561"/>
      <c r="BJ153" s="558">
        <v>0</v>
      </c>
      <c r="BK153" s="559"/>
      <c r="BL153" s="67"/>
      <c r="BM153" s="560"/>
      <c r="BN153" s="561"/>
      <c r="BO153" s="558">
        <v>0</v>
      </c>
      <c r="BP153" s="559"/>
      <c r="BQ153" s="67"/>
      <c r="BR153" s="560"/>
      <c r="BS153" s="561"/>
      <c r="BT153" s="558">
        <f>SUM(L153:BO153)</f>
        <v>0</v>
      </c>
      <c r="BU153" s="559"/>
      <c r="BV153" s="67"/>
      <c r="BW153" s="560"/>
      <c r="BX153" s="561"/>
      <c r="BY153" s="558">
        <v>0</v>
      </c>
      <c r="BZ153" s="559"/>
      <c r="CA153" s="67"/>
      <c r="CB153" s="560"/>
      <c r="CC153" s="561"/>
      <c r="CD153" s="558">
        <v>0</v>
      </c>
      <c r="CE153" s="559"/>
      <c r="CF153" s="67"/>
      <c r="CG153" s="560"/>
      <c r="CH153" s="561"/>
      <c r="CI153" s="558">
        <v>0</v>
      </c>
      <c r="CJ153" s="559"/>
      <c r="CK153" s="67"/>
      <c r="CL153" s="560"/>
      <c r="CM153" s="561"/>
      <c r="CN153" s="558">
        <v>0</v>
      </c>
      <c r="CO153" s="559"/>
      <c r="CP153" s="67"/>
      <c r="CQ153" s="560"/>
      <c r="CR153" s="561"/>
      <c r="CS153" s="558">
        <v>0</v>
      </c>
      <c r="CT153" s="559"/>
      <c r="CU153" s="67"/>
      <c r="CV153" s="560"/>
      <c r="CW153" s="561"/>
      <c r="CX153" s="558">
        <v>0</v>
      </c>
      <c r="CY153" s="559"/>
      <c r="CZ153" s="67"/>
      <c r="DA153" s="560"/>
      <c r="DB153" s="561"/>
      <c r="DC153" s="558">
        <v>0</v>
      </c>
      <c r="DD153" s="559"/>
      <c r="DE153" s="67"/>
      <c r="DF153" s="560"/>
      <c r="DG153" s="561"/>
      <c r="DH153" s="558">
        <v>0</v>
      </c>
      <c r="DI153" s="559"/>
      <c r="DJ153" s="67"/>
      <c r="DK153" s="560"/>
      <c r="DL153" s="561"/>
      <c r="DM153" s="558">
        <v>0</v>
      </c>
      <c r="DN153" s="559"/>
      <c r="DO153" s="67"/>
      <c r="DP153" s="560"/>
      <c r="DQ153" s="561"/>
      <c r="DR153" s="558">
        <v>0</v>
      </c>
      <c r="DS153" s="559"/>
      <c r="DT153" s="67"/>
      <c r="DU153" s="560"/>
      <c r="DV153" s="561"/>
      <c r="DW153" s="558">
        <v>0</v>
      </c>
      <c r="DX153" s="559"/>
      <c r="DY153" s="67"/>
      <c r="DZ153" s="560"/>
      <c r="EA153" s="561"/>
      <c r="EB153" s="558">
        <v>0</v>
      </c>
      <c r="EC153" s="559"/>
      <c r="ED153" s="67"/>
      <c r="EE153" s="560"/>
      <c r="EF153" s="561"/>
      <c r="EG153" s="558">
        <v>0</v>
      </c>
      <c r="EH153" s="559"/>
      <c r="EI153" s="67"/>
      <c r="EJ153" s="560"/>
      <c r="EK153" s="561"/>
      <c r="EL153" s="558">
        <f>SUM(CD153:EG153)</f>
        <v>0</v>
      </c>
      <c r="EM153" s="559"/>
      <c r="EN153" s="67"/>
      <c r="EO153" s="455"/>
    </row>
    <row r="154" spans="1:148" ht="12.75" customHeight="1" x14ac:dyDescent="0.2">
      <c r="A154" s="442"/>
      <c r="B154" s="442"/>
      <c r="C154" s="442"/>
      <c r="D154" s="455" t="s">
        <v>470</v>
      </c>
      <c r="E154" s="465"/>
      <c r="F154" s="488"/>
      <c r="G154" s="113">
        <v>0</v>
      </c>
      <c r="H154" s="112"/>
      <c r="I154" s="67"/>
      <c r="J154" s="560"/>
      <c r="K154" s="569"/>
      <c r="L154" s="113">
        <v>0</v>
      </c>
      <c r="M154" s="112"/>
      <c r="N154" s="67"/>
      <c r="O154" s="560"/>
      <c r="P154" s="569"/>
      <c r="Q154" s="113">
        <v>0</v>
      </c>
      <c r="R154" s="112"/>
      <c r="S154" s="67"/>
      <c r="T154" s="560"/>
      <c r="U154" s="569"/>
      <c r="V154" s="113">
        <v>0</v>
      </c>
      <c r="W154" s="112"/>
      <c r="X154" s="67"/>
      <c r="Y154" s="560"/>
      <c r="Z154" s="569"/>
      <c r="AA154" s="113">
        <v>0</v>
      </c>
      <c r="AB154" s="112"/>
      <c r="AC154" s="67"/>
      <c r="AD154" s="560"/>
      <c r="AE154" s="569"/>
      <c r="AF154" s="113">
        <v>0</v>
      </c>
      <c r="AG154" s="112"/>
      <c r="AH154" s="67"/>
      <c r="AI154" s="560"/>
      <c r="AJ154" s="569"/>
      <c r="AK154" s="113">
        <v>0</v>
      </c>
      <c r="AL154" s="112"/>
      <c r="AM154" s="67"/>
      <c r="AN154" s="560"/>
      <c r="AO154" s="569"/>
      <c r="AP154" s="113">
        <v>0</v>
      </c>
      <c r="AQ154" s="112"/>
      <c r="AR154" s="67"/>
      <c r="AS154" s="560"/>
      <c r="AT154" s="569"/>
      <c r="AU154" s="113">
        <v>0</v>
      </c>
      <c r="AV154" s="112"/>
      <c r="AW154" s="67"/>
      <c r="AX154" s="560"/>
      <c r="AY154" s="569"/>
      <c r="AZ154" s="113">
        <v>0</v>
      </c>
      <c r="BA154" s="112"/>
      <c r="BB154" s="67"/>
      <c r="BC154" s="560"/>
      <c r="BD154" s="569"/>
      <c r="BE154" s="113">
        <v>0</v>
      </c>
      <c r="BF154" s="112"/>
      <c r="BG154" s="67"/>
      <c r="BH154" s="560"/>
      <c r="BI154" s="569"/>
      <c r="BJ154" s="113">
        <v>0</v>
      </c>
      <c r="BK154" s="112"/>
      <c r="BL154" s="67"/>
      <c r="BM154" s="560"/>
      <c r="BN154" s="569"/>
      <c r="BO154" s="113">
        <v>0</v>
      </c>
      <c r="BP154" s="112"/>
      <c r="BQ154" s="67"/>
      <c r="BR154" s="560"/>
      <c r="BS154" s="569"/>
      <c r="BT154" s="113">
        <f>SUM(L154:BO154)</f>
        <v>0</v>
      </c>
      <c r="BU154" s="112"/>
      <c r="BV154" s="67"/>
      <c r="BW154" s="560"/>
      <c r="BX154" s="569"/>
      <c r="BY154" s="113">
        <v>0</v>
      </c>
      <c r="BZ154" s="112"/>
      <c r="CA154" s="67"/>
      <c r="CB154" s="560"/>
      <c r="CC154" s="569"/>
      <c r="CD154" s="113">
        <v>0</v>
      </c>
      <c r="CE154" s="112"/>
      <c r="CF154" s="67"/>
      <c r="CG154" s="560"/>
      <c r="CH154" s="569"/>
      <c r="CI154" s="113">
        <v>0</v>
      </c>
      <c r="CJ154" s="112"/>
      <c r="CK154" s="67"/>
      <c r="CL154" s="560"/>
      <c r="CM154" s="569"/>
      <c r="CN154" s="113">
        <v>0</v>
      </c>
      <c r="CO154" s="112"/>
      <c r="CP154" s="67"/>
      <c r="CQ154" s="560"/>
      <c r="CR154" s="569"/>
      <c r="CS154" s="113">
        <v>0</v>
      </c>
      <c r="CT154" s="112"/>
      <c r="CU154" s="67"/>
      <c r="CV154" s="560"/>
      <c r="CW154" s="569"/>
      <c r="CX154" s="113">
        <v>0</v>
      </c>
      <c r="CY154" s="112"/>
      <c r="CZ154" s="67"/>
      <c r="DA154" s="560"/>
      <c r="DB154" s="569"/>
      <c r="DC154" s="113">
        <v>0</v>
      </c>
      <c r="DD154" s="112"/>
      <c r="DE154" s="67"/>
      <c r="DF154" s="560"/>
      <c r="DG154" s="569"/>
      <c r="DH154" s="113">
        <v>0</v>
      </c>
      <c r="DI154" s="112"/>
      <c r="DJ154" s="67"/>
      <c r="DK154" s="560"/>
      <c r="DL154" s="569"/>
      <c r="DM154" s="113">
        <v>0</v>
      </c>
      <c r="DN154" s="112"/>
      <c r="DO154" s="67"/>
      <c r="DP154" s="560"/>
      <c r="DQ154" s="569"/>
      <c r="DR154" s="113">
        <v>0</v>
      </c>
      <c r="DS154" s="112"/>
      <c r="DT154" s="67"/>
      <c r="DU154" s="560"/>
      <c r="DV154" s="569"/>
      <c r="DW154" s="113">
        <v>0</v>
      </c>
      <c r="DX154" s="112"/>
      <c r="DY154" s="67"/>
      <c r="DZ154" s="560"/>
      <c r="EA154" s="569"/>
      <c r="EB154" s="113">
        <v>0</v>
      </c>
      <c r="EC154" s="112"/>
      <c r="ED154" s="67"/>
      <c r="EE154" s="560"/>
      <c r="EF154" s="569"/>
      <c r="EG154" s="113">
        <v>0</v>
      </c>
      <c r="EH154" s="112"/>
      <c r="EI154" s="67"/>
      <c r="EJ154" s="560"/>
      <c r="EK154" s="569"/>
      <c r="EL154" s="113">
        <f>SUM(CD154:EG154)</f>
        <v>0</v>
      </c>
      <c r="EM154" s="112"/>
      <c r="EN154" s="67"/>
      <c r="EO154" s="455"/>
    </row>
    <row r="155" spans="1:148" ht="12.75" hidden="1" customHeight="1" x14ac:dyDescent="0.2">
      <c r="A155" s="442"/>
      <c r="B155" s="442"/>
      <c r="C155" s="442"/>
      <c r="D155" s="455"/>
      <c r="E155" s="465"/>
      <c r="F155" s="442"/>
      <c r="G155" s="67"/>
      <c r="H155" s="67"/>
      <c r="I155" s="67"/>
      <c r="J155" s="560"/>
      <c r="K155" s="67"/>
      <c r="L155" s="67"/>
      <c r="M155" s="67"/>
      <c r="N155" s="67"/>
      <c r="O155" s="560"/>
      <c r="P155" s="67"/>
      <c r="Q155" s="67"/>
      <c r="R155" s="67"/>
      <c r="S155" s="67"/>
      <c r="T155" s="560"/>
      <c r="U155" s="67"/>
      <c r="V155" s="67"/>
      <c r="W155" s="67"/>
      <c r="X155" s="67"/>
      <c r="Y155" s="560"/>
      <c r="Z155" s="67"/>
      <c r="AA155" s="67"/>
      <c r="AB155" s="67"/>
      <c r="AC155" s="67"/>
      <c r="AD155" s="560"/>
      <c r="AE155" s="67"/>
      <c r="AF155" s="67"/>
      <c r="AG155" s="67"/>
      <c r="AH155" s="67"/>
      <c r="AI155" s="560"/>
      <c r="AJ155" s="67"/>
      <c r="AK155" s="67"/>
      <c r="AL155" s="67"/>
      <c r="AM155" s="67"/>
      <c r="AN155" s="560"/>
      <c r="AO155" s="67"/>
      <c r="AP155" s="67"/>
      <c r="AQ155" s="67"/>
      <c r="AR155" s="67"/>
      <c r="AS155" s="560"/>
      <c r="AT155" s="67"/>
      <c r="AU155" s="67"/>
      <c r="AV155" s="67"/>
      <c r="AW155" s="67"/>
      <c r="AX155" s="560"/>
      <c r="AY155" s="67"/>
      <c r="AZ155" s="67"/>
      <c r="BA155" s="67"/>
      <c r="BB155" s="67"/>
      <c r="BC155" s="560"/>
      <c r="BD155" s="67"/>
      <c r="BE155" s="67"/>
      <c r="BF155" s="67"/>
      <c r="BG155" s="67"/>
      <c r="BH155" s="560"/>
      <c r="BI155" s="67"/>
      <c r="BJ155" s="67"/>
      <c r="BK155" s="67"/>
      <c r="BL155" s="67"/>
      <c r="BM155" s="560"/>
      <c r="BN155" s="67"/>
      <c r="BO155" s="67"/>
      <c r="BP155" s="67"/>
      <c r="BQ155" s="67"/>
      <c r="BR155" s="560"/>
      <c r="BS155" s="67"/>
      <c r="BT155" s="67"/>
      <c r="BU155" s="67"/>
      <c r="BV155" s="67"/>
      <c r="BW155" s="560"/>
      <c r="BX155" s="67"/>
      <c r="BY155" s="67"/>
      <c r="BZ155" s="67"/>
      <c r="CA155" s="67"/>
      <c r="CB155" s="560"/>
      <c r="CC155" s="67"/>
      <c r="CD155" s="67"/>
      <c r="CE155" s="67"/>
      <c r="CF155" s="67"/>
      <c r="CG155" s="560"/>
      <c r="CH155" s="67"/>
      <c r="CI155" s="67"/>
      <c r="CJ155" s="67"/>
      <c r="CK155" s="67"/>
      <c r="CL155" s="560"/>
      <c r="CM155" s="67"/>
      <c r="CN155" s="67"/>
      <c r="CO155" s="67"/>
      <c r="CP155" s="67"/>
      <c r="CQ155" s="560"/>
      <c r="CR155" s="67"/>
      <c r="CS155" s="67"/>
      <c r="CT155" s="67"/>
      <c r="CU155" s="67"/>
      <c r="CV155" s="560"/>
      <c r="CW155" s="67"/>
      <c r="CX155" s="67"/>
      <c r="CY155" s="67"/>
      <c r="CZ155" s="67"/>
      <c r="DA155" s="560"/>
      <c r="DB155" s="67"/>
      <c r="DC155" s="67"/>
      <c r="DD155" s="67"/>
      <c r="DE155" s="67"/>
      <c r="DF155" s="560"/>
      <c r="DG155" s="67"/>
      <c r="DH155" s="67"/>
      <c r="DI155" s="67"/>
      <c r="DJ155" s="67"/>
      <c r="DK155" s="560"/>
      <c r="DL155" s="67"/>
      <c r="DM155" s="67"/>
      <c r="DN155" s="67"/>
      <c r="DO155" s="67"/>
      <c r="DP155" s="560"/>
      <c r="DQ155" s="67"/>
      <c r="DR155" s="67"/>
      <c r="DS155" s="67"/>
      <c r="DT155" s="67"/>
      <c r="DU155" s="560"/>
      <c r="DV155" s="67"/>
      <c r="DW155" s="67"/>
      <c r="DX155" s="67"/>
      <c r="DY155" s="67"/>
      <c r="DZ155" s="560"/>
      <c r="EA155" s="67"/>
      <c r="EB155" s="67"/>
      <c r="EC155" s="67"/>
      <c r="ED155" s="67"/>
      <c r="EE155" s="560"/>
      <c r="EF155" s="67"/>
      <c r="EG155" s="67"/>
      <c r="EH155" s="67"/>
      <c r="EI155" s="67"/>
      <c r="EJ155" s="560"/>
      <c r="EK155" s="67"/>
      <c r="EL155" s="67"/>
      <c r="EM155" s="67"/>
      <c r="EN155" s="67"/>
      <c r="EO155" s="455"/>
    </row>
    <row r="156" spans="1:148" s="472" customFormat="1" ht="12.75" hidden="1" customHeight="1" x14ac:dyDescent="0.2">
      <c r="A156" s="443"/>
      <c r="B156" s="443"/>
      <c r="C156" s="443"/>
      <c r="D156" s="466" t="s">
        <v>482</v>
      </c>
      <c r="E156" s="468"/>
      <c r="F156" s="443"/>
      <c r="G156" s="58">
        <f>SUM(G157:G158)</f>
        <v>0</v>
      </c>
      <c r="H156" s="58"/>
      <c r="I156" s="58"/>
      <c r="J156" s="556"/>
      <c r="K156" s="58"/>
      <c r="L156" s="58">
        <f>SUM(L157:L158)</f>
        <v>0</v>
      </c>
      <c r="M156" s="58"/>
      <c r="N156" s="58"/>
      <c r="O156" s="556"/>
      <c r="P156" s="58"/>
      <c r="Q156" s="58">
        <f>SUM(Q157:Q158)</f>
        <v>0</v>
      </c>
      <c r="R156" s="58"/>
      <c r="S156" s="58"/>
      <c r="T156" s="556"/>
      <c r="U156" s="58"/>
      <c r="V156" s="58">
        <f>SUM(V157:V158)</f>
        <v>0</v>
      </c>
      <c r="W156" s="58"/>
      <c r="X156" s="58"/>
      <c r="Y156" s="556"/>
      <c r="Z156" s="58"/>
      <c r="AA156" s="58">
        <f>SUM(AA157:AA158)</f>
        <v>0</v>
      </c>
      <c r="AB156" s="58"/>
      <c r="AC156" s="58"/>
      <c r="AD156" s="556"/>
      <c r="AE156" s="58"/>
      <c r="AF156" s="58">
        <f>SUM(AF157:AF158)</f>
        <v>0</v>
      </c>
      <c r="AG156" s="58"/>
      <c r="AH156" s="58"/>
      <c r="AI156" s="556"/>
      <c r="AJ156" s="58"/>
      <c r="AK156" s="58">
        <f>SUM(AK157:AK158)</f>
        <v>0</v>
      </c>
      <c r="AL156" s="58"/>
      <c r="AM156" s="58"/>
      <c r="AN156" s="556"/>
      <c r="AO156" s="58"/>
      <c r="AP156" s="58">
        <f>SUM(AP157:AP158)</f>
        <v>0</v>
      </c>
      <c r="AQ156" s="58"/>
      <c r="AR156" s="58"/>
      <c r="AS156" s="556"/>
      <c r="AT156" s="58"/>
      <c r="AU156" s="58">
        <f>SUM(AU157:AU158)</f>
        <v>0</v>
      </c>
      <c r="AV156" s="58"/>
      <c r="AW156" s="58"/>
      <c r="AX156" s="556"/>
      <c r="AY156" s="58"/>
      <c r="AZ156" s="58">
        <f>SUM(AZ157:AZ158)</f>
        <v>0</v>
      </c>
      <c r="BA156" s="58"/>
      <c r="BB156" s="58"/>
      <c r="BC156" s="556"/>
      <c r="BD156" s="58"/>
      <c r="BE156" s="58">
        <f>SUM(BE157:BE158)</f>
        <v>0</v>
      </c>
      <c r="BF156" s="58"/>
      <c r="BG156" s="58"/>
      <c r="BH156" s="556"/>
      <c r="BI156" s="58"/>
      <c r="BJ156" s="58">
        <f>SUM(BJ157:BJ158)</f>
        <v>0</v>
      </c>
      <c r="BK156" s="58"/>
      <c r="BL156" s="58"/>
      <c r="BM156" s="556"/>
      <c r="BN156" s="58"/>
      <c r="BO156" s="58">
        <f>SUM(BO157:BO158)</f>
        <v>0</v>
      </c>
      <c r="BP156" s="58"/>
      <c r="BQ156" s="58"/>
      <c r="BR156" s="556"/>
      <c r="BS156" s="58"/>
      <c r="BT156" s="58">
        <f>SUM(BT157:BT158)</f>
        <v>0</v>
      </c>
      <c r="BU156" s="58"/>
      <c r="BV156" s="58"/>
      <c r="BW156" s="556"/>
      <c r="BX156" s="58"/>
      <c r="BY156" s="58">
        <f>SUM(BY157:BY158)</f>
        <v>0</v>
      </c>
      <c r="BZ156" s="58"/>
      <c r="CA156" s="58"/>
      <c r="CB156" s="556"/>
      <c r="CC156" s="58"/>
      <c r="CD156" s="58">
        <f>SUM(CD157:CD158)</f>
        <v>0</v>
      </c>
      <c r="CE156" s="58"/>
      <c r="CF156" s="58"/>
      <c r="CG156" s="556"/>
      <c r="CH156" s="58"/>
      <c r="CI156" s="58">
        <f>SUM(CI157:CI158)</f>
        <v>0</v>
      </c>
      <c r="CJ156" s="58"/>
      <c r="CK156" s="58"/>
      <c r="CL156" s="556"/>
      <c r="CM156" s="58"/>
      <c r="CN156" s="58">
        <f>SUM(CN157:CN158)</f>
        <v>0</v>
      </c>
      <c r="CO156" s="58"/>
      <c r="CP156" s="58"/>
      <c r="CQ156" s="556"/>
      <c r="CR156" s="58"/>
      <c r="CS156" s="58">
        <f>SUM(CS157:CS158)</f>
        <v>0</v>
      </c>
      <c r="CT156" s="58"/>
      <c r="CU156" s="58"/>
      <c r="CV156" s="556"/>
      <c r="CW156" s="58"/>
      <c r="CX156" s="58">
        <f>SUM(CX157:CX158)</f>
        <v>0</v>
      </c>
      <c r="CY156" s="58"/>
      <c r="CZ156" s="58"/>
      <c r="DA156" s="556"/>
      <c r="DB156" s="58"/>
      <c r="DC156" s="58">
        <f>SUM(DC157:DC158)</f>
        <v>0</v>
      </c>
      <c r="DD156" s="58"/>
      <c r="DE156" s="58"/>
      <c r="DF156" s="556"/>
      <c r="DG156" s="58"/>
      <c r="DH156" s="58">
        <f>SUM(DH157:DH158)</f>
        <v>0</v>
      </c>
      <c r="DI156" s="58"/>
      <c r="DJ156" s="58"/>
      <c r="DK156" s="556"/>
      <c r="DL156" s="58"/>
      <c r="DM156" s="58">
        <f>SUM(DM157:DM158)</f>
        <v>0</v>
      </c>
      <c r="DN156" s="58"/>
      <c r="DO156" s="58"/>
      <c r="DP156" s="556"/>
      <c r="DQ156" s="58"/>
      <c r="DR156" s="58">
        <f>SUM(DR157:DR158)</f>
        <v>0</v>
      </c>
      <c r="DS156" s="58"/>
      <c r="DT156" s="58"/>
      <c r="DU156" s="556"/>
      <c r="DV156" s="58"/>
      <c r="DW156" s="58">
        <f>SUM(DW157:DW158)</f>
        <v>0</v>
      </c>
      <c r="DX156" s="58"/>
      <c r="DY156" s="58"/>
      <c r="DZ156" s="556"/>
      <c r="EA156" s="58"/>
      <c r="EB156" s="58">
        <f>SUM(EB157:EB158)</f>
        <v>0</v>
      </c>
      <c r="EC156" s="58"/>
      <c r="ED156" s="58"/>
      <c r="EE156" s="556"/>
      <c r="EF156" s="58"/>
      <c r="EG156" s="58">
        <f>SUM(EG157:EG158)</f>
        <v>0</v>
      </c>
      <c r="EH156" s="58"/>
      <c r="EI156" s="58"/>
      <c r="EJ156" s="556"/>
      <c r="EK156" s="58"/>
      <c r="EL156" s="58">
        <f>SUM(EL157:EL158)</f>
        <v>0</v>
      </c>
      <c r="EM156" s="58"/>
      <c r="EN156" s="58"/>
      <c r="EO156" s="466"/>
      <c r="EQ156" s="53"/>
      <c r="ER156" s="53"/>
    </row>
    <row r="157" spans="1:148" ht="12.75" hidden="1" customHeight="1" x14ac:dyDescent="0.2">
      <c r="A157" s="442"/>
      <c r="B157" s="442"/>
      <c r="C157" s="442"/>
      <c r="D157" s="455" t="s">
        <v>469</v>
      </c>
      <c r="E157" s="465"/>
      <c r="F157" s="473"/>
      <c r="G157" s="558">
        <v>0</v>
      </c>
      <c r="H157" s="559"/>
      <c r="I157" s="67"/>
      <c r="J157" s="560"/>
      <c r="K157" s="561"/>
      <c r="L157" s="558">
        <f>L161+L165</f>
        <v>0</v>
      </c>
      <c r="M157" s="559"/>
      <c r="N157" s="67"/>
      <c r="O157" s="560"/>
      <c r="P157" s="561"/>
      <c r="Q157" s="558">
        <f>Q161+Q165</f>
        <v>0</v>
      </c>
      <c r="R157" s="559"/>
      <c r="S157" s="67"/>
      <c r="T157" s="560"/>
      <c r="U157" s="561"/>
      <c r="V157" s="558">
        <f>V161+V165</f>
        <v>0</v>
      </c>
      <c r="W157" s="559"/>
      <c r="X157" s="67"/>
      <c r="Y157" s="560"/>
      <c r="Z157" s="561"/>
      <c r="AA157" s="558">
        <f>AA161+AA165</f>
        <v>0</v>
      </c>
      <c r="AB157" s="559"/>
      <c r="AC157" s="67"/>
      <c r="AD157" s="560"/>
      <c r="AE157" s="561"/>
      <c r="AF157" s="558">
        <f>AF161+AF165</f>
        <v>0</v>
      </c>
      <c r="AG157" s="559"/>
      <c r="AH157" s="67"/>
      <c r="AI157" s="560"/>
      <c r="AJ157" s="561"/>
      <c r="AK157" s="558">
        <f>AK161+AK165</f>
        <v>0</v>
      </c>
      <c r="AL157" s="559"/>
      <c r="AM157" s="67"/>
      <c r="AN157" s="560"/>
      <c r="AO157" s="561"/>
      <c r="AP157" s="558">
        <v>0</v>
      </c>
      <c r="AQ157" s="559"/>
      <c r="AR157" s="67"/>
      <c r="AS157" s="560"/>
      <c r="AT157" s="561"/>
      <c r="AU157" s="558">
        <f>AU161+AU165</f>
        <v>0</v>
      </c>
      <c r="AV157" s="559"/>
      <c r="AW157" s="67"/>
      <c r="AX157" s="560"/>
      <c r="AY157" s="561"/>
      <c r="AZ157" s="558">
        <f>AZ161+AZ165</f>
        <v>0</v>
      </c>
      <c r="BA157" s="559"/>
      <c r="BB157" s="67"/>
      <c r="BC157" s="560"/>
      <c r="BD157" s="561"/>
      <c r="BE157" s="558">
        <f>BE161+BE165</f>
        <v>0</v>
      </c>
      <c r="BF157" s="559"/>
      <c r="BG157" s="67"/>
      <c r="BH157" s="560"/>
      <c r="BI157" s="561"/>
      <c r="BJ157" s="558">
        <f>BJ161+BJ165</f>
        <v>0</v>
      </c>
      <c r="BK157" s="559"/>
      <c r="BL157" s="67"/>
      <c r="BM157" s="560"/>
      <c r="BN157" s="561"/>
      <c r="BO157" s="558">
        <f>BO161+BO165</f>
        <v>0</v>
      </c>
      <c r="BP157" s="559"/>
      <c r="BQ157" s="67"/>
      <c r="BR157" s="560"/>
      <c r="BS157" s="561"/>
      <c r="BT157" s="558">
        <f>BT161+BT165</f>
        <v>0</v>
      </c>
      <c r="BU157" s="559"/>
      <c r="BV157" s="67"/>
      <c r="BW157" s="560"/>
      <c r="BX157" s="561"/>
      <c r="BY157" s="558">
        <v>0</v>
      </c>
      <c r="BZ157" s="559"/>
      <c r="CA157" s="67"/>
      <c r="CB157" s="560"/>
      <c r="CC157" s="561"/>
      <c r="CD157" s="558">
        <f>CD161+CD165</f>
        <v>0</v>
      </c>
      <c r="CE157" s="559"/>
      <c r="CF157" s="67"/>
      <c r="CG157" s="560"/>
      <c r="CH157" s="561"/>
      <c r="CI157" s="558">
        <f>CI161+CI165</f>
        <v>0</v>
      </c>
      <c r="CJ157" s="559"/>
      <c r="CK157" s="67"/>
      <c r="CL157" s="560"/>
      <c r="CM157" s="561"/>
      <c r="CN157" s="558">
        <f>CN161+CN165</f>
        <v>0</v>
      </c>
      <c r="CO157" s="559"/>
      <c r="CP157" s="67"/>
      <c r="CQ157" s="560"/>
      <c r="CR157" s="561"/>
      <c r="CS157" s="558">
        <f>CS161+CS165</f>
        <v>0</v>
      </c>
      <c r="CT157" s="559"/>
      <c r="CU157" s="67"/>
      <c r="CV157" s="560"/>
      <c r="CW157" s="561"/>
      <c r="CX157" s="558">
        <f>CX161+CX165</f>
        <v>0</v>
      </c>
      <c r="CY157" s="559"/>
      <c r="CZ157" s="67"/>
      <c r="DA157" s="560"/>
      <c r="DB157" s="561"/>
      <c r="DC157" s="558">
        <f>DC161+DC165</f>
        <v>0</v>
      </c>
      <c r="DD157" s="559"/>
      <c r="DE157" s="67"/>
      <c r="DF157" s="560"/>
      <c r="DG157" s="561"/>
      <c r="DH157" s="558">
        <v>0</v>
      </c>
      <c r="DI157" s="559"/>
      <c r="DJ157" s="67"/>
      <c r="DK157" s="560"/>
      <c r="DL157" s="561"/>
      <c r="DM157" s="558">
        <f>DM161+DM165</f>
        <v>0</v>
      </c>
      <c r="DN157" s="559"/>
      <c r="DO157" s="67"/>
      <c r="DP157" s="560"/>
      <c r="DQ157" s="561"/>
      <c r="DR157" s="558">
        <f>DR161+DR165</f>
        <v>0</v>
      </c>
      <c r="DS157" s="559"/>
      <c r="DT157" s="67"/>
      <c r="DU157" s="560"/>
      <c r="DV157" s="561"/>
      <c r="DW157" s="558">
        <f>DW161+DW165</f>
        <v>0</v>
      </c>
      <c r="DX157" s="559"/>
      <c r="DY157" s="67"/>
      <c r="DZ157" s="560"/>
      <c r="EA157" s="561"/>
      <c r="EB157" s="558">
        <f>EB161+EB165</f>
        <v>0</v>
      </c>
      <c r="EC157" s="559"/>
      <c r="ED157" s="67"/>
      <c r="EE157" s="560"/>
      <c r="EF157" s="561"/>
      <c r="EG157" s="558">
        <f>EG161+EG165</f>
        <v>0</v>
      </c>
      <c r="EH157" s="559"/>
      <c r="EI157" s="67"/>
      <c r="EJ157" s="560"/>
      <c r="EK157" s="561"/>
      <c r="EL157" s="558">
        <f>EL161+EL165</f>
        <v>0</v>
      </c>
      <c r="EM157" s="559"/>
      <c r="EN157" s="67"/>
      <c r="EO157" s="455"/>
    </row>
    <row r="158" spans="1:148" ht="12.75" hidden="1" customHeight="1" x14ac:dyDescent="0.2">
      <c r="A158" s="442"/>
      <c r="B158" s="442"/>
      <c r="C158" s="442"/>
      <c r="D158" s="455" t="s">
        <v>470</v>
      </c>
      <c r="E158" s="465"/>
      <c r="F158" s="488"/>
      <c r="G158" s="113">
        <v>0</v>
      </c>
      <c r="H158" s="112"/>
      <c r="I158" s="67"/>
      <c r="J158" s="560"/>
      <c r="K158" s="569"/>
      <c r="L158" s="113">
        <f>L162+L166</f>
        <v>0</v>
      </c>
      <c r="M158" s="112"/>
      <c r="N158" s="67"/>
      <c r="O158" s="560"/>
      <c r="P158" s="569"/>
      <c r="Q158" s="113">
        <f>Q162+Q166</f>
        <v>0</v>
      </c>
      <c r="R158" s="112"/>
      <c r="S158" s="67"/>
      <c r="T158" s="560"/>
      <c r="U158" s="569"/>
      <c r="V158" s="113">
        <f>V162+V166</f>
        <v>0</v>
      </c>
      <c r="W158" s="112"/>
      <c r="X158" s="67"/>
      <c r="Y158" s="560"/>
      <c r="Z158" s="569"/>
      <c r="AA158" s="113">
        <f>AA162+AA166</f>
        <v>0</v>
      </c>
      <c r="AB158" s="112"/>
      <c r="AC158" s="67"/>
      <c r="AD158" s="560"/>
      <c r="AE158" s="569"/>
      <c r="AF158" s="113">
        <f>AF162+AF166</f>
        <v>0</v>
      </c>
      <c r="AG158" s="112"/>
      <c r="AH158" s="67"/>
      <c r="AI158" s="560"/>
      <c r="AJ158" s="569"/>
      <c r="AK158" s="113">
        <f>AK162+AK166</f>
        <v>0</v>
      </c>
      <c r="AL158" s="112"/>
      <c r="AM158" s="67"/>
      <c r="AN158" s="560"/>
      <c r="AO158" s="569"/>
      <c r="AP158" s="113">
        <v>0</v>
      </c>
      <c r="AQ158" s="112"/>
      <c r="AR158" s="67"/>
      <c r="AS158" s="560"/>
      <c r="AT158" s="569"/>
      <c r="AU158" s="113">
        <f>AU162+AU166</f>
        <v>0</v>
      </c>
      <c r="AV158" s="112"/>
      <c r="AW158" s="67"/>
      <c r="AX158" s="560"/>
      <c r="AY158" s="569"/>
      <c r="AZ158" s="113">
        <f>AZ162+AZ166</f>
        <v>0</v>
      </c>
      <c r="BA158" s="112"/>
      <c r="BB158" s="67"/>
      <c r="BC158" s="560"/>
      <c r="BD158" s="569"/>
      <c r="BE158" s="113">
        <f>BE162+BE166</f>
        <v>0</v>
      </c>
      <c r="BF158" s="112"/>
      <c r="BG158" s="67"/>
      <c r="BH158" s="560"/>
      <c r="BI158" s="569"/>
      <c r="BJ158" s="113">
        <f>BJ162+BJ166</f>
        <v>0</v>
      </c>
      <c r="BK158" s="112"/>
      <c r="BL158" s="67"/>
      <c r="BM158" s="560"/>
      <c r="BN158" s="569"/>
      <c r="BO158" s="113">
        <f>BO162+BO166</f>
        <v>0</v>
      </c>
      <c r="BP158" s="112"/>
      <c r="BQ158" s="67"/>
      <c r="BR158" s="560"/>
      <c r="BS158" s="569"/>
      <c r="BT158" s="113">
        <f>BT162+BT166</f>
        <v>0</v>
      </c>
      <c r="BU158" s="112"/>
      <c r="BV158" s="67"/>
      <c r="BW158" s="560"/>
      <c r="BX158" s="569"/>
      <c r="BY158" s="113">
        <v>0</v>
      </c>
      <c r="BZ158" s="112"/>
      <c r="CA158" s="67"/>
      <c r="CB158" s="560"/>
      <c r="CC158" s="569"/>
      <c r="CD158" s="113">
        <f>CD162+CD166</f>
        <v>0</v>
      </c>
      <c r="CE158" s="112"/>
      <c r="CF158" s="67"/>
      <c r="CG158" s="560"/>
      <c r="CH158" s="569"/>
      <c r="CI158" s="113">
        <f>CI162+CI166</f>
        <v>0</v>
      </c>
      <c r="CJ158" s="112"/>
      <c r="CK158" s="67"/>
      <c r="CL158" s="560"/>
      <c r="CM158" s="569"/>
      <c r="CN158" s="113">
        <f>CN162+CN166</f>
        <v>0</v>
      </c>
      <c r="CO158" s="112"/>
      <c r="CP158" s="67"/>
      <c r="CQ158" s="560"/>
      <c r="CR158" s="569"/>
      <c r="CS158" s="113">
        <f>CS162+CS166</f>
        <v>0</v>
      </c>
      <c r="CT158" s="112"/>
      <c r="CU158" s="67"/>
      <c r="CV158" s="560"/>
      <c r="CW158" s="569"/>
      <c r="CX158" s="113">
        <f>CX162+CX166</f>
        <v>0</v>
      </c>
      <c r="CY158" s="112"/>
      <c r="CZ158" s="67"/>
      <c r="DA158" s="560"/>
      <c r="DB158" s="569"/>
      <c r="DC158" s="113">
        <f>DC162+DC166</f>
        <v>0</v>
      </c>
      <c r="DD158" s="112"/>
      <c r="DE158" s="67"/>
      <c r="DF158" s="560"/>
      <c r="DG158" s="569"/>
      <c r="DH158" s="113">
        <v>0</v>
      </c>
      <c r="DI158" s="112"/>
      <c r="DJ158" s="67"/>
      <c r="DK158" s="560"/>
      <c r="DL158" s="569"/>
      <c r="DM158" s="113">
        <f>DM162+DM166</f>
        <v>0</v>
      </c>
      <c r="DN158" s="112"/>
      <c r="DO158" s="67"/>
      <c r="DP158" s="560"/>
      <c r="DQ158" s="569"/>
      <c r="DR158" s="113">
        <f>DR162+DR166</f>
        <v>0</v>
      </c>
      <c r="DS158" s="112"/>
      <c r="DT158" s="67"/>
      <c r="DU158" s="560"/>
      <c r="DV158" s="569"/>
      <c r="DW158" s="113">
        <f>DW162+DW166</f>
        <v>0</v>
      </c>
      <c r="DX158" s="112"/>
      <c r="DY158" s="67"/>
      <c r="DZ158" s="560"/>
      <c r="EA158" s="569"/>
      <c r="EB158" s="113">
        <f>EB162+EB166</f>
        <v>0</v>
      </c>
      <c r="EC158" s="112"/>
      <c r="ED158" s="67"/>
      <c r="EE158" s="560"/>
      <c r="EF158" s="569"/>
      <c r="EG158" s="113">
        <f>EG162+EG166</f>
        <v>0</v>
      </c>
      <c r="EH158" s="112"/>
      <c r="EI158" s="67"/>
      <c r="EJ158" s="560"/>
      <c r="EK158" s="569"/>
      <c r="EL158" s="113">
        <f>EL162+EL166</f>
        <v>0</v>
      </c>
      <c r="EM158" s="112"/>
      <c r="EN158" s="67"/>
      <c r="EO158" s="455"/>
    </row>
    <row r="159" spans="1:148" ht="12.75" hidden="1" customHeight="1" x14ac:dyDescent="0.2">
      <c r="A159" s="442"/>
      <c r="B159" s="442"/>
      <c r="C159" s="442"/>
      <c r="D159" s="455"/>
      <c r="E159" s="465"/>
      <c r="F159" s="442"/>
      <c r="G159" s="67"/>
      <c r="H159" s="67"/>
      <c r="I159" s="67"/>
      <c r="J159" s="560"/>
      <c r="K159" s="67"/>
      <c r="L159" s="67"/>
      <c r="M159" s="67"/>
      <c r="N159" s="67"/>
      <c r="O159" s="560"/>
      <c r="P159" s="67"/>
      <c r="Q159" s="67"/>
      <c r="R159" s="67"/>
      <c r="S159" s="67"/>
      <c r="T159" s="560"/>
      <c r="U159" s="67"/>
      <c r="V159" s="67"/>
      <c r="W159" s="67"/>
      <c r="X159" s="67"/>
      <c r="Y159" s="560"/>
      <c r="Z159" s="67"/>
      <c r="AA159" s="67"/>
      <c r="AB159" s="67"/>
      <c r="AC159" s="67"/>
      <c r="AD159" s="560"/>
      <c r="AE159" s="67"/>
      <c r="AF159" s="67"/>
      <c r="AG159" s="67"/>
      <c r="AH159" s="67"/>
      <c r="AI159" s="560"/>
      <c r="AJ159" s="67"/>
      <c r="AK159" s="67"/>
      <c r="AL159" s="67"/>
      <c r="AM159" s="67"/>
      <c r="AN159" s="560"/>
      <c r="AO159" s="67"/>
      <c r="AP159" s="67"/>
      <c r="AQ159" s="67"/>
      <c r="AR159" s="67"/>
      <c r="AS159" s="560"/>
      <c r="AT159" s="67"/>
      <c r="AU159" s="67"/>
      <c r="AV159" s="67"/>
      <c r="AW159" s="67"/>
      <c r="AX159" s="560"/>
      <c r="AY159" s="67"/>
      <c r="AZ159" s="67"/>
      <c r="BA159" s="67"/>
      <c r="BB159" s="67"/>
      <c r="BC159" s="560"/>
      <c r="BD159" s="67"/>
      <c r="BE159" s="67"/>
      <c r="BF159" s="67"/>
      <c r="BG159" s="67"/>
      <c r="BH159" s="560"/>
      <c r="BI159" s="67"/>
      <c r="BJ159" s="67"/>
      <c r="BK159" s="67"/>
      <c r="BL159" s="67"/>
      <c r="BM159" s="560"/>
      <c r="BN159" s="67"/>
      <c r="BO159" s="67"/>
      <c r="BP159" s="67"/>
      <c r="BQ159" s="67"/>
      <c r="BR159" s="560"/>
      <c r="BS159" s="67"/>
      <c r="BT159" s="67"/>
      <c r="BU159" s="67"/>
      <c r="BV159" s="67"/>
      <c r="BW159" s="560"/>
      <c r="BX159" s="67"/>
      <c r="BY159" s="67"/>
      <c r="BZ159" s="67"/>
      <c r="CA159" s="67"/>
      <c r="CB159" s="560"/>
      <c r="CC159" s="67"/>
      <c r="CD159" s="67"/>
      <c r="CE159" s="67"/>
      <c r="CF159" s="67"/>
      <c r="CG159" s="560"/>
      <c r="CH159" s="67"/>
      <c r="CI159" s="67"/>
      <c r="CJ159" s="67"/>
      <c r="CK159" s="67"/>
      <c r="CL159" s="560"/>
      <c r="CM159" s="67"/>
      <c r="CN159" s="67"/>
      <c r="CO159" s="67"/>
      <c r="CP159" s="67"/>
      <c r="CQ159" s="560"/>
      <c r="CR159" s="67"/>
      <c r="CS159" s="67"/>
      <c r="CT159" s="67"/>
      <c r="CU159" s="67"/>
      <c r="CV159" s="560"/>
      <c r="CW159" s="67"/>
      <c r="CX159" s="67"/>
      <c r="CY159" s="67"/>
      <c r="CZ159" s="67"/>
      <c r="DA159" s="560"/>
      <c r="DB159" s="67"/>
      <c r="DC159" s="67"/>
      <c r="DD159" s="67"/>
      <c r="DE159" s="67"/>
      <c r="DF159" s="560"/>
      <c r="DG159" s="67"/>
      <c r="DH159" s="67"/>
      <c r="DI159" s="67"/>
      <c r="DJ159" s="67"/>
      <c r="DK159" s="560"/>
      <c r="DL159" s="67"/>
      <c r="DM159" s="67"/>
      <c r="DN159" s="67"/>
      <c r="DO159" s="67"/>
      <c r="DP159" s="560"/>
      <c r="DQ159" s="67"/>
      <c r="DR159" s="67"/>
      <c r="DS159" s="67"/>
      <c r="DT159" s="67"/>
      <c r="DU159" s="560"/>
      <c r="DV159" s="67"/>
      <c r="DW159" s="67"/>
      <c r="DX159" s="67"/>
      <c r="DY159" s="67"/>
      <c r="DZ159" s="560"/>
      <c r="EA159" s="67"/>
      <c r="EB159" s="67"/>
      <c r="EC159" s="67"/>
      <c r="ED159" s="67"/>
      <c r="EE159" s="560"/>
      <c r="EF159" s="67"/>
      <c r="EG159" s="67"/>
      <c r="EH159" s="67"/>
      <c r="EI159" s="67"/>
      <c r="EJ159" s="560"/>
      <c r="EK159" s="67"/>
      <c r="EL159" s="67"/>
      <c r="EM159" s="67"/>
      <c r="EN159" s="67"/>
      <c r="EO159" s="455"/>
    </row>
    <row r="160" spans="1:148" ht="12.75" hidden="1" customHeight="1" x14ac:dyDescent="0.2">
      <c r="A160" s="442"/>
      <c r="B160" s="442"/>
      <c r="C160" s="442"/>
      <c r="D160" s="455" t="s">
        <v>483</v>
      </c>
      <c r="E160" s="465"/>
      <c r="F160" s="442"/>
      <c r="G160" s="67">
        <v>0</v>
      </c>
      <c r="H160" s="67"/>
      <c r="I160" s="67"/>
      <c r="J160" s="560"/>
      <c r="K160" s="67"/>
      <c r="L160" s="67">
        <f>SUM(L161:L162)</f>
        <v>0</v>
      </c>
      <c r="M160" s="67"/>
      <c r="N160" s="67"/>
      <c r="O160" s="560"/>
      <c r="P160" s="67"/>
      <c r="Q160" s="67">
        <f>SUM(Q161:Q162)</f>
        <v>0</v>
      </c>
      <c r="R160" s="67"/>
      <c r="S160" s="67"/>
      <c r="T160" s="560"/>
      <c r="U160" s="67"/>
      <c r="V160" s="67">
        <f>SUM(V161:V162)</f>
        <v>0</v>
      </c>
      <c r="W160" s="67"/>
      <c r="X160" s="67"/>
      <c r="Y160" s="560"/>
      <c r="Z160" s="67"/>
      <c r="AA160" s="67">
        <f>SUM(AA161:AA162)</f>
        <v>0</v>
      </c>
      <c r="AB160" s="67"/>
      <c r="AC160" s="67"/>
      <c r="AD160" s="560"/>
      <c r="AE160" s="67"/>
      <c r="AF160" s="67">
        <f>SUM(AF161:AF162)</f>
        <v>0</v>
      </c>
      <c r="AG160" s="67"/>
      <c r="AH160" s="67"/>
      <c r="AI160" s="560"/>
      <c r="AJ160" s="67"/>
      <c r="AK160" s="67">
        <f>SUM(AK161:AK162)</f>
        <v>0</v>
      </c>
      <c r="AL160" s="67"/>
      <c r="AM160" s="67"/>
      <c r="AN160" s="560"/>
      <c r="AO160" s="67"/>
      <c r="AP160" s="67">
        <f>SUM(AP161:AP162)</f>
        <v>0</v>
      </c>
      <c r="AQ160" s="67"/>
      <c r="AR160" s="67"/>
      <c r="AS160" s="560"/>
      <c r="AT160" s="67"/>
      <c r="AU160" s="67">
        <f>SUM(AU161:AU162)</f>
        <v>0</v>
      </c>
      <c r="AV160" s="67"/>
      <c r="AW160" s="67"/>
      <c r="AX160" s="560"/>
      <c r="AY160" s="67"/>
      <c r="AZ160" s="67">
        <f>SUM(AZ161:AZ162)</f>
        <v>0</v>
      </c>
      <c r="BA160" s="67"/>
      <c r="BB160" s="67"/>
      <c r="BC160" s="560"/>
      <c r="BD160" s="67"/>
      <c r="BE160" s="67">
        <f>SUM(BE161:BE162)</f>
        <v>0</v>
      </c>
      <c r="BF160" s="67"/>
      <c r="BG160" s="67"/>
      <c r="BH160" s="560"/>
      <c r="BI160" s="67"/>
      <c r="BJ160" s="67">
        <f>SUM(BJ161:BJ162)</f>
        <v>0</v>
      </c>
      <c r="BK160" s="67"/>
      <c r="BL160" s="67"/>
      <c r="BM160" s="560"/>
      <c r="BN160" s="67"/>
      <c r="BO160" s="67">
        <f>SUM(BO161:BO162)</f>
        <v>0</v>
      </c>
      <c r="BP160" s="67"/>
      <c r="BQ160" s="67"/>
      <c r="BR160" s="560"/>
      <c r="BS160" s="67"/>
      <c r="BT160" s="67">
        <f>SUM(BT161:BT162)</f>
        <v>0</v>
      </c>
      <c r="BU160" s="67"/>
      <c r="BV160" s="67"/>
      <c r="BW160" s="560"/>
      <c r="BX160" s="67"/>
      <c r="BY160" s="67">
        <f>SUM(BY161:BY162)</f>
        <v>0</v>
      </c>
      <c r="BZ160" s="67"/>
      <c r="CA160" s="67"/>
      <c r="CB160" s="560"/>
      <c r="CC160" s="67"/>
      <c r="CD160" s="67">
        <f>SUM(CD161:CD162)</f>
        <v>0</v>
      </c>
      <c r="CE160" s="67"/>
      <c r="CF160" s="67"/>
      <c r="CG160" s="560"/>
      <c r="CH160" s="67"/>
      <c r="CI160" s="67">
        <f>SUM(CI161:CI162)</f>
        <v>0</v>
      </c>
      <c r="CJ160" s="67"/>
      <c r="CK160" s="67"/>
      <c r="CL160" s="560"/>
      <c r="CM160" s="67"/>
      <c r="CN160" s="67">
        <f>SUM(CN161:CN162)</f>
        <v>0</v>
      </c>
      <c r="CO160" s="67"/>
      <c r="CP160" s="67"/>
      <c r="CQ160" s="560"/>
      <c r="CR160" s="67"/>
      <c r="CS160" s="67">
        <f>SUM(CS161:CS162)</f>
        <v>0</v>
      </c>
      <c r="CT160" s="67"/>
      <c r="CU160" s="67"/>
      <c r="CV160" s="560"/>
      <c r="CW160" s="67"/>
      <c r="CX160" s="67">
        <f>SUM(CX161:CX162)</f>
        <v>0</v>
      </c>
      <c r="CY160" s="67"/>
      <c r="CZ160" s="67"/>
      <c r="DA160" s="560"/>
      <c r="DB160" s="67"/>
      <c r="DC160" s="67">
        <f>SUM(DC161:DC162)</f>
        <v>0</v>
      </c>
      <c r="DD160" s="67"/>
      <c r="DE160" s="67"/>
      <c r="DF160" s="560"/>
      <c r="DG160" s="67"/>
      <c r="DH160" s="67">
        <f>SUM(DH161:DH162)</f>
        <v>0</v>
      </c>
      <c r="DI160" s="67"/>
      <c r="DJ160" s="67"/>
      <c r="DK160" s="560"/>
      <c r="DL160" s="67"/>
      <c r="DM160" s="67">
        <f>SUM(DM161:DM162)</f>
        <v>0</v>
      </c>
      <c r="DN160" s="67"/>
      <c r="DO160" s="67"/>
      <c r="DP160" s="560"/>
      <c r="DQ160" s="67"/>
      <c r="DR160" s="67">
        <f>SUM(DR161:DR162)</f>
        <v>0</v>
      </c>
      <c r="DS160" s="67"/>
      <c r="DT160" s="67"/>
      <c r="DU160" s="560"/>
      <c r="DV160" s="67"/>
      <c r="DW160" s="67">
        <f>SUM(DW161:DW162)</f>
        <v>0</v>
      </c>
      <c r="DX160" s="67"/>
      <c r="DY160" s="67"/>
      <c r="DZ160" s="560"/>
      <c r="EA160" s="67"/>
      <c r="EB160" s="67">
        <f>SUM(EB161:EB162)</f>
        <v>0</v>
      </c>
      <c r="EC160" s="67"/>
      <c r="ED160" s="67"/>
      <c r="EE160" s="560"/>
      <c r="EF160" s="67"/>
      <c r="EG160" s="67">
        <f>SUM(EG161:EG162)</f>
        <v>0</v>
      </c>
      <c r="EH160" s="67"/>
      <c r="EI160" s="67"/>
      <c r="EJ160" s="560"/>
      <c r="EK160" s="67"/>
      <c r="EL160" s="67">
        <f>SUM(EL161:EL162)</f>
        <v>0</v>
      </c>
      <c r="EM160" s="67"/>
      <c r="EN160" s="67"/>
      <c r="EO160" s="455"/>
    </row>
    <row r="161" spans="1:148" ht="12.75" hidden="1" customHeight="1" x14ac:dyDescent="0.2">
      <c r="A161" s="442"/>
      <c r="B161" s="442"/>
      <c r="C161" s="442"/>
      <c r="D161" s="455" t="s">
        <v>469</v>
      </c>
      <c r="E161" s="465"/>
      <c r="F161" s="473"/>
      <c r="G161" s="558">
        <v>0</v>
      </c>
      <c r="H161" s="559"/>
      <c r="I161" s="67"/>
      <c r="J161" s="560"/>
      <c r="K161" s="561"/>
      <c r="L161" s="558">
        <v>0</v>
      </c>
      <c r="M161" s="559"/>
      <c r="N161" s="67"/>
      <c r="O161" s="560"/>
      <c r="P161" s="561"/>
      <c r="Q161" s="558">
        <v>0</v>
      </c>
      <c r="R161" s="559"/>
      <c r="S161" s="67"/>
      <c r="T161" s="560"/>
      <c r="U161" s="561"/>
      <c r="V161" s="558">
        <v>0</v>
      </c>
      <c r="W161" s="559"/>
      <c r="X161" s="67"/>
      <c r="Y161" s="560"/>
      <c r="Z161" s="561"/>
      <c r="AA161" s="558">
        <v>0</v>
      </c>
      <c r="AB161" s="559"/>
      <c r="AC161" s="67"/>
      <c r="AD161" s="560"/>
      <c r="AE161" s="561"/>
      <c r="AF161" s="558">
        <v>0</v>
      </c>
      <c r="AG161" s="559"/>
      <c r="AH161" s="67"/>
      <c r="AI161" s="560"/>
      <c r="AJ161" s="561"/>
      <c r="AK161" s="558">
        <v>0</v>
      </c>
      <c r="AL161" s="559"/>
      <c r="AM161" s="67"/>
      <c r="AN161" s="560"/>
      <c r="AO161" s="561"/>
      <c r="AP161" s="558">
        <v>0</v>
      </c>
      <c r="AQ161" s="559"/>
      <c r="AR161" s="67"/>
      <c r="AS161" s="560"/>
      <c r="AT161" s="561"/>
      <c r="AU161" s="558">
        <v>0</v>
      </c>
      <c r="AV161" s="559"/>
      <c r="AW161" s="67"/>
      <c r="AX161" s="560"/>
      <c r="AY161" s="561"/>
      <c r="AZ161" s="558">
        <v>0</v>
      </c>
      <c r="BA161" s="559"/>
      <c r="BB161" s="67"/>
      <c r="BC161" s="560"/>
      <c r="BD161" s="561"/>
      <c r="BE161" s="558">
        <v>0</v>
      </c>
      <c r="BF161" s="559"/>
      <c r="BG161" s="67"/>
      <c r="BH161" s="560"/>
      <c r="BI161" s="561"/>
      <c r="BJ161" s="558">
        <v>0</v>
      </c>
      <c r="BK161" s="559"/>
      <c r="BL161" s="67"/>
      <c r="BM161" s="560"/>
      <c r="BN161" s="561"/>
      <c r="BO161" s="558">
        <v>0</v>
      </c>
      <c r="BP161" s="559"/>
      <c r="BQ161" s="67"/>
      <c r="BR161" s="560"/>
      <c r="BS161" s="561"/>
      <c r="BT161" s="558">
        <f>SUM(L161:BO161)</f>
        <v>0</v>
      </c>
      <c r="BU161" s="559"/>
      <c r="BV161" s="67"/>
      <c r="BW161" s="560"/>
      <c r="BX161" s="561"/>
      <c r="BY161" s="558">
        <v>0</v>
      </c>
      <c r="BZ161" s="559"/>
      <c r="CA161" s="67"/>
      <c r="CB161" s="560"/>
      <c r="CC161" s="561"/>
      <c r="CD161" s="558">
        <v>0</v>
      </c>
      <c r="CE161" s="559"/>
      <c r="CF161" s="67"/>
      <c r="CG161" s="560"/>
      <c r="CH161" s="561"/>
      <c r="CI161" s="558">
        <v>0</v>
      </c>
      <c r="CJ161" s="559"/>
      <c r="CK161" s="67"/>
      <c r="CL161" s="560"/>
      <c r="CM161" s="561"/>
      <c r="CN161" s="558">
        <v>0</v>
      </c>
      <c r="CO161" s="559"/>
      <c r="CP161" s="67"/>
      <c r="CQ161" s="560"/>
      <c r="CR161" s="561"/>
      <c r="CS161" s="558">
        <v>0</v>
      </c>
      <c r="CT161" s="559"/>
      <c r="CU161" s="67"/>
      <c r="CV161" s="560"/>
      <c r="CW161" s="561"/>
      <c r="CX161" s="558">
        <v>0</v>
      </c>
      <c r="CY161" s="559"/>
      <c r="CZ161" s="67"/>
      <c r="DA161" s="560"/>
      <c r="DB161" s="561"/>
      <c r="DC161" s="558">
        <v>0</v>
      </c>
      <c r="DD161" s="559"/>
      <c r="DE161" s="67"/>
      <c r="DF161" s="560"/>
      <c r="DG161" s="561"/>
      <c r="DH161" s="558">
        <v>0</v>
      </c>
      <c r="DI161" s="559"/>
      <c r="DJ161" s="67"/>
      <c r="DK161" s="560"/>
      <c r="DL161" s="561"/>
      <c r="DM161" s="558">
        <v>0</v>
      </c>
      <c r="DN161" s="559"/>
      <c r="DO161" s="67"/>
      <c r="DP161" s="560"/>
      <c r="DQ161" s="561"/>
      <c r="DR161" s="558">
        <v>0</v>
      </c>
      <c r="DS161" s="559"/>
      <c r="DT161" s="67"/>
      <c r="DU161" s="560"/>
      <c r="DV161" s="561"/>
      <c r="DW161" s="558">
        <v>0</v>
      </c>
      <c r="DX161" s="559"/>
      <c r="DY161" s="67"/>
      <c r="DZ161" s="560"/>
      <c r="EA161" s="561"/>
      <c r="EB161" s="558">
        <v>0</v>
      </c>
      <c r="EC161" s="559"/>
      <c r="ED161" s="67"/>
      <c r="EE161" s="560"/>
      <c r="EF161" s="561"/>
      <c r="EG161" s="558">
        <v>0</v>
      </c>
      <c r="EH161" s="559"/>
      <c r="EI161" s="67"/>
      <c r="EJ161" s="560"/>
      <c r="EK161" s="561"/>
      <c r="EL161" s="558">
        <f>SUM(CD161:EG161)</f>
        <v>0</v>
      </c>
      <c r="EM161" s="559"/>
      <c r="EN161" s="67"/>
      <c r="EO161" s="455"/>
    </row>
    <row r="162" spans="1:148" ht="12.75" hidden="1" customHeight="1" x14ac:dyDescent="0.2">
      <c r="A162" s="442"/>
      <c r="B162" s="442"/>
      <c r="C162" s="442"/>
      <c r="D162" s="455" t="s">
        <v>470</v>
      </c>
      <c r="E162" s="465"/>
      <c r="F162" s="488"/>
      <c r="G162" s="113">
        <v>0</v>
      </c>
      <c r="H162" s="112"/>
      <c r="I162" s="67"/>
      <c r="J162" s="560"/>
      <c r="K162" s="569"/>
      <c r="L162" s="113">
        <v>0</v>
      </c>
      <c r="M162" s="112"/>
      <c r="N162" s="67"/>
      <c r="O162" s="560"/>
      <c r="P162" s="569"/>
      <c r="Q162" s="113">
        <v>0</v>
      </c>
      <c r="R162" s="112"/>
      <c r="S162" s="67"/>
      <c r="T162" s="560"/>
      <c r="U162" s="569"/>
      <c r="V162" s="113">
        <v>0</v>
      </c>
      <c r="W162" s="112"/>
      <c r="X162" s="67"/>
      <c r="Y162" s="560"/>
      <c r="Z162" s="569"/>
      <c r="AA162" s="113">
        <v>0</v>
      </c>
      <c r="AB162" s="112"/>
      <c r="AC162" s="67"/>
      <c r="AD162" s="560"/>
      <c r="AE162" s="569"/>
      <c r="AF162" s="113">
        <v>0</v>
      </c>
      <c r="AG162" s="112"/>
      <c r="AH162" s="67"/>
      <c r="AI162" s="560"/>
      <c r="AJ162" s="569"/>
      <c r="AK162" s="113">
        <v>0</v>
      </c>
      <c r="AL162" s="112"/>
      <c r="AM162" s="67"/>
      <c r="AN162" s="560"/>
      <c r="AO162" s="569"/>
      <c r="AP162" s="113">
        <v>0</v>
      </c>
      <c r="AQ162" s="112"/>
      <c r="AR162" s="67"/>
      <c r="AS162" s="560"/>
      <c r="AT162" s="569"/>
      <c r="AU162" s="113">
        <v>0</v>
      </c>
      <c r="AV162" s="112"/>
      <c r="AW162" s="67"/>
      <c r="AX162" s="560"/>
      <c r="AY162" s="569"/>
      <c r="AZ162" s="113">
        <v>0</v>
      </c>
      <c r="BA162" s="112"/>
      <c r="BB162" s="67"/>
      <c r="BC162" s="560"/>
      <c r="BD162" s="569"/>
      <c r="BE162" s="113">
        <v>0</v>
      </c>
      <c r="BF162" s="112"/>
      <c r="BG162" s="67"/>
      <c r="BH162" s="560"/>
      <c r="BI162" s="569"/>
      <c r="BJ162" s="113">
        <v>0</v>
      </c>
      <c r="BK162" s="112"/>
      <c r="BL162" s="67"/>
      <c r="BM162" s="560"/>
      <c r="BN162" s="569"/>
      <c r="BO162" s="113">
        <v>0</v>
      </c>
      <c r="BP162" s="112"/>
      <c r="BQ162" s="67"/>
      <c r="BR162" s="560"/>
      <c r="BS162" s="569"/>
      <c r="BT162" s="113">
        <f>SUM(L162:BO162)</f>
        <v>0</v>
      </c>
      <c r="BU162" s="112"/>
      <c r="BV162" s="67"/>
      <c r="BW162" s="560"/>
      <c r="BX162" s="569"/>
      <c r="BY162" s="113">
        <v>0</v>
      </c>
      <c r="BZ162" s="112"/>
      <c r="CA162" s="67"/>
      <c r="CB162" s="560"/>
      <c r="CC162" s="569"/>
      <c r="CD162" s="113">
        <v>0</v>
      </c>
      <c r="CE162" s="112"/>
      <c r="CF162" s="67"/>
      <c r="CG162" s="560"/>
      <c r="CH162" s="569"/>
      <c r="CI162" s="113">
        <v>0</v>
      </c>
      <c r="CJ162" s="112"/>
      <c r="CK162" s="67"/>
      <c r="CL162" s="560"/>
      <c r="CM162" s="569"/>
      <c r="CN162" s="113">
        <v>0</v>
      </c>
      <c r="CO162" s="112"/>
      <c r="CP162" s="67"/>
      <c r="CQ162" s="560"/>
      <c r="CR162" s="569"/>
      <c r="CS162" s="113">
        <v>0</v>
      </c>
      <c r="CT162" s="112"/>
      <c r="CU162" s="67"/>
      <c r="CV162" s="560"/>
      <c r="CW162" s="569"/>
      <c r="CX162" s="113">
        <v>0</v>
      </c>
      <c r="CY162" s="112"/>
      <c r="CZ162" s="67"/>
      <c r="DA162" s="560"/>
      <c r="DB162" s="569"/>
      <c r="DC162" s="113">
        <v>0</v>
      </c>
      <c r="DD162" s="112"/>
      <c r="DE162" s="67"/>
      <c r="DF162" s="560"/>
      <c r="DG162" s="569"/>
      <c r="DH162" s="113">
        <v>0</v>
      </c>
      <c r="DI162" s="112"/>
      <c r="DJ162" s="67"/>
      <c r="DK162" s="560"/>
      <c r="DL162" s="569"/>
      <c r="DM162" s="113">
        <v>0</v>
      </c>
      <c r="DN162" s="112"/>
      <c r="DO162" s="67"/>
      <c r="DP162" s="560"/>
      <c r="DQ162" s="569"/>
      <c r="DR162" s="113">
        <v>0</v>
      </c>
      <c r="DS162" s="112"/>
      <c r="DT162" s="67"/>
      <c r="DU162" s="560"/>
      <c r="DV162" s="569"/>
      <c r="DW162" s="113">
        <v>0</v>
      </c>
      <c r="DX162" s="112"/>
      <c r="DY162" s="67"/>
      <c r="DZ162" s="560"/>
      <c r="EA162" s="569"/>
      <c r="EB162" s="113">
        <v>0</v>
      </c>
      <c r="EC162" s="112"/>
      <c r="ED162" s="67"/>
      <c r="EE162" s="560"/>
      <c r="EF162" s="569"/>
      <c r="EG162" s="113">
        <v>0</v>
      </c>
      <c r="EH162" s="112"/>
      <c r="EI162" s="67"/>
      <c r="EJ162" s="560"/>
      <c r="EK162" s="569"/>
      <c r="EL162" s="113">
        <f>SUM(CD162:EG162)</f>
        <v>0</v>
      </c>
      <c r="EM162" s="112"/>
      <c r="EN162" s="67"/>
      <c r="EO162" s="455"/>
    </row>
    <row r="163" spans="1:148" ht="12.75" hidden="1" customHeight="1" x14ac:dyDescent="0.2">
      <c r="A163" s="442"/>
      <c r="B163" s="442"/>
      <c r="C163" s="442"/>
      <c r="D163" s="455"/>
      <c r="E163" s="465"/>
      <c r="F163" s="442"/>
      <c r="G163" s="67"/>
      <c r="H163" s="67"/>
      <c r="I163" s="67"/>
      <c r="J163" s="560"/>
      <c r="K163" s="67"/>
      <c r="L163" s="67"/>
      <c r="M163" s="67"/>
      <c r="N163" s="67"/>
      <c r="O163" s="560"/>
      <c r="P163" s="67"/>
      <c r="Q163" s="67"/>
      <c r="R163" s="67"/>
      <c r="S163" s="67"/>
      <c r="T163" s="560"/>
      <c r="U163" s="67"/>
      <c r="V163" s="67"/>
      <c r="W163" s="67"/>
      <c r="X163" s="67"/>
      <c r="Y163" s="560"/>
      <c r="Z163" s="67"/>
      <c r="AA163" s="67"/>
      <c r="AB163" s="67"/>
      <c r="AC163" s="67"/>
      <c r="AD163" s="560"/>
      <c r="AE163" s="67"/>
      <c r="AF163" s="67"/>
      <c r="AG163" s="67"/>
      <c r="AH163" s="67"/>
      <c r="AI163" s="560"/>
      <c r="AJ163" s="67"/>
      <c r="AK163" s="67"/>
      <c r="AL163" s="67"/>
      <c r="AM163" s="67"/>
      <c r="AN163" s="560"/>
      <c r="AO163" s="67"/>
      <c r="AP163" s="67"/>
      <c r="AQ163" s="67"/>
      <c r="AR163" s="67"/>
      <c r="AS163" s="560"/>
      <c r="AT163" s="67"/>
      <c r="AU163" s="67"/>
      <c r="AV163" s="67"/>
      <c r="AW163" s="67"/>
      <c r="AX163" s="560"/>
      <c r="AY163" s="67"/>
      <c r="AZ163" s="67"/>
      <c r="BA163" s="67"/>
      <c r="BB163" s="67"/>
      <c r="BC163" s="560"/>
      <c r="BD163" s="67"/>
      <c r="BE163" s="67"/>
      <c r="BF163" s="67"/>
      <c r="BG163" s="67"/>
      <c r="BH163" s="560"/>
      <c r="BI163" s="67"/>
      <c r="BJ163" s="67"/>
      <c r="BK163" s="67"/>
      <c r="BL163" s="67"/>
      <c r="BM163" s="560"/>
      <c r="BN163" s="67"/>
      <c r="BO163" s="67"/>
      <c r="BP163" s="67"/>
      <c r="BQ163" s="67"/>
      <c r="BR163" s="560"/>
      <c r="BS163" s="67"/>
      <c r="BT163" s="67"/>
      <c r="BU163" s="67"/>
      <c r="BV163" s="67"/>
      <c r="BW163" s="560"/>
      <c r="BX163" s="67"/>
      <c r="BY163" s="67"/>
      <c r="BZ163" s="67"/>
      <c r="CA163" s="67"/>
      <c r="CB163" s="560"/>
      <c r="CC163" s="67"/>
      <c r="CD163" s="67"/>
      <c r="CE163" s="67"/>
      <c r="CF163" s="67"/>
      <c r="CG163" s="560"/>
      <c r="CH163" s="67"/>
      <c r="CI163" s="67"/>
      <c r="CJ163" s="67"/>
      <c r="CK163" s="67"/>
      <c r="CL163" s="560"/>
      <c r="CM163" s="67"/>
      <c r="CN163" s="67"/>
      <c r="CO163" s="67"/>
      <c r="CP163" s="67"/>
      <c r="CQ163" s="560"/>
      <c r="CR163" s="67"/>
      <c r="CS163" s="67"/>
      <c r="CT163" s="67"/>
      <c r="CU163" s="67"/>
      <c r="CV163" s="560"/>
      <c r="CW163" s="67"/>
      <c r="CX163" s="67"/>
      <c r="CY163" s="67"/>
      <c r="CZ163" s="67"/>
      <c r="DA163" s="560"/>
      <c r="DB163" s="67"/>
      <c r="DC163" s="67"/>
      <c r="DD163" s="67"/>
      <c r="DE163" s="67"/>
      <c r="DF163" s="560"/>
      <c r="DG163" s="67"/>
      <c r="DH163" s="67"/>
      <c r="DI163" s="67"/>
      <c r="DJ163" s="67"/>
      <c r="DK163" s="560"/>
      <c r="DL163" s="67"/>
      <c r="DM163" s="67"/>
      <c r="DN163" s="67"/>
      <c r="DO163" s="67"/>
      <c r="DP163" s="560"/>
      <c r="DQ163" s="67"/>
      <c r="DR163" s="67"/>
      <c r="DS163" s="67"/>
      <c r="DT163" s="67"/>
      <c r="DU163" s="560"/>
      <c r="DV163" s="67"/>
      <c r="DW163" s="67"/>
      <c r="DX163" s="67"/>
      <c r="DY163" s="67"/>
      <c r="DZ163" s="560"/>
      <c r="EA163" s="67"/>
      <c r="EB163" s="67"/>
      <c r="EC163" s="67"/>
      <c r="ED163" s="67"/>
      <c r="EE163" s="560"/>
      <c r="EF163" s="67"/>
      <c r="EG163" s="67"/>
      <c r="EH163" s="67"/>
      <c r="EI163" s="67"/>
      <c r="EJ163" s="560"/>
      <c r="EK163" s="67"/>
      <c r="EL163" s="67"/>
      <c r="EM163" s="67"/>
      <c r="EN163" s="67"/>
      <c r="EO163" s="455"/>
    </row>
    <row r="164" spans="1:148" ht="12.75" hidden="1" customHeight="1" x14ac:dyDescent="0.2">
      <c r="A164" s="442"/>
      <c r="B164" s="442"/>
      <c r="C164" s="442"/>
      <c r="D164" s="455" t="s">
        <v>484</v>
      </c>
      <c r="E164" s="465"/>
      <c r="F164" s="442"/>
      <c r="G164" s="67">
        <v>0</v>
      </c>
      <c r="H164" s="67"/>
      <c r="I164" s="67"/>
      <c r="J164" s="560"/>
      <c r="K164" s="67"/>
      <c r="L164" s="67">
        <f>SUM(L165:L166)</f>
        <v>0</v>
      </c>
      <c r="M164" s="67"/>
      <c r="N164" s="67"/>
      <c r="O164" s="560"/>
      <c r="P164" s="67"/>
      <c r="Q164" s="67">
        <f>SUM(Q165:Q166)</f>
        <v>0</v>
      </c>
      <c r="R164" s="67"/>
      <c r="S164" s="67"/>
      <c r="T164" s="560"/>
      <c r="U164" s="67"/>
      <c r="V164" s="67">
        <f>SUM(V165:V166)</f>
        <v>0</v>
      </c>
      <c r="W164" s="67"/>
      <c r="X164" s="67"/>
      <c r="Y164" s="560"/>
      <c r="Z164" s="67"/>
      <c r="AA164" s="67">
        <f>SUM(AA165:AA166)</f>
        <v>0</v>
      </c>
      <c r="AB164" s="67"/>
      <c r="AC164" s="67"/>
      <c r="AD164" s="560"/>
      <c r="AE164" s="67"/>
      <c r="AF164" s="67">
        <f>SUM(AF165:AF166)</f>
        <v>0</v>
      </c>
      <c r="AG164" s="67"/>
      <c r="AH164" s="67"/>
      <c r="AI164" s="560"/>
      <c r="AJ164" s="67"/>
      <c r="AK164" s="67">
        <f>SUM(AK165:AK166)</f>
        <v>0</v>
      </c>
      <c r="AL164" s="67"/>
      <c r="AM164" s="67"/>
      <c r="AN164" s="560"/>
      <c r="AO164" s="67"/>
      <c r="AP164" s="67">
        <f>SUM(AP165:AP166)</f>
        <v>0</v>
      </c>
      <c r="AQ164" s="67"/>
      <c r="AR164" s="67"/>
      <c r="AS164" s="560"/>
      <c r="AT164" s="67"/>
      <c r="AU164" s="67">
        <f>SUM(AU165:AU166)</f>
        <v>0</v>
      </c>
      <c r="AV164" s="67"/>
      <c r="AW164" s="67"/>
      <c r="AX164" s="560"/>
      <c r="AY164" s="67"/>
      <c r="AZ164" s="67">
        <f>SUM(AZ165:AZ166)</f>
        <v>0</v>
      </c>
      <c r="BA164" s="67"/>
      <c r="BB164" s="67"/>
      <c r="BC164" s="560"/>
      <c r="BD164" s="67"/>
      <c r="BE164" s="67">
        <f>SUM(BE165:BE166)</f>
        <v>0</v>
      </c>
      <c r="BF164" s="67"/>
      <c r="BG164" s="67"/>
      <c r="BH164" s="560"/>
      <c r="BI164" s="67"/>
      <c r="BJ164" s="67">
        <f>SUM(BJ165:BJ166)</f>
        <v>0</v>
      </c>
      <c r="BK164" s="67"/>
      <c r="BL164" s="67"/>
      <c r="BM164" s="560"/>
      <c r="BN164" s="67"/>
      <c r="BO164" s="67">
        <f>SUM(BO165:BO166)</f>
        <v>0</v>
      </c>
      <c r="BP164" s="67"/>
      <c r="BQ164" s="67"/>
      <c r="BR164" s="560"/>
      <c r="BS164" s="67"/>
      <c r="BT164" s="67">
        <f>SUM(BT165:BT166)</f>
        <v>0</v>
      </c>
      <c r="BU164" s="67"/>
      <c r="BV164" s="67"/>
      <c r="BW164" s="560"/>
      <c r="BX164" s="67"/>
      <c r="BY164" s="67">
        <f>SUM(BY165:BY166)</f>
        <v>0</v>
      </c>
      <c r="BZ164" s="67"/>
      <c r="CA164" s="67"/>
      <c r="CB164" s="560"/>
      <c r="CC164" s="67"/>
      <c r="CD164" s="67">
        <f>SUM(CD165:CD166)</f>
        <v>0</v>
      </c>
      <c r="CE164" s="67"/>
      <c r="CF164" s="67"/>
      <c r="CG164" s="560"/>
      <c r="CH164" s="67"/>
      <c r="CI164" s="67">
        <f>SUM(CI165:CI166)</f>
        <v>0</v>
      </c>
      <c r="CJ164" s="67"/>
      <c r="CK164" s="67"/>
      <c r="CL164" s="560"/>
      <c r="CM164" s="67"/>
      <c r="CN164" s="67">
        <f>SUM(CN165:CN166)</f>
        <v>0</v>
      </c>
      <c r="CO164" s="67"/>
      <c r="CP164" s="67"/>
      <c r="CQ164" s="560"/>
      <c r="CR164" s="67"/>
      <c r="CS164" s="67">
        <f>SUM(CS165:CS166)</f>
        <v>0</v>
      </c>
      <c r="CT164" s="67"/>
      <c r="CU164" s="67"/>
      <c r="CV164" s="560"/>
      <c r="CW164" s="67"/>
      <c r="CX164" s="67">
        <f>SUM(CX165:CX166)</f>
        <v>0</v>
      </c>
      <c r="CY164" s="67"/>
      <c r="CZ164" s="67"/>
      <c r="DA164" s="560"/>
      <c r="DB164" s="67"/>
      <c r="DC164" s="67">
        <f>SUM(DC165:DC166)</f>
        <v>0</v>
      </c>
      <c r="DD164" s="67"/>
      <c r="DE164" s="67"/>
      <c r="DF164" s="560"/>
      <c r="DG164" s="67"/>
      <c r="DH164" s="67">
        <f>SUM(DH165:DH166)</f>
        <v>0</v>
      </c>
      <c r="DI164" s="67"/>
      <c r="DJ164" s="67"/>
      <c r="DK164" s="560"/>
      <c r="DL164" s="67"/>
      <c r="DM164" s="67">
        <f>SUM(DM165:DM166)</f>
        <v>0</v>
      </c>
      <c r="DN164" s="67"/>
      <c r="DO164" s="67"/>
      <c r="DP164" s="560"/>
      <c r="DQ164" s="67"/>
      <c r="DR164" s="67">
        <f>SUM(DR165:DR166)</f>
        <v>0</v>
      </c>
      <c r="DS164" s="67"/>
      <c r="DT164" s="67"/>
      <c r="DU164" s="560"/>
      <c r="DV164" s="67"/>
      <c r="DW164" s="67">
        <f>SUM(DW165:DW166)</f>
        <v>0</v>
      </c>
      <c r="DX164" s="67"/>
      <c r="DY164" s="67"/>
      <c r="DZ164" s="560"/>
      <c r="EA164" s="67"/>
      <c r="EB164" s="67">
        <f>SUM(EB165:EB166)</f>
        <v>0</v>
      </c>
      <c r="EC164" s="67"/>
      <c r="ED164" s="67"/>
      <c r="EE164" s="560"/>
      <c r="EF164" s="67"/>
      <c r="EG164" s="67">
        <f>SUM(EG165:EG166)</f>
        <v>0</v>
      </c>
      <c r="EH164" s="67"/>
      <c r="EI164" s="67"/>
      <c r="EJ164" s="560"/>
      <c r="EK164" s="67"/>
      <c r="EL164" s="67">
        <f>SUM(EL165:EL166)</f>
        <v>0</v>
      </c>
      <c r="EM164" s="67"/>
      <c r="EN164" s="67"/>
      <c r="EO164" s="455"/>
    </row>
    <row r="165" spans="1:148" ht="12.75" hidden="1" customHeight="1" x14ac:dyDescent="0.2">
      <c r="A165" s="442"/>
      <c r="B165" s="442"/>
      <c r="C165" s="442"/>
      <c r="D165" s="455" t="s">
        <v>469</v>
      </c>
      <c r="E165" s="465"/>
      <c r="F165" s="473"/>
      <c r="G165" s="558">
        <v>0</v>
      </c>
      <c r="H165" s="559"/>
      <c r="I165" s="67"/>
      <c r="J165" s="560"/>
      <c r="K165" s="561"/>
      <c r="L165" s="558">
        <v>0</v>
      </c>
      <c r="M165" s="559"/>
      <c r="N165" s="67"/>
      <c r="O165" s="560"/>
      <c r="P165" s="561"/>
      <c r="Q165" s="558">
        <v>0</v>
      </c>
      <c r="R165" s="559"/>
      <c r="S165" s="67"/>
      <c r="T165" s="560"/>
      <c r="U165" s="561"/>
      <c r="V165" s="558">
        <v>0</v>
      </c>
      <c r="W165" s="559"/>
      <c r="X165" s="67"/>
      <c r="Y165" s="560"/>
      <c r="Z165" s="561"/>
      <c r="AA165" s="558">
        <v>0</v>
      </c>
      <c r="AB165" s="559"/>
      <c r="AC165" s="67"/>
      <c r="AD165" s="560"/>
      <c r="AE165" s="561"/>
      <c r="AF165" s="558">
        <v>0</v>
      </c>
      <c r="AG165" s="559"/>
      <c r="AH165" s="67"/>
      <c r="AI165" s="560"/>
      <c r="AJ165" s="561"/>
      <c r="AK165" s="558">
        <v>0</v>
      </c>
      <c r="AL165" s="559"/>
      <c r="AM165" s="67"/>
      <c r="AN165" s="560"/>
      <c r="AO165" s="561"/>
      <c r="AP165" s="558">
        <v>0</v>
      </c>
      <c r="AQ165" s="559"/>
      <c r="AR165" s="67"/>
      <c r="AS165" s="560"/>
      <c r="AT165" s="561"/>
      <c r="AU165" s="558">
        <v>0</v>
      </c>
      <c r="AV165" s="559"/>
      <c r="AW165" s="67"/>
      <c r="AX165" s="560"/>
      <c r="AY165" s="561"/>
      <c r="AZ165" s="558">
        <v>0</v>
      </c>
      <c r="BA165" s="559"/>
      <c r="BB165" s="67"/>
      <c r="BC165" s="560"/>
      <c r="BD165" s="561"/>
      <c r="BE165" s="558">
        <v>0</v>
      </c>
      <c r="BF165" s="559"/>
      <c r="BG165" s="67"/>
      <c r="BH165" s="560"/>
      <c r="BI165" s="561"/>
      <c r="BJ165" s="558">
        <v>0</v>
      </c>
      <c r="BK165" s="559"/>
      <c r="BL165" s="67"/>
      <c r="BM165" s="560"/>
      <c r="BN165" s="561"/>
      <c r="BO165" s="558">
        <v>0</v>
      </c>
      <c r="BP165" s="559"/>
      <c r="BQ165" s="67"/>
      <c r="BR165" s="560"/>
      <c r="BS165" s="561"/>
      <c r="BT165" s="558">
        <f>SUM(L165:BO165)</f>
        <v>0</v>
      </c>
      <c r="BU165" s="559"/>
      <c r="BV165" s="67"/>
      <c r="BW165" s="560"/>
      <c r="BX165" s="561"/>
      <c r="BY165" s="558">
        <v>0</v>
      </c>
      <c r="BZ165" s="559"/>
      <c r="CA165" s="67"/>
      <c r="CB165" s="560"/>
      <c r="CC165" s="561"/>
      <c r="CD165" s="558">
        <v>0</v>
      </c>
      <c r="CE165" s="559"/>
      <c r="CF165" s="67"/>
      <c r="CG165" s="560"/>
      <c r="CH165" s="561"/>
      <c r="CI165" s="558">
        <v>0</v>
      </c>
      <c r="CJ165" s="559"/>
      <c r="CK165" s="67"/>
      <c r="CL165" s="560"/>
      <c r="CM165" s="561"/>
      <c r="CN165" s="558">
        <v>0</v>
      </c>
      <c r="CO165" s="559"/>
      <c r="CP165" s="67"/>
      <c r="CQ165" s="560"/>
      <c r="CR165" s="561"/>
      <c r="CS165" s="558">
        <v>0</v>
      </c>
      <c r="CT165" s="559"/>
      <c r="CU165" s="67"/>
      <c r="CV165" s="560"/>
      <c r="CW165" s="561"/>
      <c r="CX165" s="558">
        <v>0</v>
      </c>
      <c r="CY165" s="559"/>
      <c r="CZ165" s="67"/>
      <c r="DA165" s="560"/>
      <c r="DB165" s="561"/>
      <c r="DC165" s="558">
        <v>0</v>
      </c>
      <c r="DD165" s="559"/>
      <c r="DE165" s="67"/>
      <c r="DF165" s="560"/>
      <c r="DG165" s="561"/>
      <c r="DH165" s="558">
        <v>0</v>
      </c>
      <c r="DI165" s="559"/>
      <c r="DJ165" s="67"/>
      <c r="DK165" s="560"/>
      <c r="DL165" s="561"/>
      <c r="DM165" s="558">
        <v>0</v>
      </c>
      <c r="DN165" s="559"/>
      <c r="DO165" s="67"/>
      <c r="DP165" s="560"/>
      <c r="DQ165" s="561"/>
      <c r="DR165" s="558">
        <v>0</v>
      </c>
      <c r="DS165" s="559"/>
      <c r="DT165" s="67"/>
      <c r="DU165" s="560"/>
      <c r="DV165" s="561"/>
      <c r="DW165" s="558">
        <v>0</v>
      </c>
      <c r="DX165" s="559"/>
      <c r="DY165" s="67"/>
      <c r="DZ165" s="560"/>
      <c r="EA165" s="561"/>
      <c r="EB165" s="558">
        <v>0</v>
      </c>
      <c r="EC165" s="559"/>
      <c r="ED165" s="67"/>
      <c r="EE165" s="560"/>
      <c r="EF165" s="561"/>
      <c r="EG165" s="558">
        <v>0</v>
      </c>
      <c r="EH165" s="559"/>
      <c r="EI165" s="67"/>
      <c r="EJ165" s="560"/>
      <c r="EK165" s="561"/>
      <c r="EL165" s="558">
        <f>SUM(CD165:EG165)</f>
        <v>0</v>
      </c>
      <c r="EM165" s="559"/>
      <c r="EN165" s="67"/>
      <c r="EO165" s="455"/>
    </row>
    <row r="166" spans="1:148" ht="12.75" hidden="1" customHeight="1" x14ac:dyDescent="0.2">
      <c r="A166" s="442"/>
      <c r="B166" s="442"/>
      <c r="C166" s="442"/>
      <c r="D166" s="455" t="s">
        <v>470</v>
      </c>
      <c r="E166" s="465"/>
      <c r="F166" s="488"/>
      <c r="G166" s="113">
        <v>0</v>
      </c>
      <c r="H166" s="112"/>
      <c r="I166" s="67"/>
      <c r="J166" s="560"/>
      <c r="K166" s="569"/>
      <c r="L166" s="113">
        <v>0</v>
      </c>
      <c r="M166" s="112"/>
      <c r="N166" s="67"/>
      <c r="O166" s="560"/>
      <c r="P166" s="569"/>
      <c r="Q166" s="113">
        <v>0</v>
      </c>
      <c r="R166" s="112"/>
      <c r="S166" s="67"/>
      <c r="T166" s="560"/>
      <c r="U166" s="569"/>
      <c r="V166" s="113">
        <v>0</v>
      </c>
      <c r="W166" s="112"/>
      <c r="X166" s="67"/>
      <c r="Y166" s="560"/>
      <c r="Z166" s="569"/>
      <c r="AA166" s="113">
        <v>0</v>
      </c>
      <c r="AB166" s="112"/>
      <c r="AC166" s="67"/>
      <c r="AD166" s="560"/>
      <c r="AE166" s="569"/>
      <c r="AF166" s="113">
        <v>0</v>
      </c>
      <c r="AG166" s="112"/>
      <c r="AH166" s="67"/>
      <c r="AI166" s="560"/>
      <c r="AJ166" s="569"/>
      <c r="AK166" s="113">
        <v>0</v>
      </c>
      <c r="AL166" s="112"/>
      <c r="AM166" s="67"/>
      <c r="AN166" s="560"/>
      <c r="AO166" s="569"/>
      <c r="AP166" s="113">
        <v>0</v>
      </c>
      <c r="AQ166" s="112"/>
      <c r="AR166" s="67"/>
      <c r="AS166" s="560"/>
      <c r="AT166" s="569"/>
      <c r="AU166" s="113">
        <v>0</v>
      </c>
      <c r="AV166" s="112"/>
      <c r="AW166" s="67"/>
      <c r="AX166" s="560"/>
      <c r="AY166" s="569"/>
      <c r="AZ166" s="113">
        <v>0</v>
      </c>
      <c r="BA166" s="112"/>
      <c r="BB166" s="67"/>
      <c r="BC166" s="560"/>
      <c r="BD166" s="569"/>
      <c r="BE166" s="113">
        <v>0</v>
      </c>
      <c r="BF166" s="112"/>
      <c r="BG166" s="67"/>
      <c r="BH166" s="560"/>
      <c r="BI166" s="569"/>
      <c r="BJ166" s="113">
        <v>0</v>
      </c>
      <c r="BK166" s="112"/>
      <c r="BL166" s="67"/>
      <c r="BM166" s="560"/>
      <c r="BN166" s="569"/>
      <c r="BO166" s="113">
        <v>0</v>
      </c>
      <c r="BP166" s="112"/>
      <c r="BQ166" s="67"/>
      <c r="BR166" s="560"/>
      <c r="BS166" s="569"/>
      <c r="BT166" s="113">
        <f>SUM(L166:BO166)</f>
        <v>0</v>
      </c>
      <c r="BU166" s="112"/>
      <c r="BV166" s="67"/>
      <c r="BW166" s="560"/>
      <c r="BX166" s="569"/>
      <c r="BY166" s="113">
        <v>0</v>
      </c>
      <c r="BZ166" s="112"/>
      <c r="CA166" s="67"/>
      <c r="CB166" s="560"/>
      <c r="CC166" s="569"/>
      <c r="CD166" s="113">
        <v>0</v>
      </c>
      <c r="CE166" s="112"/>
      <c r="CF166" s="67"/>
      <c r="CG166" s="560"/>
      <c r="CH166" s="569"/>
      <c r="CI166" s="113">
        <v>0</v>
      </c>
      <c r="CJ166" s="112"/>
      <c r="CK166" s="67"/>
      <c r="CL166" s="560"/>
      <c r="CM166" s="569"/>
      <c r="CN166" s="113">
        <v>0</v>
      </c>
      <c r="CO166" s="112"/>
      <c r="CP166" s="67"/>
      <c r="CQ166" s="560"/>
      <c r="CR166" s="569"/>
      <c r="CS166" s="113">
        <v>0</v>
      </c>
      <c r="CT166" s="112"/>
      <c r="CU166" s="67"/>
      <c r="CV166" s="560"/>
      <c r="CW166" s="569"/>
      <c r="CX166" s="113">
        <v>0</v>
      </c>
      <c r="CY166" s="112"/>
      <c r="CZ166" s="67"/>
      <c r="DA166" s="560"/>
      <c r="DB166" s="569"/>
      <c r="DC166" s="113">
        <v>0</v>
      </c>
      <c r="DD166" s="112"/>
      <c r="DE166" s="67"/>
      <c r="DF166" s="560"/>
      <c r="DG166" s="569"/>
      <c r="DH166" s="113">
        <v>0</v>
      </c>
      <c r="DI166" s="112"/>
      <c r="DJ166" s="67"/>
      <c r="DK166" s="560"/>
      <c r="DL166" s="569"/>
      <c r="DM166" s="113">
        <v>0</v>
      </c>
      <c r="DN166" s="112"/>
      <c r="DO166" s="67"/>
      <c r="DP166" s="560"/>
      <c r="DQ166" s="569"/>
      <c r="DR166" s="113">
        <v>0</v>
      </c>
      <c r="DS166" s="112"/>
      <c r="DT166" s="67"/>
      <c r="DU166" s="560"/>
      <c r="DV166" s="569"/>
      <c r="DW166" s="113">
        <v>0</v>
      </c>
      <c r="DX166" s="112"/>
      <c r="DY166" s="67"/>
      <c r="DZ166" s="560"/>
      <c r="EA166" s="569"/>
      <c r="EB166" s="113">
        <v>0</v>
      </c>
      <c r="EC166" s="112"/>
      <c r="ED166" s="67"/>
      <c r="EE166" s="560"/>
      <c r="EF166" s="569"/>
      <c r="EG166" s="113">
        <v>0</v>
      </c>
      <c r="EH166" s="112"/>
      <c r="EI166" s="67"/>
      <c r="EJ166" s="560"/>
      <c r="EK166" s="569"/>
      <c r="EL166" s="113">
        <f>SUM(CD166:EG166)</f>
        <v>0</v>
      </c>
      <c r="EM166" s="112"/>
      <c r="EN166" s="67"/>
      <c r="EO166" s="455"/>
    </row>
    <row r="167" spans="1:148" hidden="1" x14ac:dyDescent="0.2">
      <c r="A167" s="442"/>
      <c r="B167" s="442"/>
      <c r="C167" s="442"/>
      <c r="D167" s="455"/>
      <c r="E167" s="465"/>
      <c r="F167" s="442"/>
      <c r="G167" s="67"/>
      <c r="H167" s="67"/>
      <c r="I167" s="67"/>
      <c r="J167" s="560"/>
      <c r="K167" s="67"/>
      <c r="L167" s="67"/>
      <c r="M167" s="67"/>
      <c r="N167" s="67"/>
      <c r="O167" s="560"/>
      <c r="P167" s="67"/>
      <c r="Q167" s="67"/>
      <c r="R167" s="67"/>
      <c r="S167" s="67"/>
      <c r="T167" s="560"/>
      <c r="U167" s="67"/>
      <c r="V167" s="67"/>
      <c r="W167" s="67"/>
      <c r="X167" s="67"/>
      <c r="Y167" s="560"/>
      <c r="Z167" s="67"/>
      <c r="AA167" s="67"/>
      <c r="AB167" s="67"/>
      <c r="AC167" s="67"/>
      <c r="AD167" s="560"/>
      <c r="AE167" s="67"/>
      <c r="AF167" s="67"/>
      <c r="AG167" s="67"/>
      <c r="AH167" s="67"/>
      <c r="AI167" s="560"/>
      <c r="AJ167" s="67"/>
      <c r="AK167" s="67"/>
      <c r="AL167" s="67"/>
      <c r="AM167" s="67"/>
      <c r="AN167" s="560"/>
      <c r="AO167" s="67"/>
      <c r="AP167" s="67"/>
      <c r="AQ167" s="67"/>
      <c r="AR167" s="67"/>
      <c r="AS167" s="560"/>
      <c r="AT167" s="67"/>
      <c r="AU167" s="67"/>
      <c r="AV167" s="67"/>
      <c r="AW167" s="67"/>
      <c r="AX167" s="560"/>
      <c r="AY167" s="67"/>
      <c r="AZ167" s="67"/>
      <c r="BA167" s="67"/>
      <c r="BB167" s="67"/>
      <c r="BC167" s="560"/>
      <c r="BD167" s="67"/>
      <c r="BE167" s="67"/>
      <c r="BF167" s="67"/>
      <c r="BG167" s="67"/>
      <c r="BH167" s="560"/>
      <c r="BI167" s="67"/>
      <c r="BJ167" s="67"/>
      <c r="BK167" s="67"/>
      <c r="BL167" s="67"/>
      <c r="BM167" s="560"/>
      <c r="BN167" s="67"/>
      <c r="BO167" s="67"/>
      <c r="BP167" s="67"/>
      <c r="BQ167" s="67"/>
      <c r="BR167" s="560"/>
      <c r="BS167" s="67"/>
      <c r="BT167" s="67"/>
      <c r="BU167" s="67"/>
      <c r="BV167" s="67"/>
      <c r="BW167" s="560"/>
      <c r="BX167" s="67"/>
      <c r="BY167" s="67"/>
      <c r="BZ167" s="67"/>
      <c r="CA167" s="67"/>
      <c r="CB167" s="560"/>
      <c r="CC167" s="67"/>
      <c r="CD167" s="67"/>
      <c r="CE167" s="67"/>
      <c r="CF167" s="67"/>
      <c r="CG167" s="560"/>
      <c r="CH167" s="67"/>
      <c r="CI167" s="67"/>
      <c r="CJ167" s="67"/>
      <c r="CK167" s="67"/>
      <c r="CL167" s="560"/>
      <c r="CM167" s="67"/>
      <c r="CN167" s="67"/>
      <c r="CO167" s="67"/>
      <c r="CP167" s="67"/>
      <c r="CQ167" s="560"/>
      <c r="CR167" s="67"/>
      <c r="CS167" s="67"/>
      <c r="CT167" s="67"/>
      <c r="CU167" s="67"/>
      <c r="CV167" s="560"/>
      <c r="CW167" s="67"/>
      <c r="CX167" s="67"/>
      <c r="CY167" s="67"/>
      <c r="CZ167" s="67"/>
      <c r="DA167" s="560"/>
      <c r="DB167" s="67"/>
      <c r="DC167" s="67"/>
      <c r="DD167" s="67"/>
      <c r="DE167" s="67"/>
      <c r="DF167" s="560"/>
      <c r="DG167" s="67"/>
      <c r="DH167" s="67"/>
      <c r="DI167" s="67"/>
      <c r="DJ167" s="67"/>
      <c r="DK167" s="560"/>
      <c r="DL167" s="67"/>
      <c r="DM167" s="67"/>
      <c r="DN167" s="67"/>
      <c r="DO167" s="67"/>
      <c r="DP167" s="560"/>
      <c r="DQ167" s="67"/>
      <c r="DR167" s="67"/>
      <c r="DS167" s="67"/>
      <c r="DT167" s="67"/>
      <c r="DU167" s="560"/>
      <c r="DV167" s="67"/>
      <c r="DW167" s="67"/>
      <c r="DX167" s="67"/>
      <c r="DY167" s="67"/>
      <c r="DZ167" s="560"/>
      <c r="EA167" s="67"/>
      <c r="EB167" s="67"/>
      <c r="EC167" s="67"/>
      <c r="ED167" s="67"/>
      <c r="EE167" s="560"/>
      <c r="EF167" s="67"/>
      <c r="EG167" s="67"/>
      <c r="EH167" s="67"/>
      <c r="EI167" s="67"/>
      <c r="EJ167" s="560"/>
      <c r="EK167" s="67"/>
      <c r="EL167" s="67"/>
      <c r="EM167" s="67"/>
      <c r="EN167" s="67"/>
      <c r="EO167" s="455"/>
    </row>
    <row r="168" spans="1:148" s="472" customFormat="1" hidden="1" x14ac:dyDescent="0.2">
      <c r="A168" s="443"/>
      <c r="B168" s="443"/>
      <c r="C168" s="443"/>
      <c r="D168" s="466" t="s">
        <v>485</v>
      </c>
      <c r="E168" s="468"/>
      <c r="F168" s="443"/>
      <c r="G168" s="58">
        <v>0</v>
      </c>
      <c r="H168" s="58"/>
      <c r="I168" s="58"/>
      <c r="J168" s="556"/>
      <c r="K168" s="58"/>
      <c r="L168" s="58">
        <f>SUM(L169:L170)</f>
        <v>0</v>
      </c>
      <c r="M168" s="58"/>
      <c r="N168" s="58"/>
      <c r="O168" s="556"/>
      <c r="P168" s="58"/>
      <c r="Q168" s="58">
        <f>SUM(Q169:Q170)</f>
        <v>0</v>
      </c>
      <c r="R168" s="58"/>
      <c r="S168" s="58"/>
      <c r="T168" s="556"/>
      <c r="U168" s="58"/>
      <c r="V168" s="58">
        <f>SUM(V169:V170)</f>
        <v>0</v>
      </c>
      <c r="W168" s="58"/>
      <c r="X168" s="58"/>
      <c r="Y168" s="556"/>
      <c r="Z168" s="58"/>
      <c r="AA168" s="58">
        <f>SUM(AA169:AA170)</f>
        <v>0</v>
      </c>
      <c r="AB168" s="58"/>
      <c r="AC168" s="58"/>
      <c r="AD168" s="556"/>
      <c r="AE168" s="58"/>
      <c r="AF168" s="58">
        <f>SUM(AF169:AF170)</f>
        <v>0</v>
      </c>
      <c r="AG168" s="58"/>
      <c r="AH168" s="58"/>
      <c r="AI168" s="556"/>
      <c r="AJ168" s="58"/>
      <c r="AK168" s="58">
        <f>SUM(AK169:AK170)</f>
        <v>0</v>
      </c>
      <c r="AL168" s="58"/>
      <c r="AM168" s="58"/>
      <c r="AN168" s="556"/>
      <c r="AO168" s="58"/>
      <c r="AP168" s="58">
        <f>SUM(AP169:AP170)</f>
        <v>0</v>
      </c>
      <c r="AQ168" s="58"/>
      <c r="AR168" s="58"/>
      <c r="AS168" s="556"/>
      <c r="AT168" s="58"/>
      <c r="AU168" s="58">
        <f>SUM(AU169:AU170)</f>
        <v>0</v>
      </c>
      <c r="AV168" s="58"/>
      <c r="AW168" s="58"/>
      <c r="AX168" s="556"/>
      <c r="AY168" s="58"/>
      <c r="AZ168" s="58">
        <f>SUM(AZ169:AZ170)</f>
        <v>0</v>
      </c>
      <c r="BA168" s="58"/>
      <c r="BB168" s="58"/>
      <c r="BC168" s="556"/>
      <c r="BD168" s="58"/>
      <c r="BE168" s="58">
        <f>SUM(BE169:BE170)</f>
        <v>0</v>
      </c>
      <c r="BF168" s="58"/>
      <c r="BG168" s="58"/>
      <c r="BH168" s="556"/>
      <c r="BI168" s="58"/>
      <c r="BJ168" s="58">
        <f>SUM(BJ169:BJ170)</f>
        <v>0</v>
      </c>
      <c r="BK168" s="58"/>
      <c r="BL168" s="58"/>
      <c r="BM168" s="556"/>
      <c r="BN168" s="58"/>
      <c r="BO168" s="58">
        <f>SUM(BO169:BO170)</f>
        <v>0</v>
      </c>
      <c r="BP168" s="58"/>
      <c r="BQ168" s="58"/>
      <c r="BR168" s="556"/>
      <c r="BS168" s="58"/>
      <c r="BT168" s="58">
        <f>SUM(BT169:BT170)</f>
        <v>0</v>
      </c>
      <c r="BU168" s="58"/>
      <c r="BV168" s="58"/>
      <c r="BW168" s="556"/>
      <c r="BX168" s="58"/>
      <c r="BY168" s="58">
        <v>0</v>
      </c>
      <c r="BZ168" s="58"/>
      <c r="CA168" s="58"/>
      <c r="CB168" s="556"/>
      <c r="CC168" s="58"/>
      <c r="CD168" s="58">
        <f>SUM(CD169:CD170)</f>
        <v>0</v>
      </c>
      <c r="CE168" s="58"/>
      <c r="CF168" s="58"/>
      <c r="CG168" s="556"/>
      <c r="CH168" s="58"/>
      <c r="CI168" s="58">
        <f>SUM(CI169:CI170)</f>
        <v>0</v>
      </c>
      <c r="CJ168" s="58"/>
      <c r="CK168" s="58"/>
      <c r="CL168" s="556"/>
      <c r="CM168" s="58"/>
      <c r="CN168" s="58">
        <f>SUM(CN169:CN170)</f>
        <v>0</v>
      </c>
      <c r="CO168" s="58"/>
      <c r="CP168" s="58"/>
      <c r="CQ168" s="556"/>
      <c r="CR168" s="58"/>
      <c r="CS168" s="58">
        <f>SUM(CS169:CS170)</f>
        <v>0</v>
      </c>
      <c r="CT168" s="58"/>
      <c r="CU168" s="58"/>
      <c r="CV168" s="556"/>
      <c r="CW168" s="58"/>
      <c r="CX168" s="58">
        <f>SUM(CX169:CX170)</f>
        <v>0</v>
      </c>
      <c r="CY168" s="58"/>
      <c r="CZ168" s="58"/>
      <c r="DA168" s="556"/>
      <c r="DB168" s="58"/>
      <c r="DC168" s="58">
        <f>SUM(DC169:DC170)</f>
        <v>0</v>
      </c>
      <c r="DD168" s="58"/>
      <c r="DE168" s="58"/>
      <c r="DF168" s="556"/>
      <c r="DG168" s="58"/>
      <c r="DH168" s="58">
        <f>SUM(DH169:DH170)</f>
        <v>0</v>
      </c>
      <c r="DI168" s="58"/>
      <c r="DJ168" s="58"/>
      <c r="DK168" s="556"/>
      <c r="DL168" s="58"/>
      <c r="DM168" s="58">
        <f>SUM(DM169:DM170)</f>
        <v>0</v>
      </c>
      <c r="DN168" s="58"/>
      <c r="DO168" s="58"/>
      <c r="DP168" s="556"/>
      <c r="DQ168" s="58"/>
      <c r="DR168" s="58">
        <f>SUM(DR169:DR170)</f>
        <v>0</v>
      </c>
      <c r="DS168" s="58"/>
      <c r="DT168" s="58"/>
      <c r="DU168" s="556"/>
      <c r="DV168" s="58"/>
      <c r="DW168" s="58">
        <f>SUM(DW169:DW170)</f>
        <v>0</v>
      </c>
      <c r="DX168" s="58"/>
      <c r="DY168" s="58"/>
      <c r="DZ168" s="556"/>
      <c r="EA168" s="58"/>
      <c r="EB168" s="58">
        <f>SUM(EB169:EB170)</f>
        <v>0</v>
      </c>
      <c r="EC168" s="58"/>
      <c r="ED168" s="58"/>
      <c r="EE168" s="556"/>
      <c r="EF168" s="58"/>
      <c r="EG168" s="58">
        <f>SUM(EG169:EG170)</f>
        <v>0</v>
      </c>
      <c r="EH168" s="58"/>
      <c r="EI168" s="58"/>
      <c r="EJ168" s="556"/>
      <c r="EK168" s="58"/>
      <c r="EL168" s="58">
        <f>SUM(EL169:EL170)</f>
        <v>0</v>
      </c>
      <c r="EM168" s="58"/>
      <c r="EN168" s="58"/>
      <c r="EO168" s="466"/>
      <c r="EQ168" s="53"/>
      <c r="ER168" s="53"/>
    </row>
    <row r="169" spans="1:148" hidden="1" x14ac:dyDescent="0.2">
      <c r="A169" s="442"/>
      <c r="B169" s="442"/>
      <c r="C169" s="442"/>
      <c r="D169" s="455" t="s">
        <v>469</v>
      </c>
      <c r="E169" s="465"/>
      <c r="F169" s="473"/>
      <c r="G169" s="558">
        <v>0</v>
      </c>
      <c r="H169" s="559"/>
      <c r="I169" s="67"/>
      <c r="J169" s="560"/>
      <c r="K169" s="561"/>
      <c r="L169" s="558">
        <f>L173+L177+L181+L185</f>
        <v>0</v>
      </c>
      <c r="M169" s="559"/>
      <c r="N169" s="67"/>
      <c r="O169" s="560"/>
      <c r="P169" s="561"/>
      <c r="Q169" s="558">
        <f>Q173+Q177+Q181+Q185</f>
        <v>0</v>
      </c>
      <c r="R169" s="559"/>
      <c r="S169" s="67"/>
      <c r="T169" s="560"/>
      <c r="U169" s="561"/>
      <c r="V169" s="558">
        <f>V173+V177+V181+V185</f>
        <v>0</v>
      </c>
      <c r="W169" s="559"/>
      <c r="X169" s="67"/>
      <c r="Y169" s="560"/>
      <c r="Z169" s="561"/>
      <c r="AA169" s="558">
        <f>AA173+AA177+AA181+AA185</f>
        <v>0</v>
      </c>
      <c r="AB169" s="559"/>
      <c r="AC169" s="67"/>
      <c r="AD169" s="560"/>
      <c r="AE169" s="561"/>
      <c r="AF169" s="558">
        <f>AF173+AF177+AF181+AF185</f>
        <v>0</v>
      </c>
      <c r="AG169" s="559"/>
      <c r="AH169" s="67"/>
      <c r="AI169" s="560"/>
      <c r="AJ169" s="561"/>
      <c r="AK169" s="558">
        <f>AK173+AK177+AK181+AK185</f>
        <v>0</v>
      </c>
      <c r="AL169" s="559"/>
      <c r="AM169" s="67"/>
      <c r="AN169" s="560"/>
      <c r="AO169" s="561"/>
      <c r="AP169" s="558">
        <f>AP173+AP177+AP181+AP185</f>
        <v>0</v>
      </c>
      <c r="AQ169" s="559"/>
      <c r="AR169" s="67"/>
      <c r="AS169" s="560"/>
      <c r="AT169" s="561"/>
      <c r="AU169" s="558">
        <f>AU173+AU177+AU181+AU185</f>
        <v>0</v>
      </c>
      <c r="AV169" s="559"/>
      <c r="AW169" s="67"/>
      <c r="AX169" s="560"/>
      <c r="AY169" s="561"/>
      <c r="AZ169" s="558">
        <f>AZ173+AZ177+AZ181+AZ185</f>
        <v>0</v>
      </c>
      <c r="BA169" s="559"/>
      <c r="BB169" s="67"/>
      <c r="BC169" s="560"/>
      <c r="BD169" s="561"/>
      <c r="BE169" s="558">
        <f>BE173+BE177+BE181+BE185</f>
        <v>0</v>
      </c>
      <c r="BF169" s="559"/>
      <c r="BG169" s="67"/>
      <c r="BH169" s="560"/>
      <c r="BI169" s="561"/>
      <c r="BJ169" s="558">
        <f>BJ173+BJ177+BJ181+BJ185</f>
        <v>0</v>
      </c>
      <c r="BK169" s="559"/>
      <c r="BL169" s="67"/>
      <c r="BM169" s="560"/>
      <c r="BN169" s="561"/>
      <c r="BO169" s="558">
        <f>BO173+BO177+BO181+BO185</f>
        <v>0</v>
      </c>
      <c r="BP169" s="559"/>
      <c r="BQ169" s="67"/>
      <c r="BR169" s="560"/>
      <c r="BS169" s="561"/>
      <c r="BT169" s="558">
        <f>BT173+BT177+BT181+BT185</f>
        <v>0</v>
      </c>
      <c r="BU169" s="559"/>
      <c r="BV169" s="67"/>
      <c r="BW169" s="560"/>
      <c r="BX169" s="561"/>
      <c r="BY169" s="558">
        <v>0</v>
      </c>
      <c r="BZ169" s="559"/>
      <c r="CA169" s="67"/>
      <c r="CB169" s="560"/>
      <c r="CC169" s="561"/>
      <c r="CD169" s="558">
        <f>CD173+CD177+CD181+CD185</f>
        <v>0</v>
      </c>
      <c r="CE169" s="559"/>
      <c r="CF169" s="67"/>
      <c r="CG169" s="560"/>
      <c r="CH169" s="561"/>
      <c r="CI169" s="558">
        <f>CI173+CI177+CI181+CI185</f>
        <v>0</v>
      </c>
      <c r="CJ169" s="559"/>
      <c r="CK169" s="67"/>
      <c r="CL169" s="560"/>
      <c r="CM169" s="561"/>
      <c r="CN169" s="558">
        <f>CN173+CN177+CN181+CN185</f>
        <v>0</v>
      </c>
      <c r="CO169" s="559"/>
      <c r="CP169" s="67"/>
      <c r="CQ169" s="560"/>
      <c r="CR169" s="561"/>
      <c r="CS169" s="558">
        <f>CS173+CS177+CS181+CS185</f>
        <v>0</v>
      </c>
      <c r="CT169" s="559"/>
      <c r="CU169" s="67"/>
      <c r="CV169" s="560"/>
      <c r="CW169" s="561"/>
      <c r="CX169" s="558">
        <f>CX173+CX177+CX181+CX185</f>
        <v>0</v>
      </c>
      <c r="CY169" s="559"/>
      <c r="CZ169" s="67"/>
      <c r="DA169" s="560"/>
      <c r="DB169" s="561"/>
      <c r="DC169" s="558">
        <f>DC173+DC177+DC181+DC185</f>
        <v>0</v>
      </c>
      <c r="DD169" s="559"/>
      <c r="DE169" s="67"/>
      <c r="DF169" s="560"/>
      <c r="DG169" s="561"/>
      <c r="DH169" s="558">
        <f>DH173+DH177+DH181+DH185</f>
        <v>0</v>
      </c>
      <c r="DI169" s="559"/>
      <c r="DJ169" s="67"/>
      <c r="DK169" s="560"/>
      <c r="DL169" s="561"/>
      <c r="DM169" s="558">
        <f>DM173+DM177+DM181+DM185</f>
        <v>0</v>
      </c>
      <c r="DN169" s="559"/>
      <c r="DO169" s="67"/>
      <c r="DP169" s="560"/>
      <c r="DQ169" s="561"/>
      <c r="DR169" s="558">
        <f>DR173+DR177+DR181+DR185</f>
        <v>0</v>
      </c>
      <c r="DS169" s="559"/>
      <c r="DT169" s="67"/>
      <c r="DU169" s="560"/>
      <c r="DV169" s="561"/>
      <c r="DW169" s="558">
        <f>DW173+DW177+DW181+DW185</f>
        <v>0</v>
      </c>
      <c r="DX169" s="559"/>
      <c r="DY169" s="67"/>
      <c r="DZ169" s="560"/>
      <c r="EA169" s="561"/>
      <c r="EB169" s="558">
        <f>EB173+EB177+EB181+EB185</f>
        <v>0</v>
      </c>
      <c r="EC169" s="559"/>
      <c r="ED169" s="67"/>
      <c r="EE169" s="560"/>
      <c r="EF169" s="561"/>
      <c r="EG169" s="558">
        <f>EG173+EG177+EG181+EG185</f>
        <v>0</v>
      </c>
      <c r="EH169" s="559"/>
      <c r="EI169" s="67"/>
      <c r="EJ169" s="560"/>
      <c r="EK169" s="561"/>
      <c r="EL169" s="558">
        <f>EL173+EL177+EL181+EL185</f>
        <v>0</v>
      </c>
      <c r="EM169" s="559"/>
      <c r="EN169" s="67"/>
      <c r="EO169" s="455"/>
    </row>
    <row r="170" spans="1:148" hidden="1" x14ac:dyDescent="0.2">
      <c r="A170" s="442"/>
      <c r="B170" s="442"/>
      <c r="C170" s="442"/>
      <c r="D170" s="455" t="s">
        <v>470</v>
      </c>
      <c r="E170" s="465"/>
      <c r="F170" s="488"/>
      <c r="G170" s="113">
        <v>0</v>
      </c>
      <c r="H170" s="112"/>
      <c r="I170" s="67"/>
      <c r="J170" s="560"/>
      <c r="K170" s="569"/>
      <c r="L170" s="113">
        <f>L174+L178+L182+L186</f>
        <v>0</v>
      </c>
      <c r="M170" s="112"/>
      <c r="N170" s="67"/>
      <c r="O170" s="560"/>
      <c r="P170" s="569"/>
      <c r="Q170" s="113">
        <f>Q174+Q178+Q182+Q186</f>
        <v>0</v>
      </c>
      <c r="R170" s="112"/>
      <c r="S170" s="67"/>
      <c r="T170" s="560"/>
      <c r="U170" s="569"/>
      <c r="V170" s="113">
        <f>V174+V178+V182+V186</f>
        <v>0</v>
      </c>
      <c r="W170" s="112"/>
      <c r="X170" s="67"/>
      <c r="Y170" s="560"/>
      <c r="Z170" s="569"/>
      <c r="AA170" s="113">
        <f>AA174+AA178+AA182+AA186</f>
        <v>0</v>
      </c>
      <c r="AB170" s="112"/>
      <c r="AC170" s="67"/>
      <c r="AD170" s="560"/>
      <c r="AE170" s="569"/>
      <c r="AF170" s="113">
        <f>AF174+AF178+AF182+AF186</f>
        <v>0</v>
      </c>
      <c r="AG170" s="112"/>
      <c r="AH170" s="67"/>
      <c r="AI170" s="560"/>
      <c r="AJ170" s="569"/>
      <c r="AK170" s="113">
        <f>AK174+AK178+AK182+AK186</f>
        <v>0</v>
      </c>
      <c r="AL170" s="112"/>
      <c r="AM170" s="67"/>
      <c r="AN170" s="560"/>
      <c r="AO170" s="569"/>
      <c r="AP170" s="113">
        <f>AP174+AP178+AP182+AP186</f>
        <v>0</v>
      </c>
      <c r="AQ170" s="112"/>
      <c r="AR170" s="67"/>
      <c r="AS170" s="560"/>
      <c r="AT170" s="569"/>
      <c r="AU170" s="113">
        <f>AU174+AU178+AU182+AU186</f>
        <v>0</v>
      </c>
      <c r="AV170" s="112"/>
      <c r="AW170" s="67"/>
      <c r="AX170" s="560"/>
      <c r="AY170" s="569"/>
      <c r="AZ170" s="113">
        <f>AZ174+AZ178+AZ182+AZ186</f>
        <v>0</v>
      </c>
      <c r="BA170" s="112"/>
      <c r="BB170" s="67"/>
      <c r="BC170" s="560"/>
      <c r="BD170" s="569"/>
      <c r="BE170" s="113">
        <f>BE174+BE178+BE182+BE186</f>
        <v>0</v>
      </c>
      <c r="BF170" s="112"/>
      <c r="BG170" s="67"/>
      <c r="BH170" s="560"/>
      <c r="BI170" s="569"/>
      <c r="BJ170" s="113">
        <f>BJ174+BJ178+BJ182+BJ186</f>
        <v>0</v>
      </c>
      <c r="BK170" s="112"/>
      <c r="BL170" s="67"/>
      <c r="BM170" s="560"/>
      <c r="BN170" s="569"/>
      <c r="BO170" s="113">
        <f>BO174+BO178+BO182+BO186</f>
        <v>0</v>
      </c>
      <c r="BP170" s="112"/>
      <c r="BQ170" s="67"/>
      <c r="BR170" s="560"/>
      <c r="BS170" s="569"/>
      <c r="BT170" s="113">
        <f>BT174+BT178+BT182+BT186</f>
        <v>0</v>
      </c>
      <c r="BU170" s="112"/>
      <c r="BV170" s="67"/>
      <c r="BW170" s="560"/>
      <c r="BX170" s="569"/>
      <c r="BY170" s="113">
        <v>0</v>
      </c>
      <c r="BZ170" s="112"/>
      <c r="CA170" s="67"/>
      <c r="CB170" s="560"/>
      <c r="CC170" s="569"/>
      <c r="CD170" s="113">
        <f>CD174+CD178+CD182+CD186</f>
        <v>0</v>
      </c>
      <c r="CE170" s="112"/>
      <c r="CF170" s="67"/>
      <c r="CG170" s="560"/>
      <c r="CH170" s="569"/>
      <c r="CI170" s="113">
        <f>CI174+CI178+CI182+CI186</f>
        <v>0</v>
      </c>
      <c r="CJ170" s="112"/>
      <c r="CK170" s="67"/>
      <c r="CL170" s="560"/>
      <c r="CM170" s="569"/>
      <c r="CN170" s="113">
        <f>CN174+CN178+CN182+CN186</f>
        <v>0</v>
      </c>
      <c r="CO170" s="112"/>
      <c r="CP170" s="67"/>
      <c r="CQ170" s="560"/>
      <c r="CR170" s="569"/>
      <c r="CS170" s="113">
        <f>CS174+CS178+CS182+CS186</f>
        <v>0</v>
      </c>
      <c r="CT170" s="112"/>
      <c r="CU170" s="67"/>
      <c r="CV170" s="560"/>
      <c r="CW170" s="569"/>
      <c r="CX170" s="113">
        <f>CX174+CX178+CX182+CX186</f>
        <v>0</v>
      </c>
      <c r="CY170" s="112"/>
      <c r="CZ170" s="67"/>
      <c r="DA170" s="560"/>
      <c r="DB170" s="569"/>
      <c r="DC170" s="113">
        <f>DC174+DC178+DC182+DC186</f>
        <v>0</v>
      </c>
      <c r="DD170" s="112"/>
      <c r="DE170" s="67"/>
      <c r="DF170" s="560"/>
      <c r="DG170" s="569"/>
      <c r="DH170" s="113">
        <f>DH174+DH178+DH182+DH186</f>
        <v>0</v>
      </c>
      <c r="DI170" s="112"/>
      <c r="DJ170" s="67"/>
      <c r="DK170" s="560"/>
      <c r="DL170" s="569"/>
      <c r="DM170" s="113">
        <f>DM174+DM178+DM182+DM186</f>
        <v>0</v>
      </c>
      <c r="DN170" s="112"/>
      <c r="DO170" s="67"/>
      <c r="DP170" s="560"/>
      <c r="DQ170" s="569"/>
      <c r="DR170" s="113">
        <f>DR174+DR178+DR182+DR186</f>
        <v>0</v>
      </c>
      <c r="DS170" s="112"/>
      <c r="DT170" s="67"/>
      <c r="DU170" s="560"/>
      <c r="DV170" s="569"/>
      <c r="DW170" s="113">
        <f>DW174+DW178+DW182+DW186</f>
        <v>0</v>
      </c>
      <c r="DX170" s="112"/>
      <c r="DY170" s="67"/>
      <c r="DZ170" s="560"/>
      <c r="EA170" s="569"/>
      <c r="EB170" s="113">
        <f>EB174+EB178+EB182+EB186</f>
        <v>0</v>
      </c>
      <c r="EC170" s="112"/>
      <c r="ED170" s="67"/>
      <c r="EE170" s="560"/>
      <c r="EF170" s="569"/>
      <c r="EG170" s="113">
        <f>EG174+EG178+EG182+EG186</f>
        <v>0</v>
      </c>
      <c r="EH170" s="112"/>
      <c r="EI170" s="67"/>
      <c r="EJ170" s="560"/>
      <c r="EK170" s="569"/>
      <c r="EL170" s="113">
        <f>EL174+EL178+EL182+EL186</f>
        <v>0</v>
      </c>
      <c r="EM170" s="112"/>
      <c r="EN170" s="67"/>
      <c r="EO170" s="455"/>
    </row>
    <row r="171" spans="1:148" hidden="1" x14ac:dyDescent="0.2">
      <c r="A171" s="442"/>
      <c r="B171" s="442"/>
      <c r="C171" s="442"/>
      <c r="D171" s="455"/>
      <c r="E171" s="465"/>
      <c r="F171" s="442"/>
      <c r="G171" s="67"/>
      <c r="H171" s="67"/>
      <c r="I171" s="67"/>
      <c r="J171" s="560"/>
      <c r="K171" s="67"/>
      <c r="L171" s="67"/>
      <c r="M171" s="67"/>
      <c r="N171" s="67"/>
      <c r="O171" s="560"/>
      <c r="P171" s="67"/>
      <c r="Q171" s="67"/>
      <c r="R171" s="67"/>
      <c r="S171" s="67"/>
      <c r="T171" s="560"/>
      <c r="U171" s="67"/>
      <c r="V171" s="67"/>
      <c r="W171" s="67"/>
      <c r="X171" s="67"/>
      <c r="Y171" s="560"/>
      <c r="Z171" s="67"/>
      <c r="AA171" s="67"/>
      <c r="AB171" s="67"/>
      <c r="AC171" s="67"/>
      <c r="AD171" s="560"/>
      <c r="AE171" s="67"/>
      <c r="AF171" s="67"/>
      <c r="AG171" s="67"/>
      <c r="AH171" s="67"/>
      <c r="AI171" s="560"/>
      <c r="AJ171" s="67"/>
      <c r="AK171" s="67"/>
      <c r="AL171" s="67"/>
      <c r="AM171" s="67"/>
      <c r="AN171" s="560"/>
      <c r="AO171" s="67"/>
      <c r="AP171" s="67"/>
      <c r="AQ171" s="67"/>
      <c r="AR171" s="67"/>
      <c r="AS171" s="560"/>
      <c r="AT171" s="67"/>
      <c r="AU171" s="67"/>
      <c r="AV171" s="67"/>
      <c r="AW171" s="67"/>
      <c r="AX171" s="560"/>
      <c r="AY171" s="67"/>
      <c r="AZ171" s="67"/>
      <c r="BA171" s="67"/>
      <c r="BB171" s="67"/>
      <c r="BC171" s="560"/>
      <c r="BD171" s="67"/>
      <c r="BE171" s="67"/>
      <c r="BF171" s="67"/>
      <c r="BG171" s="67"/>
      <c r="BH171" s="560"/>
      <c r="BI171" s="67"/>
      <c r="BJ171" s="67"/>
      <c r="BK171" s="67"/>
      <c r="BL171" s="67"/>
      <c r="BM171" s="560"/>
      <c r="BN171" s="67"/>
      <c r="BO171" s="67"/>
      <c r="BP171" s="67"/>
      <c r="BQ171" s="67"/>
      <c r="BR171" s="560"/>
      <c r="BS171" s="67"/>
      <c r="BT171" s="67"/>
      <c r="BU171" s="67"/>
      <c r="BV171" s="67"/>
      <c r="BW171" s="560"/>
      <c r="BX171" s="67"/>
      <c r="BY171" s="67"/>
      <c r="BZ171" s="67"/>
      <c r="CA171" s="67"/>
      <c r="CB171" s="560"/>
      <c r="CC171" s="67"/>
      <c r="CD171" s="67"/>
      <c r="CE171" s="67"/>
      <c r="CF171" s="67"/>
      <c r="CG171" s="560"/>
      <c r="CH171" s="67"/>
      <c r="CI171" s="67"/>
      <c r="CJ171" s="67"/>
      <c r="CK171" s="67"/>
      <c r="CL171" s="560"/>
      <c r="CM171" s="67"/>
      <c r="CN171" s="67"/>
      <c r="CO171" s="67"/>
      <c r="CP171" s="67"/>
      <c r="CQ171" s="560"/>
      <c r="CR171" s="67"/>
      <c r="CS171" s="67"/>
      <c r="CT171" s="67"/>
      <c r="CU171" s="67"/>
      <c r="CV171" s="560"/>
      <c r="CW171" s="67"/>
      <c r="CX171" s="67"/>
      <c r="CY171" s="67"/>
      <c r="CZ171" s="67"/>
      <c r="DA171" s="560"/>
      <c r="DB171" s="67"/>
      <c r="DC171" s="67"/>
      <c r="DD171" s="67"/>
      <c r="DE171" s="67"/>
      <c r="DF171" s="560"/>
      <c r="DG171" s="67"/>
      <c r="DH171" s="67"/>
      <c r="DI171" s="67"/>
      <c r="DJ171" s="67"/>
      <c r="DK171" s="560"/>
      <c r="DL171" s="67"/>
      <c r="DM171" s="67"/>
      <c r="DN171" s="67"/>
      <c r="DO171" s="67"/>
      <c r="DP171" s="560"/>
      <c r="DQ171" s="67"/>
      <c r="DR171" s="67"/>
      <c r="DS171" s="67"/>
      <c r="DT171" s="67"/>
      <c r="DU171" s="560"/>
      <c r="DV171" s="67"/>
      <c r="DW171" s="67"/>
      <c r="DX171" s="67"/>
      <c r="DY171" s="67"/>
      <c r="DZ171" s="560"/>
      <c r="EA171" s="67"/>
      <c r="EB171" s="67"/>
      <c r="EC171" s="67"/>
      <c r="ED171" s="67"/>
      <c r="EE171" s="560"/>
      <c r="EF171" s="67"/>
      <c r="EG171" s="67"/>
      <c r="EH171" s="67"/>
      <c r="EI171" s="67"/>
      <c r="EJ171" s="560"/>
      <c r="EK171" s="67"/>
      <c r="EL171" s="67"/>
      <c r="EM171" s="67"/>
      <c r="EN171" s="67"/>
      <c r="EO171" s="455"/>
    </row>
    <row r="172" spans="1:148" hidden="1" x14ac:dyDescent="0.2">
      <c r="A172" s="442"/>
      <c r="B172" s="442"/>
      <c r="C172" s="442"/>
      <c r="D172" s="455" t="s">
        <v>486</v>
      </c>
      <c r="E172" s="465"/>
      <c r="F172" s="442"/>
      <c r="G172" s="67">
        <v>0</v>
      </c>
      <c r="H172" s="67"/>
      <c r="I172" s="67"/>
      <c r="J172" s="560"/>
      <c r="K172" s="67"/>
      <c r="L172" s="67">
        <f>SUM(L173:L174)</f>
        <v>0</v>
      </c>
      <c r="M172" s="67"/>
      <c r="N172" s="67"/>
      <c r="O172" s="560"/>
      <c r="P172" s="67"/>
      <c r="Q172" s="67">
        <f>SUM(Q173:Q174)</f>
        <v>0</v>
      </c>
      <c r="R172" s="67"/>
      <c r="S172" s="67"/>
      <c r="T172" s="560"/>
      <c r="U172" s="67"/>
      <c r="V172" s="67">
        <f>SUM(V173:V174)</f>
        <v>0</v>
      </c>
      <c r="W172" s="67"/>
      <c r="X172" s="67"/>
      <c r="Y172" s="560"/>
      <c r="Z172" s="67"/>
      <c r="AA172" s="67">
        <f>SUM(AA173:AA174)</f>
        <v>0</v>
      </c>
      <c r="AB172" s="67"/>
      <c r="AC172" s="67"/>
      <c r="AD172" s="560"/>
      <c r="AE172" s="67"/>
      <c r="AF172" s="67">
        <f>SUM(AF173:AF174)</f>
        <v>0</v>
      </c>
      <c r="AG172" s="67"/>
      <c r="AH172" s="67"/>
      <c r="AI172" s="560"/>
      <c r="AJ172" s="67"/>
      <c r="AK172" s="67">
        <f>SUM(AK173:AK174)</f>
        <v>0</v>
      </c>
      <c r="AL172" s="67"/>
      <c r="AM172" s="67"/>
      <c r="AN172" s="560"/>
      <c r="AO172" s="67"/>
      <c r="AP172" s="67">
        <f>SUM(AP173:AP174)</f>
        <v>0</v>
      </c>
      <c r="AQ172" s="67"/>
      <c r="AR172" s="67"/>
      <c r="AS172" s="560"/>
      <c r="AT172" s="67"/>
      <c r="AU172" s="67">
        <f>SUM(AU173:AU174)</f>
        <v>0</v>
      </c>
      <c r="AV172" s="67"/>
      <c r="AW172" s="67"/>
      <c r="AX172" s="560"/>
      <c r="AY172" s="67"/>
      <c r="AZ172" s="67">
        <f>SUM(AZ173:AZ174)</f>
        <v>0</v>
      </c>
      <c r="BA172" s="67"/>
      <c r="BB172" s="67"/>
      <c r="BC172" s="560"/>
      <c r="BD172" s="67"/>
      <c r="BE172" s="67">
        <f>SUM(BE173:BE174)</f>
        <v>0</v>
      </c>
      <c r="BF172" s="67"/>
      <c r="BG172" s="67"/>
      <c r="BH172" s="560"/>
      <c r="BI172" s="67"/>
      <c r="BJ172" s="67">
        <f>SUM(BJ173:BJ174)</f>
        <v>0</v>
      </c>
      <c r="BK172" s="67"/>
      <c r="BL172" s="67"/>
      <c r="BM172" s="560"/>
      <c r="BN172" s="67"/>
      <c r="BO172" s="67">
        <f>SUM(BO173:BO174)</f>
        <v>0</v>
      </c>
      <c r="BP172" s="67"/>
      <c r="BQ172" s="67"/>
      <c r="BR172" s="560"/>
      <c r="BS172" s="67"/>
      <c r="BT172" s="67">
        <f>SUM(BT173:BT174)</f>
        <v>0</v>
      </c>
      <c r="BU172" s="67"/>
      <c r="BV172" s="67"/>
      <c r="BW172" s="560"/>
      <c r="BX172" s="67"/>
      <c r="BY172" s="67">
        <v>0</v>
      </c>
      <c r="BZ172" s="67"/>
      <c r="CA172" s="67"/>
      <c r="CB172" s="560"/>
      <c r="CC172" s="67"/>
      <c r="CD172" s="67">
        <f>SUM(CD173:CD174)</f>
        <v>0</v>
      </c>
      <c r="CE172" s="67"/>
      <c r="CF172" s="67"/>
      <c r="CG172" s="560"/>
      <c r="CH172" s="67"/>
      <c r="CI172" s="67">
        <f>SUM(CI173:CI174)</f>
        <v>0</v>
      </c>
      <c r="CJ172" s="67"/>
      <c r="CK172" s="67"/>
      <c r="CL172" s="560"/>
      <c r="CM172" s="67"/>
      <c r="CN172" s="67">
        <f>SUM(CN173:CN174)</f>
        <v>0</v>
      </c>
      <c r="CO172" s="67"/>
      <c r="CP172" s="67"/>
      <c r="CQ172" s="560"/>
      <c r="CR172" s="67"/>
      <c r="CS172" s="67">
        <f>SUM(CS173:CS174)</f>
        <v>0</v>
      </c>
      <c r="CT172" s="67"/>
      <c r="CU172" s="67"/>
      <c r="CV172" s="560"/>
      <c r="CW172" s="67"/>
      <c r="CX172" s="67">
        <f>SUM(CX173:CX174)</f>
        <v>0</v>
      </c>
      <c r="CY172" s="67"/>
      <c r="CZ172" s="67"/>
      <c r="DA172" s="560"/>
      <c r="DB172" s="67"/>
      <c r="DC172" s="67">
        <f>SUM(DC173:DC174)</f>
        <v>0</v>
      </c>
      <c r="DD172" s="67"/>
      <c r="DE172" s="67"/>
      <c r="DF172" s="560"/>
      <c r="DG172" s="67"/>
      <c r="DH172" s="67">
        <f>SUM(DH173:DH174)</f>
        <v>0</v>
      </c>
      <c r="DI172" s="67"/>
      <c r="DJ172" s="67"/>
      <c r="DK172" s="560"/>
      <c r="DL172" s="67"/>
      <c r="DM172" s="67">
        <f>SUM(DM173:DM174)</f>
        <v>0</v>
      </c>
      <c r="DN172" s="67"/>
      <c r="DO172" s="67"/>
      <c r="DP172" s="560"/>
      <c r="DQ172" s="67"/>
      <c r="DR172" s="67">
        <f>SUM(DR173:DR174)</f>
        <v>0</v>
      </c>
      <c r="DS172" s="67"/>
      <c r="DT172" s="67"/>
      <c r="DU172" s="560"/>
      <c r="DV172" s="67"/>
      <c r="DW172" s="67">
        <f>SUM(DW173:DW174)</f>
        <v>0</v>
      </c>
      <c r="DX172" s="67"/>
      <c r="DY172" s="67"/>
      <c r="DZ172" s="560"/>
      <c r="EA172" s="67"/>
      <c r="EB172" s="67">
        <f>SUM(EB173:EB174)</f>
        <v>0</v>
      </c>
      <c r="EC172" s="67"/>
      <c r="ED172" s="67"/>
      <c r="EE172" s="560"/>
      <c r="EF172" s="67"/>
      <c r="EG172" s="67">
        <f>SUM(EG173:EG174)</f>
        <v>0</v>
      </c>
      <c r="EH172" s="67"/>
      <c r="EI172" s="67"/>
      <c r="EJ172" s="560"/>
      <c r="EK172" s="67"/>
      <c r="EL172" s="67">
        <f>SUM(EL173:EL174)</f>
        <v>0</v>
      </c>
      <c r="EM172" s="67"/>
      <c r="EN172" s="67"/>
      <c r="EO172" s="455"/>
    </row>
    <row r="173" spans="1:148" hidden="1" x14ac:dyDescent="0.2">
      <c r="A173" s="442"/>
      <c r="B173" s="442"/>
      <c r="C173" s="442"/>
      <c r="D173" s="455" t="s">
        <v>469</v>
      </c>
      <c r="E173" s="465"/>
      <c r="F173" s="473"/>
      <c r="G173" s="558">
        <v>0</v>
      </c>
      <c r="H173" s="559"/>
      <c r="I173" s="67"/>
      <c r="J173" s="560"/>
      <c r="K173" s="561"/>
      <c r="L173" s="558">
        <v>0</v>
      </c>
      <c r="M173" s="559"/>
      <c r="N173" s="67"/>
      <c r="O173" s="560"/>
      <c r="P173" s="561"/>
      <c r="Q173" s="558">
        <v>0</v>
      </c>
      <c r="R173" s="559"/>
      <c r="S173" s="67"/>
      <c r="T173" s="560"/>
      <c r="U173" s="561"/>
      <c r="V173" s="558">
        <v>0</v>
      </c>
      <c r="W173" s="559"/>
      <c r="X173" s="67"/>
      <c r="Y173" s="560"/>
      <c r="Z173" s="561"/>
      <c r="AA173" s="558">
        <v>0</v>
      </c>
      <c r="AB173" s="559"/>
      <c r="AC173" s="67"/>
      <c r="AD173" s="560"/>
      <c r="AE173" s="561"/>
      <c r="AF173" s="558">
        <v>0</v>
      </c>
      <c r="AG173" s="559"/>
      <c r="AH173" s="67"/>
      <c r="AI173" s="560"/>
      <c r="AJ173" s="561"/>
      <c r="AK173" s="558">
        <v>0</v>
      </c>
      <c r="AL173" s="559"/>
      <c r="AM173" s="67"/>
      <c r="AN173" s="560"/>
      <c r="AO173" s="561"/>
      <c r="AP173" s="558">
        <v>0</v>
      </c>
      <c r="AQ173" s="559"/>
      <c r="AR173" s="67"/>
      <c r="AS173" s="560"/>
      <c r="AT173" s="561"/>
      <c r="AU173" s="558">
        <v>0</v>
      </c>
      <c r="AV173" s="559"/>
      <c r="AW173" s="67"/>
      <c r="AX173" s="560"/>
      <c r="AY173" s="561"/>
      <c r="AZ173" s="558">
        <v>0</v>
      </c>
      <c r="BA173" s="559"/>
      <c r="BB173" s="67"/>
      <c r="BC173" s="560"/>
      <c r="BD173" s="561"/>
      <c r="BE173" s="558">
        <v>0</v>
      </c>
      <c r="BF173" s="559"/>
      <c r="BG173" s="67"/>
      <c r="BH173" s="560"/>
      <c r="BI173" s="561"/>
      <c r="BJ173" s="558">
        <v>0</v>
      </c>
      <c r="BK173" s="559"/>
      <c r="BL173" s="67"/>
      <c r="BM173" s="560"/>
      <c r="BN173" s="561"/>
      <c r="BO173" s="558">
        <v>0</v>
      </c>
      <c r="BP173" s="559"/>
      <c r="BQ173" s="67"/>
      <c r="BR173" s="560"/>
      <c r="BS173" s="561"/>
      <c r="BT173" s="558">
        <f>SUM(L173:BO173)</f>
        <v>0</v>
      </c>
      <c r="BU173" s="559"/>
      <c r="BV173" s="67"/>
      <c r="BW173" s="560"/>
      <c r="BX173" s="561"/>
      <c r="BY173" s="558">
        <v>0</v>
      </c>
      <c r="BZ173" s="559"/>
      <c r="CA173" s="67"/>
      <c r="CB173" s="560"/>
      <c r="CC173" s="561"/>
      <c r="CD173" s="558">
        <v>0</v>
      </c>
      <c r="CE173" s="559"/>
      <c r="CF173" s="67"/>
      <c r="CG173" s="560"/>
      <c r="CH173" s="561"/>
      <c r="CI173" s="558">
        <v>0</v>
      </c>
      <c r="CJ173" s="559"/>
      <c r="CK173" s="67"/>
      <c r="CL173" s="560"/>
      <c r="CM173" s="561"/>
      <c r="CN173" s="558">
        <v>0</v>
      </c>
      <c r="CO173" s="559"/>
      <c r="CP173" s="67"/>
      <c r="CQ173" s="560"/>
      <c r="CR173" s="561"/>
      <c r="CS173" s="558">
        <v>0</v>
      </c>
      <c r="CT173" s="559"/>
      <c r="CU173" s="67"/>
      <c r="CV173" s="560"/>
      <c r="CW173" s="561"/>
      <c r="CX173" s="558">
        <v>0</v>
      </c>
      <c r="CY173" s="559"/>
      <c r="CZ173" s="67"/>
      <c r="DA173" s="560"/>
      <c r="DB173" s="561"/>
      <c r="DC173" s="558">
        <v>0</v>
      </c>
      <c r="DD173" s="559"/>
      <c r="DE173" s="67"/>
      <c r="DF173" s="560"/>
      <c r="DG173" s="561"/>
      <c r="DH173" s="558">
        <v>0</v>
      </c>
      <c r="DI173" s="559"/>
      <c r="DJ173" s="67"/>
      <c r="DK173" s="560"/>
      <c r="DL173" s="561"/>
      <c r="DM173" s="558">
        <v>0</v>
      </c>
      <c r="DN173" s="559"/>
      <c r="DO173" s="67"/>
      <c r="DP173" s="560"/>
      <c r="DQ173" s="561"/>
      <c r="DR173" s="558">
        <v>0</v>
      </c>
      <c r="DS173" s="559"/>
      <c r="DT173" s="67"/>
      <c r="DU173" s="560"/>
      <c r="DV173" s="561"/>
      <c r="DW173" s="558">
        <v>0</v>
      </c>
      <c r="DX173" s="559"/>
      <c r="DY173" s="67"/>
      <c r="DZ173" s="560"/>
      <c r="EA173" s="561"/>
      <c r="EB173" s="558">
        <v>0</v>
      </c>
      <c r="EC173" s="559"/>
      <c r="ED173" s="67"/>
      <c r="EE173" s="560"/>
      <c r="EF173" s="561"/>
      <c r="EG173" s="558">
        <v>0</v>
      </c>
      <c r="EH173" s="559"/>
      <c r="EI173" s="67"/>
      <c r="EJ173" s="560"/>
      <c r="EK173" s="561"/>
      <c r="EL173" s="558">
        <f>SUM(CD173:EG173)</f>
        <v>0</v>
      </c>
      <c r="EM173" s="559"/>
      <c r="EN173" s="67"/>
      <c r="EO173" s="455"/>
    </row>
    <row r="174" spans="1:148" hidden="1" x14ac:dyDescent="0.2">
      <c r="A174" s="442"/>
      <c r="B174" s="442"/>
      <c r="C174" s="442"/>
      <c r="D174" s="455" t="s">
        <v>470</v>
      </c>
      <c r="E174" s="465"/>
      <c r="F174" s="488"/>
      <c r="G174" s="113">
        <v>0</v>
      </c>
      <c r="H174" s="112"/>
      <c r="I174" s="67"/>
      <c r="J174" s="560"/>
      <c r="K174" s="569"/>
      <c r="L174" s="113">
        <v>0</v>
      </c>
      <c r="M174" s="112"/>
      <c r="N174" s="67"/>
      <c r="O174" s="560"/>
      <c r="P174" s="569"/>
      <c r="Q174" s="113">
        <v>0</v>
      </c>
      <c r="R174" s="112"/>
      <c r="S174" s="67"/>
      <c r="T174" s="560"/>
      <c r="U174" s="569"/>
      <c r="V174" s="113">
        <v>0</v>
      </c>
      <c r="W174" s="112"/>
      <c r="X174" s="67"/>
      <c r="Y174" s="560"/>
      <c r="Z174" s="569"/>
      <c r="AA174" s="113">
        <v>0</v>
      </c>
      <c r="AB174" s="112"/>
      <c r="AC174" s="67"/>
      <c r="AD174" s="560"/>
      <c r="AE174" s="569"/>
      <c r="AF174" s="113">
        <v>0</v>
      </c>
      <c r="AG174" s="112"/>
      <c r="AH174" s="67"/>
      <c r="AI174" s="560"/>
      <c r="AJ174" s="569"/>
      <c r="AK174" s="113">
        <v>0</v>
      </c>
      <c r="AL174" s="112"/>
      <c r="AM174" s="67"/>
      <c r="AN174" s="560"/>
      <c r="AO174" s="569"/>
      <c r="AP174" s="113">
        <v>0</v>
      </c>
      <c r="AQ174" s="112"/>
      <c r="AR174" s="67"/>
      <c r="AS174" s="560"/>
      <c r="AT174" s="569"/>
      <c r="AU174" s="113">
        <v>0</v>
      </c>
      <c r="AV174" s="112"/>
      <c r="AW174" s="67"/>
      <c r="AX174" s="560"/>
      <c r="AY174" s="569"/>
      <c r="AZ174" s="113">
        <v>0</v>
      </c>
      <c r="BA174" s="112"/>
      <c r="BB174" s="67"/>
      <c r="BC174" s="560"/>
      <c r="BD174" s="569"/>
      <c r="BE174" s="113">
        <v>0</v>
      </c>
      <c r="BF174" s="112"/>
      <c r="BG174" s="67"/>
      <c r="BH174" s="560"/>
      <c r="BI174" s="569"/>
      <c r="BJ174" s="113">
        <v>0</v>
      </c>
      <c r="BK174" s="112"/>
      <c r="BL174" s="67"/>
      <c r="BM174" s="560"/>
      <c r="BN174" s="569"/>
      <c r="BO174" s="113">
        <v>0</v>
      </c>
      <c r="BP174" s="112"/>
      <c r="BQ174" s="67"/>
      <c r="BR174" s="560"/>
      <c r="BS174" s="569"/>
      <c r="BT174" s="113">
        <f>SUM(L174:BO174)</f>
        <v>0</v>
      </c>
      <c r="BU174" s="112"/>
      <c r="BV174" s="67"/>
      <c r="BW174" s="560"/>
      <c r="BX174" s="569"/>
      <c r="BY174" s="113">
        <v>0</v>
      </c>
      <c r="BZ174" s="112"/>
      <c r="CA174" s="67"/>
      <c r="CB174" s="560"/>
      <c r="CC174" s="569"/>
      <c r="CD174" s="113">
        <v>0</v>
      </c>
      <c r="CE174" s="112"/>
      <c r="CF174" s="67"/>
      <c r="CG174" s="560"/>
      <c r="CH174" s="569"/>
      <c r="CI174" s="113">
        <v>0</v>
      </c>
      <c r="CJ174" s="112"/>
      <c r="CK174" s="67"/>
      <c r="CL174" s="560"/>
      <c r="CM174" s="569"/>
      <c r="CN174" s="113">
        <v>0</v>
      </c>
      <c r="CO174" s="112"/>
      <c r="CP174" s="67"/>
      <c r="CQ174" s="560"/>
      <c r="CR174" s="569"/>
      <c r="CS174" s="113">
        <v>0</v>
      </c>
      <c r="CT174" s="112"/>
      <c r="CU174" s="67"/>
      <c r="CV174" s="560"/>
      <c r="CW174" s="569"/>
      <c r="CX174" s="113">
        <v>0</v>
      </c>
      <c r="CY174" s="112"/>
      <c r="CZ174" s="67"/>
      <c r="DA174" s="560"/>
      <c r="DB174" s="569"/>
      <c r="DC174" s="113">
        <v>0</v>
      </c>
      <c r="DD174" s="112"/>
      <c r="DE174" s="67"/>
      <c r="DF174" s="560"/>
      <c r="DG174" s="569"/>
      <c r="DH174" s="113">
        <v>0</v>
      </c>
      <c r="DI174" s="112"/>
      <c r="DJ174" s="67"/>
      <c r="DK174" s="560"/>
      <c r="DL174" s="569"/>
      <c r="DM174" s="113">
        <v>0</v>
      </c>
      <c r="DN174" s="112"/>
      <c r="DO174" s="67"/>
      <c r="DP174" s="560"/>
      <c r="DQ174" s="569"/>
      <c r="DR174" s="113">
        <v>0</v>
      </c>
      <c r="DS174" s="112"/>
      <c r="DT174" s="67"/>
      <c r="DU174" s="560"/>
      <c r="DV174" s="569"/>
      <c r="DW174" s="113">
        <v>0</v>
      </c>
      <c r="DX174" s="112"/>
      <c r="DY174" s="67"/>
      <c r="DZ174" s="560"/>
      <c r="EA174" s="569"/>
      <c r="EB174" s="113">
        <v>0</v>
      </c>
      <c r="EC174" s="112"/>
      <c r="ED174" s="67"/>
      <c r="EE174" s="560"/>
      <c r="EF174" s="569"/>
      <c r="EG174" s="113">
        <v>0</v>
      </c>
      <c r="EH174" s="112"/>
      <c r="EI174" s="67"/>
      <c r="EJ174" s="560"/>
      <c r="EK174" s="569"/>
      <c r="EL174" s="113">
        <f>SUM(CD174:EG174)</f>
        <v>0</v>
      </c>
      <c r="EM174" s="112"/>
      <c r="EN174" s="67"/>
      <c r="EO174" s="455"/>
    </row>
    <row r="175" spans="1:148" hidden="1" x14ac:dyDescent="0.2">
      <c r="A175" s="442"/>
      <c r="B175" s="442"/>
      <c r="C175" s="442"/>
      <c r="D175" s="455"/>
      <c r="E175" s="465"/>
      <c r="F175" s="442"/>
      <c r="G175" s="67"/>
      <c r="H175" s="67"/>
      <c r="I175" s="67"/>
      <c r="J175" s="560"/>
      <c r="K175" s="67"/>
      <c r="L175" s="67"/>
      <c r="M175" s="67"/>
      <c r="N175" s="67"/>
      <c r="O175" s="560"/>
      <c r="P175" s="67"/>
      <c r="Q175" s="67"/>
      <c r="R175" s="67"/>
      <c r="S175" s="67"/>
      <c r="T175" s="560"/>
      <c r="U175" s="67"/>
      <c r="V175" s="67"/>
      <c r="W175" s="67"/>
      <c r="X175" s="67"/>
      <c r="Y175" s="560"/>
      <c r="Z175" s="67"/>
      <c r="AA175" s="67"/>
      <c r="AB175" s="67"/>
      <c r="AC175" s="67"/>
      <c r="AD175" s="560"/>
      <c r="AE175" s="67"/>
      <c r="AF175" s="67"/>
      <c r="AG175" s="67"/>
      <c r="AH175" s="67"/>
      <c r="AI175" s="560"/>
      <c r="AJ175" s="67"/>
      <c r="AK175" s="67"/>
      <c r="AL175" s="67"/>
      <c r="AM175" s="67"/>
      <c r="AN175" s="560"/>
      <c r="AO175" s="67"/>
      <c r="AP175" s="67"/>
      <c r="AQ175" s="67"/>
      <c r="AR175" s="67"/>
      <c r="AS175" s="560"/>
      <c r="AT175" s="67"/>
      <c r="AU175" s="67"/>
      <c r="AV175" s="67"/>
      <c r="AW175" s="67"/>
      <c r="AX175" s="560"/>
      <c r="AY175" s="67"/>
      <c r="AZ175" s="67"/>
      <c r="BA175" s="67"/>
      <c r="BB175" s="67"/>
      <c r="BC175" s="560"/>
      <c r="BD175" s="67"/>
      <c r="BE175" s="67"/>
      <c r="BF175" s="67"/>
      <c r="BG175" s="67"/>
      <c r="BH175" s="560"/>
      <c r="BI175" s="67"/>
      <c r="BJ175" s="67"/>
      <c r="BK175" s="67"/>
      <c r="BL175" s="67"/>
      <c r="BM175" s="560"/>
      <c r="BN175" s="67"/>
      <c r="BO175" s="67"/>
      <c r="BP175" s="67"/>
      <c r="BQ175" s="67"/>
      <c r="BR175" s="560"/>
      <c r="BS175" s="67"/>
      <c r="BT175" s="67"/>
      <c r="BU175" s="67"/>
      <c r="BV175" s="67"/>
      <c r="BW175" s="560"/>
      <c r="BX175" s="67"/>
      <c r="BY175" s="67"/>
      <c r="BZ175" s="67"/>
      <c r="CA175" s="67"/>
      <c r="CB175" s="560"/>
      <c r="CC175" s="67"/>
      <c r="CD175" s="67"/>
      <c r="CE175" s="67"/>
      <c r="CF175" s="67"/>
      <c r="CG175" s="560"/>
      <c r="CH175" s="67"/>
      <c r="CI175" s="67"/>
      <c r="CJ175" s="67"/>
      <c r="CK175" s="67"/>
      <c r="CL175" s="560"/>
      <c r="CM175" s="67"/>
      <c r="CN175" s="67"/>
      <c r="CO175" s="67"/>
      <c r="CP175" s="67"/>
      <c r="CQ175" s="560"/>
      <c r="CR175" s="67"/>
      <c r="CS175" s="67"/>
      <c r="CT175" s="67"/>
      <c r="CU175" s="67"/>
      <c r="CV175" s="560"/>
      <c r="CW175" s="67"/>
      <c r="CX175" s="67"/>
      <c r="CY175" s="67"/>
      <c r="CZ175" s="67"/>
      <c r="DA175" s="560"/>
      <c r="DB175" s="67"/>
      <c r="DC175" s="67"/>
      <c r="DD175" s="67"/>
      <c r="DE175" s="67"/>
      <c r="DF175" s="560"/>
      <c r="DG175" s="67"/>
      <c r="DH175" s="67"/>
      <c r="DI175" s="67"/>
      <c r="DJ175" s="67"/>
      <c r="DK175" s="560"/>
      <c r="DL175" s="67"/>
      <c r="DM175" s="67"/>
      <c r="DN175" s="67"/>
      <c r="DO175" s="67"/>
      <c r="DP175" s="560"/>
      <c r="DQ175" s="67"/>
      <c r="DR175" s="67"/>
      <c r="DS175" s="67"/>
      <c r="DT175" s="67"/>
      <c r="DU175" s="560"/>
      <c r="DV175" s="67"/>
      <c r="DW175" s="67"/>
      <c r="DX175" s="67"/>
      <c r="DY175" s="67"/>
      <c r="DZ175" s="560"/>
      <c r="EA175" s="67"/>
      <c r="EB175" s="67"/>
      <c r="EC175" s="67"/>
      <c r="ED175" s="67"/>
      <c r="EE175" s="560"/>
      <c r="EF175" s="67"/>
      <c r="EG175" s="67"/>
      <c r="EH175" s="67"/>
      <c r="EI175" s="67"/>
      <c r="EJ175" s="560"/>
      <c r="EK175" s="67"/>
      <c r="EL175" s="67"/>
      <c r="EM175" s="67"/>
      <c r="EN175" s="67"/>
      <c r="EO175" s="455"/>
    </row>
    <row r="176" spans="1:148" hidden="1" x14ac:dyDescent="0.2">
      <c r="A176" s="442"/>
      <c r="B176" s="442"/>
      <c r="C176" s="442"/>
      <c r="D176" s="455" t="s">
        <v>487</v>
      </c>
      <c r="E176" s="465"/>
      <c r="F176" s="442"/>
      <c r="G176" s="67">
        <f>SUM(G177:G178)</f>
        <v>0</v>
      </c>
      <c r="H176" s="67"/>
      <c r="I176" s="67"/>
      <c r="J176" s="560"/>
      <c r="K176" s="67"/>
      <c r="L176" s="67">
        <f>SUM(L177:L178)</f>
        <v>0</v>
      </c>
      <c r="M176" s="67"/>
      <c r="N176" s="67"/>
      <c r="O176" s="560"/>
      <c r="P176" s="67"/>
      <c r="Q176" s="67">
        <f>SUM(Q177:Q178)</f>
        <v>0</v>
      </c>
      <c r="R176" s="67"/>
      <c r="S176" s="67"/>
      <c r="T176" s="560"/>
      <c r="U176" s="67"/>
      <c r="V176" s="67">
        <f>SUM(V177:V178)</f>
        <v>0</v>
      </c>
      <c r="W176" s="67"/>
      <c r="X176" s="67"/>
      <c r="Y176" s="560"/>
      <c r="Z176" s="67"/>
      <c r="AA176" s="67">
        <f>SUM(AA177:AA178)</f>
        <v>0</v>
      </c>
      <c r="AB176" s="67"/>
      <c r="AC176" s="67"/>
      <c r="AD176" s="560"/>
      <c r="AE176" s="67"/>
      <c r="AF176" s="67">
        <f>SUM(AF177:AF178)</f>
        <v>0</v>
      </c>
      <c r="AG176" s="67"/>
      <c r="AH176" s="67"/>
      <c r="AI176" s="560"/>
      <c r="AJ176" s="67"/>
      <c r="AK176" s="67">
        <f>SUM(AK177:AK178)</f>
        <v>0</v>
      </c>
      <c r="AL176" s="67"/>
      <c r="AM176" s="67"/>
      <c r="AN176" s="560"/>
      <c r="AO176" s="67"/>
      <c r="AP176" s="67">
        <f>SUM(AP177:AP178)</f>
        <v>0</v>
      </c>
      <c r="AQ176" s="67"/>
      <c r="AR176" s="67"/>
      <c r="AS176" s="560"/>
      <c r="AT176" s="67"/>
      <c r="AU176" s="67">
        <f>SUM(AU177:AU178)</f>
        <v>0</v>
      </c>
      <c r="AV176" s="67"/>
      <c r="AW176" s="67"/>
      <c r="AX176" s="560"/>
      <c r="AY176" s="67"/>
      <c r="AZ176" s="67">
        <f>SUM(AZ177:AZ178)</f>
        <v>0</v>
      </c>
      <c r="BA176" s="67"/>
      <c r="BB176" s="67"/>
      <c r="BC176" s="560"/>
      <c r="BD176" s="67"/>
      <c r="BE176" s="67">
        <f>SUM(BE177:BE178)</f>
        <v>0</v>
      </c>
      <c r="BF176" s="67"/>
      <c r="BG176" s="67"/>
      <c r="BH176" s="560"/>
      <c r="BI176" s="67"/>
      <c r="BJ176" s="67">
        <f>SUM(BJ177:BJ178)</f>
        <v>0</v>
      </c>
      <c r="BK176" s="67"/>
      <c r="BL176" s="67"/>
      <c r="BM176" s="560"/>
      <c r="BN176" s="67"/>
      <c r="BO176" s="67">
        <f>SUM(BO177:BO178)</f>
        <v>0</v>
      </c>
      <c r="BP176" s="67"/>
      <c r="BQ176" s="67"/>
      <c r="BR176" s="560"/>
      <c r="BS176" s="67"/>
      <c r="BT176" s="67">
        <f>SUM(BT177:BT178)</f>
        <v>0</v>
      </c>
      <c r="BU176" s="67"/>
      <c r="BV176" s="67"/>
      <c r="BW176" s="560"/>
      <c r="BX176" s="67"/>
      <c r="BY176" s="67">
        <f>SUM(BY177:BY178)</f>
        <v>0</v>
      </c>
      <c r="BZ176" s="67"/>
      <c r="CA176" s="67"/>
      <c r="CB176" s="560"/>
      <c r="CC176" s="67"/>
      <c r="CD176" s="67">
        <f>SUM(CD177:CD178)</f>
        <v>0</v>
      </c>
      <c r="CE176" s="67"/>
      <c r="CF176" s="67"/>
      <c r="CG176" s="560"/>
      <c r="CH176" s="67"/>
      <c r="CI176" s="67">
        <f>SUM(CI177:CI178)</f>
        <v>0</v>
      </c>
      <c r="CJ176" s="67"/>
      <c r="CK176" s="67"/>
      <c r="CL176" s="560"/>
      <c r="CM176" s="67"/>
      <c r="CN176" s="67">
        <f>SUM(CN177:CN178)</f>
        <v>0</v>
      </c>
      <c r="CO176" s="67"/>
      <c r="CP176" s="67"/>
      <c r="CQ176" s="560"/>
      <c r="CR176" s="67"/>
      <c r="CS176" s="67">
        <f>SUM(CS177:CS178)</f>
        <v>0</v>
      </c>
      <c r="CT176" s="67"/>
      <c r="CU176" s="67"/>
      <c r="CV176" s="560"/>
      <c r="CW176" s="67"/>
      <c r="CX176" s="67">
        <f>SUM(CX177:CX178)</f>
        <v>0</v>
      </c>
      <c r="CY176" s="67"/>
      <c r="CZ176" s="67"/>
      <c r="DA176" s="560"/>
      <c r="DB176" s="67"/>
      <c r="DC176" s="67">
        <f>SUM(DC177:DC178)</f>
        <v>0</v>
      </c>
      <c r="DD176" s="67"/>
      <c r="DE176" s="67"/>
      <c r="DF176" s="560"/>
      <c r="DG176" s="67"/>
      <c r="DH176" s="67">
        <f>SUM(DH177:DH178)</f>
        <v>0</v>
      </c>
      <c r="DI176" s="67"/>
      <c r="DJ176" s="67"/>
      <c r="DK176" s="560"/>
      <c r="DL176" s="67"/>
      <c r="DM176" s="67">
        <f>SUM(DM177:DM178)</f>
        <v>0</v>
      </c>
      <c r="DN176" s="67"/>
      <c r="DO176" s="67"/>
      <c r="DP176" s="560"/>
      <c r="DQ176" s="67"/>
      <c r="DR176" s="67">
        <f>SUM(DR177:DR178)</f>
        <v>0</v>
      </c>
      <c r="DS176" s="67"/>
      <c r="DT176" s="67"/>
      <c r="DU176" s="560"/>
      <c r="DV176" s="67"/>
      <c r="DW176" s="67">
        <f>SUM(DW177:DW178)</f>
        <v>0</v>
      </c>
      <c r="DX176" s="67"/>
      <c r="DY176" s="67"/>
      <c r="DZ176" s="560"/>
      <c r="EA176" s="67"/>
      <c r="EB176" s="67">
        <f>SUM(EB177:EB178)</f>
        <v>0</v>
      </c>
      <c r="EC176" s="67"/>
      <c r="ED176" s="67"/>
      <c r="EE176" s="560"/>
      <c r="EF176" s="67"/>
      <c r="EG176" s="67">
        <f>SUM(EG177:EG178)</f>
        <v>0</v>
      </c>
      <c r="EH176" s="67"/>
      <c r="EI176" s="67"/>
      <c r="EJ176" s="560"/>
      <c r="EK176" s="67"/>
      <c r="EL176" s="67">
        <f>SUM(EL177:EL178)</f>
        <v>0</v>
      </c>
      <c r="EM176" s="67"/>
      <c r="EN176" s="67"/>
      <c r="EO176" s="455"/>
    </row>
    <row r="177" spans="1:145" hidden="1" x14ac:dyDescent="0.2">
      <c r="A177" s="442"/>
      <c r="B177" s="442"/>
      <c r="C177" s="442"/>
      <c r="D177" s="455" t="s">
        <v>469</v>
      </c>
      <c r="E177" s="465"/>
      <c r="F177" s="473"/>
      <c r="G177" s="558">
        <v>0</v>
      </c>
      <c r="H177" s="559"/>
      <c r="I177" s="67"/>
      <c r="J177" s="560"/>
      <c r="K177" s="561"/>
      <c r="L177" s="558">
        <v>0</v>
      </c>
      <c r="M177" s="559"/>
      <c r="N177" s="67"/>
      <c r="O177" s="560"/>
      <c r="P177" s="561"/>
      <c r="Q177" s="558">
        <v>0</v>
      </c>
      <c r="R177" s="559"/>
      <c r="S177" s="67"/>
      <c r="T177" s="560"/>
      <c r="U177" s="561"/>
      <c r="V177" s="558">
        <v>0</v>
      </c>
      <c r="W177" s="559"/>
      <c r="X177" s="67"/>
      <c r="Y177" s="560"/>
      <c r="Z177" s="561"/>
      <c r="AA177" s="558">
        <v>0</v>
      </c>
      <c r="AB177" s="559"/>
      <c r="AC177" s="67"/>
      <c r="AD177" s="560"/>
      <c r="AE177" s="561"/>
      <c r="AF177" s="558">
        <v>0</v>
      </c>
      <c r="AG177" s="559"/>
      <c r="AH177" s="67"/>
      <c r="AI177" s="560"/>
      <c r="AJ177" s="561"/>
      <c r="AK177" s="558">
        <v>0</v>
      </c>
      <c r="AL177" s="559"/>
      <c r="AM177" s="67"/>
      <c r="AN177" s="560"/>
      <c r="AO177" s="561"/>
      <c r="AP177" s="558">
        <v>0</v>
      </c>
      <c r="AQ177" s="559"/>
      <c r="AR177" s="67"/>
      <c r="AS177" s="560"/>
      <c r="AT177" s="561"/>
      <c r="AU177" s="558">
        <v>0</v>
      </c>
      <c r="AV177" s="559"/>
      <c r="AW177" s="67"/>
      <c r="AX177" s="560"/>
      <c r="AY177" s="561"/>
      <c r="AZ177" s="558">
        <v>0</v>
      </c>
      <c r="BA177" s="559"/>
      <c r="BB177" s="67"/>
      <c r="BC177" s="560"/>
      <c r="BD177" s="561"/>
      <c r="BE177" s="558">
        <v>0</v>
      </c>
      <c r="BF177" s="559"/>
      <c r="BG177" s="67"/>
      <c r="BH177" s="560"/>
      <c r="BI177" s="561"/>
      <c r="BJ177" s="558">
        <v>0</v>
      </c>
      <c r="BK177" s="559"/>
      <c r="BL177" s="67"/>
      <c r="BM177" s="560"/>
      <c r="BN177" s="561"/>
      <c r="BO177" s="558">
        <v>0</v>
      </c>
      <c r="BP177" s="559"/>
      <c r="BQ177" s="67"/>
      <c r="BR177" s="560"/>
      <c r="BS177" s="561"/>
      <c r="BT177" s="558">
        <f>SUM(L177:BO177)</f>
        <v>0</v>
      </c>
      <c r="BU177" s="559"/>
      <c r="BV177" s="67"/>
      <c r="BW177" s="560"/>
      <c r="BX177" s="561"/>
      <c r="BY177" s="558">
        <v>0</v>
      </c>
      <c r="BZ177" s="559"/>
      <c r="CA177" s="67"/>
      <c r="CB177" s="560"/>
      <c r="CC177" s="561"/>
      <c r="CD177" s="558">
        <v>0</v>
      </c>
      <c r="CE177" s="559"/>
      <c r="CF177" s="67"/>
      <c r="CG177" s="560"/>
      <c r="CH177" s="561"/>
      <c r="CI177" s="558">
        <v>0</v>
      </c>
      <c r="CJ177" s="559"/>
      <c r="CK177" s="67"/>
      <c r="CL177" s="560"/>
      <c r="CM177" s="561"/>
      <c r="CN177" s="558">
        <v>0</v>
      </c>
      <c r="CO177" s="559"/>
      <c r="CP177" s="67"/>
      <c r="CQ177" s="560"/>
      <c r="CR177" s="561"/>
      <c r="CS177" s="558">
        <v>0</v>
      </c>
      <c r="CT177" s="559"/>
      <c r="CU177" s="67"/>
      <c r="CV177" s="560"/>
      <c r="CW177" s="561"/>
      <c r="CX177" s="558">
        <v>0</v>
      </c>
      <c r="CY177" s="559"/>
      <c r="CZ177" s="67"/>
      <c r="DA177" s="560"/>
      <c r="DB177" s="561"/>
      <c r="DC177" s="558">
        <v>0</v>
      </c>
      <c r="DD177" s="559"/>
      <c r="DE177" s="67"/>
      <c r="DF177" s="560"/>
      <c r="DG177" s="561"/>
      <c r="DH177" s="558">
        <v>0</v>
      </c>
      <c r="DI177" s="559"/>
      <c r="DJ177" s="67"/>
      <c r="DK177" s="560"/>
      <c r="DL177" s="561"/>
      <c r="DM177" s="558">
        <v>0</v>
      </c>
      <c r="DN177" s="559"/>
      <c r="DO177" s="67"/>
      <c r="DP177" s="560"/>
      <c r="DQ177" s="561"/>
      <c r="DR177" s="558">
        <v>0</v>
      </c>
      <c r="DS177" s="559"/>
      <c r="DT177" s="67"/>
      <c r="DU177" s="560"/>
      <c r="DV177" s="561"/>
      <c r="DW177" s="558">
        <v>0</v>
      </c>
      <c r="DX177" s="559"/>
      <c r="DY177" s="67"/>
      <c r="DZ177" s="560"/>
      <c r="EA177" s="561"/>
      <c r="EB177" s="558">
        <v>0</v>
      </c>
      <c r="EC177" s="559"/>
      <c r="ED177" s="67"/>
      <c r="EE177" s="560"/>
      <c r="EF177" s="561"/>
      <c r="EG177" s="558">
        <v>0</v>
      </c>
      <c r="EH177" s="559"/>
      <c r="EI177" s="67"/>
      <c r="EJ177" s="560"/>
      <c r="EK177" s="561"/>
      <c r="EL177" s="558">
        <f>SUM(CD177:EG177)</f>
        <v>0</v>
      </c>
      <c r="EM177" s="559"/>
      <c r="EN177" s="67"/>
      <c r="EO177" s="455"/>
    </row>
    <row r="178" spans="1:145" hidden="1" x14ac:dyDescent="0.2">
      <c r="A178" s="442"/>
      <c r="B178" s="442"/>
      <c r="C178" s="442"/>
      <c r="D178" s="455" t="s">
        <v>470</v>
      </c>
      <c r="E178" s="465"/>
      <c r="F178" s="488"/>
      <c r="G178" s="113">
        <v>0</v>
      </c>
      <c r="H178" s="112"/>
      <c r="I178" s="67"/>
      <c r="J178" s="560"/>
      <c r="K178" s="569"/>
      <c r="L178" s="113">
        <v>0</v>
      </c>
      <c r="M178" s="112"/>
      <c r="N178" s="67"/>
      <c r="O178" s="560"/>
      <c r="P178" s="569"/>
      <c r="Q178" s="113">
        <v>0</v>
      </c>
      <c r="R178" s="112"/>
      <c r="S178" s="67"/>
      <c r="T178" s="560"/>
      <c r="U178" s="569"/>
      <c r="V178" s="113">
        <v>0</v>
      </c>
      <c r="W178" s="112"/>
      <c r="X178" s="67"/>
      <c r="Y178" s="560"/>
      <c r="Z178" s="569"/>
      <c r="AA178" s="113">
        <v>0</v>
      </c>
      <c r="AB178" s="112"/>
      <c r="AC178" s="67"/>
      <c r="AD178" s="560"/>
      <c r="AE178" s="569"/>
      <c r="AF178" s="113">
        <v>0</v>
      </c>
      <c r="AG178" s="112"/>
      <c r="AH178" s="67"/>
      <c r="AI178" s="560"/>
      <c r="AJ178" s="569"/>
      <c r="AK178" s="113">
        <v>0</v>
      </c>
      <c r="AL178" s="112"/>
      <c r="AM178" s="67"/>
      <c r="AN178" s="560"/>
      <c r="AO178" s="569"/>
      <c r="AP178" s="113">
        <v>0</v>
      </c>
      <c r="AQ178" s="112"/>
      <c r="AR178" s="67"/>
      <c r="AS178" s="560"/>
      <c r="AT178" s="569"/>
      <c r="AU178" s="113">
        <v>0</v>
      </c>
      <c r="AV178" s="112"/>
      <c r="AW178" s="67"/>
      <c r="AX178" s="560"/>
      <c r="AY178" s="569"/>
      <c r="AZ178" s="113">
        <v>0</v>
      </c>
      <c r="BA178" s="112"/>
      <c r="BB178" s="67"/>
      <c r="BC178" s="560"/>
      <c r="BD178" s="569"/>
      <c r="BE178" s="113">
        <v>0</v>
      </c>
      <c r="BF178" s="112"/>
      <c r="BG178" s="67"/>
      <c r="BH178" s="560"/>
      <c r="BI178" s="569"/>
      <c r="BJ178" s="113">
        <v>0</v>
      </c>
      <c r="BK178" s="112"/>
      <c r="BL178" s="67"/>
      <c r="BM178" s="560"/>
      <c r="BN178" s="569"/>
      <c r="BO178" s="113">
        <v>0</v>
      </c>
      <c r="BP178" s="112"/>
      <c r="BQ178" s="67"/>
      <c r="BR178" s="560"/>
      <c r="BS178" s="569"/>
      <c r="BT178" s="113">
        <f>SUM(L178:BO178)</f>
        <v>0</v>
      </c>
      <c r="BU178" s="112"/>
      <c r="BV178" s="67"/>
      <c r="BW178" s="560"/>
      <c r="BX178" s="569"/>
      <c r="BY178" s="113">
        <v>0</v>
      </c>
      <c r="BZ178" s="112"/>
      <c r="CA178" s="67"/>
      <c r="CB178" s="560"/>
      <c r="CC178" s="569"/>
      <c r="CD178" s="113">
        <v>0</v>
      </c>
      <c r="CE178" s="112"/>
      <c r="CF178" s="67"/>
      <c r="CG178" s="560"/>
      <c r="CH178" s="569"/>
      <c r="CI178" s="113">
        <v>0</v>
      </c>
      <c r="CJ178" s="112"/>
      <c r="CK178" s="67"/>
      <c r="CL178" s="560"/>
      <c r="CM178" s="569"/>
      <c r="CN178" s="113">
        <v>0</v>
      </c>
      <c r="CO178" s="112"/>
      <c r="CP178" s="67"/>
      <c r="CQ178" s="560"/>
      <c r="CR178" s="569"/>
      <c r="CS178" s="113">
        <v>0</v>
      </c>
      <c r="CT178" s="112"/>
      <c r="CU178" s="67"/>
      <c r="CV178" s="560"/>
      <c r="CW178" s="569"/>
      <c r="CX178" s="113">
        <v>0</v>
      </c>
      <c r="CY178" s="112"/>
      <c r="CZ178" s="67"/>
      <c r="DA178" s="560"/>
      <c r="DB178" s="569"/>
      <c r="DC178" s="113">
        <v>0</v>
      </c>
      <c r="DD178" s="112"/>
      <c r="DE178" s="67"/>
      <c r="DF178" s="560"/>
      <c r="DG178" s="569"/>
      <c r="DH178" s="113">
        <v>0</v>
      </c>
      <c r="DI178" s="112"/>
      <c r="DJ178" s="67"/>
      <c r="DK178" s="560"/>
      <c r="DL178" s="569"/>
      <c r="DM178" s="113">
        <v>0</v>
      </c>
      <c r="DN178" s="112"/>
      <c r="DO178" s="67"/>
      <c r="DP178" s="560"/>
      <c r="DQ178" s="569"/>
      <c r="DR178" s="113">
        <v>0</v>
      </c>
      <c r="DS178" s="112"/>
      <c r="DT178" s="67"/>
      <c r="DU178" s="560"/>
      <c r="DV178" s="569"/>
      <c r="DW178" s="113">
        <v>0</v>
      </c>
      <c r="DX178" s="112"/>
      <c r="DY178" s="67"/>
      <c r="DZ178" s="560"/>
      <c r="EA178" s="569"/>
      <c r="EB178" s="113">
        <v>0</v>
      </c>
      <c r="EC178" s="112"/>
      <c r="ED178" s="67"/>
      <c r="EE178" s="560"/>
      <c r="EF178" s="569"/>
      <c r="EG178" s="113">
        <v>0</v>
      </c>
      <c r="EH178" s="112"/>
      <c r="EI178" s="67"/>
      <c r="EJ178" s="560"/>
      <c r="EK178" s="569"/>
      <c r="EL178" s="113">
        <f>SUM(CD178:EG178)</f>
        <v>0</v>
      </c>
      <c r="EM178" s="112"/>
      <c r="EN178" s="67"/>
      <c r="EO178" s="455"/>
    </row>
    <row r="179" spans="1:145" hidden="1" x14ac:dyDescent="0.2">
      <c r="A179" s="442"/>
      <c r="B179" s="442"/>
      <c r="C179" s="442"/>
      <c r="D179" s="455"/>
      <c r="E179" s="465"/>
      <c r="F179" s="442"/>
      <c r="G179" s="67"/>
      <c r="H179" s="67"/>
      <c r="I179" s="67"/>
      <c r="J179" s="560"/>
      <c r="K179" s="67"/>
      <c r="L179" s="67"/>
      <c r="M179" s="67"/>
      <c r="N179" s="67"/>
      <c r="O179" s="560"/>
      <c r="P179" s="67"/>
      <c r="Q179" s="67"/>
      <c r="R179" s="67"/>
      <c r="S179" s="67"/>
      <c r="T179" s="560"/>
      <c r="U179" s="67"/>
      <c r="V179" s="67"/>
      <c r="W179" s="67"/>
      <c r="X179" s="67"/>
      <c r="Y179" s="560"/>
      <c r="Z179" s="67"/>
      <c r="AA179" s="67"/>
      <c r="AB179" s="67"/>
      <c r="AC179" s="67"/>
      <c r="AD179" s="560"/>
      <c r="AE179" s="67"/>
      <c r="AF179" s="67"/>
      <c r="AG179" s="67"/>
      <c r="AH179" s="67"/>
      <c r="AI179" s="560"/>
      <c r="AJ179" s="67"/>
      <c r="AK179" s="67"/>
      <c r="AL179" s="67"/>
      <c r="AM179" s="67"/>
      <c r="AN179" s="560"/>
      <c r="AO179" s="67"/>
      <c r="AP179" s="67"/>
      <c r="AQ179" s="67"/>
      <c r="AR179" s="67"/>
      <c r="AS179" s="560"/>
      <c r="AT179" s="67"/>
      <c r="AU179" s="67"/>
      <c r="AV179" s="67"/>
      <c r="AW179" s="67"/>
      <c r="AX179" s="560"/>
      <c r="AY179" s="67"/>
      <c r="AZ179" s="67"/>
      <c r="BA179" s="67"/>
      <c r="BB179" s="67"/>
      <c r="BC179" s="560"/>
      <c r="BD179" s="67"/>
      <c r="BE179" s="67"/>
      <c r="BF179" s="67"/>
      <c r="BG179" s="67"/>
      <c r="BH179" s="560"/>
      <c r="BI179" s="67"/>
      <c r="BJ179" s="67"/>
      <c r="BK179" s="67"/>
      <c r="BL179" s="67"/>
      <c r="BM179" s="560"/>
      <c r="BN179" s="67"/>
      <c r="BO179" s="67"/>
      <c r="BP179" s="67"/>
      <c r="BQ179" s="67"/>
      <c r="BR179" s="560"/>
      <c r="BS179" s="67"/>
      <c r="BT179" s="67"/>
      <c r="BU179" s="67"/>
      <c r="BV179" s="67"/>
      <c r="BW179" s="560"/>
      <c r="BX179" s="67"/>
      <c r="BY179" s="67"/>
      <c r="BZ179" s="67"/>
      <c r="CA179" s="67"/>
      <c r="CB179" s="560"/>
      <c r="CC179" s="67"/>
      <c r="CD179" s="67"/>
      <c r="CE179" s="67"/>
      <c r="CF179" s="67"/>
      <c r="CG179" s="560"/>
      <c r="CH179" s="67"/>
      <c r="CI179" s="67"/>
      <c r="CJ179" s="67"/>
      <c r="CK179" s="67"/>
      <c r="CL179" s="560"/>
      <c r="CM179" s="67"/>
      <c r="CN179" s="67"/>
      <c r="CO179" s="67"/>
      <c r="CP179" s="67"/>
      <c r="CQ179" s="560"/>
      <c r="CR179" s="67"/>
      <c r="CS179" s="67"/>
      <c r="CT179" s="67"/>
      <c r="CU179" s="67"/>
      <c r="CV179" s="560"/>
      <c r="CW179" s="67"/>
      <c r="CX179" s="67"/>
      <c r="CY179" s="67"/>
      <c r="CZ179" s="67"/>
      <c r="DA179" s="560"/>
      <c r="DB179" s="67"/>
      <c r="DC179" s="67"/>
      <c r="DD179" s="67"/>
      <c r="DE179" s="67"/>
      <c r="DF179" s="560"/>
      <c r="DG179" s="67"/>
      <c r="DH179" s="67"/>
      <c r="DI179" s="67"/>
      <c r="DJ179" s="67"/>
      <c r="DK179" s="560"/>
      <c r="DL179" s="67"/>
      <c r="DM179" s="67"/>
      <c r="DN179" s="67"/>
      <c r="DO179" s="67"/>
      <c r="DP179" s="560"/>
      <c r="DQ179" s="67"/>
      <c r="DR179" s="67"/>
      <c r="DS179" s="67"/>
      <c r="DT179" s="67"/>
      <c r="DU179" s="560"/>
      <c r="DV179" s="67"/>
      <c r="DW179" s="67"/>
      <c r="DX179" s="67"/>
      <c r="DY179" s="67"/>
      <c r="DZ179" s="560"/>
      <c r="EA179" s="67"/>
      <c r="EB179" s="67"/>
      <c r="EC179" s="67"/>
      <c r="ED179" s="67"/>
      <c r="EE179" s="560"/>
      <c r="EF179" s="67"/>
      <c r="EG179" s="67"/>
      <c r="EH179" s="67"/>
      <c r="EI179" s="67"/>
      <c r="EJ179" s="560"/>
      <c r="EK179" s="67"/>
      <c r="EL179" s="67"/>
      <c r="EM179" s="67"/>
      <c r="EN179" s="67"/>
      <c r="EO179" s="455"/>
    </row>
    <row r="180" spans="1:145" hidden="1" x14ac:dyDescent="0.2">
      <c r="A180" s="442"/>
      <c r="B180" s="442"/>
      <c r="C180" s="442"/>
      <c r="D180" s="455" t="s">
        <v>488</v>
      </c>
      <c r="E180" s="465"/>
      <c r="F180" s="442"/>
      <c r="G180" s="67">
        <f>SUM(G181:G182)</f>
        <v>0</v>
      </c>
      <c r="H180" s="67"/>
      <c r="I180" s="67"/>
      <c r="J180" s="560"/>
      <c r="K180" s="67"/>
      <c r="L180" s="67">
        <f>SUM(L181:L182)</f>
        <v>0</v>
      </c>
      <c r="M180" s="67"/>
      <c r="N180" s="67"/>
      <c r="O180" s="560"/>
      <c r="P180" s="67"/>
      <c r="Q180" s="67">
        <f>SUM(Q181:Q182)</f>
        <v>0</v>
      </c>
      <c r="R180" s="67"/>
      <c r="S180" s="67"/>
      <c r="T180" s="560"/>
      <c r="U180" s="67"/>
      <c r="V180" s="67">
        <f>SUM(V181:V182)</f>
        <v>0</v>
      </c>
      <c r="W180" s="67"/>
      <c r="X180" s="67"/>
      <c r="Y180" s="560"/>
      <c r="Z180" s="67"/>
      <c r="AA180" s="67">
        <f>SUM(AA181:AA182)</f>
        <v>0</v>
      </c>
      <c r="AB180" s="67"/>
      <c r="AC180" s="67"/>
      <c r="AD180" s="560"/>
      <c r="AE180" s="67"/>
      <c r="AF180" s="67">
        <f>SUM(AF181:AF182)</f>
        <v>0</v>
      </c>
      <c r="AG180" s="67"/>
      <c r="AH180" s="67"/>
      <c r="AI180" s="560"/>
      <c r="AJ180" s="67"/>
      <c r="AK180" s="67">
        <f>SUM(AK181:AK182)</f>
        <v>0</v>
      </c>
      <c r="AL180" s="67"/>
      <c r="AM180" s="67"/>
      <c r="AN180" s="560"/>
      <c r="AO180" s="67"/>
      <c r="AP180" s="67">
        <f>SUM(AP181:AP182)</f>
        <v>0</v>
      </c>
      <c r="AQ180" s="67"/>
      <c r="AR180" s="67"/>
      <c r="AS180" s="560"/>
      <c r="AT180" s="67"/>
      <c r="AU180" s="67">
        <f>SUM(AU181:AU182)</f>
        <v>0</v>
      </c>
      <c r="AV180" s="67"/>
      <c r="AW180" s="67"/>
      <c r="AX180" s="560"/>
      <c r="AY180" s="67"/>
      <c r="AZ180" s="67">
        <f>SUM(AZ181:AZ182)</f>
        <v>0</v>
      </c>
      <c r="BA180" s="67"/>
      <c r="BB180" s="67"/>
      <c r="BC180" s="560"/>
      <c r="BD180" s="67"/>
      <c r="BE180" s="67">
        <f>SUM(BE181:BE182)</f>
        <v>0</v>
      </c>
      <c r="BF180" s="67"/>
      <c r="BG180" s="67"/>
      <c r="BH180" s="560"/>
      <c r="BI180" s="67"/>
      <c r="BJ180" s="67">
        <f>SUM(BJ181:BJ182)</f>
        <v>0</v>
      </c>
      <c r="BK180" s="67"/>
      <c r="BL180" s="67"/>
      <c r="BM180" s="560"/>
      <c r="BN180" s="67"/>
      <c r="BO180" s="67">
        <f>SUM(BO181:BO182)</f>
        <v>0</v>
      </c>
      <c r="BP180" s="67"/>
      <c r="BQ180" s="67"/>
      <c r="BR180" s="560"/>
      <c r="BS180" s="67"/>
      <c r="BT180" s="67">
        <f>SUM(BT181:BT182)</f>
        <v>0</v>
      </c>
      <c r="BU180" s="67"/>
      <c r="BV180" s="67"/>
      <c r="BW180" s="560"/>
      <c r="BX180" s="67"/>
      <c r="BY180" s="67">
        <f>SUM(BY181:BY182)</f>
        <v>0</v>
      </c>
      <c r="BZ180" s="67"/>
      <c r="CA180" s="67"/>
      <c r="CB180" s="560"/>
      <c r="CC180" s="67"/>
      <c r="CD180" s="67">
        <f>SUM(CD181:CD182)</f>
        <v>0</v>
      </c>
      <c r="CE180" s="67"/>
      <c r="CF180" s="67"/>
      <c r="CG180" s="560"/>
      <c r="CH180" s="67"/>
      <c r="CI180" s="67">
        <f>SUM(CI181:CI182)</f>
        <v>0</v>
      </c>
      <c r="CJ180" s="67"/>
      <c r="CK180" s="67"/>
      <c r="CL180" s="560"/>
      <c r="CM180" s="67"/>
      <c r="CN180" s="67">
        <f>SUM(CN181:CN182)</f>
        <v>0</v>
      </c>
      <c r="CO180" s="67"/>
      <c r="CP180" s="67"/>
      <c r="CQ180" s="560"/>
      <c r="CR180" s="67"/>
      <c r="CS180" s="67">
        <f>SUM(CS181:CS182)</f>
        <v>0</v>
      </c>
      <c r="CT180" s="67"/>
      <c r="CU180" s="67"/>
      <c r="CV180" s="560"/>
      <c r="CW180" s="67"/>
      <c r="CX180" s="67">
        <f>SUM(CX181:CX182)</f>
        <v>0</v>
      </c>
      <c r="CY180" s="67"/>
      <c r="CZ180" s="67"/>
      <c r="DA180" s="560"/>
      <c r="DB180" s="67"/>
      <c r="DC180" s="67">
        <f>SUM(DC181:DC182)</f>
        <v>0</v>
      </c>
      <c r="DD180" s="67"/>
      <c r="DE180" s="67"/>
      <c r="DF180" s="560"/>
      <c r="DG180" s="67"/>
      <c r="DH180" s="67">
        <f>SUM(DH181:DH182)</f>
        <v>0</v>
      </c>
      <c r="DI180" s="67"/>
      <c r="DJ180" s="67"/>
      <c r="DK180" s="560"/>
      <c r="DL180" s="67"/>
      <c r="DM180" s="67">
        <f>SUM(DM181:DM182)</f>
        <v>0</v>
      </c>
      <c r="DN180" s="67"/>
      <c r="DO180" s="67"/>
      <c r="DP180" s="560"/>
      <c r="DQ180" s="67"/>
      <c r="DR180" s="67">
        <f>SUM(DR181:DR182)</f>
        <v>0</v>
      </c>
      <c r="DS180" s="67"/>
      <c r="DT180" s="67"/>
      <c r="DU180" s="560"/>
      <c r="DV180" s="67"/>
      <c r="DW180" s="67">
        <f>SUM(DW181:DW182)</f>
        <v>0</v>
      </c>
      <c r="DX180" s="67"/>
      <c r="DY180" s="67"/>
      <c r="DZ180" s="560"/>
      <c r="EA180" s="67"/>
      <c r="EB180" s="67">
        <f>SUM(EB181:EB182)</f>
        <v>0</v>
      </c>
      <c r="EC180" s="67"/>
      <c r="ED180" s="67"/>
      <c r="EE180" s="560"/>
      <c r="EF180" s="67"/>
      <c r="EG180" s="67">
        <f>SUM(EG181:EG182)</f>
        <v>0</v>
      </c>
      <c r="EH180" s="67"/>
      <c r="EI180" s="67"/>
      <c r="EJ180" s="560"/>
      <c r="EK180" s="67"/>
      <c r="EL180" s="67">
        <f>SUM(EL181:EL182)</f>
        <v>0</v>
      </c>
      <c r="EM180" s="67"/>
      <c r="EN180" s="67"/>
      <c r="EO180" s="455"/>
    </row>
    <row r="181" spans="1:145" hidden="1" x14ac:dyDescent="0.2">
      <c r="A181" s="442"/>
      <c r="B181" s="442"/>
      <c r="C181" s="442"/>
      <c r="D181" s="455" t="s">
        <v>469</v>
      </c>
      <c r="E181" s="465"/>
      <c r="F181" s="473"/>
      <c r="G181" s="558">
        <v>0</v>
      </c>
      <c r="H181" s="559"/>
      <c r="I181" s="67"/>
      <c r="J181" s="560"/>
      <c r="K181" s="561"/>
      <c r="L181" s="558">
        <v>0</v>
      </c>
      <c r="M181" s="559"/>
      <c r="N181" s="67"/>
      <c r="O181" s="560"/>
      <c r="P181" s="561"/>
      <c r="Q181" s="558">
        <v>0</v>
      </c>
      <c r="R181" s="559"/>
      <c r="S181" s="67"/>
      <c r="T181" s="560"/>
      <c r="U181" s="561"/>
      <c r="V181" s="558">
        <v>0</v>
      </c>
      <c r="W181" s="559"/>
      <c r="X181" s="67"/>
      <c r="Y181" s="560"/>
      <c r="Z181" s="561"/>
      <c r="AA181" s="558">
        <v>0</v>
      </c>
      <c r="AB181" s="559"/>
      <c r="AC181" s="67"/>
      <c r="AD181" s="560"/>
      <c r="AE181" s="561"/>
      <c r="AF181" s="558">
        <v>0</v>
      </c>
      <c r="AG181" s="559"/>
      <c r="AH181" s="67"/>
      <c r="AI181" s="560"/>
      <c r="AJ181" s="561"/>
      <c r="AK181" s="558">
        <v>0</v>
      </c>
      <c r="AL181" s="559"/>
      <c r="AM181" s="67"/>
      <c r="AN181" s="560"/>
      <c r="AO181" s="561"/>
      <c r="AP181" s="558">
        <v>0</v>
      </c>
      <c r="AQ181" s="559"/>
      <c r="AR181" s="67"/>
      <c r="AS181" s="560"/>
      <c r="AT181" s="561"/>
      <c r="AU181" s="558">
        <v>0</v>
      </c>
      <c r="AV181" s="559"/>
      <c r="AW181" s="67"/>
      <c r="AX181" s="560"/>
      <c r="AY181" s="561"/>
      <c r="AZ181" s="558">
        <v>0</v>
      </c>
      <c r="BA181" s="559"/>
      <c r="BB181" s="67"/>
      <c r="BC181" s="560"/>
      <c r="BD181" s="561"/>
      <c r="BE181" s="558">
        <v>0</v>
      </c>
      <c r="BF181" s="559"/>
      <c r="BG181" s="67"/>
      <c r="BH181" s="560"/>
      <c r="BI181" s="561"/>
      <c r="BJ181" s="558">
        <v>0</v>
      </c>
      <c r="BK181" s="559"/>
      <c r="BL181" s="67"/>
      <c r="BM181" s="560"/>
      <c r="BN181" s="561"/>
      <c r="BO181" s="558">
        <v>0</v>
      </c>
      <c r="BP181" s="559"/>
      <c r="BQ181" s="67"/>
      <c r="BR181" s="560"/>
      <c r="BS181" s="561"/>
      <c r="BT181" s="558">
        <f>SUM(L181:BO181)</f>
        <v>0</v>
      </c>
      <c r="BU181" s="559"/>
      <c r="BV181" s="67"/>
      <c r="BW181" s="560"/>
      <c r="BX181" s="561"/>
      <c r="BY181" s="558">
        <v>0</v>
      </c>
      <c r="BZ181" s="559"/>
      <c r="CA181" s="67"/>
      <c r="CB181" s="560"/>
      <c r="CC181" s="561"/>
      <c r="CD181" s="558">
        <v>0</v>
      </c>
      <c r="CE181" s="559"/>
      <c r="CF181" s="67"/>
      <c r="CG181" s="560"/>
      <c r="CH181" s="561"/>
      <c r="CI181" s="558">
        <v>0</v>
      </c>
      <c r="CJ181" s="559"/>
      <c r="CK181" s="67"/>
      <c r="CL181" s="560"/>
      <c r="CM181" s="561"/>
      <c r="CN181" s="558">
        <v>0</v>
      </c>
      <c r="CO181" s="559"/>
      <c r="CP181" s="67"/>
      <c r="CQ181" s="560"/>
      <c r="CR181" s="561"/>
      <c r="CS181" s="558">
        <v>0</v>
      </c>
      <c r="CT181" s="559"/>
      <c r="CU181" s="67"/>
      <c r="CV181" s="560"/>
      <c r="CW181" s="561"/>
      <c r="CX181" s="558">
        <v>0</v>
      </c>
      <c r="CY181" s="559"/>
      <c r="CZ181" s="67"/>
      <c r="DA181" s="560"/>
      <c r="DB181" s="561"/>
      <c r="DC181" s="558">
        <v>0</v>
      </c>
      <c r="DD181" s="559"/>
      <c r="DE181" s="67"/>
      <c r="DF181" s="560"/>
      <c r="DG181" s="561"/>
      <c r="DH181" s="558">
        <v>0</v>
      </c>
      <c r="DI181" s="559"/>
      <c r="DJ181" s="67"/>
      <c r="DK181" s="560"/>
      <c r="DL181" s="561"/>
      <c r="DM181" s="558">
        <v>0</v>
      </c>
      <c r="DN181" s="559"/>
      <c r="DO181" s="67"/>
      <c r="DP181" s="560"/>
      <c r="DQ181" s="561"/>
      <c r="DR181" s="558">
        <v>0</v>
      </c>
      <c r="DS181" s="559"/>
      <c r="DT181" s="67"/>
      <c r="DU181" s="560"/>
      <c r="DV181" s="561"/>
      <c r="DW181" s="558">
        <v>0</v>
      </c>
      <c r="DX181" s="559"/>
      <c r="DY181" s="67"/>
      <c r="DZ181" s="560"/>
      <c r="EA181" s="561"/>
      <c r="EB181" s="558">
        <v>0</v>
      </c>
      <c r="EC181" s="559"/>
      <c r="ED181" s="67"/>
      <c r="EE181" s="560"/>
      <c r="EF181" s="561"/>
      <c r="EG181" s="558">
        <v>0</v>
      </c>
      <c r="EH181" s="559"/>
      <c r="EI181" s="67"/>
      <c r="EJ181" s="560"/>
      <c r="EK181" s="561"/>
      <c r="EL181" s="558">
        <f>SUM(CD181:EG181)</f>
        <v>0</v>
      </c>
      <c r="EM181" s="559"/>
      <c r="EN181" s="67"/>
      <c r="EO181" s="455"/>
    </row>
    <row r="182" spans="1:145" hidden="1" x14ac:dyDescent="0.2">
      <c r="A182" s="442"/>
      <c r="B182" s="442"/>
      <c r="C182" s="442"/>
      <c r="D182" s="455" t="s">
        <v>470</v>
      </c>
      <c r="E182" s="465"/>
      <c r="F182" s="488"/>
      <c r="G182" s="113">
        <v>0</v>
      </c>
      <c r="H182" s="112"/>
      <c r="I182" s="67"/>
      <c r="J182" s="560"/>
      <c r="K182" s="569"/>
      <c r="L182" s="113">
        <v>0</v>
      </c>
      <c r="M182" s="112"/>
      <c r="N182" s="67"/>
      <c r="O182" s="560"/>
      <c r="P182" s="569"/>
      <c r="Q182" s="113">
        <v>0</v>
      </c>
      <c r="R182" s="112"/>
      <c r="S182" s="67"/>
      <c r="T182" s="560"/>
      <c r="U182" s="569"/>
      <c r="V182" s="113">
        <v>0</v>
      </c>
      <c r="W182" s="112"/>
      <c r="X182" s="67"/>
      <c r="Y182" s="560"/>
      <c r="Z182" s="569"/>
      <c r="AA182" s="113">
        <v>0</v>
      </c>
      <c r="AB182" s="112"/>
      <c r="AC182" s="67"/>
      <c r="AD182" s="560"/>
      <c r="AE182" s="569"/>
      <c r="AF182" s="113">
        <v>0</v>
      </c>
      <c r="AG182" s="112"/>
      <c r="AH182" s="67"/>
      <c r="AI182" s="560"/>
      <c r="AJ182" s="569"/>
      <c r="AK182" s="113">
        <v>0</v>
      </c>
      <c r="AL182" s="112"/>
      <c r="AM182" s="67"/>
      <c r="AN182" s="560"/>
      <c r="AO182" s="569"/>
      <c r="AP182" s="113">
        <v>0</v>
      </c>
      <c r="AQ182" s="112"/>
      <c r="AR182" s="67"/>
      <c r="AS182" s="560"/>
      <c r="AT182" s="569"/>
      <c r="AU182" s="113">
        <v>0</v>
      </c>
      <c r="AV182" s="112"/>
      <c r="AW182" s="67"/>
      <c r="AX182" s="560"/>
      <c r="AY182" s="569"/>
      <c r="AZ182" s="113">
        <v>0</v>
      </c>
      <c r="BA182" s="112"/>
      <c r="BB182" s="67"/>
      <c r="BC182" s="560"/>
      <c r="BD182" s="569"/>
      <c r="BE182" s="113">
        <v>0</v>
      </c>
      <c r="BF182" s="112"/>
      <c r="BG182" s="67"/>
      <c r="BH182" s="560"/>
      <c r="BI182" s="569"/>
      <c r="BJ182" s="113">
        <v>0</v>
      </c>
      <c r="BK182" s="112"/>
      <c r="BL182" s="67"/>
      <c r="BM182" s="560"/>
      <c r="BN182" s="569"/>
      <c r="BO182" s="113">
        <v>0</v>
      </c>
      <c r="BP182" s="112"/>
      <c r="BQ182" s="67"/>
      <c r="BR182" s="560"/>
      <c r="BS182" s="569"/>
      <c r="BT182" s="113">
        <f>SUM(L182:BO182)</f>
        <v>0</v>
      </c>
      <c r="BU182" s="112"/>
      <c r="BV182" s="67"/>
      <c r="BW182" s="560"/>
      <c r="BX182" s="569"/>
      <c r="BY182" s="113">
        <v>0</v>
      </c>
      <c r="BZ182" s="112"/>
      <c r="CA182" s="67"/>
      <c r="CB182" s="560"/>
      <c r="CC182" s="569"/>
      <c r="CD182" s="113">
        <v>0</v>
      </c>
      <c r="CE182" s="112"/>
      <c r="CF182" s="67"/>
      <c r="CG182" s="560"/>
      <c r="CH182" s="569"/>
      <c r="CI182" s="113">
        <v>0</v>
      </c>
      <c r="CJ182" s="112"/>
      <c r="CK182" s="67"/>
      <c r="CL182" s="560"/>
      <c r="CM182" s="569"/>
      <c r="CN182" s="113">
        <v>0</v>
      </c>
      <c r="CO182" s="112"/>
      <c r="CP182" s="67"/>
      <c r="CQ182" s="560"/>
      <c r="CR182" s="569"/>
      <c r="CS182" s="113">
        <v>0</v>
      </c>
      <c r="CT182" s="112"/>
      <c r="CU182" s="67"/>
      <c r="CV182" s="560"/>
      <c r="CW182" s="569"/>
      <c r="CX182" s="113">
        <v>0</v>
      </c>
      <c r="CY182" s="112"/>
      <c r="CZ182" s="67"/>
      <c r="DA182" s="560"/>
      <c r="DB182" s="569"/>
      <c r="DC182" s="113">
        <v>0</v>
      </c>
      <c r="DD182" s="112"/>
      <c r="DE182" s="67"/>
      <c r="DF182" s="560"/>
      <c r="DG182" s="569"/>
      <c r="DH182" s="113">
        <v>0</v>
      </c>
      <c r="DI182" s="112"/>
      <c r="DJ182" s="67"/>
      <c r="DK182" s="560"/>
      <c r="DL182" s="569"/>
      <c r="DM182" s="113">
        <v>0</v>
      </c>
      <c r="DN182" s="112"/>
      <c r="DO182" s="67"/>
      <c r="DP182" s="560"/>
      <c r="DQ182" s="569"/>
      <c r="DR182" s="113">
        <v>0</v>
      </c>
      <c r="DS182" s="112"/>
      <c r="DT182" s="67"/>
      <c r="DU182" s="560"/>
      <c r="DV182" s="569"/>
      <c r="DW182" s="113">
        <v>0</v>
      </c>
      <c r="DX182" s="112"/>
      <c r="DY182" s="67"/>
      <c r="DZ182" s="560"/>
      <c r="EA182" s="569"/>
      <c r="EB182" s="113">
        <v>0</v>
      </c>
      <c r="EC182" s="112"/>
      <c r="ED182" s="67"/>
      <c r="EE182" s="560"/>
      <c r="EF182" s="569"/>
      <c r="EG182" s="113">
        <v>0</v>
      </c>
      <c r="EH182" s="112"/>
      <c r="EI182" s="67"/>
      <c r="EJ182" s="560"/>
      <c r="EK182" s="569"/>
      <c r="EL182" s="113">
        <f>SUM(CD182:EG182)</f>
        <v>0</v>
      </c>
      <c r="EM182" s="112"/>
      <c r="EN182" s="67"/>
      <c r="EO182" s="455"/>
    </row>
    <row r="183" spans="1:145" hidden="1" x14ac:dyDescent="0.2">
      <c r="A183" s="442"/>
      <c r="B183" s="442"/>
      <c r="C183" s="442"/>
      <c r="D183" s="455"/>
      <c r="E183" s="465"/>
      <c r="F183" s="442"/>
      <c r="G183" s="67"/>
      <c r="H183" s="67"/>
      <c r="I183" s="67"/>
      <c r="J183" s="560"/>
      <c r="K183" s="67"/>
      <c r="L183" s="67"/>
      <c r="M183" s="67"/>
      <c r="N183" s="67"/>
      <c r="O183" s="560"/>
      <c r="P183" s="67"/>
      <c r="Q183" s="67"/>
      <c r="R183" s="67"/>
      <c r="S183" s="67"/>
      <c r="T183" s="560"/>
      <c r="U183" s="67"/>
      <c r="V183" s="67"/>
      <c r="W183" s="67"/>
      <c r="X183" s="67"/>
      <c r="Y183" s="560"/>
      <c r="Z183" s="67"/>
      <c r="AA183" s="67"/>
      <c r="AB183" s="67"/>
      <c r="AC183" s="67"/>
      <c r="AD183" s="560"/>
      <c r="AE183" s="67"/>
      <c r="AF183" s="67"/>
      <c r="AG183" s="67"/>
      <c r="AH183" s="67"/>
      <c r="AI183" s="560"/>
      <c r="AJ183" s="67"/>
      <c r="AK183" s="67"/>
      <c r="AL183" s="67"/>
      <c r="AM183" s="67"/>
      <c r="AN183" s="560"/>
      <c r="AO183" s="67"/>
      <c r="AP183" s="67"/>
      <c r="AQ183" s="67"/>
      <c r="AR183" s="67"/>
      <c r="AS183" s="560"/>
      <c r="AT183" s="67"/>
      <c r="AU183" s="67"/>
      <c r="AV183" s="67"/>
      <c r="AW183" s="67"/>
      <c r="AX183" s="560"/>
      <c r="AY183" s="67"/>
      <c r="AZ183" s="67"/>
      <c r="BA183" s="67"/>
      <c r="BB183" s="67"/>
      <c r="BC183" s="560"/>
      <c r="BD183" s="67"/>
      <c r="BE183" s="67"/>
      <c r="BF183" s="67"/>
      <c r="BG183" s="67"/>
      <c r="BH183" s="560"/>
      <c r="BI183" s="67"/>
      <c r="BJ183" s="67"/>
      <c r="BK183" s="67"/>
      <c r="BL183" s="67"/>
      <c r="BM183" s="560"/>
      <c r="BN183" s="67"/>
      <c r="BO183" s="67"/>
      <c r="BP183" s="67"/>
      <c r="BQ183" s="67"/>
      <c r="BR183" s="560"/>
      <c r="BS183" s="67"/>
      <c r="BT183" s="67"/>
      <c r="BU183" s="67"/>
      <c r="BV183" s="67"/>
      <c r="BW183" s="560"/>
      <c r="BX183" s="67"/>
      <c r="BY183" s="67"/>
      <c r="BZ183" s="67"/>
      <c r="CA183" s="67"/>
      <c r="CB183" s="560"/>
      <c r="CC183" s="67"/>
      <c r="CD183" s="67"/>
      <c r="CE183" s="67"/>
      <c r="CF183" s="67"/>
      <c r="CG183" s="560"/>
      <c r="CH183" s="67"/>
      <c r="CI183" s="67"/>
      <c r="CJ183" s="67"/>
      <c r="CK183" s="67"/>
      <c r="CL183" s="560"/>
      <c r="CM183" s="67"/>
      <c r="CN183" s="67"/>
      <c r="CO183" s="67"/>
      <c r="CP183" s="67"/>
      <c r="CQ183" s="560"/>
      <c r="CR183" s="67"/>
      <c r="CS183" s="67"/>
      <c r="CT183" s="67"/>
      <c r="CU183" s="67"/>
      <c r="CV183" s="560"/>
      <c r="CW183" s="67"/>
      <c r="CX183" s="67"/>
      <c r="CY183" s="67"/>
      <c r="CZ183" s="67"/>
      <c r="DA183" s="560"/>
      <c r="DB183" s="67"/>
      <c r="DC183" s="67"/>
      <c r="DD183" s="67"/>
      <c r="DE183" s="67"/>
      <c r="DF183" s="560"/>
      <c r="DG183" s="67"/>
      <c r="DH183" s="67"/>
      <c r="DI183" s="67"/>
      <c r="DJ183" s="67"/>
      <c r="DK183" s="560"/>
      <c r="DL183" s="67"/>
      <c r="DM183" s="67"/>
      <c r="DN183" s="67"/>
      <c r="DO183" s="67"/>
      <c r="DP183" s="560"/>
      <c r="DQ183" s="67"/>
      <c r="DR183" s="67"/>
      <c r="DS183" s="67"/>
      <c r="DT183" s="67"/>
      <c r="DU183" s="560"/>
      <c r="DV183" s="67"/>
      <c r="DW183" s="67"/>
      <c r="DX183" s="67"/>
      <c r="DY183" s="67"/>
      <c r="DZ183" s="560"/>
      <c r="EA183" s="67"/>
      <c r="EB183" s="67"/>
      <c r="EC183" s="67"/>
      <c r="ED183" s="67"/>
      <c r="EE183" s="560"/>
      <c r="EF183" s="67"/>
      <c r="EG183" s="67"/>
      <c r="EH183" s="67"/>
      <c r="EI183" s="67"/>
      <c r="EJ183" s="560"/>
      <c r="EK183" s="67"/>
      <c r="EL183" s="67"/>
      <c r="EM183" s="67"/>
      <c r="EN183" s="67"/>
      <c r="EO183" s="455"/>
    </row>
    <row r="184" spans="1:145" hidden="1" x14ac:dyDescent="0.2">
      <c r="A184" s="442"/>
      <c r="B184" s="442"/>
      <c r="C184" s="442"/>
      <c r="D184" s="455" t="s">
        <v>489</v>
      </c>
      <c r="E184" s="465"/>
      <c r="F184" s="442"/>
      <c r="G184" s="67">
        <f>SUM(G185:G186)</f>
        <v>0</v>
      </c>
      <c r="H184" s="67"/>
      <c r="I184" s="67"/>
      <c r="J184" s="560"/>
      <c r="K184" s="67"/>
      <c r="L184" s="67">
        <f>SUM(L185:L186)</f>
        <v>0</v>
      </c>
      <c r="M184" s="67"/>
      <c r="N184" s="67"/>
      <c r="O184" s="560"/>
      <c r="P184" s="67"/>
      <c r="Q184" s="67">
        <f>SUM(Q185:Q186)</f>
        <v>0</v>
      </c>
      <c r="R184" s="67"/>
      <c r="S184" s="67"/>
      <c r="T184" s="560"/>
      <c r="U184" s="67"/>
      <c r="V184" s="67">
        <f>SUM(V185:V186)</f>
        <v>0</v>
      </c>
      <c r="W184" s="67"/>
      <c r="X184" s="67"/>
      <c r="Y184" s="560"/>
      <c r="Z184" s="67"/>
      <c r="AA184" s="67">
        <f>SUM(AA185:AA186)</f>
        <v>0</v>
      </c>
      <c r="AB184" s="67"/>
      <c r="AC184" s="67"/>
      <c r="AD184" s="560"/>
      <c r="AE184" s="67"/>
      <c r="AF184" s="67">
        <f>SUM(AF185:AF186)</f>
        <v>0</v>
      </c>
      <c r="AG184" s="67"/>
      <c r="AH184" s="67"/>
      <c r="AI184" s="560"/>
      <c r="AJ184" s="67"/>
      <c r="AK184" s="67">
        <f>SUM(AK185:AK186)</f>
        <v>0</v>
      </c>
      <c r="AL184" s="67"/>
      <c r="AM184" s="67"/>
      <c r="AN184" s="560"/>
      <c r="AO184" s="67"/>
      <c r="AP184" s="67">
        <f>SUM(AP185:AP186)</f>
        <v>0</v>
      </c>
      <c r="AQ184" s="67"/>
      <c r="AR184" s="67"/>
      <c r="AS184" s="560"/>
      <c r="AT184" s="67"/>
      <c r="AU184" s="67">
        <f>SUM(AU185:AU186)</f>
        <v>0</v>
      </c>
      <c r="AV184" s="67"/>
      <c r="AW184" s="67"/>
      <c r="AX184" s="560"/>
      <c r="AY184" s="67"/>
      <c r="AZ184" s="67">
        <f>SUM(AZ185:AZ186)</f>
        <v>0</v>
      </c>
      <c r="BA184" s="67"/>
      <c r="BB184" s="67"/>
      <c r="BC184" s="560"/>
      <c r="BD184" s="67"/>
      <c r="BE184" s="67">
        <f>SUM(BE185:BE186)</f>
        <v>0</v>
      </c>
      <c r="BF184" s="67"/>
      <c r="BG184" s="67"/>
      <c r="BH184" s="560"/>
      <c r="BI184" s="67"/>
      <c r="BJ184" s="67">
        <f>SUM(BJ185:BJ186)</f>
        <v>0</v>
      </c>
      <c r="BK184" s="67"/>
      <c r="BL184" s="67"/>
      <c r="BM184" s="560"/>
      <c r="BN184" s="67"/>
      <c r="BO184" s="67">
        <f>SUM(BO185:BO186)</f>
        <v>0</v>
      </c>
      <c r="BP184" s="67"/>
      <c r="BQ184" s="67"/>
      <c r="BR184" s="560"/>
      <c r="BS184" s="67"/>
      <c r="BT184" s="67">
        <f>SUM(BT185:BT186)</f>
        <v>0</v>
      </c>
      <c r="BU184" s="67"/>
      <c r="BV184" s="67"/>
      <c r="BW184" s="560"/>
      <c r="BX184" s="67"/>
      <c r="BY184" s="67">
        <f>SUM(BY185:BY186)</f>
        <v>0</v>
      </c>
      <c r="BZ184" s="67"/>
      <c r="CA184" s="67"/>
      <c r="CB184" s="560"/>
      <c r="CC184" s="67"/>
      <c r="CD184" s="67">
        <f>SUM(CD185:CD186)</f>
        <v>0</v>
      </c>
      <c r="CE184" s="67"/>
      <c r="CF184" s="67"/>
      <c r="CG184" s="560"/>
      <c r="CH184" s="67"/>
      <c r="CI184" s="67">
        <f>SUM(CI185:CI186)</f>
        <v>0</v>
      </c>
      <c r="CJ184" s="67"/>
      <c r="CK184" s="67"/>
      <c r="CL184" s="560"/>
      <c r="CM184" s="67"/>
      <c r="CN184" s="67">
        <f>SUM(CN185:CN186)</f>
        <v>0</v>
      </c>
      <c r="CO184" s="67"/>
      <c r="CP184" s="67"/>
      <c r="CQ184" s="560"/>
      <c r="CR184" s="67"/>
      <c r="CS184" s="67">
        <f>SUM(CS185:CS186)</f>
        <v>0</v>
      </c>
      <c r="CT184" s="67"/>
      <c r="CU184" s="67"/>
      <c r="CV184" s="560"/>
      <c r="CW184" s="67"/>
      <c r="CX184" s="67">
        <f>SUM(CX185:CX186)</f>
        <v>0</v>
      </c>
      <c r="CY184" s="67"/>
      <c r="CZ184" s="67"/>
      <c r="DA184" s="560"/>
      <c r="DB184" s="67"/>
      <c r="DC184" s="67">
        <f>SUM(DC185:DC186)</f>
        <v>0</v>
      </c>
      <c r="DD184" s="67"/>
      <c r="DE184" s="67"/>
      <c r="DF184" s="560"/>
      <c r="DG184" s="67"/>
      <c r="DH184" s="67">
        <f>SUM(DH185:DH186)</f>
        <v>0</v>
      </c>
      <c r="DI184" s="67"/>
      <c r="DJ184" s="67"/>
      <c r="DK184" s="560"/>
      <c r="DL184" s="67"/>
      <c r="DM184" s="67">
        <f>SUM(DM185:DM186)</f>
        <v>0</v>
      </c>
      <c r="DN184" s="67"/>
      <c r="DO184" s="67"/>
      <c r="DP184" s="560"/>
      <c r="DQ184" s="67"/>
      <c r="DR184" s="67">
        <f>SUM(DR185:DR186)</f>
        <v>0</v>
      </c>
      <c r="DS184" s="67"/>
      <c r="DT184" s="67"/>
      <c r="DU184" s="560"/>
      <c r="DV184" s="67"/>
      <c r="DW184" s="67">
        <f>SUM(DW185:DW186)</f>
        <v>0</v>
      </c>
      <c r="DX184" s="67"/>
      <c r="DY184" s="67"/>
      <c r="DZ184" s="560"/>
      <c r="EA184" s="67"/>
      <c r="EB184" s="67">
        <f>SUM(EB185:EB186)</f>
        <v>0</v>
      </c>
      <c r="EC184" s="67"/>
      <c r="ED184" s="67"/>
      <c r="EE184" s="560"/>
      <c r="EF184" s="67"/>
      <c r="EG184" s="67">
        <f>SUM(EG185:EG186)</f>
        <v>0</v>
      </c>
      <c r="EH184" s="67"/>
      <c r="EI184" s="67"/>
      <c r="EJ184" s="560"/>
      <c r="EK184" s="67"/>
      <c r="EL184" s="67">
        <f>SUM(EL185:EL186)</f>
        <v>0</v>
      </c>
      <c r="EM184" s="67"/>
      <c r="EN184" s="67"/>
      <c r="EO184" s="455"/>
    </row>
    <row r="185" spans="1:145" hidden="1" x14ac:dyDescent="0.2">
      <c r="A185" s="442"/>
      <c r="B185" s="442"/>
      <c r="C185" s="442"/>
      <c r="D185" s="455" t="s">
        <v>469</v>
      </c>
      <c r="E185" s="465"/>
      <c r="F185" s="473"/>
      <c r="G185" s="558">
        <v>0</v>
      </c>
      <c r="H185" s="559"/>
      <c r="I185" s="67"/>
      <c r="J185" s="560"/>
      <c r="K185" s="561"/>
      <c r="L185" s="558">
        <v>0</v>
      </c>
      <c r="M185" s="559"/>
      <c r="N185" s="67"/>
      <c r="O185" s="560"/>
      <c r="P185" s="561"/>
      <c r="Q185" s="558">
        <v>0</v>
      </c>
      <c r="R185" s="559"/>
      <c r="S185" s="67"/>
      <c r="T185" s="560"/>
      <c r="U185" s="561"/>
      <c r="V185" s="558">
        <v>0</v>
      </c>
      <c r="W185" s="559"/>
      <c r="X185" s="67"/>
      <c r="Y185" s="560"/>
      <c r="Z185" s="561"/>
      <c r="AA185" s="558">
        <v>0</v>
      </c>
      <c r="AB185" s="559"/>
      <c r="AC185" s="67"/>
      <c r="AD185" s="560"/>
      <c r="AE185" s="561"/>
      <c r="AF185" s="558">
        <v>0</v>
      </c>
      <c r="AG185" s="559"/>
      <c r="AH185" s="67"/>
      <c r="AI185" s="560"/>
      <c r="AJ185" s="561"/>
      <c r="AK185" s="558">
        <v>0</v>
      </c>
      <c r="AL185" s="559"/>
      <c r="AM185" s="67"/>
      <c r="AN185" s="560"/>
      <c r="AO185" s="561"/>
      <c r="AP185" s="558">
        <v>0</v>
      </c>
      <c r="AQ185" s="559"/>
      <c r="AR185" s="67"/>
      <c r="AS185" s="560"/>
      <c r="AT185" s="561"/>
      <c r="AU185" s="558">
        <v>0</v>
      </c>
      <c r="AV185" s="559"/>
      <c r="AW185" s="67"/>
      <c r="AX185" s="560"/>
      <c r="AY185" s="561"/>
      <c r="AZ185" s="558">
        <v>0</v>
      </c>
      <c r="BA185" s="559"/>
      <c r="BB185" s="67"/>
      <c r="BC185" s="560"/>
      <c r="BD185" s="561"/>
      <c r="BE185" s="558">
        <v>0</v>
      </c>
      <c r="BF185" s="559"/>
      <c r="BG185" s="67"/>
      <c r="BH185" s="560"/>
      <c r="BI185" s="561"/>
      <c r="BJ185" s="558">
        <v>0</v>
      </c>
      <c r="BK185" s="559"/>
      <c r="BL185" s="67"/>
      <c r="BM185" s="560"/>
      <c r="BN185" s="561"/>
      <c r="BO185" s="558">
        <v>0</v>
      </c>
      <c r="BP185" s="559"/>
      <c r="BQ185" s="67"/>
      <c r="BR185" s="560"/>
      <c r="BS185" s="561"/>
      <c r="BT185" s="558">
        <f>SUM(L185:BO185)</f>
        <v>0</v>
      </c>
      <c r="BU185" s="559"/>
      <c r="BV185" s="67"/>
      <c r="BW185" s="560"/>
      <c r="BX185" s="561"/>
      <c r="BY185" s="558">
        <v>0</v>
      </c>
      <c r="BZ185" s="559"/>
      <c r="CA185" s="67"/>
      <c r="CB185" s="560"/>
      <c r="CC185" s="561"/>
      <c r="CD185" s="558">
        <v>0</v>
      </c>
      <c r="CE185" s="559"/>
      <c r="CF185" s="67"/>
      <c r="CG185" s="560"/>
      <c r="CH185" s="561"/>
      <c r="CI185" s="558">
        <v>0</v>
      </c>
      <c r="CJ185" s="559"/>
      <c r="CK185" s="67"/>
      <c r="CL185" s="560"/>
      <c r="CM185" s="561"/>
      <c r="CN185" s="558">
        <v>0</v>
      </c>
      <c r="CO185" s="559"/>
      <c r="CP185" s="67"/>
      <c r="CQ185" s="560"/>
      <c r="CR185" s="561"/>
      <c r="CS185" s="558">
        <v>0</v>
      </c>
      <c r="CT185" s="559"/>
      <c r="CU185" s="67"/>
      <c r="CV185" s="560"/>
      <c r="CW185" s="561"/>
      <c r="CX185" s="558">
        <v>0</v>
      </c>
      <c r="CY185" s="559"/>
      <c r="CZ185" s="67"/>
      <c r="DA185" s="560"/>
      <c r="DB185" s="561"/>
      <c r="DC185" s="558">
        <v>0</v>
      </c>
      <c r="DD185" s="559"/>
      <c r="DE185" s="67"/>
      <c r="DF185" s="560"/>
      <c r="DG185" s="561"/>
      <c r="DH185" s="558">
        <v>0</v>
      </c>
      <c r="DI185" s="559"/>
      <c r="DJ185" s="67"/>
      <c r="DK185" s="560"/>
      <c r="DL185" s="561"/>
      <c r="DM185" s="558">
        <v>0</v>
      </c>
      <c r="DN185" s="559"/>
      <c r="DO185" s="67"/>
      <c r="DP185" s="560"/>
      <c r="DQ185" s="561"/>
      <c r="DR185" s="558">
        <v>0</v>
      </c>
      <c r="DS185" s="559"/>
      <c r="DT185" s="67"/>
      <c r="DU185" s="560"/>
      <c r="DV185" s="561"/>
      <c r="DW185" s="558">
        <v>0</v>
      </c>
      <c r="DX185" s="559"/>
      <c r="DY185" s="67"/>
      <c r="DZ185" s="560"/>
      <c r="EA185" s="561"/>
      <c r="EB185" s="558">
        <v>0</v>
      </c>
      <c r="EC185" s="559"/>
      <c r="ED185" s="67"/>
      <c r="EE185" s="560"/>
      <c r="EF185" s="561"/>
      <c r="EG185" s="558">
        <v>0</v>
      </c>
      <c r="EH185" s="559"/>
      <c r="EI185" s="67"/>
      <c r="EJ185" s="560"/>
      <c r="EK185" s="561"/>
      <c r="EL185" s="558">
        <f>SUM(CD185:EG185)</f>
        <v>0</v>
      </c>
      <c r="EM185" s="559"/>
      <c r="EN185" s="67"/>
      <c r="EO185" s="455"/>
    </row>
    <row r="186" spans="1:145" hidden="1" x14ac:dyDescent="0.2">
      <c r="A186" s="442"/>
      <c r="B186" s="442"/>
      <c r="C186" s="442"/>
      <c r="D186" s="455" t="s">
        <v>470</v>
      </c>
      <c r="E186" s="465"/>
      <c r="F186" s="488"/>
      <c r="G186" s="113">
        <v>0</v>
      </c>
      <c r="H186" s="112"/>
      <c r="I186" s="67"/>
      <c r="J186" s="560"/>
      <c r="K186" s="569"/>
      <c r="L186" s="113">
        <v>0</v>
      </c>
      <c r="M186" s="112"/>
      <c r="N186" s="67"/>
      <c r="O186" s="560"/>
      <c r="P186" s="569"/>
      <c r="Q186" s="113">
        <v>0</v>
      </c>
      <c r="R186" s="112"/>
      <c r="S186" s="67"/>
      <c r="T186" s="560"/>
      <c r="U186" s="569"/>
      <c r="V186" s="113">
        <v>0</v>
      </c>
      <c r="W186" s="112"/>
      <c r="X186" s="67"/>
      <c r="Y186" s="560"/>
      <c r="Z186" s="569"/>
      <c r="AA186" s="113">
        <v>0</v>
      </c>
      <c r="AB186" s="112"/>
      <c r="AC186" s="67"/>
      <c r="AD186" s="560"/>
      <c r="AE186" s="569"/>
      <c r="AF186" s="113">
        <v>0</v>
      </c>
      <c r="AG186" s="112"/>
      <c r="AH186" s="67"/>
      <c r="AI186" s="560"/>
      <c r="AJ186" s="569"/>
      <c r="AK186" s="113">
        <v>0</v>
      </c>
      <c r="AL186" s="112"/>
      <c r="AM186" s="67"/>
      <c r="AN186" s="560"/>
      <c r="AO186" s="569"/>
      <c r="AP186" s="113">
        <v>0</v>
      </c>
      <c r="AQ186" s="112"/>
      <c r="AR186" s="67"/>
      <c r="AS186" s="560"/>
      <c r="AT186" s="569"/>
      <c r="AU186" s="113">
        <v>0</v>
      </c>
      <c r="AV186" s="112"/>
      <c r="AW186" s="67"/>
      <c r="AX186" s="560"/>
      <c r="AY186" s="569"/>
      <c r="AZ186" s="113">
        <v>0</v>
      </c>
      <c r="BA186" s="112"/>
      <c r="BB186" s="67"/>
      <c r="BC186" s="560"/>
      <c r="BD186" s="569"/>
      <c r="BE186" s="113">
        <v>0</v>
      </c>
      <c r="BF186" s="112"/>
      <c r="BG186" s="67"/>
      <c r="BH186" s="560"/>
      <c r="BI186" s="569"/>
      <c r="BJ186" s="113">
        <v>0</v>
      </c>
      <c r="BK186" s="112"/>
      <c r="BL186" s="67"/>
      <c r="BM186" s="560"/>
      <c r="BN186" s="569"/>
      <c r="BO186" s="113">
        <v>0</v>
      </c>
      <c r="BP186" s="112"/>
      <c r="BQ186" s="67"/>
      <c r="BR186" s="560"/>
      <c r="BS186" s="569"/>
      <c r="BT186" s="113">
        <f>SUM(L186:BO186)</f>
        <v>0</v>
      </c>
      <c r="BU186" s="112"/>
      <c r="BV186" s="67"/>
      <c r="BW186" s="560"/>
      <c r="BX186" s="569"/>
      <c r="BY186" s="113">
        <v>0</v>
      </c>
      <c r="BZ186" s="112"/>
      <c r="CA186" s="67"/>
      <c r="CB186" s="560"/>
      <c r="CC186" s="569"/>
      <c r="CD186" s="113">
        <v>0</v>
      </c>
      <c r="CE186" s="112"/>
      <c r="CF186" s="67"/>
      <c r="CG186" s="560"/>
      <c r="CH186" s="569"/>
      <c r="CI186" s="113">
        <v>0</v>
      </c>
      <c r="CJ186" s="112"/>
      <c r="CK186" s="67"/>
      <c r="CL186" s="560"/>
      <c r="CM186" s="569"/>
      <c r="CN186" s="113">
        <v>0</v>
      </c>
      <c r="CO186" s="112"/>
      <c r="CP186" s="67"/>
      <c r="CQ186" s="560"/>
      <c r="CR186" s="569"/>
      <c r="CS186" s="113">
        <v>0</v>
      </c>
      <c r="CT186" s="112"/>
      <c r="CU186" s="67"/>
      <c r="CV186" s="560"/>
      <c r="CW186" s="569"/>
      <c r="CX186" s="113">
        <v>0</v>
      </c>
      <c r="CY186" s="112"/>
      <c r="CZ186" s="67"/>
      <c r="DA186" s="560"/>
      <c r="DB186" s="569"/>
      <c r="DC186" s="113">
        <v>0</v>
      </c>
      <c r="DD186" s="112"/>
      <c r="DE186" s="67"/>
      <c r="DF186" s="560"/>
      <c r="DG186" s="569"/>
      <c r="DH186" s="113">
        <v>0</v>
      </c>
      <c r="DI186" s="112"/>
      <c r="DJ186" s="67"/>
      <c r="DK186" s="560"/>
      <c r="DL186" s="569"/>
      <c r="DM186" s="113">
        <v>0</v>
      </c>
      <c r="DN186" s="112"/>
      <c r="DO186" s="67"/>
      <c r="DP186" s="560"/>
      <c r="DQ186" s="569"/>
      <c r="DR186" s="113">
        <v>0</v>
      </c>
      <c r="DS186" s="112"/>
      <c r="DT186" s="67"/>
      <c r="DU186" s="560"/>
      <c r="DV186" s="569"/>
      <c r="DW186" s="113">
        <v>0</v>
      </c>
      <c r="DX186" s="112"/>
      <c r="DY186" s="67"/>
      <c r="DZ186" s="560"/>
      <c r="EA186" s="569"/>
      <c r="EB186" s="113">
        <v>0</v>
      </c>
      <c r="EC186" s="112"/>
      <c r="ED186" s="67"/>
      <c r="EE186" s="560"/>
      <c r="EF186" s="569"/>
      <c r="EG186" s="113">
        <v>0</v>
      </c>
      <c r="EH186" s="112"/>
      <c r="EI186" s="67"/>
      <c r="EJ186" s="560"/>
      <c r="EK186" s="569"/>
      <c r="EL186" s="113">
        <f>SUM(CD186:EG186)</f>
        <v>0</v>
      </c>
      <c r="EM186" s="112"/>
      <c r="EN186" s="67"/>
      <c r="EO186" s="455"/>
    </row>
    <row r="187" spans="1:145" hidden="1" x14ac:dyDescent="0.2">
      <c r="A187" s="442"/>
      <c r="B187" s="442"/>
      <c r="C187" s="442"/>
      <c r="D187" s="455"/>
      <c r="E187" s="465"/>
      <c r="F187" s="442"/>
      <c r="G187" s="67"/>
      <c r="H187" s="67"/>
      <c r="I187" s="67"/>
      <c r="J187" s="560"/>
      <c r="K187" s="67"/>
      <c r="L187" s="67"/>
      <c r="M187" s="67"/>
      <c r="N187" s="67"/>
      <c r="O187" s="560"/>
      <c r="P187" s="67"/>
      <c r="Q187" s="67"/>
      <c r="R187" s="67"/>
      <c r="S187" s="67"/>
      <c r="T187" s="560"/>
      <c r="U187" s="67"/>
      <c r="V187" s="67"/>
      <c r="W187" s="67"/>
      <c r="X187" s="67"/>
      <c r="Y187" s="560"/>
      <c r="Z187" s="67"/>
      <c r="AA187" s="67"/>
      <c r="AB187" s="67"/>
      <c r="AC187" s="67"/>
      <c r="AD187" s="560"/>
      <c r="AE187" s="67"/>
      <c r="AF187" s="67"/>
      <c r="AG187" s="67"/>
      <c r="AH187" s="67"/>
      <c r="AI187" s="560"/>
      <c r="AJ187" s="67"/>
      <c r="AK187" s="67"/>
      <c r="AL187" s="67"/>
      <c r="AM187" s="67"/>
      <c r="AN187" s="560"/>
      <c r="AO187" s="67"/>
      <c r="AP187" s="67"/>
      <c r="AQ187" s="67"/>
      <c r="AR187" s="67"/>
      <c r="AS187" s="560"/>
      <c r="AT187" s="67"/>
      <c r="AU187" s="67"/>
      <c r="AV187" s="67"/>
      <c r="AW187" s="67"/>
      <c r="AX187" s="560"/>
      <c r="AY187" s="67"/>
      <c r="AZ187" s="67"/>
      <c r="BA187" s="67"/>
      <c r="BB187" s="67"/>
      <c r="BC187" s="560"/>
      <c r="BD187" s="67"/>
      <c r="BE187" s="67"/>
      <c r="BF187" s="67"/>
      <c r="BG187" s="67"/>
      <c r="BH187" s="560"/>
      <c r="BI187" s="67"/>
      <c r="BJ187" s="67"/>
      <c r="BK187" s="67"/>
      <c r="BL187" s="67"/>
      <c r="BM187" s="560"/>
      <c r="BN187" s="67"/>
      <c r="BO187" s="67"/>
      <c r="BP187" s="67"/>
      <c r="BQ187" s="67"/>
      <c r="BR187" s="560"/>
      <c r="BS187" s="67"/>
      <c r="BT187" s="67"/>
      <c r="BU187" s="67"/>
      <c r="BV187" s="67"/>
      <c r="BW187" s="560"/>
      <c r="BX187" s="67"/>
      <c r="BY187" s="67"/>
      <c r="BZ187" s="67"/>
      <c r="CA187" s="67"/>
      <c r="CB187" s="560"/>
      <c r="CC187" s="67"/>
      <c r="CD187" s="67"/>
      <c r="CE187" s="67"/>
      <c r="CF187" s="67"/>
      <c r="CG187" s="560"/>
      <c r="CH187" s="67"/>
      <c r="CI187" s="67"/>
      <c r="CJ187" s="67"/>
      <c r="CK187" s="67"/>
      <c r="CL187" s="560"/>
      <c r="CM187" s="67"/>
      <c r="CN187" s="67"/>
      <c r="CO187" s="67"/>
      <c r="CP187" s="67"/>
      <c r="CQ187" s="560"/>
      <c r="CR187" s="67"/>
      <c r="CS187" s="67"/>
      <c r="CT187" s="67"/>
      <c r="CU187" s="67"/>
      <c r="CV187" s="560"/>
      <c r="CW187" s="67"/>
      <c r="CX187" s="67"/>
      <c r="CY187" s="67"/>
      <c r="CZ187" s="67"/>
      <c r="DA187" s="560"/>
      <c r="DB187" s="67"/>
      <c r="DC187" s="67"/>
      <c r="DD187" s="67"/>
      <c r="DE187" s="67"/>
      <c r="DF187" s="560"/>
      <c r="DG187" s="67"/>
      <c r="DH187" s="67"/>
      <c r="DI187" s="67"/>
      <c r="DJ187" s="67"/>
      <c r="DK187" s="560"/>
      <c r="DL187" s="67"/>
      <c r="DM187" s="67"/>
      <c r="DN187" s="67"/>
      <c r="DO187" s="67"/>
      <c r="DP187" s="560"/>
      <c r="DQ187" s="67"/>
      <c r="DR187" s="67"/>
      <c r="DS187" s="67"/>
      <c r="DT187" s="67"/>
      <c r="DU187" s="560"/>
      <c r="DV187" s="67"/>
      <c r="DW187" s="67"/>
      <c r="DX187" s="67"/>
      <c r="DY187" s="67"/>
      <c r="DZ187" s="560"/>
      <c r="EA187" s="67"/>
      <c r="EB187" s="67"/>
      <c r="EC187" s="67"/>
      <c r="ED187" s="67"/>
      <c r="EE187" s="560"/>
      <c r="EF187" s="67"/>
      <c r="EG187" s="67"/>
      <c r="EH187" s="67"/>
      <c r="EI187" s="67"/>
      <c r="EJ187" s="560"/>
      <c r="EK187" s="67"/>
      <c r="EL187" s="67"/>
      <c r="EM187" s="67"/>
      <c r="EN187" s="67"/>
      <c r="EO187" s="455"/>
    </row>
    <row r="188" spans="1:145" x14ac:dyDescent="0.2">
      <c r="A188" s="442"/>
      <c r="B188" s="442"/>
      <c r="C188" s="442"/>
      <c r="D188" s="599"/>
      <c r="E188" s="575"/>
      <c r="F188" s="445"/>
      <c r="G188" s="125"/>
      <c r="H188" s="125"/>
      <c r="I188" s="125"/>
      <c r="J188" s="576"/>
      <c r="K188" s="125"/>
      <c r="L188" s="125"/>
      <c r="M188" s="125"/>
      <c r="N188" s="125"/>
      <c r="O188" s="576"/>
      <c r="P188" s="125"/>
      <c r="Q188" s="125"/>
      <c r="R188" s="125"/>
      <c r="S188" s="125"/>
      <c r="T188" s="576"/>
      <c r="U188" s="125"/>
      <c r="V188" s="125"/>
      <c r="W188" s="125"/>
      <c r="X188" s="125"/>
      <c r="Y188" s="576"/>
      <c r="Z188" s="125"/>
      <c r="AA188" s="125"/>
      <c r="AB188" s="125"/>
      <c r="AC188" s="125"/>
      <c r="AD188" s="576"/>
      <c r="AE188" s="125"/>
      <c r="AF188" s="125"/>
      <c r="AG188" s="125"/>
      <c r="AH188" s="125"/>
      <c r="AI188" s="576"/>
      <c r="AJ188" s="125"/>
      <c r="AK188" s="125"/>
      <c r="AL188" s="125"/>
      <c r="AM188" s="125"/>
      <c r="AN188" s="576"/>
      <c r="AO188" s="125"/>
      <c r="AP188" s="125"/>
      <c r="AQ188" s="125"/>
      <c r="AR188" s="125"/>
      <c r="AS188" s="576"/>
      <c r="AT188" s="125"/>
      <c r="AU188" s="125"/>
      <c r="AV188" s="125"/>
      <c r="AW188" s="125"/>
      <c r="AX188" s="576"/>
      <c r="AY188" s="125"/>
      <c r="AZ188" s="125"/>
      <c r="BA188" s="125"/>
      <c r="BB188" s="125"/>
      <c r="BC188" s="576"/>
      <c r="BD188" s="125"/>
      <c r="BE188" s="125"/>
      <c r="BF188" s="125"/>
      <c r="BG188" s="125"/>
      <c r="BH188" s="576"/>
      <c r="BI188" s="125"/>
      <c r="BJ188" s="125"/>
      <c r="BK188" s="125"/>
      <c r="BL188" s="125"/>
      <c r="BM188" s="576"/>
      <c r="BN188" s="125"/>
      <c r="BO188" s="125"/>
      <c r="BP188" s="125"/>
      <c r="BQ188" s="125"/>
      <c r="BR188" s="576"/>
      <c r="BS188" s="125"/>
      <c r="BT188" s="125"/>
      <c r="BU188" s="125"/>
      <c r="BV188" s="125"/>
      <c r="BW188" s="576"/>
      <c r="BX188" s="125"/>
      <c r="BY188" s="125"/>
      <c r="BZ188" s="125"/>
      <c r="CA188" s="125"/>
      <c r="CB188" s="576"/>
      <c r="CC188" s="125"/>
      <c r="CD188" s="125"/>
      <c r="CE188" s="125"/>
      <c r="CF188" s="125"/>
      <c r="CG188" s="576"/>
      <c r="CH188" s="125"/>
      <c r="CI188" s="125"/>
      <c r="CJ188" s="125"/>
      <c r="CK188" s="125"/>
      <c r="CL188" s="576"/>
      <c r="CM188" s="125"/>
      <c r="CN188" s="125"/>
      <c r="CO188" s="125"/>
      <c r="CP188" s="125"/>
      <c r="CQ188" s="576"/>
      <c r="CR188" s="125"/>
      <c r="CS188" s="125"/>
      <c r="CT188" s="125"/>
      <c r="CU188" s="125"/>
      <c r="CV188" s="576"/>
      <c r="CW188" s="125"/>
      <c r="CX188" s="125"/>
      <c r="CY188" s="125"/>
      <c r="CZ188" s="125"/>
      <c r="DA188" s="576"/>
      <c r="DB188" s="125"/>
      <c r="DC188" s="125"/>
      <c r="DD188" s="125"/>
      <c r="DE188" s="125"/>
      <c r="DF188" s="576"/>
      <c r="DG188" s="125"/>
      <c r="DH188" s="125"/>
      <c r="DI188" s="125"/>
      <c r="DJ188" s="125"/>
      <c r="DK188" s="576"/>
      <c r="DL188" s="125"/>
      <c r="DM188" s="125"/>
      <c r="DN188" s="125"/>
      <c r="DO188" s="125"/>
      <c r="DP188" s="576"/>
      <c r="DQ188" s="125"/>
      <c r="DR188" s="125"/>
      <c r="DS188" s="125"/>
      <c r="DT188" s="125"/>
      <c r="DU188" s="576"/>
      <c r="DV188" s="125"/>
      <c r="DW188" s="125"/>
      <c r="DX188" s="125"/>
      <c r="DY188" s="125"/>
      <c r="DZ188" s="576"/>
      <c r="EA188" s="125"/>
      <c r="EB188" s="125"/>
      <c r="EC188" s="125"/>
      <c r="ED188" s="125"/>
      <c r="EE188" s="576"/>
      <c r="EF188" s="125"/>
      <c r="EG188" s="125"/>
      <c r="EH188" s="125"/>
      <c r="EI188" s="125"/>
      <c r="EJ188" s="576"/>
      <c r="EK188" s="125"/>
      <c r="EL188" s="125"/>
      <c r="EM188" s="125"/>
      <c r="EN188" s="126"/>
      <c r="EO188" s="455"/>
    </row>
    <row r="189" spans="1:145" x14ac:dyDescent="0.2">
      <c r="A189" s="442"/>
      <c r="B189" s="442"/>
      <c r="C189" s="442"/>
      <c r="D189" s="442"/>
      <c r="E189" s="442"/>
      <c r="F189" s="442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CZ189" s="67"/>
      <c r="DA189" s="67"/>
      <c r="DB189" s="67"/>
      <c r="DC189" s="67"/>
      <c r="DD189" s="67"/>
      <c r="DE189" s="67"/>
      <c r="DF189" s="67"/>
      <c r="DG189" s="67"/>
      <c r="DH189" s="67"/>
      <c r="DI189" s="67"/>
      <c r="DJ189" s="67"/>
      <c r="DK189" s="67"/>
      <c r="DL189" s="67"/>
      <c r="DM189" s="67"/>
      <c r="DN189" s="67"/>
      <c r="DO189" s="67"/>
      <c r="DP189" s="67"/>
      <c r="DQ189" s="67"/>
      <c r="DR189" s="67"/>
      <c r="DS189" s="67"/>
      <c r="DT189" s="67"/>
      <c r="DU189" s="67"/>
      <c r="DV189" s="67"/>
      <c r="DW189" s="67"/>
      <c r="DX189" s="67"/>
      <c r="DY189" s="67"/>
      <c r="DZ189" s="67"/>
      <c r="EA189" s="67"/>
      <c r="EB189" s="67"/>
      <c r="EC189" s="67"/>
      <c r="ED189" s="67"/>
      <c r="EE189" s="67"/>
      <c r="EF189" s="67"/>
      <c r="EG189" s="67"/>
      <c r="EH189" s="67"/>
      <c r="EI189" s="67"/>
      <c r="EJ189" s="67"/>
      <c r="EK189" s="67"/>
      <c r="EL189" s="67"/>
      <c r="EM189" s="67"/>
      <c r="EN189" s="67"/>
      <c r="EO189" s="442"/>
    </row>
    <row r="190" spans="1:145" ht="6" customHeight="1" x14ac:dyDescent="0.2">
      <c r="A190" s="442"/>
      <c r="B190" s="442"/>
      <c r="C190" s="442"/>
      <c r="D190" s="442"/>
      <c r="E190" s="442"/>
      <c r="F190" s="442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442"/>
    </row>
    <row r="191" spans="1:145" x14ac:dyDescent="0.2">
      <c r="A191" s="442"/>
      <c r="B191" s="442"/>
      <c r="C191" s="442"/>
      <c r="D191" s="442"/>
      <c r="E191" s="442"/>
      <c r="F191" s="442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</row>
    <row r="192" spans="1:145" x14ac:dyDescent="0.2">
      <c r="A192" s="442"/>
      <c r="B192" s="442"/>
      <c r="C192" s="442"/>
      <c r="D192" s="609"/>
      <c r="E192" s="609"/>
      <c r="F192" s="609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</row>
    <row r="193" spans="1:144" x14ac:dyDescent="0.2">
      <c r="A193" s="442"/>
      <c r="B193" s="442"/>
      <c r="C193" s="442"/>
      <c r="D193" s="442"/>
      <c r="E193" s="442"/>
      <c r="F193" s="442"/>
      <c r="G193" s="442"/>
      <c r="H193" s="44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442"/>
      <c r="AE193" s="442"/>
      <c r="AF193" s="442"/>
      <c r="AG193" s="442"/>
      <c r="AH193" s="442"/>
      <c r="AI193" s="442"/>
      <c r="AJ193" s="442"/>
      <c r="AK193" s="442"/>
      <c r="AL193" s="442"/>
      <c r="AM193" s="442"/>
      <c r="AN193" s="442"/>
      <c r="AO193" s="442"/>
      <c r="AP193" s="442"/>
      <c r="AQ193" s="442"/>
      <c r="AR193" s="442"/>
      <c r="AS193" s="442"/>
      <c r="AT193" s="442"/>
      <c r="AU193" s="442"/>
      <c r="AV193" s="442"/>
      <c r="AW193" s="442"/>
      <c r="AX193" s="442"/>
      <c r="AY193" s="442"/>
      <c r="AZ193" s="442"/>
      <c r="BA193" s="442"/>
      <c r="BB193" s="442"/>
      <c r="BC193" s="442"/>
      <c r="BD193" s="442"/>
      <c r="BE193" s="442"/>
      <c r="BF193" s="442"/>
      <c r="BG193" s="442"/>
      <c r="BH193" s="442"/>
      <c r="BI193" s="442"/>
      <c r="BJ193" s="442"/>
      <c r="BK193" s="442"/>
      <c r="BL193" s="442"/>
      <c r="BM193" s="442"/>
      <c r="BN193" s="442"/>
      <c r="BO193" s="442"/>
      <c r="BP193" s="442"/>
      <c r="BQ193" s="442"/>
      <c r="BR193" s="442"/>
      <c r="BS193" s="442"/>
      <c r="BT193" s="442"/>
      <c r="BU193" s="442"/>
      <c r="BV193" s="442"/>
      <c r="BW193" s="442"/>
      <c r="BX193" s="442"/>
      <c r="BY193" s="442"/>
      <c r="BZ193" s="442"/>
      <c r="CA193" s="442"/>
      <c r="CB193" s="442"/>
      <c r="CC193" s="442"/>
      <c r="CD193" s="442"/>
      <c r="CE193" s="442"/>
      <c r="CF193" s="442"/>
      <c r="CG193" s="442"/>
      <c r="CH193" s="442"/>
      <c r="CI193" s="442"/>
      <c r="CJ193" s="442"/>
      <c r="CK193" s="442"/>
      <c r="CL193" s="442"/>
      <c r="CM193" s="442"/>
      <c r="CN193" s="442"/>
      <c r="CO193" s="442"/>
      <c r="CP193" s="442"/>
      <c r="CQ193" s="442"/>
      <c r="CR193" s="442"/>
      <c r="CS193" s="442"/>
      <c r="CT193" s="442"/>
      <c r="CU193" s="442"/>
      <c r="CV193" s="442"/>
      <c r="CW193" s="442"/>
      <c r="CX193" s="442"/>
      <c r="CY193" s="442"/>
      <c r="CZ193" s="442"/>
      <c r="DA193" s="442"/>
      <c r="DB193" s="442"/>
      <c r="DC193" s="442"/>
      <c r="DD193" s="442"/>
      <c r="DE193" s="442"/>
      <c r="DF193" s="442"/>
      <c r="DG193" s="442"/>
      <c r="DH193" s="442"/>
      <c r="DI193" s="442"/>
      <c r="DJ193" s="442"/>
      <c r="DK193" s="442"/>
      <c r="DL193" s="442"/>
      <c r="DM193" s="442"/>
      <c r="DN193" s="442"/>
      <c r="DO193" s="442"/>
      <c r="DP193" s="442"/>
      <c r="DQ193" s="442"/>
      <c r="DR193" s="442"/>
      <c r="DS193" s="442"/>
      <c r="DT193" s="442"/>
      <c r="DU193" s="442"/>
      <c r="DV193" s="442"/>
      <c r="DW193" s="442"/>
      <c r="DX193" s="442"/>
      <c r="DY193" s="442"/>
      <c r="DZ193" s="442"/>
      <c r="EA193" s="442"/>
      <c r="EB193" s="442"/>
      <c r="EC193" s="442"/>
      <c r="ED193" s="442"/>
      <c r="EE193" s="442"/>
      <c r="EF193" s="442"/>
      <c r="EG193" s="442"/>
      <c r="EH193" s="442"/>
      <c r="EI193" s="442"/>
      <c r="EJ193" s="442"/>
      <c r="EK193" s="442"/>
      <c r="EL193" s="442"/>
      <c r="EM193" s="442"/>
      <c r="EN193" s="442"/>
    </row>
  </sheetData>
  <mergeCells count="2">
    <mergeCell ref="G8:BT8"/>
    <mergeCell ref="BY8:EL8"/>
  </mergeCells>
  <pageMargins left="0.7" right="0.7" top="0.75" bottom="0.75" header="0.3" footer="0.3"/>
  <pageSetup scale="51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06"/>
  <sheetViews>
    <sheetView view="pageBreakPreview" topLeftCell="D1" zoomScale="95" zoomScaleNormal="100" zoomScaleSheetLayoutView="95" workbookViewId="0">
      <selection activeCell="EU27" sqref="EU27"/>
    </sheetView>
  </sheetViews>
  <sheetFormatPr defaultColWidth="10" defaultRowHeight="12.75" x14ac:dyDescent="0.2"/>
  <cols>
    <col min="1" max="1" width="1.85546875" style="53" hidden="1" customWidth="1"/>
    <col min="2" max="3" width="0.85546875" style="53" hidden="1" customWidth="1"/>
    <col min="4" max="4" width="64.85546875" style="53" customWidth="1"/>
    <col min="5" max="5" width="7" style="610" customWidth="1"/>
    <col min="6" max="7" width="1" style="53" customWidth="1"/>
    <col min="8" max="8" width="15.140625" style="53" customWidth="1"/>
    <col min="9" max="10" width="1" style="53" customWidth="1"/>
    <col min="11" max="11" width="0.85546875" style="53" hidden="1" customWidth="1"/>
    <col min="12" max="12" width="1" style="53" hidden="1" customWidth="1"/>
    <col min="13" max="13" width="17.85546875" style="53" hidden="1" customWidth="1"/>
    <col min="14" max="15" width="1" style="53" hidden="1" customWidth="1"/>
    <col min="16" max="17" width="1" style="53" customWidth="1"/>
    <col min="18" max="18" width="17.85546875" style="53" customWidth="1"/>
    <col min="19" max="20" width="1" style="53" customWidth="1"/>
    <col min="21" max="22" width="1" style="53" hidden="1" customWidth="1"/>
    <col min="23" max="23" width="17.85546875" style="53" hidden="1" customWidth="1"/>
    <col min="24" max="27" width="1" style="53" hidden="1" customWidth="1"/>
    <col min="28" max="28" width="17.85546875" style="53" hidden="1" customWidth="1"/>
    <col min="29" max="32" width="1" style="53" hidden="1" customWidth="1"/>
    <col min="33" max="33" width="17.85546875" style="53" hidden="1" customWidth="1"/>
    <col min="34" max="37" width="1" style="53" hidden="1" customWidth="1"/>
    <col min="38" max="38" width="17.85546875" style="53" hidden="1" customWidth="1"/>
    <col min="39" max="40" width="1" style="53" hidden="1" customWidth="1"/>
    <col min="41" max="41" width="1.28515625" style="53" hidden="1" customWidth="1"/>
    <col min="42" max="42" width="1" style="53" hidden="1" customWidth="1"/>
    <col min="43" max="43" width="17.85546875" style="53" hidden="1" customWidth="1"/>
    <col min="44" max="47" width="1" style="53" hidden="1" customWidth="1"/>
    <col min="48" max="48" width="14.7109375" style="53" hidden="1" customWidth="1"/>
    <col min="49" max="52" width="1" style="53" hidden="1" customWidth="1"/>
    <col min="53" max="53" width="17.85546875" style="53" hidden="1" customWidth="1"/>
    <col min="54" max="57" width="1" style="53" hidden="1" customWidth="1"/>
    <col min="58" max="58" width="17.85546875" style="53" hidden="1" customWidth="1"/>
    <col min="59" max="62" width="1" style="53" hidden="1" customWidth="1"/>
    <col min="63" max="63" width="17.85546875" style="53" hidden="1" customWidth="1"/>
    <col min="64" max="67" width="1" style="53" hidden="1" customWidth="1"/>
    <col min="68" max="68" width="17.85546875" style="53" hidden="1" customWidth="1"/>
    <col min="69" max="70" width="1" style="53" hidden="1" customWidth="1"/>
    <col min="71" max="72" width="1" style="53" customWidth="1"/>
    <col min="73" max="73" width="16.5703125" style="53" customWidth="1"/>
    <col min="74" max="77" width="1" style="53" customWidth="1"/>
    <col min="78" max="78" width="14.7109375" style="53" customWidth="1"/>
    <col min="79" max="80" width="1" style="53" customWidth="1"/>
    <col min="81" max="82" width="1" style="53" hidden="1" customWidth="1"/>
    <col min="83" max="83" width="17.85546875" style="53" hidden="1" customWidth="1"/>
    <col min="84" max="85" width="1" style="53" hidden="1" customWidth="1"/>
    <col min="86" max="87" width="1" style="53" customWidth="1"/>
    <col min="88" max="88" width="17.85546875" style="53" customWidth="1"/>
    <col min="89" max="90" width="1" style="53" customWidth="1"/>
    <col min="91" max="92" width="1" style="53" hidden="1" customWidth="1"/>
    <col min="93" max="93" width="17.85546875" style="53" hidden="1" customWidth="1"/>
    <col min="94" max="95" width="1" style="53" hidden="1" customWidth="1"/>
    <col min="96" max="96" width="0.85546875" style="53" hidden="1" customWidth="1"/>
    <col min="97" max="97" width="1.140625" style="53" hidden="1" customWidth="1"/>
    <col min="98" max="98" width="17.85546875" style="53" hidden="1" customWidth="1"/>
    <col min="99" max="102" width="1" style="53" hidden="1" customWidth="1"/>
    <col min="103" max="103" width="17.85546875" style="53" hidden="1" customWidth="1"/>
    <col min="104" max="107" width="1" style="53" hidden="1" customWidth="1"/>
    <col min="108" max="108" width="17.85546875" style="53" hidden="1" customWidth="1"/>
    <col min="109" max="112" width="1" style="53" hidden="1" customWidth="1"/>
    <col min="113" max="113" width="17.85546875" style="53" hidden="1" customWidth="1"/>
    <col min="114" max="114" width="1" style="53" hidden="1" customWidth="1"/>
    <col min="115" max="115" width="0.7109375" style="53" hidden="1" customWidth="1"/>
    <col min="116" max="117" width="1" style="53" hidden="1" customWidth="1"/>
    <col min="118" max="118" width="14.28515625" style="53" hidden="1" customWidth="1"/>
    <col min="119" max="122" width="1" style="53" hidden="1" customWidth="1"/>
    <col min="123" max="123" width="17.85546875" style="53" hidden="1" customWidth="1"/>
    <col min="124" max="127" width="1" style="53" hidden="1" customWidth="1"/>
    <col min="128" max="128" width="17.85546875" style="53" hidden="1" customWidth="1"/>
    <col min="129" max="132" width="1" style="53" hidden="1" customWidth="1"/>
    <col min="133" max="133" width="17.85546875" style="53" hidden="1" customWidth="1"/>
    <col min="134" max="137" width="1" style="53" hidden="1" customWidth="1"/>
    <col min="138" max="138" width="17.85546875" style="53" hidden="1" customWidth="1"/>
    <col min="139" max="140" width="1" style="53" hidden="1" customWidth="1"/>
    <col min="141" max="142" width="1" style="53" customWidth="1"/>
    <col min="143" max="143" width="17.85546875" style="53" customWidth="1"/>
    <col min="144" max="146" width="1" style="53" customWidth="1"/>
    <col min="147" max="147" width="1.85546875" style="53" customWidth="1"/>
    <col min="148" max="148" width="11.28515625" style="53" bestFit="1" customWidth="1"/>
    <col min="149" max="149" width="10" style="53" customWidth="1"/>
    <col min="150" max="150" width="10.42578125" style="53" bestFit="1" customWidth="1"/>
    <col min="151" max="151" width="10" style="53" customWidth="1"/>
    <col min="152" max="153" width="10" style="53"/>
    <col min="154" max="154" width="13.42578125" style="53" bestFit="1" customWidth="1"/>
    <col min="155" max="256" width="10" style="53"/>
    <col min="257" max="259" width="0" style="53" hidden="1" customWidth="1"/>
    <col min="260" max="260" width="64.85546875" style="53" customWidth="1"/>
    <col min="261" max="261" width="7" style="53" customWidth="1"/>
    <col min="262" max="263" width="1" style="53" customWidth="1"/>
    <col min="264" max="264" width="15.140625" style="53" customWidth="1"/>
    <col min="265" max="266" width="1" style="53" customWidth="1"/>
    <col min="267" max="271" width="0" style="53" hidden="1" customWidth="1"/>
    <col min="272" max="273" width="1" style="53" customWidth="1"/>
    <col min="274" max="274" width="17.85546875" style="53" customWidth="1"/>
    <col min="275" max="276" width="1" style="53" customWidth="1"/>
    <col min="277" max="326" width="0" style="53" hidden="1" customWidth="1"/>
    <col min="327" max="328" width="1" style="53" customWidth="1"/>
    <col min="329" max="329" width="16.5703125" style="53" customWidth="1"/>
    <col min="330" max="333" width="1" style="53" customWidth="1"/>
    <col min="334" max="334" width="14.7109375" style="53" customWidth="1"/>
    <col min="335" max="336" width="1" style="53" customWidth="1"/>
    <col min="337" max="341" width="0" style="53" hidden="1" customWidth="1"/>
    <col min="342" max="343" width="1" style="53" customWidth="1"/>
    <col min="344" max="344" width="17.85546875" style="53" customWidth="1"/>
    <col min="345" max="346" width="1" style="53" customWidth="1"/>
    <col min="347" max="396" width="0" style="53" hidden="1" customWidth="1"/>
    <col min="397" max="398" width="1" style="53" customWidth="1"/>
    <col min="399" max="399" width="17.85546875" style="53" customWidth="1"/>
    <col min="400" max="402" width="1" style="53" customWidth="1"/>
    <col min="403" max="403" width="1.85546875" style="53" customWidth="1"/>
    <col min="404" max="404" width="11.28515625" style="53" bestFit="1" customWidth="1"/>
    <col min="405" max="405" width="10" style="53" customWidth="1"/>
    <col min="406" max="406" width="10.42578125" style="53" bestFit="1" customWidth="1"/>
    <col min="407" max="407" width="10" style="53" customWidth="1"/>
    <col min="408" max="409" width="10" style="53"/>
    <col min="410" max="410" width="13.42578125" style="53" bestFit="1" customWidth="1"/>
    <col min="411" max="512" width="10" style="53"/>
    <col min="513" max="515" width="0" style="53" hidden="1" customWidth="1"/>
    <col min="516" max="516" width="64.85546875" style="53" customWidth="1"/>
    <col min="517" max="517" width="7" style="53" customWidth="1"/>
    <col min="518" max="519" width="1" style="53" customWidth="1"/>
    <col min="520" max="520" width="15.140625" style="53" customWidth="1"/>
    <col min="521" max="522" width="1" style="53" customWidth="1"/>
    <col min="523" max="527" width="0" style="53" hidden="1" customWidth="1"/>
    <col min="528" max="529" width="1" style="53" customWidth="1"/>
    <col min="530" max="530" width="17.85546875" style="53" customWidth="1"/>
    <col min="531" max="532" width="1" style="53" customWidth="1"/>
    <col min="533" max="582" width="0" style="53" hidden="1" customWidth="1"/>
    <col min="583" max="584" width="1" style="53" customWidth="1"/>
    <col min="585" max="585" width="16.5703125" style="53" customWidth="1"/>
    <col min="586" max="589" width="1" style="53" customWidth="1"/>
    <col min="590" max="590" width="14.7109375" style="53" customWidth="1"/>
    <col min="591" max="592" width="1" style="53" customWidth="1"/>
    <col min="593" max="597" width="0" style="53" hidden="1" customWidth="1"/>
    <col min="598" max="599" width="1" style="53" customWidth="1"/>
    <col min="600" max="600" width="17.85546875" style="53" customWidth="1"/>
    <col min="601" max="602" width="1" style="53" customWidth="1"/>
    <col min="603" max="652" width="0" style="53" hidden="1" customWidth="1"/>
    <col min="653" max="654" width="1" style="53" customWidth="1"/>
    <col min="655" max="655" width="17.85546875" style="53" customWidth="1"/>
    <col min="656" max="658" width="1" style="53" customWidth="1"/>
    <col min="659" max="659" width="1.85546875" style="53" customWidth="1"/>
    <col min="660" max="660" width="11.28515625" style="53" bestFit="1" customWidth="1"/>
    <col min="661" max="661" width="10" style="53" customWidth="1"/>
    <col min="662" max="662" width="10.42578125" style="53" bestFit="1" customWidth="1"/>
    <col min="663" max="663" width="10" style="53" customWidth="1"/>
    <col min="664" max="665" width="10" style="53"/>
    <col min="666" max="666" width="13.42578125" style="53" bestFit="1" customWidth="1"/>
    <col min="667" max="768" width="10" style="53"/>
    <col min="769" max="771" width="0" style="53" hidden="1" customWidth="1"/>
    <col min="772" max="772" width="64.85546875" style="53" customWidth="1"/>
    <col min="773" max="773" width="7" style="53" customWidth="1"/>
    <col min="774" max="775" width="1" style="53" customWidth="1"/>
    <col min="776" max="776" width="15.140625" style="53" customWidth="1"/>
    <col min="777" max="778" width="1" style="53" customWidth="1"/>
    <col min="779" max="783" width="0" style="53" hidden="1" customWidth="1"/>
    <col min="784" max="785" width="1" style="53" customWidth="1"/>
    <col min="786" max="786" width="17.85546875" style="53" customWidth="1"/>
    <col min="787" max="788" width="1" style="53" customWidth="1"/>
    <col min="789" max="838" width="0" style="53" hidden="1" customWidth="1"/>
    <col min="839" max="840" width="1" style="53" customWidth="1"/>
    <col min="841" max="841" width="16.5703125" style="53" customWidth="1"/>
    <col min="842" max="845" width="1" style="53" customWidth="1"/>
    <col min="846" max="846" width="14.7109375" style="53" customWidth="1"/>
    <col min="847" max="848" width="1" style="53" customWidth="1"/>
    <col min="849" max="853" width="0" style="53" hidden="1" customWidth="1"/>
    <col min="854" max="855" width="1" style="53" customWidth="1"/>
    <col min="856" max="856" width="17.85546875" style="53" customWidth="1"/>
    <col min="857" max="858" width="1" style="53" customWidth="1"/>
    <col min="859" max="908" width="0" style="53" hidden="1" customWidth="1"/>
    <col min="909" max="910" width="1" style="53" customWidth="1"/>
    <col min="911" max="911" width="17.85546875" style="53" customWidth="1"/>
    <col min="912" max="914" width="1" style="53" customWidth="1"/>
    <col min="915" max="915" width="1.85546875" style="53" customWidth="1"/>
    <col min="916" max="916" width="11.28515625" style="53" bestFit="1" customWidth="1"/>
    <col min="917" max="917" width="10" style="53" customWidth="1"/>
    <col min="918" max="918" width="10.42578125" style="53" bestFit="1" customWidth="1"/>
    <col min="919" max="919" width="10" style="53" customWidth="1"/>
    <col min="920" max="921" width="10" style="53"/>
    <col min="922" max="922" width="13.42578125" style="53" bestFit="1" customWidth="1"/>
    <col min="923" max="1024" width="10" style="53"/>
    <col min="1025" max="1027" width="0" style="53" hidden="1" customWidth="1"/>
    <col min="1028" max="1028" width="64.85546875" style="53" customWidth="1"/>
    <col min="1029" max="1029" width="7" style="53" customWidth="1"/>
    <col min="1030" max="1031" width="1" style="53" customWidth="1"/>
    <col min="1032" max="1032" width="15.140625" style="53" customWidth="1"/>
    <col min="1033" max="1034" width="1" style="53" customWidth="1"/>
    <col min="1035" max="1039" width="0" style="53" hidden="1" customWidth="1"/>
    <col min="1040" max="1041" width="1" style="53" customWidth="1"/>
    <col min="1042" max="1042" width="17.85546875" style="53" customWidth="1"/>
    <col min="1043" max="1044" width="1" style="53" customWidth="1"/>
    <col min="1045" max="1094" width="0" style="53" hidden="1" customWidth="1"/>
    <col min="1095" max="1096" width="1" style="53" customWidth="1"/>
    <col min="1097" max="1097" width="16.5703125" style="53" customWidth="1"/>
    <col min="1098" max="1101" width="1" style="53" customWidth="1"/>
    <col min="1102" max="1102" width="14.7109375" style="53" customWidth="1"/>
    <col min="1103" max="1104" width="1" style="53" customWidth="1"/>
    <col min="1105" max="1109" width="0" style="53" hidden="1" customWidth="1"/>
    <col min="1110" max="1111" width="1" style="53" customWidth="1"/>
    <col min="1112" max="1112" width="17.85546875" style="53" customWidth="1"/>
    <col min="1113" max="1114" width="1" style="53" customWidth="1"/>
    <col min="1115" max="1164" width="0" style="53" hidden="1" customWidth="1"/>
    <col min="1165" max="1166" width="1" style="53" customWidth="1"/>
    <col min="1167" max="1167" width="17.85546875" style="53" customWidth="1"/>
    <col min="1168" max="1170" width="1" style="53" customWidth="1"/>
    <col min="1171" max="1171" width="1.85546875" style="53" customWidth="1"/>
    <col min="1172" max="1172" width="11.28515625" style="53" bestFit="1" customWidth="1"/>
    <col min="1173" max="1173" width="10" style="53" customWidth="1"/>
    <col min="1174" max="1174" width="10.42578125" style="53" bestFit="1" customWidth="1"/>
    <col min="1175" max="1175" width="10" style="53" customWidth="1"/>
    <col min="1176" max="1177" width="10" style="53"/>
    <col min="1178" max="1178" width="13.42578125" style="53" bestFit="1" customWidth="1"/>
    <col min="1179" max="1280" width="10" style="53"/>
    <col min="1281" max="1283" width="0" style="53" hidden="1" customWidth="1"/>
    <col min="1284" max="1284" width="64.85546875" style="53" customWidth="1"/>
    <col min="1285" max="1285" width="7" style="53" customWidth="1"/>
    <col min="1286" max="1287" width="1" style="53" customWidth="1"/>
    <col min="1288" max="1288" width="15.140625" style="53" customWidth="1"/>
    <col min="1289" max="1290" width="1" style="53" customWidth="1"/>
    <col min="1291" max="1295" width="0" style="53" hidden="1" customWidth="1"/>
    <col min="1296" max="1297" width="1" style="53" customWidth="1"/>
    <col min="1298" max="1298" width="17.85546875" style="53" customWidth="1"/>
    <col min="1299" max="1300" width="1" style="53" customWidth="1"/>
    <col min="1301" max="1350" width="0" style="53" hidden="1" customWidth="1"/>
    <col min="1351" max="1352" width="1" style="53" customWidth="1"/>
    <col min="1353" max="1353" width="16.5703125" style="53" customWidth="1"/>
    <col min="1354" max="1357" width="1" style="53" customWidth="1"/>
    <col min="1358" max="1358" width="14.7109375" style="53" customWidth="1"/>
    <col min="1359" max="1360" width="1" style="53" customWidth="1"/>
    <col min="1361" max="1365" width="0" style="53" hidden="1" customWidth="1"/>
    <col min="1366" max="1367" width="1" style="53" customWidth="1"/>
    <col min="1368" max="1368" width="17.85546875" style="53" customWidth="1"/>
    <col min="1369" max="1370" width="1" style="53" customWidth="1"/>
    <col min="1371" max="1420" width="0" style="53" hidden="1" customWidth="1"/>
    <col min="1421" max="1422" width="1" style="53" customWidth="1"/>
    <col min="1423" max="1423" width="17.85546875" style="53" customWidth="1"/>
    <col min="1424" max="1426" width="1" style="53" customWidth="1"/>
    <col min="1427" max="1427" width="1.85546875" style="53" customWidth="1"/>
    <col min="1428" max="1428" width="11.28515625" style="53" bestFit="1" customWidth="1"/>
    <col min="1429" max="1429" width="10" style="53" customWidth="1"/>
    <col min="1430" max="1430" width="10.42578125" style="53" bestFit="1" customWidth="1"/>
    <col min="1431" max="1431" width="10" style="53" customWidth="1"/>
    <col min="1432" max="1433" width="10" style="53"/>
    <col min="1434" max="1434" width="13.42578125" style="53" bestFit="1" customWidth="1"/>
    <col min="1435" max="1536" width="10" style="53"/>
    <col min="1537" max="1539" width="0" style="53" hidden="1" customWidth="1"/>
    <col min="1540" max="1540" width="64.85546875" style="53" customWidth="1"/>
    <col min="1541" max="1541" width="7" style="53" customWidth="1"/>
    <col min="1542" max="1543" width="1" style="53" customWidth="1"/>
    <col min="1544" max="1544" width="15.140625" style="53" customWidth="1"/>
    <col min="1545" max="1546" width="1" style="53" customWidth="1"/>
    <col min="1547" max="1551" width="0" style="53" hidden="1" customWidth="1"/>
    <col min="1552" max="1553" width="1" style="53" customWidth="1"/>
    <col min="1554" max="1554" width="17.85546875" style="53" customWidth="1"/>
    <col min="1555" max="1556" width="1" style="53" customWidth="1"/>
    <col min="1557" max="1606" width="0" style="53" hidden="1" customWidth="1"/>
    <col min="1607" max="1608" width="1" style="53" customWidth="1"/>
    <col min="1609" max="1609" width="16.5703125" style="53" customWidth="1"/>
    <col min="1610" max="1613" width="1" style="53" customWidth="1"/>
    <col min="1614" max="1614" width="14.7109375" style="53" customWidth="1"/>
    <col min="1615" max="1616" width="1" style="53" customWidth="1"/>
    <col min="1617" max="1621" width="0" style="53" hidden="1" customWidth="1"/>
    <col min="1622" max="1623" width="1" style="53" customWidth="1"/>
    <col min="1624" max="1624" width="17.85546875" style="53" customWidth="1"/>
    <col min="1625" max="1626" width="1" style="53" customWidth="1"/>
    <col min="1627" max="1676" width="0" style="53" hidden="1" customWidth="1"/>
    <col min="1677" max="1678" width="1" style="53" customWidth="1"/>
    <col min="1679" max="1679" width="17.85546875" style="53" customWidth="1"/>
    <col min="1680" max="1682" width="1" style="53" customWidth="1"/>
    <col min="1683" max="1683" width="1.85546875" style="53" customWidth="1"/>
    <col min="1684" max="1684" width="11.28515625" style="53" bestFit="1" customWidth="1"/>
    <col min="1685" max="1685" width="10" style="53" customWidth="1"/>
    <col min="1686" max="1686" width="10.42578125" style="53" bestFit="1" customWidth="1"/>
    <col min="1687" max="1687" width="10" style="53" customWidth="1"/>
    <col min="1688" max="1689" width="10" style="53"/>
    <col min="1690" max="1690" width="13.42578125" style="53" bestFit="1" customWidth="1"/>
    <col min="1691" max="1792" width="10" style="53"/>
    <col min="1793" max="1795" width="0" style="53" hidden="1" customWidth="1"/>
    <col min="1796" max="1796" width="64.85546875" style="53" customWidth="1"/>
    <col min="1797" max="1797" width="7" style="53" customWidth="1"/>
    <col min="1798" max="1799" width="1" style="53" customWidth="1"/>
    <col min="1800" max="1800" width="15.140625" style="53" customWidth="1"/>
    <col min="1801" max="1802" width="1" style="53" customWidth="1"/>
    <col min="1803" max="1807" width="0" style="53" hidden="1" customWidth="1"/>
    <col min="1808" max="1809" width="1" style="53" customWidth="1"/>
    <col min="1810" max="1810" width="17.85546875" style="53" customWidth="1"/>
    <col min="1811" max="1812" width="1" style="53" customWidth="1"/>
    <col min="1813" max="1862" width="0" style="53" hidden="1" customWidth="1"/>
    <col min="1863" max="1864" width="1" style="53" customWidth="1"/>
    <col min="1865" max="1865" width="16.5703125" style="53" customWidth="1"/>
    <col min="1866" max="1869" width="1" style="53" customWidth="1"/>
    <col min="1870" max="1870" width="14.7109375" style="53" customWidth="1"/>
    <col min="1871" max="1872" width="1" style="53" customWidth="1"/>
    <col min="1873" max="1877" width="0" style="53" hidden="1" customWidth="1"/>
    <col min="1878" max="1879" width="1" style="53" customWidth="1"/>
    <col min="1880" max="1880" width="17.85546875" style="53" customWidth="1"/>
    <col min="1881" max="1882" width="1" style="53" customWidth="1"/>
    <col min="1883" max="1932" width="0" style="53" hidden="1" customWidth="1"/>
    <col min="1933" max="1934" width="1" style="53" customWidth="1"/>
    <col min="1935" max="1935" width="17.85546875" style="53" customWidth="1"/>
    <col min="1936" max="1938" width="1" style="53" customWidth="1"/>
    <col min="1939" max="1939" width="1.85546875" style="53" customWidth="1"/>
    <col min="1940" max="1940" width="11.28515625" style="53" bestFit="1" customWidth="1"/>
    <col min="1941" max="1941" width="10" style="53" customWidth="1"/>
    <col min="1942" max="1942" width="10.42578125" style="53" bestFit="1" customWidth="1"/>
    <col min="1943" max="1943" width="10" style="53" customWidth="1"/>
    <col min="1944" max="1945" width="10" style="53"/>
    <col min="1946" max="1946" width="13.42578125" style="53" bestFit="1" customWidth="1"/>
    <col min="1947" max="2048" width="10" style="53"/>
    <col min="2049" max="2051" width="0" style="53" hidden="1" customWidth="1"/>
    <col min="2052" max="2052" width="64.85546875" style="53" customWidth="1"/>
    <col min="2053" max="2053" width="7" style="53" customWidth="1"/>
    <col min="2054" max="2055" width="1" style="53" customWidth="1"/>
    <col min="2056" max="2056" width="15.140625" style="53" customWidth="1"/>
    <col min="2057" max="2058" width="1" style="53" customWidth="1"/>
    <col min="2059" max="2063" width="0" style="53" hidden="1" customWidth="1"/>
    <col min="2064" max="2065" width="1" style="53" customWidth="1"/>
    <col min="2066" max="2066" width="17.85546875" style="53" customWidth="1"/>
    <col min="2067" max="2068" width="1" style="53" customWidth="1"/>
    <col min="2069" max="2118" width="0" style="53" hidden="1" customWidth="1"/>
    <col min="2119" max="2120" width="1" style="53" customWidth="1"/>
    <col min="2121" max="2121" width="16.5703125" style="53" customWidth="1"/>
    <col min="2122" max="2125" width="1" style="53" customWidth="1"/>
    <col min="2126" max="2126" width="14.7109375" style="53" customWidth="1"/>
    <col min="2127" max="2128" width="1" style="53" customWidth="1"/>
    <col min="2129" max="2133" width="0" style="53" hidden="1" customWidth="1"/>
    <col min="2134" max="2135" width="1" style="53" customWidth="1"/>
    <col min="2136" max="2136" width="17.85546875" style="53" customWidth="1"/>
    <col min="2137" max="2138" width="1" style="53" customWidth="1"/>
    <col min="2139" max="2188" width="0" style="53" hidden="1" customWidth="1"/>
    <col min="2189" max="2190" width="1" style="53" customWidth="1"/>
    <col min="2191" max="2191" width="17.85546875" style="53" customWidth="1"/>
    <col min="2192" max="2194" width="1" style="53" customWidth="1"/>
    <col min="2195" max="2195" width="1.85546875" style="53" customWidth="1"/>
    <col min="2196" max="2196" width="11.28515625" style="53" bestFit="1" customWidth="1"/>
    <col min="2197" max="2197" width="10" style="53" customWidth="1"/>
    <col min="2198" max="2198" width="10.42578125" style="53" bestFit="1" customWidth="1"/>
    <col min="2199" max="2199" width="10" style="53" customWidth="1"/>
    <col min="2200" max="2201" width="10" style="53"/>
    <col min="2202" max="2202" width="13.42578125" style="53" bestFit="1" customWidth="1"/>
    <col min="2203" max="2304" width="10" style="53"/>
    <col min="2305" max="2307" width="0" style="53" hidden="1" customWidth="1"/>
    <col min="2308" max="2308" width="64.85546875" style="53" customWidth="1"/>
    <col min="2309" max="2309" width="7" style="53" customWidth="1"/>
    <col min="2310" max="2311" width="1" style="53" customWidth="1"/>
    <col min="2312" max="2312" width="15.140625" style="53" customWidth="1"/>
    <col min="2313" max="2314" width="1" style="53" customWidth="1"/>
    <col min="2315" max="2319" width="0" style="53" hidden="1" customWidth="1"/>
    <col min="2320" max="2321" width="1" style="53" customWidth="1"/>
    <col min="2322" max="2322" width="17.85546875" style="53" customWidth="1"/>
    <col min="2323" max="2324" width="1" style="53" customWidth="1"/>
    <col min="2325" max="2374" width="0" style="53" hidden="1" customWidth="1"/>
    <col min="2375" max="2376" width="1" style="53" customWidth="1"/>
    <col min="2377" max="2377" width="16.5703125" style="53" customWidth="1"/>
    <col min="2378" max="2381" width="1" style="53" customWidth="1"/>
    <col min="2382" max="2382" width="14.7109375" style="53" customWidth="1"/>
    <col min="2383" max="2384" width="1" style="53" customWidth="1"/>
    <col min="2385" max="2389" width="0" style="53" hidden="1" customWidth="1"/>
    <col min="2390" max="2391" width="1" style="53" customWidth="1"/>
    <col min="2392" max="2392" width="17.85546875" style="53" customWidth="1"/>
    <col min="2393" max="2394" width="1" style="53" customWidth="1"/>
    <col min="2395" max="2444" width="0" style="53" hidden="1" customWidth="1"/>
    <col min="2445" max="2446" width="1" style="53" customWidth="1"/>
    <col min="2447" max="2447" width="17.85546875" style="53" customWidth="1"/>
    <col min="2448" max="2450" width="1" style="53" customWidth="1"/>
    <col min="2451" max="2451" width="1.85546875" style="53" customWidth="1"/>
    <col min="2452" max="2452" width="11.28515625" style="53" bestFit="1" customWidth="1"/>
    <col min="2453" max="2453" width="10" style="53" customWidth="1"/>
    <col min="2454" max="2454" width="10.42578125" style="53" bestFit="1" customWidth="1"/>
    <col min="2455" max="2455" width="10" style="53" customWidth="1"/>
    <col min="2456" max="2457" width="10" style="53"/>
    <col min="2458" max="2458" width="13.42578125" style="53" bestFit="1" customWidth="1"/>
    <col min="2459" max="2560" width="10" style="53"/>
    <col min="2561" max="2563" width="0" style="53" hidden="1" customWidth="1"/>
    <col min="2564" max="2564" width="64.85546875" style="53" customWidth="1"/>
    <col min="2565" max="2565" width="7" style="53" customWidth="1"/>
    <col min="2566" max="2567" width="1" style="53" customWidth="1"/>
    <col min="2568" max="2568" width="15.140625" style="53" customWidth="1"/>
    <col min="2569" max="2570" width="1" style="53" customWidth="1"/>
    <col min="2571" max="2575" width="0" style="53" hidden="1" customWidth="1"/>
    <col min="2576" max="2577" width="1" style="53" customWidth="1"/>
    <col min="2578" max="2578" width="17.85546875" style="53" customWidth="1"/>
    <col min="2579" max="2580" width="1" style="53" customWidth="1"/>
    <col min="2581" max="2630" width="0" style="53" hidden="1" customWidth="1"/>
    <col min="2631" max="2632" width="1" style="53" customWidth="1"/>
    <col min="2633" max="2633" width="16.5703125" style="53" customWidth="1"/>
    <col min="2634" max="2637" width="1" style="53" customWidth="1"/>
    <col min="2638" max="2638" width="14.7109375" style="53" customWidth="1"/>
    <col min="2639" max="2640" width="1" style="53" customWidth="1"/>
    <col min="2641" max="2645" width="0" style="53" hidden="1" customWidth="1"/>
    <col min="2646" max="2647" width="1" style="53" customWidth="1"/>
    <col min="2648" max="2648" width="17.85546875" style="53" customWidth="1"/>
    <col min="2649" max="2650" width="1" style="53" customWidth="1"/>
    <col min="2651" max="2700" width="0" style="53" hidden="1" customWidth="1"/>
    <col min="2701" max="2702" width="1" style="53" customWidth="1"/>
    <col min="2703" max="2703" width="17.85546875" style="53" customWidth="1"/>
    <col min="2704" max="2706" width="1" style="53" customWidth="1"/>
    <col min="2707" max="2707" width="1.85546875" style="53" customWidth="1"/>
    <col min="2708" max="2708" width="11.28515625" style="53" bestFit="1" customWidth="1"/>
    <col min="2709" max="2709" width="10" style="53" customWidth="1"/>
    <col min="2710" max="2710" width="10.42578125" style="53" bestFit="1" customWidth="1"/>
    <col min="2711" max="2711" width="10" style="53" customWidth="1"/>
    <col min="2712" max="2713" width="10" style="53"/>
    <col min="2714" max="2714" width="13.42578125" style="53" bestFit="1" customWidth="1"/>
    <col min="2715" max="2816" width="10" style="53"/>
    <col min="2817" max="2819" width="0" style="53" hidden="1" customWidth="1"/>
    <col min="2820" max="2820" width="64.85546875" style="53" customWidth="1"/>
    <col min="2821" max="2821" width="7" style="53" customWidth="1"/>
    <col min="2822" max="2823" width="1" style="53" customWidth="1"/>
    <col min="2824" max="2824" width="15.140625" style="53" customWidth="1"/>
    <col min="2825" max="2826" width="1" style="53" customWidth="1"/>
    <col min="2827" max="2831" width="0" style="53" hidden="1" customWidth="1"/>
    <col min="2832" max="2833" width="1" style="53" customWidth="1"/>
    <col min="2834" max="2834" width="17.85546875" style="53" customWidth="1"/>
    <col min="2835" max="2836" width="1" style="53" customWidth="1"/>
    <col min="2837" max="2886" width="0" style="53" hidden="1" customWidth="1"/>
    <col min="2887" max="2888" width="1" style="53" customWidth="1"/>
    <col min="2889" max="2889" width="16.5703125" style="53" customWidth="1"/>
    <col min="2890" max="2893" width="1" style="53" customWidth="1"/>
    <col min="2894" max="2894" width="14.7109375" style="53" customWidth="1"/>
    <col min="2895" max="2896" width="1" style="53" customWidth="1"/>
    <col min="2897" max="2901" width="0" style="53" hidden="1" customWidth="1"/>
    <col min="2902" max="2903" width="1" style="53" customWidth="1"/>
    <col min="2904" max="2904" width="17.85546875" style="53" customWidth="1"/>
    <col min="2905" max="2906" width="1" style="53" customWidth="1"/>
    <col min="2907" max="2956" width="0" style="53" hidden="1" customWidth="1"/>
    <col min="2957" max="2958" width="1" style="53" customWidth="1"/>
    <col min="2959" max="2959" width="17.85546875" style="53" customWidth="1"/>
    <col min="2960" max="2962" width="1" style="53" customWidth="1"/>
    <col min="2963" max="2963" width="1.85546875" style="53" customWidth="1"/>
    <col min="2964" max="2964" width="11.28515625" style="53" bestFit="1" customWidth="1"/>
    <col min="2965" max="2965" width="10" style="53" customWidth="1"/>
    <col min="2966" max="2966" width="10.42578125" style="53" bestFit="1" customWidth="1"/>
    <col min="2967" max="2967" width="10" style="53" customWidth="1"/>
    <col min="2968" max="2969" width="10" style="53"/>
    <col min="2970" max="2970" width="13.42578125" style="53" bestFit="1" customWidth="1"/>
    <col min="2971" max="3072" width="10" style="53"/>
    <col min="3073" max="3075" width="0" style="53" hidden="1" customWidth="1"/>
    <col min="3076" max="3076" width="64.85546875" style="53" customWidth="1"/>
    <col min="3077" max="3077" width="7" style="53" customWidth="1"/>
    <col min="3078" max="3079" width="1" style="53" customWidth="1"/>
    <col min="3080" max="3080" width="15.140625" style="53" customWidth="1"/>
    <col min="3081" max="3082" width="1" style="53" customWidth="1"/>
    <col min="3083" max="3087" width="0" style="53" hidden="1" customWidth="1"/>
    <col min="3088" max="3089" width="1" style="53" customWidth="1"/>
    <col min="3090" max="3090" width="17.85546875" style="53" customWidth="1"/>
    <col min="3091" max="3092" width="1" style="53" customWidth="1"/>
    <col min="3093" max="3142" width="0" style="53" hidden="1" customWidth="1"/>
    <col min="3143" max="3144" width="1" style="53" customWidth="1"/>
    <col min="3145" max="3145" width="16.5703125" style="53" customWidth="1"/>
    <col min="3146" max="3149" width="1" style="53" customWidth="1"/>
    <col min="3150" max="3150" width="14.7109375" style="53" customWidth="1"/>
    <col min="3151" max="3152" width="1" style="53" customWidth="1"/>
    <col min="3153" max="3157" width="0" style="53" hidden="1" customWidth="1"/>
    <col min="3158" max="3159" width="1" style="53" customWidth="1"/>
    <col min="3160" max="3160" width="17.85546875" style="53" customWidth="1"/>
    <col min="3161" max="3162" width="1" style="53" customWidth="1"/>
    <col min="3163" max="3212" width="0" style="53" hidden="1" customWidth="1"/>
    <col min="3213" max="3214" width="1" style="53" customWidth="1"/>
    <col min="3215" max="3215" width="17.85546875" style="53" customWidth="1"/>
    <col min="3216" max="3218" width="1" style="53" customWidth="1"/>
    <col min="3219" max="3219" width="1.85546875" style="53" customWidth="1"/>
    <col min="3220" max="3220" width="11.28515625" style="53" bestFit="1" customWidth="1"/>
    <col min="3221" max="3221" width="10" style="53" customWidth="1"/>
    <col min="3222" max="3222" width="10.42578125" style="53" bestFit="1" customWidth="1"/>
    <col min="3223" max="3223" width="10" style="53" customWidth="1"/>
    <col min="3224" max="3225" width="10" style="53"/>
    <col min="3226" max="3226" width="13.42578125" style="53" bestFit="1" customWidth="1"/>
    <col min="3227" max="3328" width="10" style="53"/>
    <col min="3329" max="3331" width="0" style="53" hidden="1" customWidth="1"/>
    <col min="3332" max="3332" width="64.85546875" style="53" customWidth="1"/>
    <col min="3333" max="3333" width="7" style="53" customWidth="1"/>
    <col min="3334" max="3335" width="1" style="53" customWidth="1"/>
    <col min="3336" max="3336" width="15.140625" style="53" customWidth="1"/>
    <col min="3337" max="3338" width="1" style="53" customWidth="1"/>
    <col min="3339" max="3343" width="0" style="53" hidden="1" customWidth="1"/>
    <col min="3344" max="3345" width="1" style="53" customWidth="1"/>
    <col min="3346" max="3346" width="17.85546875" style="53" customWidth="1"/>
    <col min="3347" max="3348" width="1" style="53" customWidth="1"/>
    <col min="3349" max="3398" width="0" style="53" hidden="1" customWidth="1"/>
    <col min="3399" max="3400" width="1" style="53" customWidth="1"/>
    <col min="3401" max="3401" width="16.5703125" style="53" customWidth="1"/>
    <col min="3402" max="3405" width="1" style="53" customWidth="1"/>
    <col min="3406" max="3406" width="14.7109375" style="53" customWidth="1"/>
    <col min="3407" max="3408" width="1" style="53" customWidth="1"/>
    <col min="3409" max="3413" width="0" style="53" hidden="1" customWidth="1"/>
    <col min="3414" max="3415" width="1" style="53" customWidth="1"/>
    <col min="3416" max="3416" width="17.85546875" style="53" customWidth="1"/>
    <col min="3417" max="3418" width="1" style="53" customWidth="1"/>
    <col min="3419" max="3468" width="0" style="53" hidden="1" customWidth="1"/>
    <col min="3469" max="3470" width="1" style="53" customWidth="1"/>
    <col min="3471" max="3471" width="17.85546875" style="53" customWidth="1"/>
    <col min="3472" max="3474" width="1" style="53" customWidth="1"/>
    <col min="3475" max="3475" width="1.85546875" style="53" customWidth="1"/>
    <col min="3476" max="3476" width="11.28515625" style="53" bestFit="1" customWidth="1"/>
    <col min="3477" max="3477" width="10" style="53" customWidth="1"/>
    <col min="3478" max="3478" width="10.42578125" style="53" bestFit="1" customWidth="1"/>
    <col min="3479" max="3479" width="10" style="53" customWidth="1"/>
    <col min="3480" max="3481" width="10" style="53"/>
    <col min="3482" max="3482" width="13.42578125" style="53" bestFit="1" customWidth="1"/>
    <col min="3483" max="3584" width="10" style="53"/>
    <col min="3585" max="3587" width="0" style="53" hidden="1" customWidth="1"/>
    <col min="3588" max="3588" width="64.85546875" style="53" customWidth="1"/>
    <col min="3589" max="3589" width="7" style="53" customWidth="1"/>
    <col min="3590" max="3591" width="1" style="53" customWidth="1"/>
    <col min="3592" max="3592" width="15.140625" style="53" customWidth="1"/>
    <col min="3593" max="3594" width="1" style="53" customWidth="1"/>
    <col min="3595" max="3599" width="0" style="53" hidden="1" customWidth="1"/>
    <col min="3600" max="3601" width="1" style="53" customWidth="1"/>
    <col min="3602" max="3602" width="17.85546875" style="53" customWidth="1"/>
    <col min="3603" max="3604" width="1" style="53" customWidth="1"/>
    <col min="3605" max="3654" width="0" style="53" hidden="1" customWidth="1"/>
    <col min="3655" max="3656" width="1" style="53" customWidth="1"/>
    <col min="3657" max="3657" width="16.5703125" style="53" customWidth="1"/>
    <col min="3658" max="3661" width="1" style="53" customWidth="1"/>
    <col min="3662" max="3662" width="14.7109375" style="53" customWidth="1"/>
    <col min="3663" max="3664" width="1" style="53" customWidth="1"/>
    <col min="3665" max="3669" width="0" style="53" hidden="1" customWidth="1"/>
    <col min="3670" max="3671" width="1" style="53" customWidth="1"/>
    <col min="3672" max="3672" width="17.85546875" style="53" customWidth="1"/>
    <col min="3673" max="3674" width="1" style="53" customWidth="1"/>
    <col min="3675" max="3724" width="0" style="53" hidden="1" customWidth="1"/>
    <col min="3725" max="3726" width="1" style="53" customWidth="1"/>
    <col min="3727" max="3727" width="17.85546875" style="53" customWidth="1"/>
    <col min="3728" max="3730" width="1" style="53" customWidth="1"/>
    <col min="3731" max="3731" width="1.85546875" style="53" customWidth="1"/>
    <col min="3732" max="3732" width="11.28515625" style="53" bestFit="1" customWidth="1"/>
    <col min="3733" max="3733" width="10" style="53" customWidth="1"/>
    <col min="3734" max="3734" width="10.42578125" style="53" bestFit="1" customWidth="1"/>
    <col min="3735" max="3735" width="10" style="53" customWidth="1"/>
    <col min="3736" max="3737" width="10" style="53"/>
    <col min="3738" max="3738" width="13.42578125" style="53" bestFit="1" customWidth="1"/>
    <col min="3739" max="3840" width="10" style="53"/>
    <col min="3841" max="3843" width="0" style="53" hidden="1" customWidth="1"/>
    <col min="3844" max="3844" width="64.85546875" style="53" customWidth="1"/>
    <col min="3845" max="3845" width="7" style="53" customWidth="1"/>
    <col min="3846" max="3847" width="1" style="53" customWidth="1"/>
    <col min="3848" max="3848" width="15.140625" style="53" customWidth="1"/>
    <col min="3849" max="3850" width="1" style="53" customWidth="1"/>
    <col min="3851" max="3855" width="0" style="53" hidden="1" customWidth="1"/>
    <col min="3856" max="3857" width="1" style="53" customWidth="1"/>
    <col min="3858" max="3858" width="17.85546875" style="53" customWidth="1"/>
    <col min="3859" max="3860" width="1" style="53" customWidth="1"/>
    <col min="3861" max="3910" width="0" style="53" hidden="1" customWidth="1"/>
    <col min="3911" max="3912" width="1" style="53" customWidth="1"/>
    <col min="3913" max="3913" width="16.5703125" style="53" customWidth="1"/>
    <col min="3914" max="3917" width="1" style="53" customWidth="1"/>
    <col min="3918" max="3918" width="14.7109375" style="53" customWidth="1"/>
    <col min="3919" max="3920" width="1" style="53" customWidth="1"/>
    <col min="3921" max="3925" width="0" style="53" hidden="1" customWidth="1"/>
    <col min="3926" max="3927" width="1" style="53" customWidth="1"/>
    <col min="3928" max="3928" width="17.85546875" style="53" customWidth="1"/>
    <col min="3929" max="3930" width="1" style="53" customWidth="1"/>
    <col min="3931" max="3980" width="0" style="53" hidden="1" customWidth="1"/>
    <col min="3981" max="3982" width="1" style="53" customWidth="1"/>
    <col min="3983" max="3983" width="17.85546875" style="53" customWidth="1"/>
    <col min="3984" max="3986" width="1" style="53" customWidth="1"/>
    <col min="3987" max="3987" width="1.85546875" style="53" customWidth="1"/>
    <col min="3988" max="3988" width="11.28515625" style="53" bestFit="1" customWidth="1"/>
    <col min="3989" max="3989" width="10" style="53" customWidth="1"/>
    <col min="3990" max="3990" width="10.42578125" style="53" bestFit="1" customWidth="1"/>
    <col min="3991" max="3991" width="10" style="53" customWidth="1"/>
    <col min="3992" max="3993" width="10" style="53"/>
    <col min="3994" max="3994" width="13.42578125" style="53" bestFit="1" customWidth="1"/>
    <col min="3995" max="4096" width="10" style="53"/>
    <col min="4097" max="4099" width="0" style="53" hidden="1" customWidth="1"/>
    <col min="4100" max="4100" width="64.85546875" style="53" customWidth="1"/>
    <col min="4101" max="4101" width="7" style="53" customWidth="1"/>
    <col min="4102" max="4103" width="1" style="53" customWidth="1"/>
    <col min="4104" max="4104" width="15.140625" style="53" customWidth="1"/>
    <col min="4105" max="4106" width="1" style="53" customWidth="1"/>
    <col min="4107" max="4111" width="0" style="53" hidden="1" customWidth="1"/>
    <col min="4112" max="4113" width="1" style="53" customWidth="1"/>
    <col min="4114" max="4114" width="17.85546875" style="53" customWidth="1"/>
    <col min="4115" max="4116" width="1" style="53" customWidth="1"/>
    <col min="4117" max="4166" width="0" style="53" hidden="1" customWidth="1"/>
    <col min="4167" max="4168" width="1" style="53" customWidth="1"/>
    <col min="4169" max="4169" width="16.5703125" style="53" customWidth="1"/>
    <col min="4170" max="4173" width="1" style="53" customWidth="1"/>
    <col min="4174" max="4174" width="14.7109375" style="53" customWidth="1"/>
    <col min="4175" max="4176" width="1" style="53" customWidth="1"/>
    <col min="4177" max="4181" width="0" style="53" hidden="1" customWidth="1"/>
    <col min="4182" max="4183" width="1" style="53" customWidth="1"/>
    <col min="4184" max="4184" width="17.85546875" style="53" customWidth="1"/>
    <col min="4185" max="4186" width="1" style="53" customWidth="1"/>
    <col min="4187" max="4236" width="0" style="53" hidden="1" customWidth="1"/>
    <col min="4237" max="4238" width="1" style="53" customWidth="1"/>
    <col min="4239" max="4239" width="17.85546875" style="53" customWidth="1"/>
    <col min="4240" max="4242" width="1" style="53" customWidth="1"/>
    <col min="4243" max="4243" width="1.85546875" style="53" customWidth="1"/>
    <col min="4244" max="4244" width="11.28515625" style="53" bestFit="1" customWidth="1"/>
    <col min="4245" max="4245" width="10" style="53" customWidth="1"/>
    <col min="4246" max="4246" width="10.42578125" style="53" bestFit="1" customWidth="1"/>
    <col min="4247" max="4247" width="10" style="53" customWidth="1"/>
    <col min="4248" max="4249" width="10" style="53"/>
    <col min="4250" max="4250" width="13.42578125" style="53" bestFit="1" customWidth="1"/>
    <col min="4251" max="4352" width="10" style="53"/>
    <col min="4353" max="4355" width="0" style="53" hidden="1" customWidth="1"/>
    <col min="4356" max="4356" width="64.85546875" style="53" customWidth="1"/>
    <col min="4357" max="4357" width="7" style="53" customWidth="1"/>
    <col min="4358" max="4359" width="1" style="53" customWidth="1"/>
    <col min="4360" max="4360" width="15.140625" style="53" customWidth="1"/>
    <col min="4361" max="4362" width="1" style="53" customWidth="1"/>
    <col min="4363" max="4367" width="0" style="53" hidden="1" customWidth="1"/>
    <col min="4368" max="4369" width="1" style="53" customWidth="1"/>
    <col min="4370" max="4370" width="17.85546875" style="53" customWidth="1"/>
    <col min="4371" max="4372" width="1" style="53" customWidth="1"/>
    <col min="4373" max="4422" width="0" style="53" hidden="1" customWidth="1"/>
    <col min="4423" max="4424" width="1" style="53" customWidth="1"/>
    <col min="4425" max="4425" width="16.5703125" style="53" customWidth="1"/>
    <col min="4426" max="4429" width="1" style="53" customWidth="1"/>
    <col min="4430" max="4430" width="14.7109375" style="53" customWidth="1"/>
    <col min="4431" max="4432" width="1" style="53" customWidth="1"/>
    <col min="4433" max="4437" width="0" style="53" hidden="1" customWidth="1"/>
    <col min="4438" max="4439" width="1" style="53" customWidth="1"/>
    <col min="4440" max="4440" width="17.85546875" style="53" customWidth="1"/>
    <col min="4441" max="4442" width="1" style="53" customWidth="1"/>
    <col min="4443" max="4492" width="0" style="53" hidden="1" customWidth="1"/>
    <col min="4493" max="4494" width="1" style="53" customWidth="1"/>
    <col min="4495" max="4495" width="17.85546875" style="53" customWidth="1"/>
    <col min="4496" max="4498" width="1" style="53" customWidth="1"/>
    <col min="4499" max="4499" width="1.85546875" style="53" customWidth="1"/>
    <col min="4500" max="4500" width="11.28515625" style="53" bestFit="1" customWidth="1"/>
    <col min="4501" max="4501" width="10" style="53" customWidth="1"/>
    <col min="4502" max="4502" width="10.42578125" style="53" bestFit="1" customWidth="1"/>
    <col min="4503" max="4503" width="10" style="53" customWidth="1"/>
    <col min="4504" max="4505" width="10" style="53"/>
    <col min="4506" max="4506" width="13.42578125" style="53" bestFit="1" customWidth="1"/>
    <col min="4507" max="4608" width="10" style="53"/>
    <col min="4609" max="4611" width="0" style="53" hidden="1" customWidth="1"/>
    <col min="4612" max="4612" width="64.85546875" style="53" customWidth="1"/>
    <col min="4613" max="4613" width="7" style="53" customWidth="1"/>
    <col min="4614" max="4615" width="1" style="53" customWidth="1"/>
    <col min="4616" max="4616" width="15.140625" style="53" customWidth="1"/>
    <col min="4617" max="4618" width="1" style="53" customWidth="1"/>
    <col min="4619" max="4623" width="0" style="53" hidden="1" customWidth="1"/>
    <col min="4624" max="4625" width="1" style="53" customWidth="1"/>
    <col min="4626" max="4626" width="17.85546875" style="53" customWidth="1"/>
    <col min="4627" max="4628" width="1" style="53" customWidth="1"/>
    <col min="4629" max="4678" width="0" style="53" hidden="1" customWidth="1"/>
    <col min="4679" max="4680" width="1" style="53" customWidth="1"/>
    <col min="4681" max="4681" width="16.5703125" style="53" customWidth="1"/>
    <col min="4682" max="4685" width="1" style="53" customWidth="1"/>
    <col min="4686" max="4686" width="14.7109375" style="53" customWidth="1"/>
    <col min="4687" max="4688" width="1" style="53" customWidth="1"/>
    <col min="4689" max="4693" width="0" style="53" hidden="1" customWidth="1"/>
    <col min="4694" max="4695" width="1" style="53" customWidth="1"/>
    <col min="4696" max="4696" width="17.85546875" style="53" customWidth="1"/>
    <col min="4697" max="4698" width="1" style="53" customWidth="1"/>
    <col min="4699" max="4748" width="0" style="53" hidden="1" customWidth="1"/>
    <col min="4749" max="4750" width="1" style="53" customWidth="1"/>
    <col min="4751" max="4751" width="17.85546875" style="53" customWidth="1"/>
    <col min="4752" max="4754" width="1" style="53" customWidth="1"/>
    <col min="4755" max="4755" width="1.85546875" style="53" customWidth="1"/>
    <col min="4756" max="4756" width="11.28515625" style="53" bestFit="1" customWidth="1"/>
    <col min="4757" max="4757" width="10" style="53" customWidth="1"/>
    <col min="4758" max="4758" width="10.42578125" style="53" bestFit="1" customWidth="1"/>
    <col min="4759" max="4759" width="10" style="53" customWidth="1"/>
    <col min="4760" max="4761" width="10" style="53"/>
    <col min="4762" max="4762" width="13.42578125" style="53" bestFit="1" customWidth="1"/>
    <col min="4763" max="4864" width="10" style="53"/>
    <col min="4865" max="4867" width="0" style="53" hidden="1" customWidth="1"/>
    <col min="4868" max="4868" width="64.85546875" style="53" customWidth="1"/>
    <col min="4869" max="4869" width="7" style="53" customWidth="1"/>
    <col min="4870" max="4871" width="1" style="53" customWidth="1"/>
    <col min="4872" max="4872" width="15.140625" style="53" customWidth="1"/>
    <col min="4873" max="4874" width="1" style="53" customWidth="1"/>
    <col min="4875" max="4879" width="0" style="53" hidden="1" customWidth="1"/>
    <col min="4880" max="4881" width="1" style="53" customWidth="1"/>
    <col min="4882" max="4882" width="17.85546875" style="53" customWidth="1"/>
    <col min="4883" max="4884" width="1" style="53" customWidth="1"/>
    <col min="4885" max="4934" width="0" style="53" hidden="1" customWidth="1"/>
    <col min="4935" max="4936" width="1" style="53" customWidth="1"/>
    <col min="4937" max="4937" width="16.5703125" style="53" customWidth="1"/>
    <col min="4938" max="4941" width="1" style="53" customWidth="1"/>
    <col min="4942" max="4942" width="14.7109375" style="53" customWidth="1"/>
    <col min="4943" max="4944" width="1" style="53" customWidth="1"/>
    <col min="4945" max="4949" width="0" style="53" hidden="1" customWidth="1"/>
    <col min="4950" max="4951" width="1" style="53" customWidth="1"/>
    <col min="4952" max="4952" width="17.85546875" style="53" customWidth="1"/>
    <col min="4953" max="4954" width="1" style="53" customWidth="1"/>
    <col min="4955" max="5004" width="0" style="53" hidden="1" customWidth="1"/>
    <col min="5005" max="5006" width="1" style="53" customWidth="1"/>
    <col min="5007" max="5007" width="17.85546875" style="53" customWidth="1"/>
    <col min="5008" max="5010" width="1" style="53" customWidth="1"/>
    <col min="5011" max="5011" width="1.85546875" style="53" customWidth="1"/>
    <col min="5012" max="5012" width="11.28515625" style="53" bestFit="1" customWidth="1"/>
    <col min="5013" max="5013" width="10" style="53" customWidth="1"/>
    <col min="5014" max="5014" width="10.42578125" style="53" bestFit="1" customWidth="1"/>
    <col min="5015" max="5015" width="10" style="53" customWidth="1"/>
    <col min="5016" max="5017" width="10" style="53"/>
    <col min="5018" max="5018" width="13.42578125" style="53" bestFit="1" customWidth="1"/>
    <col min="5019" max="5120" width="10" style="53"/>
    <col min="5121" max="5123" width="0" style="53" hidden="1" customWidth="1"/>
    <col min="5124" max="5124" width="64.85546875" style="53" customWidth="1"/>
    <col min="5125" max="5125" width="7" style="53" customWidth="1"/>
    <col min="5126" max="5127" width="1" style="53" customWidth="1"/>
    <col min="5128" max="5128" width="15.140625" style="53" customWidth="1"/>
    <col min="5129" max="5130" width="1" style="53" customWidth="1"/>
    <col min="5131" max="5135" width="0" style="53" hidden="1" customWidth="1"/>
    <col min="5136" max="5137" width="1" style="53" customWidth="1"/>
    <col min="5138" max="5138" width="17.85546875" style="53" customWidth="1"/>
    <col min="5139" max="5140" width="1" style="53" customWidth="1"/>
    <col min="5141" max="5190" width="0" style="53" hidden="1" customWidth="1"/>
    <col min="5191" max="5192" width="1" style="53" customWidth="1"/>
    <col min="5193" max="5193" width="16.5703125" style="53" customWidth="1"/>
    <col min="5194" max="5197" width="1" style="53" customWidth="1"/>
    <col min="5198" max="5198" width="14.7109375" style="53" customWidth="1"/>
    <col min="5199" max="5200" width="1" style="53" customWidth="1"/>
    <col min="5201" max="5205" width="0" style="53" hidden="1" customWidth="1"/>
    <col min="5206" max="5207" width="1" style="53" customWidth="1"/>
    <col min="5208" max="5208" width="17.85546875" style="53" customWidth="1"/>
    <col min="5209" max="5210" width="1" style="53" customWidth="1"/>
    <col min="5211" max="5260" width="0" style="53" hidden="1" customWidth="1"/>
    <col min="5261" max="5262" width="1" style="53" customWidth="1"/>
    <col min="5263" max="5263" width="17.85546875" style="53" customWidth="1"/>
    <col min="5264" max="5266" width="1" style="53" customWidth="1"/>
    <col min="5267" max="5267" width="1.85546875" style="53" customWidth="1"/>
    <col min="5268" max="5268" width="11.28515625" style="53" bestFit="1" customWidth="1"/>
    <col min="5269" max="5269" width="10" style="53" customWidth="1"/>
    <col min="5270" max="5270" width="10.42578125" style="53" bestFit="1" customWidth="1"/>
    <col min="5271" max="5271" width="10" style="53" customWidth="1"/>
    <col min="5272" max="5273" width="10" style="53"/>
    <col min="5274" max="5274" width="13.42578125" style="53" bestFit="1" customWidth="1"/>
    <col min="5275" max="5376" width="10" style="53"/>
    <col min="5377" max="5379" width="0" style="53" hidden="1" customWidth="1"/>
    <col min="5380" max="5380" width="64.85546875" style="53" customWidth="1"/>
    <col min="5381" max="5381" width="7" style="53" customWidth="1"/>
    <col min="5382" max="5383" width="1" style="53" customWidth="1"/>
    <col min="5384" max="5384" width="15.140625" style="53" customWidth="1"/>
    <col min="5385" max="5386" width="1" style="53" customWidth="1"/>
    <col min="5387" max="5391" width="0" style="53" hidden="1" customWidth="1"/>
    <col min="5392" max="5393" width="1" style="53" customWidth="1"/>
    <col min="5394" max="5394" width="17.85546875" style="53" customWidth="1"/>
    <col min="5395" max="5396" width="1" style="53" customWidth="1"/>
    <col min="5397" max="5446" width="0" style="53" hidden="1" customWidth="1"/>
    <col min="5447" max="5448" width="1" style="53" customWidth="1"/>
    <col min="5449" max="5449" width="16.5703125" style="53" customWidth="1"/>
    <col min="5450" max="5453" width="1" style="53" customWidth="1"/>
    <col min="5454" max="5454" width="14.7109375" style="53" customWidth="1"/>
    <col min="5455" max="5456" width="1" style="53" customWidth="1"/>
    <col min="5457" max="5461" width="0" style="53" hidden="1" customWidth="1"/>
    <col min="5462" max="5463" width="1" style="53" customWidth="1"/>
    <col min="5464" max="5464" width="17.85546875" style="53" customWidth="1"/>
    <col min="5465" max="5466" width="1" style="53" customWidth="1"/>
    <col min="5467" max="5516" width="0" style="53" hidden="1" customWidth="1"/>
    <col min="5517" max="5518" width="1" style="53" customWidth="1"/>
    <col min="5519" max="5519" width="17.85546875" style="53" customWidth="1"/>
    <col min="5520" max="5522" width="1" style="53" customWidth="1"/>
    <col min="5523" max="5523" width="1.85546875" style="53" customWidth="1"/>
    <col min="5524" max="5524" width="11.28515625" style="53" bestFit="1" customWidth="1"/>
    <col min="5525" max="5525" width="10" style="53" customWidth="1"/>
    <col min="5526" max="5526" width="10.42578125" style="53" bestFit="1" customWidth="1"/>
    <col min="5527" max="5527" width="10" style="53" customWidth="1"/>
    <col min="5528" max="5529" width="10" style="53"/>
    <col min="5530" max="5530" width="13.42578125" style="53" bestFit="1" customWidth="1"/>
    <col min="5531" max="5632" width="10" style="53"/>
    <col min="5633" max="5635" width="0" style="53" hidden="1" customWidth="1"/>
    <col min="5636" max="5636" width="64.85546875" style="53" customWidth="1"/>
    <col min="5637" max="5637" width="7" style="53" customWidth="1"/>
    <col min="5638" max="5639" width="1" style="53" customWidth="1"/>
    <col min="5640" max="5640" width="15.140625" style="53" customWidth="1"/>
    <col min="5641" max="5642" width="1" style="53" customWidth="1"/>
    <col min="5643" max="5647" width="0" style="53" hidden="1" customWidth="1"/>
    <col min="5648" max="5649" width="1" style="53" customWidth="1"/>
    <col min="5650" max="5650" width="17.85546875" style="53" customWidth="1"/>
    <col min="5651" max="5652" width="1" style="53" customWidth="1"/>
    <col min="5653" max="5702" width="0" style="53" hidden="1" customWidth="1"/>
    <col min="5703" max="5704" width="1" style="53" customWidth="1"/>
    <col min="5705" max="5705" width="16.5703125" style="53" customWidth="1"/>
    <col min="5706" max="5709" width="1" style="53" customWidth="1"/>
    <col min="5710" max="5710" width="14.7109375" style="53" customWidth="1"/>
    <col min="5711" max="5712" width="1" style="53" customWidth="1"/>
    <col min="5713" max="5717" width="0" style="53" hidden="1" customWidth="1"/>
    <col min="5718" max="5719" width="1" style="53" customWidth="1"/>
    <col min="5720" max="5720" width="17.85546875" style="53" customWidth="1"/>
    <col min="5721" max="5722" width="1" style="53" customWidth="1"/>
    <col min="5723" max="5772" width="0" style="53" hidden="1" customWidth="1"/>
    <col min="5773" max="5774" width="1" style="53" customWidth="1"/>
    <col min="5775" max="5775" width="17.85546875" style="53" customWidth="1"/>
    <col min="5776" max="5778" width="1" style="53" customWidth="1"/>
    <col min="5779" max="5779" width="1.85546875" style="53" customWidth="1"/>
    <col min="5780" max="5780" width="11.28515625" style="53" bestFit="1" customWidth="1"/>
    <col min="5781" max="5781" width="10" style="53" customWidth="1"/>
    <col min="5782" max="5782" width="10.42578125" style="53" bestFit="1" customWidth="1"/>
    <col min="5783" max="5783" width="10" style="53" customWidth="1"/>
    <col min="5784" max="5785" width="10" style="53"/>
    <col min="5786" max="5786" width="13.42578125" style="53" bestFit="1" customWidth="1"/>
    <col min="5787" max="5888" width="10" style="53"/>
    <col min="5889" max="5891" width="0" style="53" hidden="1" customWidth="1"/>
    <col min="5892" max="5892" width="64.85546875" style="53" customWidth="1"/>
    <col min="5893" max="5893" width="7" style="53" customWidth="1"/>
    <col min="5894" max="5895" width="1" style="53" customWidth="1"/>
    <col min="5896" max="5896" width="15.140625" style="53" customWidth="1"/>
    <col min="5897" max="5898" width="1" style="53" customWidth="1"/>
    <col min="5899" max="5903" width="0" style="53" hidden="1" customWidth="1"/>
    <col min="5904" max="5905" width="1" style="53" customWidth="1"/>
    <col min="5906" max="5906" width="17.85546875" style="53" customWidth="1"/>
    <col min="5907" max="5908" width="1" style="53" customWidth="1"/>
    <col min="5909" max="5958" width="0" style="53" hidden="1" customWidth="1"/>
    <col min="5959" max="5960" width="1" style="53" customWidth="1"/>
    <col min="5961" max="5961" width="16.5703125" style="53" customWidth="1"/>
    <col min="5962" max="5965" width="1" style="53" customWidth="1"/>
    <col min="5966" max="5966" width="14.7109375" style="53" customWidth="1"/>
    <col min="5967" max="5968" width="1" style="53" customWidth="1"/>
    <col min="5969" max="5973" width="0" style="53" hidden="1" customWidth="1"/>
    <col min="5974" max="5975" width="1" style="53" customWidth="1"/>
    <col min="5976" max="5976" width="17.85546875" style="53" customWidth="1"/>
    <col min="5977" max="5978" width="1" style="53" customWidth="1"/>
    <col min="5979" max="6028" width="0" style="53" hidden="1" customWidth="1"/>
    <col min="6029" max="6030" width="1" style="53" customWidth="1"/>
    <col min="6031" max="6031" width="17.85546875" style="53" customWidth="1"/>
    <col min="6032" max="6034" width="1" style="53" customWidth="1"/>
    <col min="6035" max="6035" width="1.85546875" style="53" customWidth="1"/>
    <col min="6036" max="6036" width="11.28515625" style="53" bestFit="1" customWidth="1"/>
    <col min="6037" max="6037" width="10" style="53" customWidth="1"/>
    <col min="6038" max="6038" width="10.42578125" style="53" bestFit="1" customWidth="1"/>
    <col min="6039" max="6039" width="10" style="53" customWidth="1"/>
    <col min="6040" max="6041" width="10" style="53"/>
    <col min="6042" max="6042" width="13.42578125" style="53" bestFit="1" customWidth="1"/>
    <col min="6043" max="6144" width="10" style="53"/>
    <col min="6145" max="6147" width="0" style="53" hidden="1" customWidth="1"/>
    <col min="6148" max="6148" width="64.85546875" style="53" customWidth="1"/>
    <col min="6149" max="6149" width="7" style="53" customWidth="1"/>
    <col min="6150" max="6151" width="1" style="53" customWidth="1"/>
    <col min="6152" max="6152" width="15.140625" style="53" customWidth="1"/>
    <col min="6153" max="6154" width="1" style="53" customWidth="1"/>
    <col min="6155" max="6159" width="0" style="53" hidden="1" customWidth="1"/>
    <col min="6160" max="6161" width="1" style="53" customWidth="1"/>
    <col min="6162" max="6162" width="17.85546875" style="53" customWidth="1"/>
    <col min="6163" max="6164" width="1" style="53" customWidth="1"/>
    <col min="6165" max="6214" width="0" style="53" hidden="1" customWidth="1"/>
    <col min="6215" max="6216" width="1" style="53" customWidth="1"/>
    <col min="6217" max="6217" width="16.5703125" style="53" customWidth="1"/>
    <col min="6218" max="6221" width="1" style="53" customWidth="1"/>
    <col min="6222" max="6222" width="14.7109375" style="53" customWidth="1"/>
    <col min="6223" max="6224" width="1" style="53" customWidth="1"/>
    <col min="6225" max="6229" width="0" style="53" hidden="1" customWidth="1"/>
    <col min="6230" max="6231" width="1" style="53" customWidth="1"/>
    <col min="6232" max="6232" width="17.85546875" style="53" customWidth="1"/>
    <col min="6233" max="6234" width="1" style="53" customWidth="1"/>
    <col min="6235" max="6284" width="0" style="53" hidden="1" customWidth="1"/>
    <col min="6285" max="6286" width="1" style="53" customWidth="1"/>
    <col min="6287" max="6287" width="17.85546875" style="53" customWidth="1"/>
    <col min="6288" max="6290" width="1" style="53" customWidth="1"/>
    <col min="6291" max="6291" width="1.85546875" style="53" customWidth="1"/>
    <col min="6292" max="6292" width="11.28515625" style="53" bestFit="1" customWidth="1"/>
    <col min="6293" max="6293" width="10" style="53" customWidth="1"/>
    <col min="6294" max="6294" width="10.42578125" style="53" bestFit="1" customWidth="1"/>
    <col min="6295" max="6295" width="10" style="53" customWidth="1"/>
    <col min="6296" max="6297" width="10" style="53"/>
    <col min="6298" max="6298" width="13.42578125" style="53" bestFit="1" customWidth="1"/>
    <col min="6299" max="6400" width="10" style="53"/>
    <col min="6401" max="6403" width="0" style="53" hidden="1" customWidth="1"/>
    <col min="6404" max="6404" width="64.85546875" style="53" customWidth="1"/>
    <col min="6405" max="6405" width="7" style="53" customWidth="1"/>
    <col min="6406" max="6407" width="1" style="53" customWidth="1"/>
    <col min="6408" max="6408" width="15.140625" style="53" customWidth="1"/>
    <col min="6409" max="6410" width="1" style="53" customWidth="1"/>
    <col min="6411" max="6415" width="0" style="53" hidden="1" customWidth="1"/>
    <col min="6416" max="6417" width="1" style="53" customWidth="1"/>
    <col min="6418" max="6418" width="17.85546875" style="53" customWidth="1"/>
    <col min="6419" max="6420" width="1" style="53" customWidth="1"/>
    <col min="6421" max="6470" width="0" style="53" hidden="1" customWidth="1"/>
    <col min="6471" max="6472" width="1" style="53" customWidth="1"/>
    <col min="6473" max="6473" width="16.5703125" style="53" customWidth="1"/>
    <col min="6474" max="6477" width="1" style="53" customWidth="1"/>
    <col min="6478" max="6478" width="14.7109375" style="53" customWidth="1"/>
    <col min="6479" max="6480" width="1" style="53" customWidth="1"/>
    <col min="6481" max="6485" width="0" style="53" hidden="1" customWidth="1"/>
    <col min="6486" max="6487" width="1" style="53" customWidth="1"/>
    <col min="6488" max="6488" width="17.85546875" style="53" customWidth="1"/>
    <col min="6489" max="6490" width="1" style="53" customWidth="1"/>
    <col min="6491" max="6540" width="0" style="53" hidden="1" customWidth="1"/>
    <col min="6541" max="6542" width="1" style="53" customWidth="1"/>
    <col min="6543" max="6543" width="17.85546875" style="53" customWidth="1"/>
    <col min="6544" max="6546" width="1" style="53" customWidth="1"/>
    <col min="6547" max="6547" width="1.85546875" style="53" customWidth="1"/>
    <col min="6548" max="6548" width="11.28515625" style="53" bestFit="1" customWidth="1"/>
    <col min="6549" max="6549" width="10" style="53" customWidth="1"/>
    <col min="6550" max="6550" width="10.42578125" style="53" bestFit="1" customWidth="1"/>
    <col min="6551" max="6551" width="10" style="53" customWidth="1"/>
    <col min="6552" max="6553" width="10" style="53"/>
    <col min="6554" max="6554" width="13.42578125" style="53" bestFit="1" customWidth="1"/>
    <col min="6555" max="6656" width="10" style="53"/>
    <col min="6657" max="6659" width="0" style="53" hidden="1" customWidth="1"/>
    <col min="6660" max="6660" width="64.85546875" style="53" customWidth="1"/>
    <col min="6661" max="6661" width="7" style="53" customWidth="1"/>
    <col min="6662" max="6663" width="1" style="53" customWidth="1"/>
    <col min="6664" max="6664" width="15.140625" style="53" customWidth="1"/>
    <col min="6665" max="6666" width="1" style="53" customWidth="1"/>
    <col min="6667" max="6671" width="0" style="53" hidden="1" customWidth="1"/>
    <col min="6672" max="6673" width="1" style="53" customWidth="1"/>
    <col min="6674" max="6674" width="17.85546875" style="53" customWidth="1"/>
    <col min="6675" max="6676" width="1" style="53" customWidth="1"/>
    <col min="6677" max="6726" width="0" style="53" hidden="1" customWidth="1"/>
    <col min="6727" max="6728" width="1" style="53" customWidth="1"/>
    <col min="6729" max="6729" width="16.5703125" style="53" customWidth="1"/>
    <col min="6730" max="6733" width="1" style="53" customWidth="1"/>
    <col min="6734" max="6734" width="14.7109375" style="53" customWidth="1"/>
    <col min="6735" max="6736" width="1" style="53" customWidth="1"/>
    <col min="6737" max="6741" width="0" style="53" hidden="1" customWidth="1"/>
    <col min="6742" max="6743" width="1" style="53" customWidth="1"/>
    <col min="6744" max="6744" width="17.85546875" style="53" customWidth="1"/>
    <col min="6745" max="6746" width="1" style="53" customWidth="1"/>
    <col min="6747" max="6796" width="0" style="53" hidden="1" customWidth="1"/>
    <col min="6797" max="6798" width="1" style="53" customWidth="1"/>
    <col min="6799" max="6799" width="17.85546875" style="53" customWidth="1"/>
    <col min="6800" max="6802" width="1" style="53" customWidth="1"/>
    <col min="6803" max="6803" width="1.85546875" style="53" customWidth="1"/>
    <col min="6804" max="6804" width="11.28515625" style="53" bestFit="1" customWidth="1"/>
    <col min="6805" max="6805" width="10" style="53" customWidth="1"/>
    <col min="6806" max="6806" width="10.42578125" style="53" bestFit="1" customWidth="1"/>
    <col min="6807" max="6807" width="10" style="53" customWidth="1"/>
    <col min="6808" max="6809" width="10" style="53"/>
    <col min="6810" max="6810" width="13.42578125" style="53" bestFit="1" customWidth="1"/>
    <col min="6811" max="6912" width="10" style="53"/>
    <col min="6913" max="6915" width="0" style="53" hidden="1" customWidth="1"/>
    <col min="6916" max="6916" width="64.85546875" style="53" customWidth="1"/>
    <col min="6917" max="6917" width="7" style="53" customWidth="1"/>
    <col min="6918" max="6919" width="1" style="53" customWidth="1"/>
    <col min="6920" max="6920" width="15.140625" style="53" customWidth="1"/>
    <col min="6921" max="6922" width="1" style="53" customWidth="1"/>
    <col min="6923" max="6927" width="0" style="53" hidden="1" customWidth="1"/>
    <col min="6928" max="6929" width="1" style="53" customWidth="1"/>
    <col min="6930" max="6930" width="17.85546875" style="53" customWidth="1"/>
    <col min="6931" max="6932" width="1" style="53" customWidth="1"/>
    <col min="6933" max="6982" width="0" style="53" hidden="1" customWidth="1"/>
    <col min="6983" max="6984" width="1" style="53" customWidth="1"/>
    <col min="6985" max="6985" width="16.5703125" style="53" customWidth="1"/>
    <col min="6986" max="6989" width="1" style="53" customWidth="1"/>
    <col min="6990" max="6990" width="14.7109375" style="53" customWidth="1"/>
    <col min="6991" max="6992" width="1" style="53" customWidth="1"/>
    <col min="6993" max="6997" width="0" style="53" hidden="1" customWidth="1"/>
    <col min="6998" max="6999" width="1" style="53" customWidth="1"/>
    <col min="7000" max="7000" width="17.85546875" style="53" customWidth="1"/>
    <col min="7001" max="7002" width="1" style="53" customWidth="1"/>
    <col min="7003" max="7052" width="0" style="53" hidden="1" customWidth="1"/>
    <col min="7053" max="7054" width="1" style="53" customWidth="1"/>
    <col min="7055" max="7055" width="17.85546875" style="53" customWidth="1"/>
    <col min="7056" max="7058" width="1" style="53" customWidth="1"/>
    <col min="7059" max="7059" width="1.85546875" style="53" customWidth="1"/>
    <col min="7060" max="7060" width="11.28515625" style="53" bestFit="1" customWidth="1"/>
    <col min="7061" max="7061" width="10" style="53" customWidth="1"/>
    <col min="7062" max="7062" width="10.42578125" style="53" bestFit="1" customWidth="1"/>
    <col min="7063" max="7063" width="10" style="53" customWidth="1"/>
    <col min="7064" max="7065" width="10" style="53"/>
    <col min="7066" max="7066" width="13.42578125" style="53" bestFit="1" customWidth="1"/>
    <col min="7067" max="7168" width="10" style="53"/>
    <col min="7169" max="7171" width="0" style="53" hidden="1" customWidth="1"/>
    <col min="7172" max="7172" width="64.85546875" style="53" customWidth="1"/>
    <col min="7173" max="7173" width="7" style="53" customWidth="1"/>
    <col min="7174" max="7175" width="1" style="53" customWidth="1"/>
    <col min="7176" max="7176" width="15.140625" style="53" customWidth="1"/>
    <col min="7177" max="7178" width="1" style="53" customWidth="1"/>
    <col min="7179" max="7183" width="0" style="53" hidden="1" customWidth="1"/>
    <col min="7184" max="7185" width="1" style="53" customWidth="1"/>
    <col min="7186" max="7186" width="17.85546875" style="53" customWidth="1"/>
    <col min="7187" max="7188" width="1" style="53" customWidth="1"/>
    <col min="7189" max="7238" width="0" style="53" hidden="1" customWidth="1"/>
    <col min="7239" max="7240" width="1" style="53" customWidth="1"/>
    <col min="7241" max="7241" width="16.5703125" style="53" customWidth="1"/>
    <col min="7242" max="7245" width="1" style="53" customWidth="1"/>
    <col min="7246" max="7246" width="14.7109375" style="53" customWidth="1"/>
    <col min="7247" max="7248" width="1" style="53" customWidth="1"/>
    <col min="7249" max="7253" width="0" style="53" hidden="1" customWidth="1"/>
    <col min="7254" max="7255" width="1" style="53" customWidth="1"/>
    <col min="7256" max="7256" width="17.85546875" style="53" customWidth="1"/>
    <col min="7257" max="7258" width="1" style="53" customWidth="1"/>
    <col min="7259" max="7308" width="0" style="53" hidden="1" customWidth="1"/>
    <col min="7309" max="7310" width="1" style="53" customWidth="1"/>
    <col min="7311" max="7311" width="17.85546875" style="53" customWidth="1"/>
    <col min="7312" max="7314" width="1" style="53" customWidth="1"/>
    <col min="7315" max="7315" width="1.85546875" style="53" customWidth="1"/>
    <col min="7316" max="7316" width="11.28515625" style="53" bestFit="1" customWidth="1"/>
    <col min="7317" max="7317" width="10" style="53" customWidth="1"/>
    <col min="7318" max="7318" width="10.42578125" style="53" bestFit="1" customWidth="1"/>
    <col min="7319" max="7319" width="10" style="53" customWidth="1"/>
    <col min="7320" max="7321" width="10" style="53"/>
    <col min="7322" max="7322" width="13.42578125" style="53" bestFit="1" customWidth="1"/>
    <col min="7323" max="7424" width="10" style="53"/>
    <col min="7425" max="7427" width="0" style="53" hidden="1" customWidth="1"/>
    <col min="7428" max="7428" width="64.85546875" style="53" customWidth="1"/>
    <col min="7429" max="7429" width="7" style="53" customWidth="1"/>
    <col min="7430" max="7431" width="1" style="53" customWidth="1"/>
    <col min="7432" max="7432" width="15.140625" style="53" customWidth="1"/>
    <col min="7433" max="7434" width="1" style="53" customWidth="1"/>
    <col min="7435" max="7439" width="0" style="53" hidden="1" customWidth="1"/>
    <col min="7440" max="7441" width="1" style="53" customWidth="1"/>
    <col min="7442" max="7442" width="17.85546875" style="53" customWidth="1"/>
    <col min="7443" max="7444" width="1" style="53" customWidth="1"/>
    <col min="7445" max="7494" width="0" style="53" hidden="1" customWidth="1"/>
    <col min="7495" max="7496" width="1" style="53" customWidth="1"/>
    <col min="7497" max="7497" width="16.5703125" style="53" customWidth="1"/>
    <col min="7498" max="7501" width="1" style="53" customWidth="1"/>
    <col min="7502" max="7502" width="14.7109375" style="53" customWidth="1"/>
    <col min="7503" max="7504" width="1" style="53" customWidth="1"/>
    <col min="7505" max="7509" width="0" style="53" hidden="1" customWidth="1"/>
    <col min="7510" max="7511" width="1" style="53" customWidth="1"/>
    <col min="7512" max="7512" width="17.85546875" style="53" customWidth="1"/>
    <col min="7513" max="7514" width="1" style="53" customWidth="1"/>
    <col min="7515" max="7564" width="0" style="53" hidden="1" customWidth="1"/>
    <col min="7565" max="7566" width="1" style="53" customWidth="1"/>
    <col min="7567" max="7567" width="17.85546875" style="53" customWidth="1"/>
    <col min="7568" max="7570" width="1" style="53" customWidth="1"/>
    <col min="7571" max="7571" width="1.85546875" style="53" customWidth="1"/>
    <col min="7572" max="7572" width="11.28515625" style="53" bestFit="1" customWidth="1"/>
    <col min="7573" max="7573" width="10" style="53" customWidth="1"/>
    <col min="7574" max="7574" width="10.42578125" style="53" bestFit="1" customWidth="1"/>
    <col min="7575" max="7575" width="10" style="53" customWidth="1"/>
    <col min="7576" max="7577" width="10" style="53"/>
    <col min="7578" max="7578" width="13.42578125" style="53" bestFit="1" customWidth="1"/>
    <col min="7579" max="7680" width="10" style="53"/>
    <col min="7681" max="7683" width="0" style="53" hidden="1" customWidth="1"/>
    <col min="7684" max="7684" width="64.85546875" style="53" customWidth="1"/>
    <col min="7685" max="7685" width="7" style="53" customWidth="1"/>
    <col min="7686" max="7687" width="1" style="53" customWidth="1"/>
    <col min="7688" max="7688" width="15.140625" style="53" customWidth="1"/>
    <col min="7689" max="7690" width="1" style="53" customWidth="1"/>
    <col min="7691" max="7695" width="0" style="53" hidden="1" customWidth="1"/>
    <col min="7696" max="7697" width="1" style="53" customWidth="1"/>
    <col min="7698" max="7698" width="17.85546875" style="53" customWidth="1"/>
    <col min="7699" max="7700" width="1" style="53" customWidth="1"/>
    <col min="7701" max="7750" width="0" style="53" hidden="1" customWidth="1"/>
    <col min="7751" max="7752" width="1" style="53" customWidth="1"/>
    <col min="7753" max="7753" width="16.5703125" style="53" customWidth="1"/>
    <col min="7754" max="7757" width="1" style="53" customWidth="1"/>
    <col min="7758" max="7758" width="14.7109375" style="53" customWidth="1"/>
    <col min="7759" max="7760" width="1" style="53" customWidth="1"/>
    <col min="7761" max="7765" width="0" style="53" hidden="1" customWidth="1"/>
    <col min="7766" max="7767" width="1" style="53" customWidth="1"/>
    <col min="7768" max="7768" width="17.85546875" style="53" customWidth="1"/>
    <col min="7769" max="7770" width="1" style="53" customWidth="1"/>
    <col min="7771" max="7820" width="0" style="53" hidden="1" customWidth="1"/>
    <col min="7821" max="7822" width="1" style="53" customWidth="1"/>
    <col min="7823" max="7823" width="17.85546875" style="53" customWidth="1"/>
    <col min="7824" max="7826" width="1" style="53" customWidth="1"/>
    <col min="7827" max="7827" width="1.85546875" style="53" customWidth="1"/>
    <col min="7828" max="7828" width="11.28515625" style="53" bestFit="1" customWidth="1"/>
    <col min="7829" max="7829" width="10" style="53" customWidth="1"/>
    <col min="7830" max="7830" width="10.42578125" style="53" bestFit="1" customWidth="1"/>
    <col min="7831" max="7831" width="10" style="53" customWidth="1"/>
    <col min="7832" max="7833" width="10" style="53"/>
    <col min="7834" max="7834" width="13.42578125" style="53" bestFit="1" customWidth="1"/>
    <col min="7835" max="7936" width="10" style="53"/>
    <col min="7937" max="7939" width="0" style="53" hidden="1" customWidth="1"/>
    <col min="7940" max="7940" width="64.85546875" style="53" customWidth="1"/>
    <col min="7941" max="7941" width="7" style="53" customWidth="1"/>
    <col min="7942" max="7943" width="1" style="53" customWidth="1"/>
    <col min="7944" max="7944" width="15.140625" style="53" customWidth="1"/>
    <col min="7945" max="7946" width="1" style="53" customWidth="1"/>
    <col min="7947" max="7951" width="0" style="53" hidden="1" customWidth="1"/>
    <col min="7952" max="7953" width="1" style="53" customWidth="1"/>
    <col min="7954" max="7954" width="17.85546875" style="53" customWidth="1"/>
    <col min="7955" max="7956" width="1" style="53" customWidth="1"/>
    <col min="7957" max="8006" width="0" style="53" hidden="1" customWidth="1"/>
    <col min="8007" max="8008" width="1" style="53" customWidth="1"/>
    <col min="8009" max="8009" width="16.5703125" style="53" customWidth="1"/>
    <col min="8010" max="8013" width="1" style="53" customWidth="1"/>
    <col min="8014" max="8014" width="14.7109375" style="53" customWidth="1"/>
    <col min="8015" max="8016" width="1" style="53" customWidth="1"/>
    <col min="8017" max="8021" width="0" style="53" hidden="1" customWidth="1"/>
    <col min="8022" max="8023" width="1" style="53" customWidth="1"/>
    <col min="8024" max="8024" width="17.85546875" style="53" customWidth="1"/>
    <col min="8025" max="8026" width="1" style="53" customWidth="1"/>
    <col min="8027" max="8076" width="0" style="53" hidden="1" customWidth="1"/>
    <col min="8077" max="8078" width="1" style="53" customWidth="1"/>
    <col min="8079" max="8079" width="17.85546875" style="53" customWidth="1"/>
    <col min="8080" max="8082" width="1" style="53" customWidth="1"/>
    <col min="8083" max="8083" width="1.85546875" style="53" customWidth="1"/>
    <col min="8084" max="8084" width="11.28515625" style="53" bestFit="1" customWidth="1"/>
    <col min="8085" max="8085" width="10" style="53" customWidth="1"/>
    <col min="8086" max="8086" width="10.42578125" style="53" bestFit="1" customWidth="1"/>
    <col min="8087" max="8087" width="10" style="53" customWidth="1"/>
    <col min="8088" max="8089" width="10" style="53"/>
    <col min="8090" max="8090" width="13.42578125" style="53" bestFit="1" customWidth="1"/>
    <col min="8091" max="8192" width="10" style="53"/>
    <col min="8193" max="8195" width="0" style="53" hidden="1" customWidth="1"/>
    <col min="8196" max="8196" width="64.85546875" style="53" customWidth="1"/>
    <col min="8197" max="8197" width="7" style="53" customWidth="1"/>
    <col min="8198" max="8199" width="1" style="53" customWidth="1"/>
    <col min="8200" max="8200" width="15.140625" style="53" customWidth="1"/>
    <col min="8201" max="8202" width="1" style="53" customWidth="1"/>
    <col min="8203" max="8207" width="0" style="53" hidden="1" customWidth="1"/>
    <col min="8208" max="8209" width="1" style="53" customWidth="1"/>
    <col min="8210" max="8210" width="17.85546875" style="53" customWidth="1"/>
    <col min="8211" max="8212" width="1" style="53" customWidth="1"/>
    <col min="8213" max="8262" width="0" style="53" hidden="1" customWidth="1"/>
    <col min="8263" max="8264" width="1" style="53" customWidth="1"/>
    <col min="8265" max="8265" width="16.5703125" style="53" customWidth="1"/>
    <col min="8266" max="8269" width="1" style="53" customWidth="1"/>
    <col min="8270" max="8270" width="14.7109375" style="53" customWidth="1"/>
    <col min="8271" max="8272" width="1" style="53" customWidth="1"/>
    <col min="8273" max="8277" width="0" style="53" hidden="1" customWidth="1"/>
    <col min="8278" max="8279" width="1" style="53" customWidth="1"/>
    <col min="8280" max="8280" width="17.85546875" style="53" customWidth="1"/>
    <col min="8281" max="8282" width="1" style="53" customWidth="1"/>
    <col min="8283" max="8332" width="0" style="53" hidden="1" customWidth="1"/>
    <col min="8333" max="8334" width="1" style="53" customWidth="1"/>
    <col min="8335" max="8335" width="17.85546875" style="53" customWidth="1"/>
    <col min="8336" max="8338" width="1" style="53" customWidth="1"/>
    <col min="8339" max="8339" width="1.85546875" style="53" customWidth="1"/>
    <col min="8340" max="8340" width="11.28515625" style="53" bestFit="1" customWidth="1"/>
    <col min="8341" max="8341" width="10" style="53" customWidth="1"/>
    <col min="8342" max="8342" width="10.42578125" style="53" bestFit="1" customWidth="1"/>
    <col min="8343" max="8343" width="10" style="53" customWidth="1"/>
    <col min="8344" max="8345" width="10" style="53"/>
    <col min="8346" max="8346" width="13.42578125" style="53" bestFit="1" customWidth="1"/>
    <col min="8347" max="8448" width="10" style="53"/>
    <col min="8449" max="8451" width="0" style="53" hidden="1" customWidth="1"/>
    <col min="8452" max="8452" width="64.85546875" style="53" customWidth="1"/>
    <col min="8453" max="8453" width="7" style="53" customWidth="1"/>
    <col min="8454" max="8455" width="1" style="53" customWidth="1"/>
    <col min="8456" max="8456" width="15.140625" style="53" customWidth="1"/>
    <col min="8457" max="8458" width="1" style="53" customWidth="1"/>
    <col min="8459" max="8463" width="0" style="53" hidden="1" customWidth="1"/>
    <col min="8464" max="8465" width="1" style="53" customWidth="1"/>
    <col min="8466" max="8466" width="17.85546875" style="53" customWidth="1"/>
    <col min="8467" max="8468" width="1" style="53" customWidth="1"/>
    <col min="8469" max="8518" width="0" style="53" hidden="1" customWidth="1"/>
    <col min="8519" max="8520" width="1" style="53" customWidth="1"/>
    <col min="8521" max="8521" width="16.5703125" style="53" customWidth="1"/>
    <col min="8522" max="8525" width="1" style="53" customWidth="1"/>
    <col min="8526" max="8526" width="14.7109375" style="53" customWidth="1"/>
    <col min="8527" max="8528" width="1" style="53" customWidth="1"/>
    <col min="8529" max="8533" width="0" style="53" hidden="1" customWidth="1"/>
    <col min="8534" max="8535" width="1" style="53" customWidth="1"/>
    <col min="8536" max="8536" width="17.85546875" style="53" customWidth="1"/>
    <col min="8537" max="8538" width="1" style="53" customWidth="1"/>
    <col min="8539" max="8588" width="0" style="53" hidden="1" customWidth="1"/>
    <col min="8589" max="8590" width="1" style="53" customWidth="1"/>
    <col min="8591" max="8591" width="17.85546875" style="53" customWidth="1"/>
    <col min="8592" max="8594" width="1" style="53" customWidth="1"/>
    <col min="8595" max="8595" width="1.85546875" style="53" customWidth="1"/>
    <col min="8596" max="8596" width="11.28515625" style="53" bestFit="1" customWidth="1"/>
    <col min="8597" max="8597" width="10" style="53" customWidth="1"/>
    <col min="8598" max="8598" width="10.42578125" style="53" bestFit="1" customWidth="1"/>
    <col min="8599" max="8599" width="10" style="53" customWidth="1"/>
    <col min="8600" max="8601" width="10" style="53"/>
    <col min="8602" max="8602" width="13.42578125" style="53" bestFit="1" customWidth="1"/>
    <col min="8603" max="8704" width="10" style="53"/>
    <col min="8705" max="8707" width="0" style="53" hidden="1" customWidth="1"/>
    <col min="8708" max="8708" width="64.85546875" style="53" customWidth="1"/>
    <col min="8709" max="8709" width="7" style="53" customWidth="1"/>
    <col min="8710" max="8711" width="1" style="53" customWidth="1"/>
    <col min="8712" max="8712" width="15.140625" style="53" customWidth="1"/>
    <col min="8713" max="8714" width="1" style="53" customWidth="1"/>
    <col min="8715" max="8719" width="0" style="53" hidden="1" customWidth="1"/>
    <col min="8720" max="8721" width="1" style="53" customWidth="1"/>
    <col min="8722" max="8722" width="17.85546875" style="53" customWidth="1"/>
    <col min="8723" max="8724" width="1" style="53" customWidth="1"/>
    <col min="8725" max="8774" width="0" style="53" hidden="1" customWidth="1"/>
    <col min="8775" max="8776" width="1" style="53" customWidth="1"/>
    <col min="8777" max="8777" width="16.5703125" style="53" customWidth="1"/>
    <col min="8778" max="8781" width="1" style="53" customWidth="1"/>
    <col min="8782" max="8782" width="14.7109375" style="53" customWidth="1"/>
    <col min="8783" max="8784" width="1" style="53" customWidth="1"/>
    <col min="8785" max="8789" width="0" style="53" hidden="1" customWidth="1"/>
    <col min="8790" max="8791" width="1" style="53" customWidth="1"/>
    <col min="8792" max="8792" width="17.85546875" style="53" customWidth="1"/>
    <col min="8793" max="8794" width="1" style="53" customWidth="1"/>
    <col min="8795" max="8844" width="0" style="53" hidden="1" customWidth="1"/>
    <col min="8845" max="8846" width="1" style="53" customWidth="1"/>
    <col min="8847" max="8847" width="17.85546875" style="53" customWidth="1"/>
    <col min="8848" max="8850" width="1" style="53" customWidth="1"/>
    <col min="8851" max="8851" width="1.85546875" style="53" customWidth="1"/>
    <col min="8852" max="8852" width="11.28515625" style="53" bestFit="1" customWidth="1"/>
    <col min="8853" max="8853" width="10" style="53" customWidth="1"/>
    <col min="8854" max="8854" width="10.42578125" style="53" bestFit="1" customWidth="1"/>
    <col min="8855" max="8855" width="10" style="53" customWidth="1"/>
    <col min="8856" max="8857" width="10" style="53"/>
    <col min="8858" max="8858" width="13.42578125" style="53" bestFit="1" customWidth="1"/>
    <col min="8859" max="8960" width="10" style="53"/>
    <col min="8961" max="8963" width="0" style="53" hidden="1" customWidth="1"/>
    <col min="8964" max="8964" width="64.85546875" style="53" customWidth="1"/>
    <col min="8965" max="8965" width="7" style="53" customWidth="1"/>
    <col min="8966" max="8967" width="1" style="53" customWidth="1"/>
    <col min="8968" max="8968" width="15.140625" style="53" customWidth="1"/>
    <col min="8969" max="8970" width="1" style="53" customWidth="1"/>
    <col min="8971" max="8975" width="0" style="53" hidden="1" customWidth="1"/>
    <col min="8976" max="8977" width="1" style="53" customWidth="1"/>
    <col min="8978" max="8978" width="17.85546875" style="53" customWidth="1"/>
    <col min="8979" max="8980" width="1" style="53" customWidth="1"/>
    <col min="8981" max="9030" width="0" style="53" hidden="1" customWidth="1"/>
    <col min="9031" max="9032" width="1" style="53" customWidth="1"/>
    <col min="9033" max="9033" width="16.5703125" style="53" customWidth="1"/>
    <col min="9034" max="9037" width="1" style="53" customWidth="1"/>
    <col min="9038" max="9038" width="14.7109375" style="53" customWidth="1"/>
    <col min="9039" max="9040" width="1" style="53" customWidth="1"/>
    <col min="9041" max="9045" width="0" style="53" hidden="1" customWidth="1"/>
    <col min="9046" max="9047" width="1" style="53" customWidth="1"/>
    <col min="9048" max="9048" width="17.85546875" style="53" customWidth="1"/>
    <col min="9049" max="9050" width="1" style="53" customWidth="1"/>
    <col min="9051" max="9100" width="0" style="53" hidden="1" customWidth="1"/>
    <col min="9101" max="9102" width="1" style="53" customWidth="1"/>
    <col min="9103" max="9103" width="17.85546875" style="53" customWidth="1"/>
    <col min="9104" max="9106" width="1" style="53" customWidth="1"/>
    <col min="9107" max="9107" width="1.85546875" style="53" customWidth="1"/>
    <col min="9108" max="9108" width="11.28515625" style="53" bestFit="1" customWidth="1"/>
    <col min="9109" max="9109" width="10" style="53" customWidth="1"/>
    <col min="9110" max="9110" width="10.42578125" style="53" bestFit="1" customWidth="1"/>
    <col min="9111" max="9111" width="10" style="53" customWidth="1"/>
    <col min="9112" max="9113" width="10" style="53"/>
    <col min="9114" max="9114" width="13.42578125" style="53" bestFit="1" customWidth="1"/>
    <col min="9115" max="9216" width="10" style="53"/>
    <col min="9217" max="9219" width="0" style="53" hidden="1" customWidth="1"/>
    <col min="9220" max="9220" width="64.85546875" style="53" customWidth="1"/>
    <col min="9221" max="9221" width="7" style="53" customWidth="1"/>
    <col min="9222" max="9223" width="1" style="53" customWidth="1"/>
    <col min="9224" max="9224" width="15.140625" style="53" customWidth="1"/>
    <col min="9225" max="9226" width="1" style="53" customWidth="1"/>
    <col min="9227" max="9231" width="0" style="53" hidden="1" customWidth="1"/>
    <col min="9232" max="9233" width="1" style="53" customWidth="1"/>
    <col min="9234" max="9234" width="17.85546875" style="53" customWidth="1"/>
    <col min="9235" max="9236" width="1" style="53" customWidth="1"/>
    <col min="9237" max="9286" width="0" style="53" hidden="1" customWidth="1"/>
    <col min="9287" max="9288" width="1" style="53" customWidth="1"/>
    <col min="9289" max="9289" width="16.5703125" style="53" customWidth="1"/>
    <col min="9290" max="9293" width="1" style="53" customWidth="1"/>
    <col min="9294" max="9294" width="14.7109375" style="53" customWidth="1"/>
    <col min="9295" max="9296" width="1" style="53" customWidth="1"/>
    <col min="9297" max="9301" width="0" style="53" hidden="1" customWidth="1"/>
    <col min="9302" max="9303" width="1" style="53" customWidth="1"/>
    <col min="9304" max="9304" width="17.85546875" style="53" customWidth="1"/>
    <col min="9305" max="9306" width="1" style="53" customWidth="1"/>
    <col min="9307" max="9356" width="0" style="53" hidden="1" customWidth="1"/>
    <col min="9357" max="9358" width="1" style="53" customWidth="1"/>
    <col min="9359" max="9359" width="17.85546875" style="53" customWidth="1"/>
    <col min="9360" max="9362" width="1" style="53" customWidth="1"/>
    <col min="9363" max="9363" width="1.85546875" style="53" customWidth="1"/>
    <col min="9364" max="9364" width="11.28515625" style="53" bestFit="1" customWidth="1"/>
    <col min="9365" max="9365" width="10" style="53" customWidth="1"/>
    <col min="9366" max="9366" width="10.42578125" style="53" bestFit="1" customWidth="1"/>
    <col min="9367" max="9367" width="10" style="53" customWidth="1"/>
    <col min="9368" max="9369" width="10" style="53"/>
    <col min="9370" max="9370" width="13.42578125" style="53" bestFit="1" customWidth="1"/>
    <col min="9371" max="9472" width="10" style="53"/>
    <col min="9473" max="9475" width="0" style="53" hidden="1" customWidth="1"/>
    <col min="9476" max="9476" width="64.85546875" style="53" customWidth="1"/>
    <col min="9477" max="9477" width="7" style="53" customWidth="1"/>
    <col min="9478" max="9479" width="1" style="53" customWidth="1"/>
    <col min="9480" max="9480" width="15.140625" style="53" customWidth="1"/>
    <col min="9481" max="9482" width="1" style="53" customWidth="1"/>
    <col min="9483" max="9487" width="0" style="53" hidden="1" customWidth="1"/>
    <col min="9488" max="9489" width="1" style="53" customWidth="1"/>
    <col min="9490" max="9490" width="17.85546875" style="53" customWidth="1"/>
    <col min="9491" max="9492" width="1" style="53" customWidth="1"/>
    <col min="9493" max="9542" width="0" style="53" hidden="1" customWidth="1"/>
    <col min="9543" max="9544" width="1" style="53" customWidth="1"/>
    <col min="9545" max="9545" width="16.5703125" style="53" customWidth="1"/>
    <col min="9546" max="9549" width="1" style="53" customWidth="1"/>
    <col min="9550" max="9550" width="14.7109375" style="53" customWidth="1"/>
    <col min="9551" max="9552" width="1" style="53" customWidth="1"/>
    <col min="9553" max="9557" width="0" style="53" hidden="1" customWidth="1"/>
    <col min="9558" max="9559" width="1" style="53" customWidth="1"/>
    <col min="9560" max="9560" width="17.85546875" style="53" customWidth="1"/>
    <col min="9561" max="9562" width="1" style="53" customWidth="1"/>
    <col min="9563" max="9612" width="0" style="53" hidden="1" customWidth="1"/>
    <col min="9613" max="9614" width="1" style="53" customWidth="1"/>
    <col min="9615" max="9615" width="17.85546875" style="53" customWidth="1"/>
    <col min="9616" max="9618" width="1" style="53" customWidth="1"/>
    <col min="9619" max="9619" width="1.85546875" style="53" customWidth="1"/>
    <col min="9620" max="9620" width="11.28515625" style="53" bestFit="1" customWidth="1"/>
    <col min="9621" max="9621" width="10" style="53" customWidth="1"/>
    <col min="9622" max="9622" width="10.42578125" style="53" bestFit="1" customWidth="1"/>
    <col min="9623" max="9623" width="10" style="53" customWidth="1"/>
    <col min="9624" max="9625" width="10" style="53"/>
    <col min="9626" max="9626" width="13.42578125" style="53" bestFit="1" customWidth="1"/>
    <col min="9627" max="9728" width="10" style="53"/>
    <col min="9729" max="9731" width="0" style="53" hidden="1" customWidth="1"/>
    <col min="9732" max="9732" width="64.85546875" style="53" customWidth="1"/>
    <col min="9733" max="9733" width="7" style="53" customWidth="1"/>
    <col min="9734" max="9735" width="1" style="53" customWidth="1"/>
    <col min="9736" max="9736" width="15.140625" style="53" customWidth="1"/>
    <col min="9737" max="9738" width="1" style="53" customWidth="1"/>
    <col min="9739" max="9743" width="0" style="53" hidden="1" customWidth="1"/>
    <col min="9744" max="9745" width="1" style="53" customWidth="1"/>
    <col min="9746" max="9746" width="17.85546875" style="53" customWidth="1"/>
    <col min="9747" max="9748" width="1" style="53" customWidth="1"/>
    <col min="9749" max="9798" width="0" style="53" hidden="1" customWidth="1"/>
    <col min="9799" max="9800" width="1" style="53" customWidth="1"/>
    <col min="9801" max="9801" width="16.5703125" style="53" customWidth="1"/>
    <col min="9802" max="9805" width="1" style="53" customWidth="1"/>
    <col min="9806" max="9806" width="14.7109375" style="53" customWidth="1"/>
    <col min="9807" max="9808" width="1" style="53" customWidth="1"/>
    <col min="9809" max="9813" width="0" style="53" hidden="1" customWidth="1"/>
    <col min="9814" max="9815" width="1" style="53" customWidth="1"/>
    <col min="9816" max="9816" width="17.85546875" style="53" customWidth="1"/>
    <col min="9817" max="9818" width="1" style="53" customWidth="1"/>
    <col min="9819" max="9868" width="0" style="53" hidden="1" customWidth="1"/>
    <col min="9869" max="9870" width="1" style="53" customWidth="1"/>
    <col min="9871" max="9871" width="17.85546875" style="53" customWidth="1"/>
    <col min="9872" max="9874" width="1" style="53" customWidth="1"/>
    <col min="9875" max="9875" width="1.85546875" style="53" customWidth="1"/>
    <col min="9876" max="9876" width="11.28515625" style="53" bestFit="1" customWidth="1"/>
    <col min="9877" max="9877" width="10" style="53" customWidth="1"/>
    <col min="9878" max="9878" width="10.42578125" style="53" bestFit="1" customWidth="1"/>
    <col min="9879" max="9879" width="10" style="53" customWidth="1"/>
    <col min="9880" max="9881" width="10" style="53"/>
    <col min="9882" max="9882" width="13.42578125" style="53" bestFit="1" customWidth="1"/>
    <col min="9883" max="9984" width="10" style="53"/>
    <col min="9985" max="9987" width="0" style="53" hidden="1" customWidth="1"/>
    <col min="9988" max="9988" width="64.85546875" style="53" customWidth="1"/>
    <col min="9989" max="9989" width="7" style="53" customWidth="1"/>
    <col min="9990" max="9991" width="1" style="53" customWidth="1"/>
    <col min="9992" max="9992" width="15.140625" style="53" customWidth="1"/>
    <col min="9993" max="9994" width="1" style="53" customWidth="1"/>
    <col min="9995" max="9999" width="0" style="53" hidden="1" customWidth="1"/>
    <col min="10000" max="10001" width="1" style="53" customWidth="1"/>
    <col min="10002" max="10002" width="17.85546875" style="53" customWidth="1"/>
    <col min="10003" max="10004" width="1" style="53" customWidth="1"/>
    <col min="10005" max="10054" width="0" style="53" hidden="1" customWidth="1"/>
    <col min="10055" max="10056" width="1" style="53" customWidth="1"/>
    <col min="10057" max="10057" width="16.5703125" style="53" customWidth="1"/>
    <col min="10058" max="10061" width="1" style="53" customWidth="1"/>
    <col min="10062" max="10062" width="14.7109375" style="53" customWidth="1"/>
    <col min="10063" max="10064" width="1" style="53" customWidth="1"/>
    <col min="10065" max="10069" width="0" style="53" hidden="1" customWidth="1"/>
    <col min="10070" max="10071" width="1" style="53" customWidth="1"/>
    <col min="10072" max="10072" width="17.85546875" style="53" customWidth="1"/>
    <col min="10073" max="10074" width="1" style="53" customWidth="1"/>
    <col min="10075" max="10124" width="0" style="53" hidden="1" customWidth="1"/>
    <col min="10125" max="10126" width="1" style="53" customWidth="1"/>
    <col min="10127" max="10127" width="17.85546875" style="53" customWidth="1"/>
    <col min="10128" max="10130" width="1" style="53" customWidth="1"/>
    <col min="10131" max="10131" width="1.85546875" style="53" customWidth="1"/>
    <col min="10132" max="10132" width="11.28515625" style="53" bestFit="1" customWidth="1"/>
    <col min="10133" max="10133" width="10" style="53" customWidth="1"/>
    <col min="10134" max="10134" width="10.42578125" style="53" bestFit="1" customWidth="1"/>
    <col min="10135" max="10135" width="10" style="53" customWidth="1"/>
    <col min="10136" max="10137" width="10" style="53"/>
    <col min="10138" max="10138" width="13.42578125" style="53" bestFit="1" customWidth="1"/>
    <col min="10139" max="10240" width="10" style="53"/>
    <col min="10241" max="10243" width="0" style="53" hidden="1" customWidth="1"/>
    <col min="10244" max="10244" width="64.85546875" style="53" customWidth="1"/>
    <col min="10245" max="10245" width="7" style="53" customWidth="1"/>
    <col min="10246" max="10247" width="1" style="53" customWidth="1"/>
    <col min="10248" max="10248" width="15.140625" style="53" customWidth="1"/>
    <col min="10249" max="10250" width="1" style="53" customWidth="1"/>
    <col min="10251" max="10255" width="0" style="53" hidden="1" customWidth="1"/>
    <col min="10256" max="10257" width="1" style="53" customWidth="1"/>
    <col min="10258" max="10258" width="17.85546875" style="53" customWidth="1"/>
    <col min="10259" max="10260" width="1" style="53" customWidth="1"/>
    <col min="10261" max="10310" width="0" style="53" hidden="1" customWidth="1"/>
    <col min="10311" max="10312" width="1" style="53" customWidth="1"/>
    <col min="10313" max="10313" width="16.5703125" style="53" customWidth="1"/>
    <col min="10314" max="10317" width="1" style="53" customWidth="1"/>
    <col min="10318" max="10318" width="14.7109375" style="53" customWidth="1"/>
    <col min="10319" max="10320" width="1" style="53" customWidth="1"/>
    <col min="10321" max="10325" width="0" style="53" hidden="1" customWidth="1"/>
    <col min="10326" max="10327" width="1" style="53" customWidth="1"/>
    <col min="10328" max="10328" width="17.85546875" style="53" customWidth="1"/>
    <col min="10329" max="10330" width="1" style="53" customWidth="1"/>
    <col min="10331" max="10380" width="0" style="53" hidden="1" customWidth="1"/>
    <col min="10381" max="10382" width="1" style="53" customWidth="1"/>
    <col min="10383" max="10383" width="17.85546875" style="53" customWidth="1"/>
    <col min="10384" max="10386" width="1" style="53" customWidth="1"/>
    <col min="10387" max="10387" width="1.85546875" style="53" customWidth="1"/>
    <col min="10388" max="10388" width="11.28515625" style="53" bestFit="1" customWidth="1"/>
    <col min="10389" max="10389" width="10" style="53" customWidth="1"/>
    <col min="10390" max="10390" width="10.42578125" style="53" bestFit="1" customWidth="1"/>
    <col min="10391" max="10391" width="10" style="53" customWidth="1"/>
    <col min="10392" max="10393" width="10" style="53"/>
    <col min="10394" max="10394" width="13.42578125" style="53" bestFit="1" customWidth="1"/>
    <col min="10395" max="10496" width="10" style="53"/>
    <col min="10497" max="10499" width="0" style="53" hidden="1" customWidth="1"/>
    <col min="10500" max="10500" width="64.85546875" style="53" customWidth="1"/>
    <col min="10501" max="10501" width="7" style="53" customWidth="1"/>
    <col min="10502" max="10503" width="1" style="53" customWidth="1"/>
    <col min="10504" max="10504" width="15.140625" style="53" customWidth="1"/>
    <col min="10505" max="10506" width="1" style="53" customWidth="1"/>
    <col min="10507" max="10511" width="0" style="53" hidden="1" customWidth="1"/>
    <col min="10512" max="10513" width="1" style="53" customWidth="1"/>
    <col min="10514" max="10514" width="17.85546875" style="53" customWidth="1"/>
    <col min="10515" max="10516" width="1" style="53" customWidth="1"/>
    <col min="10517" max="10566" width="0" style="53" hidden="1" customWidth="1"/>
    <col min="10567" max="10568" width="1" style="53" customWidth="1"/>
    <col min="10569" max="10569" width="16.5703125" style="53" customWidth="1"/>
    <col min="10570" max="10573" width="1" style="53" customWidth="1"/>
    <col min="10574" max="10574" width="14.7109375" style="53" customWidth="1"/>
    <col min="10575" max="10576" width="1" style="53" customWidth="1"/>
    <col min="10577" max="10581" width="0" style="53" hidden="1" customWidth="1"/>
    <col min="10582" max="10583" width="1" style="53" customWidth="1"/>
    <col min="10584" max="10584" width="17.85546875" style="53" customWidth="1"/>
    <col min="10585" max="10586" width="1" style="53" customWidth="1"/>
    <col min="10587" max="10636" width="0" style="53" hidden="1" customWidth="1"/>
    <col min="10637" max="10638" width="1" style="53" customWidth="1"/>
    <col min="10639" max="10639" width="17.85546875" style="53" customWidth="1"/>
    <col min="10640" max="10642" width="1" style="53" customWidth="1"/>
    <col min="10643" max="10643" width="1.85546875" style="53" customWidth="1"/>
    <col min="10644" max="10644" width="11.28515625" style="53" bestFit="1" customWidth="1"/>
    <col min="10645" max="10645" width="10" style="53" customWidth="1"/>
    <col min="10646" max="10646" width="10.42578125" style="53" bestFit="1" customWidth="1"/>
    <col min="10647" max="10647" width="10" style="53" customWidth="1"/>
    <col min="10648" max="10649" width="10" style="53"/>
    <col min="10650" max="10650" width="13.42578125" style="53" bestFit="1" customWidth="1"/>
    <col min="10651" max="10752" width="10" style="53"/>
    <col min="10753" max="10755" width="0" style="53" hidden="1" customWidth="1"/>
    <col min="10756" max="10756" width="64.85546875" style="53" customWidth="1"/>
    <col min="10757" max="10757" width="7" style="53" customWidth="1"/>
    <col min="10758" max="10759" width="1" style="53" customWidth="1"/>
    <col min="10760" max="10760" width="15.140625" style="53" customWidth="1"/>
    <col min="10761" max="10762" width="1" style="53" customWidth="1"/>
    <col min="10763" max="10767" width="0" style="53" hidden="1" customWidth="1"/>
    <col min="10768" max="10769" width="1" style="53" customWidth="1"/>
    <col min="10770" max="10770" width="17.85546875" style="53" customWidth="1"/>
    <col min="10771" max="10772" width="1" style="53" customWidth="1"/>
    <col min="10773" max="10822" width="0" style="53" hidden="1" customWidth="1"/>
    <col min="10823" max="10824" width="1" style="53" customWidth="1"/>
    <col min="10825" max="10825" width="16.5703125" style="53" customWidth="1"/>
    <col min="10826" max="10829" width="1" style="53" customWidth="1"/>
    <col min="10830" max="10830" width="14.7109375" style="53" customWidth="1"/>
    <col min="10831" max="10832" width="1" style="53" customWidth="1"/>
    <col min="10833" max="10837" width="0" style="53" hidden="1" customWidth="1"/>
    <col min="10838" max="10839" width="1" style="53" customWidth="1"/>
    <col min="10840" max="10840" width="17.85546875" style="53" customWidth="1"/>
    <col min="10841" max="10842" width="1" style="53" customWidth="1"/>
    <col min="10843" max="10892" width="0" style="53" hidden="1" customWidth="1"/>
    <col min="10893" max="10894" width="1" style="53" customWidth="1"/>
    <col min="10895" max="10895" width="17.85546875" style="53" customWidth="1"/>
    <col min="10896" max="10898" width="1" style="53" customWidth="1"/>
    <col min="10899" max="10899" width="1.85546875" style="53" customWidth="1"/>
    <col min="10900" max="10900" width="11.28515625" style="53" bestFit="1" customWidth="1"/>
    <col min="10901" max="10901" width="10" style="53" customWidth="1"/>
    <col min="10902" max="10902" width="10.42578125" style="53" bestFit="1" customWidth="1"/>
    <col min="10903" max="10903" width="10" style="53" customWidth="1"/>
    <col min="10904" max="10905" width="10" style="53"/>
    <col min="10906" max="10906" width="13.42578125" style="53" bestFit="1" customWidth="1"/>
    <col min="10907" max="11008" width="10" style="53"/>
    <col min="11009" max="11011" width="0" style="53" hidden="1" customWidth="1"/>
    <col min="11012" max="11012" width="64.85546875" style="53" customWidth="1"/>
    <col min="11013" max="11013" width="7" style="53" customWidth="1"/>
    <col min="11014" max="11015" width="1" style="53" customWidth="1"/>
    <col min="11016" max="11016" width="15.140625" style="53" customWidth="1"/>
    <col min="11017" max="11018" width="1" style="53" customWidth="1"/>
    <col min="11019" max="11023" width="0" style="53" hidden="1" customWidth="1"/>
    <col min="11024" max="11025" width="1" style="53" customWidth="1"/>
    <col min="11026" max="11026" width="17.85546875" style="53" customWidth="1"/>
    <col min="11027" max="11028" width="1" style="53" customWidth="1"/>
    <col min="11029" max="11078" width="0" style="53" hidden="1" customWidth="1"/>
    <col min="11079" max="11080" width="1" style="53" customWidth="1"/>
    <col min="11081" max="11081" width="16.5703125" style="53" customWidth="1"/>
    <col min="11082" max="11085" width="1" style="53" customWidth="1"/>
    <col min="11086" max="11086" width="14.7109375" style="53" customWidth="1"/>
    <col min="11087" max="11088" width="1" style="53" customWidth="1"/>
    <col min="11089" max="11093" width="0" style="53" hidden="1" customWidth="1"/>
    <col min="11094" max="11095" width="1" style="53" customWidth="1"/>
    <col min="11096" max="11096" width="17.85546875" style="53" customWidth="1"/>
    <col min="11097" max="11098" width="1" style="53" customWidth="1"/>
    <col min="11099" max="11148" width="0" style="53" hidden="1" customWidth="1"/>
    <col min="11149" max="11150" width="1" style="53" customWidth="1"/>
    <col min="11151" max="11151" width="17.85546875" style="53" customWidth="1"/>
    <col min="11152" max="11154" width="1" style="53" customWidth="1"/>
    <col min="11155" max="11155" width="1.85546875" style="53" customWidth="1"/>
    <col min="11156" max="11156" width="11.28515625" style="53" bestFit="1" customWidth="1"/>
    <col min="11157" max="11157" width="10" style="53" customWidth="1"/>
    <col min="11158" max="11158" width="10.42578125" style="53" bestFit="1" customWidth="1"/>
    <col min="11159" max="11159" width="10" style="53" customWidth="1"/>
    <col min="11160" max="11161" width="10" style="53"/>
    <col min="11162" max="11162" width="13.42578125" style="53" bestFit="1" customWidth="1"/>
    <col min="11163" max="11264" width="10" style="53"/>
    <col min="11265" max="11267" width="0" style="53" hidden="1" customWidth="1"/>
    <col min="11268" max="11268" width="64.85546875" style="53" customWidth="1"/>
    <col min="11269" max="11269" width="7" style="53" customWidth="1"/>
    <col min="11270" max="11271" width="1" style="53" customWidth="1"/>
    <col min="11272" max="11272" width="15.140625" style="53" customWidth="1"/>
    <col min="11273" max="11274" width="1" style="53" customWidth="1"/>
    <col min="11275" max="11279" width="0" style="53" hidden="1" customWidth="1"/>
    <col min="11280" max="11281" width="1" style="53" customWidth="1"/>
    <col min="11282" max="11282" width="17.85546875" style="53" customWidth="1"/>
    <col min="11283" max="11284" width="1" style="53" customWidth="1"/>
    <col min="11285" max="11334" width="0" style="53" hidden="1" customWidth="1"/>
    <col min="11335" max="11336" width="1" style="53" customWidth="1"/>
    <col min="11337" max="11337" width="16.5703125" style="53" customWidth="1"/>
    <col min="11338" max="11341" width="1" style="53" customWidth="1"/>
    <col min="11342" max="11342" width="14.7109375" style="53" customWidth="1"/>
    <col min="11343" max="11344" width="1" style="53" customWidth="1"/>
    <col min="11345" max="11349" width="0" style="53" hidden="1" customWidth="1"/>
    <col min="11350" max="11351" width="1" style="53" customWidth="1"/>
    <col min="11352" max="11352" width="17.85546875" style="53" customWidth="1"/>
    <col min="11353" max="11354" width="1" style="53" customWidth="1"/>
    <col min="11355" max="11404" width="0" style="53" hidden="1" customWidth="1"/>
    <col min="11405" max="11406" width="1" style="53" customWidth="1"/>
    <col min="11407" max="11407" width="17.85546875" style="53" customWidth="1"/>
    <col min="11408" max="11410" width="1" style="53" customWidth="1"/>
    <col min="11411" max="11411" width="1.85546875" style="53" customWidth="1"/>
    <col min="11412" max="11412" width="11.28515625" style="53" bestFit="1" customWidth="1"/>
    <col min="11413" max="11413" width="10" style="53" customWidth="1"/>
    <col min="11414" max="11414" width="10.42578125" style="53" bestFit="1" customWidth="1"/>
    <col min="11415" max="11415" width="10" style="53" customWidth="1"/>
    <col min="11416" max="11417" width="10" style="53"/>
    <col min="11418" max="11418" width="13.42578125" style="53" bestFit="1" customWidth="1"/>
    <col min="11419" max="11520" width="10" style="53"/>
    <col min="11521" max="11523" width="0" style="53" hidden="1" customWidth="1"/>
    <col min="11524" max="11524" width="64.85546875" style="53" customWidth="1"/>
    <col min="11525" max="11525" width="7" style="53" customWidth="1"/>
    <col min="11526" max="11527" width="1" style="53" customWidth="1"/>
    <col min="11528" max="11528" width="15.140625" style="53" customWidth="1"/>
    <col min="11529" max="11530" width="1" style="53" customWidth="1"/>
    <col min="11531" max="11535" width="0" style="53" hidden="1" customWidth="1"/>
    <col min="11536" max="11537" width="1" style="53" customWidth="1"/>
    <col min="11538" max="11538" width="17.85546875" style="53" customWidth="1"/>
    <col min="11539" max="11540" width="1" style="53" customWidth="1"/>
    <col min="11541" max="11590" width="0" style="53" hidden="1" customWidth="1"/>
    <col min="11591" max="11592" width="1" style="53" customWidth="1"/>
    <col min="11593" max="11593" width="16.5703125" style="53" customWidth="1"/>
    <col min="11594" max="11597" width="1" style="53" customWidth="1"/>
    <col min="11598" max="11598" width="14.7109375" style="53" customWidth="1"/>
    <col min="11599" max="11600" width="1" style="53" customWidth="1"/>
    <col min="11601" max="11605" width="0" style="53" hidden="1" customWidth="1"/>
    <col min="11606" max="11607" width="1" style="53" customWidth="1"/>
    <col min="11608" max="11608" width="17.85546875" style="53" customWidth="1"/>
    <col min="11609" max="11610" width="1" style="53" customWidth="1"/>
    <col min="11611" max="11660" width="0" style="53" hidden="1" customWidth="1"/>
    <col min="11661" max="11662" width="1" style="53" customWidth="1"/>
    <col min="11663" max="11663" width="17.85546875" style="53" customWidth="1"/>
    <col min="11664" max="11666" width="1" style="53" customWidth="1"/>
    <col min="11667" max="11667" width="1.85546875" style="53" customWidth="1"/>
    <col min="11668" max="11668" width="11.28515625" style="53" bestFit="1" customWidth="1"/>
    <col min="11669" max="11669" width="10" style="53" customWidth="1"/>
    <col min="11670" max="11670" width="10.42578125" style="53" bestFit="1" customWidth="1"/>
    <col min="11671" max="11671" width="10" style="53" customWidth="1"/>
    <col min="11672" max="11673" width="10" style="53"/>
    <col min="11674" max="11674" width="13.42578125" style="53" bestFit="1" customWidth="1"/>
    <col min="11675" max="11776" width="10" style="53"/>
    <col min="11777" max="11779" width="0" style="53" hidden="1" customWidth="1"/>
    <col min="11780" max="11780" width="64.85546875" style="53" customWidth="1"/>
    <col min="11781" max="11781" width="7" style="53" customWidth="1"/>
    <col min="11782" max="11783" width="1" style="53" customWidth="1"/>
    <col min="11784" max="11784" width="15.140625" style="53" customWidth="1"/>
    <col min="11785" max="11786" width="1" style="53" customWidth="1"/>
    <col min="11787" max="11791" width="0" style="53" hidden="1" customWidth="1"/>
    <col min="11792" max="11793" width="1" style="53" customWidth="1"/>
    <col min="11794" max="11794" width="17.85546875" style="53" customWidth="1"/>
    <col min="11795" max="11796" width="1" style="53" customWidth="1"/>
    <col min="11797" max="11846" width="0" style="53" hidden="1" customWidth="1"/>
    <col min="11847" max="11848" width="1" style="53" customWidth="1"/>
    <col min="11849" max="11849" width="16.5703125" style="53" customWidth="1"/>
    <col min="11850" max="11853" width="1" style="53" customWidth="1"/>
    <col min="11854" max="11854" width="14.7109375" style="53" customWidth="1"/>
    <col min="11855" max="11856" width="1" style="53" customWidth="1"/>
    <col min="11857" max="11861" width="0" style="53" hidden="1" customWidth="1"/>
    <col min="11862" max="11863" width="1" style="53" customWidth="1"/>
    <col min="11864" max="11864" width="17.85546875" style="53" customWidth="1"/>
    <col min="11865" max="11866" width="1" style="53" customWidth="1"/>
    <col min="11867" max="11916" width="0" style="53" hidden="1" customWidth="1"/>
    <col min="11917" max="11918" width="1" style="53" customWidth="1"/>
    <col min="11919" max="11919" width="17.85546875" style="53" customWidth="1"/>
    <col min="11920" max="11922" width="1" style="53" customWidth="1"/>
    <col min="11923" max="11923" width="1.85546875" style="53" customWidth="1"/>
    <col min="11924" max="11924" width="11.28515625" style="53" bestFit="1" customWidth="1"/>
    <col min="11925" max="11925" width="10" style="53" customWidth="1"/>
    <col min="11926" max="11926" width="10.42578125" style="53" bestFit="1" customWidth="1"/>
    <col min="11927" max="11927" width="10" style="53" customWidth="1"/>
    <col min="11928" max="11929" width="10" style="53"/>
    <col min="11930" max="11930" width="13.42578125" style="53" bestFit="1" customWidth="1"/>
    <col min="11931" max="12032" width="10" style="53"/>
    <col min="12033" max="12035" width="0" style="53" hidden="1" customWidth="1"/>
    <col min="12036" max="12036" width="64.85546875" style="53" customWidth="1"/>
    <col min="12037" max="12037" width="7" style="53" customWidth="1"/>
    <col min="12038" max="12039" width="1" style="53" customWidth="1"/>
    <col min="12040" max="12040" width="15.140625" style="53" customWidth="1"/>
    <col min="12041" max="12042" width="1" style="53" customWidth="1"/>
    <col min="12043" max="12047" width="0" style="53" hidden="1" customWidth="1"/>
    <col min="12048" max="12049" width="1" style="53" customWidth="1"/>
    <col min="12050" max="12050" width="17.85546875" style="53" customWidth="1"/>
    <col min="12051" max="12052" width="1" style="53" customWidth="1"/>
    <col min="12053" max="12102" width="0" style="53" hidden="1" customWidth="1"/>
    <col min="12103" max="12104" width="1" style="53" customWidth="1"/>
    <col min="12105" max="12105" width="16.5703125" style="53" customWidth="1"/>
    <col min="12106" max="12109" width="1" style="53" customWidth="1"/>
    <col min="12110" max="12110" width="14.7109375" style="53" customWidth="1"/>
    <col min="12111" max="12112" width="1" style="53" customWidth="1"/>
    <col min="12113" max="12117" width="0" style="53" hidden="1" customWidth="1"/>
    <col min="12118" max="12119" width="1" style="53" customWidth="1"/>
    <col min="12120" max="12120" width="17.85546875" style="53" customWidth="1"/>
    <col min="12121" max="12122" width="1" style="53" customWidth="1"/>
    <col min="12123" max="12172" width="0" style="53" hidden="1" customWidth="1"/>
    <col min="12173" max="12174" width="1" style="53" customWidth="1"/>
    <col min="12175" max="12175" width="17.85546875" style="53" customWidth="1"/>
    <col min="12176" max="12178" width="1" style="53" customWidth="1"/>
    <col min="12179" max="12179" width="1.85546875" style="53" customWidth="1"/>
    <col min="12180" max="12180" width="11.28515625" style="53" bestFit="1" customWidth="1"/>
    <col min="12181" max="12181" width="10" style="53" customWidth="1"/>
    <col min="12182" max="12182" width="10.42578125" style="53" bestFit="1" customWidth="1"/>
    <col min="12183" max="12183" width="10" style="53" customWidth="1"/>
    <col min="12184" max="12185" width="10" style="53"/>
    <col min="12186" max="12186" width="13.42578125" style="53" bestFit="1" customWidth="1"/>
    <col min="12187" max="12288" width="10" style="53"/>
    <col min="12289" max="12291" width="0" style="53" hidden="1" customWidth="1"/>
    <col min="12292" max="12292" width="64.85546875" style="53" customWidth="1"/>
    <col min="12293" max="12293" width="7" style="53" customWidth="1"/>
    <col min="12294" max="12295" width="1" style="53" customWidth="1"/>
    <col min="12296" max="12296" width="15.140625" style="53" customWidth="1"/>
    <col min="12297" max="12298" width="1" style="53" customWidth="1"/>
    <col min="12299" max="12303" width="0" style="53" hidden="1" customWidth="1"/>
    <col min="12304" max="12305" width="1" style="53" customWidth="1"/>
    <col min="12306" max="12306" width="17.85546875" style="53" customWidth="1"/>
    <col min="12307" max="12308" width="1" style="53" customWidth="1"/>
    <col min="12309" max="12358" width="0" style="53" hidden="1" customWidth="1"/>
    <col min="12359" max="12360" width="1" style="53" customWidth="1"/>
    <col min="12361" max="12361" width="16.5703125" style="53" customWidth="1"/>
    <col min="12362" max="12365" width="1" style="53" customWidth="1"/>
    <col min="12366" max="12366" width="14.7109375" style="53" customWidth="1"/>
    <col min="12367" max="12368" width="1" style="53" customWidth="1"/>
    <col min="12369" max="12373" width="0" style="53" hidden="1" customWidth="1"/>
    <col min="12374" max="12375" width="1" style="53" customWidth="1"/>
    <col min="12376" max="12376" width="17.85546875" style="53" customWidth="1"/>
    <col min="12377" max="12378" width="1" style="53" customWidth="1"/>
    <col min="12379" max="12428" width="0" style="53" hidden="1" customWidth="1"/>
    <col min="12429" max="12430" width="1" style="53" customWidth="1"/>
    <col min="12431" max="12431" width="17.85546875" style="53" customWidth="1"/>
    <col min="12432" max="12434" width="1" style="53" customWidth="1"/>
    <col min="12435" max="12435" width="1.85546875" style="53" customWidth="1"/>
    <col min="12436" max="12436" width="11.28515625" style="53" bestFit="1" customWidth="1"/>
    <col min="12437" max="12437" width="10" style="53" customWidth="1"/>
    <col min="12438" max="12438" width="10.42578125" style="53" bestFit="1" customWidth="1"/>
    <col min="12439" max="12439" width="10" style="53" customWidth="1"/>
    <col min="12440" max="12441" width="10" style="53"/>
    <col min="12442" max="12442" width="13.42578125" style="53" bestFit="1" customWidth="1"/>
    <col min="12443" max="12544" width="10" style="53"/>
    <col min="12545" max="12547" width="0" style="53" hidden="1" customWidth="1"/>
    <col min="12548" max="12548" width="64.85546875" style="53" customWidth="1"/>
    <col min="12549" max="12549" width="7" style="53" customWidth="1"/>
    <col min="12550" max="12551" width="1" style="53" customWidth="1"/>
    <col min="12552" max="12552" width="15.140625" style="53" customWidth="1"/>
    <col min="12553" max="12554" width="1" style="53" customWidth="1"/>
    <col min="12555" max="12559" width="0" style="53" hidden="1" customWidth="1"/>
    <col min="12560" max="12561" width="1" style="53" customWidth="1"/>
    <col min="12562" max="12562" width="17.85546875" style="53" customWidth="1"/>
    <col min="12563" max="12564" width="1" style="53" customWidth="1"/>
    <col min="12565" max="12614" width="0" style="53" hidden="1" customWidth="1"/>
    <col min="12615" max="12616" width="1" style="53" customWidth="1"/>
    <col min="12617" max="12617" width="16.5703125" style="53" customWidth="1"/>
    <col min="12618" max="12621" width="1" style="53" customWidth="1"/>
    <col min="12622" max="12622" width="14.7109375" style="53" customWidth="1"/>
    <col min="12623" max="12624" width="1" style="53" customWidth="1"/>
    <col min="12625" max="12629" width="0" style="53" hidden="1" customWidth="1"/>
    <col min="12630" max="12631" width="1" style="53" customWidth="1"/>
    <col min="12632" max="12632" width="17.85546875" style="53" customWidth="1"/>
    <col min="12633" max="12634" width="1" style="53" customWidth="1"/>
    <col min="12635" max="12684" width="0" style="53" hidden="1" customWidth="1"/>
    <col min="12685" max="12686" width="1" style="53" customWidth="1"/>
    <col min="12687" max="12687" width="17.85546875" style="53" customWidth="1"/>
    <col min="12688" max="12690" width="1" style="53" customWidth="1"/>
    <col min="12691" max="12691" width="1.85546875" style="53" customWidth="1"/>
    <col min="12692" max="12692" width="11.28515625" style="53" bestFit="1" customWidth="1"/>
    <col min="12693" max="12693" width="10" style="53" customWidth="1"/>
    <col min="12694" max="12694" width="10.42578125" style="53" bestFit="1" customWidth="1"/>
    <col min="12695" max="12695" width="10" style="53" customWidth="1"/>
    <col min="12696" max="12697" width="10" style="53"/>
    <col min="12698" max="12698" width="13.42578125" style="53" bestFit="1" customWidth="1"/>
    <col min="12699" max="12800" width="10" style="53"/>
    <col min="12801" max="12803" width="0" style="53" hidden="1" customWidth="1"/>
    <col min="12804" max="12804" width="64.85546875" style="53" customWidth="1"/>
    <col min="12805" max="12805" width="7" style="53" customWidth="1"/>
    <col min="12806" max="12807" width="1" style="53" customWidth="1"/>
    <col min="12808" max="12808" width="15.140625" style="53" customWidth="1"/>
    <col min="12809" max="12810" width="1" style="53" customWidth="1"/>
    <col min="12811" max="12815" width="0" style="53" hidden="1" customWidth="1"/>
    <col min="12816" max="12817" width="1" style="53" customWidth="1"/>
    <col min="12818" max="12818" width="17.85546875" style="53" customWidth="1"/>
    <col min="12819" max="12820" width="1" style="53" customWidth="1"/>
    <col min="12821" max="12870" width="0" style="53" hidden="1" customWidth="1"/>
    <col min="12871" max="12872" width="1" style="53" customWidth="1"/>
    <col min="12873" max="12873" width="16.5703125" style="53" customWidth="1"/>
    <col min="12874" max="12877" width="1" style="53" customWidth="1"/>
    <col min="12878" max="12878" width="14.7109375" style="53" customWidth="1"/>
    <col min="12879" max="12880" width="1" style="53" customWidth="1"/>
    <col min="12881" max="12885" width="0" style="53" hidden="1" customWidth="1"/>
    <col min="12886" max="12887" width="1" style="53" customWidth="1"/>
    <col min="12888" max="12888" width="17.85546875" style="53" customWidth="1"/>
    <col min="12889" max="12890" width="1" style="53" customWidth="1"/>
    <col min="12891" max="12940" width="0" style="53" hidden="1" customWidth="1"/>
    <col min="12941" max="12942" width="1" style="53" customWidth="1"/>
    <col min="12943" max="12943" width="17.85546875" style="53" customWidth="1"/>
    <col min="12944" max="12946" width="1" style="53" customWidth="1"/>
    <col min="12947" max="12947" width="1.85546875" style="53" customWidth="1"/>
    <col min="12948" max="12948" width="11.28515625" style="53" bestFit="1" customWidth="1"/>
    <col min="12949" max="12949" width="10" style="53" customWidth="1"/>
    <col min="12950" max="12950" width="10.42578125" style="53" bestFit="1" customWidth="1"/>
    <col min="12951" max="12951" width="10" style="53" customWidth="1"/>
    <col min="12952" max="12953" width="10" style="53"/>
    <col min="12954" max="12954" width="13.42578125" style="53" bestFit="1" customWidth="1"/>
    <col min="12955" max="13056" width="10" style="53"/>
    <col min="13057" max="13059" width="0" style="53" hidden="1" customWidth="1"/>
    <col min="13060" max="13060" width="64.85546875" style="53" customWidth="1"/>
    <col min="13061" max="13061" width="7" style="53" customWidth="1"/>
    <col min="13062" max="13063" width="1" style="53" customWidth="1"/>
    <col min="13064" max="13064" width="15.140625" style="53" customWidth="1"/>
    <col min="13065" max="13066" width="1" style="53" customWidth="1"/>
    <col min="13067" max="13071" width="0" style="53" hidden="1" customWidth="1"/>
    <col min="13072" max="13073" width="1" style="53" customWidth="1"/>
    <col min="13074" max="13074" width="17.85546875" style="53" customWidth="1"/>
    <col min="13075" max="13076" width="1" style="53" customWidth="1"/>
    <col min="13077" max="13126" width="0" style="53" hidden="1" customWidth="1"/>
    <col min="13127" max="13128" width="1" style="53" customWidth="1"/>
    <col min="13129" max="13129" width="16.5703125" style="53" customWidth="1"/>
    <col min="13130" max="13133" width="1" style="53" customWidth="1"/>
    <col min="13134" max="13134" width="14.7109375" style="53" customWidth="1"/>
    <col min="13135" max="13136" width="1" style="53" customWidth="1"/>
    <col min="13137" max="13141" width="0" style="53" hidden="1" customWidth="1"/>
    <col min="13142" max="13143" width="1" style="53" customWidth="1"/>
    <col min="13144" max="13144" width="17.85546875" style="53" customWidth="1"/>
    <col min="13145" max="13146" width="1" style="53" customWidth="1"/>
    <col min="13147" max="13196" width="0" style="53" hidden="1" customWidth="1"/>
    <col min="13197" max="13198" width="1" style="53" customWidth="1"/>
    <col min="13199" max="13199" width="17.85546875" style="53" customWidth="1"/>
    <col min="13200" max="13202" width="1" style="53" customWidth="1"/>
    <col min="13203" max="13203" width="1.85546875" style="53" customWidth="1"/>
    <col min="13204" max="13204" width="11.28515625" style="53" bestFit="1" customWidth="1"/>
    <col min="13205" max="13205" width="10" style="53" customWidth="1"/>
    <col min="13206" max="13206" width="10.42578125" style="53" bestFit="1" customWidth="1"/>
    <col min="13207" max="13207" width="10" style="53" customWidth="1"/>
    <col min="13208" max="13209" width="10" style="53"/>
    <col min="13210" max="13210" width="13.42578125" style="53" bestFit="1" customWidth="1"/>
    <col min="13211" max="13312" width="10" style="53"/>
    <col min="13313" max="13315" width="0" style="53" hidden="1" customWidth="1"/>
    <col min="13316" max="13316" width="64.85546875" style="53" customWidth="1"/>
    <col min="13317" max="13317" width="7" style="53" customWidth="1"/>
    <col min="13318" max="13319" width="1" style="53" customWidth="1"/>
    <col min="13320" max="13320" width="15.140625" style="53" customWidth="1"/>
    <col min="13321" max="13322" width="1" style="53" customWidth="1"/>
    <col min="13323" max="13327" width="0" style="53" hidden="1" customWidth="1"/>
    <col min="13328" max="13329" width="1" style="53" customWidth="1"/>
    <col min="13330" max="13330" width="17.85546875" style="53" customWidth="1"/>
    <col min="13331" max="13332" width="1" style="53" customWidth="1"/>
    <col min="13333" max="13382" width="0" style="53" hidden="1" customWidth="1"/>
    <col min="13383" max="13384" width="1" style="53" customWidth="1"/>
    <col min="13385" max="13385" width="16.5703125" style="53" customWidth="1"/>
    <col min="13386" max="13389" width="1" style="53" customWidth="1"/>
    <col min="13390" max="13390" width="14.7109375" style="53" customWidth="1"/>
    <col min="13391" max="13392" width="1" style="53" customWidth="1"/>
    <col min="13393" max="13397" width="0" style="53" hidden="1" customWidth="1"/>
    <col min="13398" max="13399" width="1" style="53" customWidth="1"/>
    <col min="13400" max="13400" width="17.85546875" style="53" customWidth="1"/>
    <col min="13401" max="13402" width="1" style="53" customWidth="1"/>
    <col min="13403" max="13452" width="0" style="53" hidden="1" customWidth="1"/>
    <col min="13453" max="13454" width="1" style="53" customWidth="1"/>
    <col min="13455" max="13455" width="17.85546875" style="53" customWidth="1"/>
    <col min="13456" max="13458" width="1" style="53" customWidth="1"/>
    <col min="13459" max="13459" width="1.85546875" style="53" customWidth="1"/>
    <col min="13460" max="13460" width="11.28515625" style="53" bestFit="1" customWidth="1"/>
    <col min="13461" max="13461" width="10" style="53" customWidth="1"/>
    <col min="13462" max="13462" width="10.42578125" style="53" bestFit="1" customWidth="1"/>
    <col min="13463" max="13463" width="10" style="53" customWidth="1"/>
    <col min="13464" max="13465" width="10" style="53"/>
    <col min="13466" max="13466" width="13.42578125" style="53" bestFit="1" customWidth="1"/>
    <col min="13467" max="13568" width="10" style="53"/>
    <col min="13569" max="13571" width="0" style="53" hidden="1" customWidth="1"/>
    <col min="13572" max="13572" width="64.85546875" style="53" customWidth="1"/>
    <col min="13573" max="13573" width="7" style="53" customWidth="1"/>
    <col min="13574" max="13575" width="1" style="53" customWidth="1"/>
    <col min="13576" max="13576" width="15.140625" style="53" customWidth="1"/>
    <col min="13577" max="13578" width="1" style="53" customWidth="1"/>
    <col min="13579" max="13583" width="0" style="53" hidden="1" customWidth="1"/>
    <col min="13584" max="13585" width="1" style="53" customWidth="1"/>
    <col min="13586" max="13586" width="17.85546875" style="53" customWidth="1"/>
    <col min="13587" max="13588" width="1" style="53" customWidth="1"/>
    <col min="13589" max="13638" width="0" style="53" hidden="1" customWidth="1"/>
    <col min="13639" max="13640" width="1" style="53" customWidth="1"/>
    <col min="13641" max="13641" width="16.5703125" style="53" customWidth="1"/>
    <col min="13642" max="13645" width="1" style="53" customWidth="1"/>
    <col min="13646" max="13646" width="14.7109375" style="53" customWidth="1"/>
    <col min="13647" max="13648" width="1" style="53" customWidth="1"/>
    <col min="13649" max="13653" width="0" style="53" hidden="1" customWidth="1"/>
    <col min="13654" max="13655" width="1" style="53" customWidth="1"/>
    <col min="13656" max="13656" width="17.85546875" style="53" customWidth="1"/>
    <col min="13657" max="13658" width="1" style="53" customWidth="1"/>
    <col min="13659" max="13708" width="0" style="53" hidden="1" customWidth="1"/>
    <col min="13709" max="13710" width="1" style="53" customWidth="1"/>
    <col min="13711" max="13711" width="17.85546875" style="53" customWidth="1"/>
    <col min="13712" max="13714" width="1" style="53" customWidth="1"/>
    <col min="13715" max="13715" width="1.85546875" style="53" customWidth="1"/>
    <col min="13716" max="13716" width="11.28515625" style="53" bestFit="1" customWidth="1"/>
    <col min="13717" max="13717" width="10" style="53" customWidth="1"/>
    <col min="13718" max="13718" width="10.42578125" style="53" bestFit="1" customWidth="1"/>
    <col min="13719" max="13719" width="10" style="53" customWidth="1"/>
    <col min="13720" max="13721" width="10" style="53"/>
    <col min="13722" max="13722" width="13.42578125" style="53" bestFit="1" customWidth="1"/>
    <col min="13723" max="13824" width="10" style="53"/>
    <col min="13825" max="13827" width="0" style="53" hidden="1" customWidth="1"/>
    <col min="13828" max="13828" width="64.85546875" style="53" customWidth="1"/>
    <col min="13829" max="13829" width="7" style="53" customWidth="1"/>
    <col min="13830" max="13831" width="1" style="53" customWidth="1"/>
    <col min="13832" max="13832" width="15.140625" style="53" customWidth="1"/>
    <col min="13833" max="13834" width="1" style="53" customWidth="1"/>
    <col min="13835" max="13839" width="0" style="53" hidden="1" customWidth="1"/>
    <col min="13840" max="13841" width="1" style="53" customWidth="1"/>
    <col min="13842" max="13842" width="17.85546875" style="53" customWidth="1"/>
    <col min="13843" max="13844" width="1" style="53" customWidth="1"/>
    <col min="13845" max="13894" width="0" style="53" hidden="1" customWidth="1"/>
    <col min="13895" max="13896" width="1" style="53" customWidth="1"/>
    <col min="13897" max="13897" width="16.5703125" style="53" customWidth="1"/>
    <col min="13898" max="13901" width="1" style="53" customWidth="1"/>
    <col min="13902" max="13902" width="14.7109375" style="53" customWidth="1"/>
    <col min="13903" max="13904" width="1" style="53" customWidth="1"/>
    <col min="13905" max="13909" width="0" style="53" hidden="1" customWidth="1"/>
    <col min="13910" max="13911" width="1" style="53" customWidth="1"/>
    <col min="13912" max="13912" width="17.85546875" style="53" customWidth="1"/>
    <col min="13913" max="13914" width="1" style="53" customWidth="1"/>
    <col min="13915" max="13964" width="0" style="53" hidden="1" customWidth="1"/>
    <col min="13965" max="13966" width="1" style="53" customWidth="1"/>
    <col min="13967" max="13967" width="17.85546875" style="53" customWidth="1"/>
    <col min="13968" max="13970" width="1" style="53" customWidth="1"/>
    <col min="13971" max="13971" width="1.85546875" style="53" customWidth="1"/>
    <col min="13972" max="13972" width="11.28515625" style="53" bestFit="1" customWidth="1"/>
    <col min="13973" max="13973" width="10" style="53" customWidth="1"/>
    <col min="13974" max="13974" width="10.42578125" style="53" bestFit="1" customWidth="1"/>
    <col min="13975" max="13975" width="10" style="53" customWidth="1"/>
    <col min="13976" max="13977" width="10" style="53"/>
    <col min="13978" max="13978" width="13.42578125" style="53" bestFit="1" customWidth="1"/>
    <col min="13979" max="14080" width="10" style="53"/>
    <col min="14081" max="14083" width="0" style="53" hidden="1" customWidth="1"/>
    <col min="14084" max="14084" width="64.85546875" style="53" customWidth="1"/>
    <col min="14085" max="14085" width="7" style="53" customWidth="1"/>
    <col min="14086" max="14087" width="1" style="53" customWidth="1"/>
    <col min="14088" max="14088" width="15.140625" style="53" customWidth="1"/>
    <col min="14089" max="14090" width="1" style="53" customWidth="1"/>
    <col min="14091" max="14095" width="0" style="53" hidden="1" customWidth="1"/>
    <col min="14096" max="14097" width="1" style="53" customWidth="1"/>
    <col min="14098" max="14098" width="17.85546875" style="53" customWidth="1"/>
    <col min="14099" max="14100" width="1" style="53" customWidth="1"/>
    <col min="14101" max="14150" width="0" style="53" hidden="1" customWidth="1"/>
    <col min="14151" max="14152" width="1" style="53" customWidth="1"/>
    <col min="14153" max="14153" width="16.5703125" style="53" customWidth="1"/>
    <col min="14154" max="14157" width="1" style="53" customWidth="1"/>
    <col min="14158" max="14158" width="14.7109375" style="53" customWidth="1"/>
    <col min="14159" max="14160" width="1" style="53" customWidth="1"/>
    <col min="14161" max="14165" width="0" style="53" hidden="1" customWidth="1"/>
    <col min="14166" max="14167" width="1" style="53" customWidth="1"/>
    <col min="14168" max="14168" width="17.85546875" style="53" customWidth="1"/>
    <col min="14169" max="14170" width="1" style="53" customWidth="1"/>
    <col min="14171" max="14220" width="0" style="53" hidden="1" customWidth="1"/>
    <col min="14221" max="14222" width="1" style="53" customWidth="1"/>
    <col min="14223" max="14223" width="17.85546875" style="53" customWidth="1"/>
    <col min="14224" max="14226" width="1" style="53" customWidth="1"/>
    <col min="14227" max="14227" width="1.85546875" style="53" customWidth="1"/>
    <col min="14228" max="14228" width="11.28515625" style="53" bestFit="1" customWidth="1"/>
    <col min="14229" max="14229" width="10" style="53" customWidth="1"/>
    <col min="14230" max="14230" width="10.42578125" style="53" bestFit="1" customWidth="1"/>
    <col min="14231" max="14231" width="10" style="53" customWidth="1"/>
    <col min="14232" max="14233" width="10" style="53"/>
    <col min="14234" max="14234" width="13.42578125" style="53" bestFit="1" customWidth="1"/>
    <col min="14235" max="14336" width="10" style="53"/>
    <col min="14337" max="14339" width="0" style="53" hidden="1" customWidth="1"/>
    <col min="14340" max="14340" width="64.85546875" style="53" customWidth="1"/>
    <col min="14341" max="14341" width="7" style="53" customWidth="1"/>
    <col min="14342" max="14343" width="1" style="53" customWidth="1"/>
    <col min="14344" max="14344" width="15.140625" style="53" customWidth="1"/>
    <col min="14345" max="14346" width="1" style="53" customWidth="1"/>
    <col min="14347" max="14351" width="0" style="53" hidden="1" customWidth="1"/>
    <col min="14352" max="14353" width="1" style="53" customWidth="1"/>
    <col min="14354" max="14354" width="17.85546875" style="53" customWidth="1"/>
    <col min="14355" max="14356" width="1" style="53" customWidth="1"/>
    <col min="14357" max="14406" width="0" style="53" hidden="1" customWidth="1"/>
    <col min="14407" max="14408" width="1" style="53" customWidth="1"/>
    <col min="14409" max="14409" width="16.5703125" style="53" customWidth="1"/>
    <col min="14410" max="14413" width="1" style="53" customWidth="1"/>
    <col min="14414" max="14414" width="14.7109375" style="53" customWidth="1"/>
    <col min="14415" max="14416" width="1" style="53" customWidth="1"/>
    <col min="14417" max="14421" width="0" style="53" hidden="1" customWidth="1"/>
    <col min="14422" max="14423" width="1" style="53" customWidth="1"/>
    <col min="14424" max="14424" width="17.85546875" style="53" customWidth="1"/>
    <col min="14425" max="14426" width="1" style="53" customWidth="1"/>
    <col min="14427" max="14476" width="0" style="53" hidden="1" customWidth="1"/>
    <col min="14477" max="14478" width="1" style="53" customWidth="1"/>
    <col min="14479" max="14479" width="17.85546875" style="53" customWidth="1"/>
    <col min="14480" max="14482" width="1" style="53" customWidth="1"/>
    <col min="14483" max="14483" width="1.85546875" style="53" customWidth="1"/>
    <col min="14484" max="14484" width="11.28515625" style="53" bestFit="1" customWidth="1"/>
    <col min="14485" max="14485" width="10" style="53" customWidth="1"/>
    <col min="14486" max="14486" width="10.42578125" style="53" bestFit="1" customWidth="1"/>
    <col min="14487" max="14487" width="10" style="53" customWidth="1"/>
    <col min="14488" max="14489" width="10" style="53"/>
    <col min="14490" max="14490" width="13.42578125" style="53" bestFit="1" customWidth="1"/>
    <col min="14491" max="14592" width="10" style="53"/>
    <col min="14593" max="14595" width="0" style="53" hidden="1" customWidth="1"/>
    <col min="14596" max="14596" width="64.85546875" style="53" customWidth="1"/>
    <col min="14597" max="14597" width="7" style="53" customWidth="1"/>
    <col min="14598" max="14599" width="1" style="53" customWidth="1"/>
    <col min="14600" max="14600" width="15.140625" style="53" customWidth="1"/>
    <col min="14601" max="14602" width="1" style="53" customWidth="1"/>
    <col min="14603" max="14607" width="0" style="53" hidden="1" customWidth="1"/>
    <col min="14608" max="14609" width="1" style="53" customWidth="1"/>
    <col min="14610" max="14610" width="17.85546875" style="53" customWidth="1"/>
    <col min="14611" max="14612" width="1" style="53" customWidth="1"/>
    <col min="14613" max="14662" width="0" style="53" hidden="1" customWidth="1"/>
    <col min="14663" max="14664" width="1" style="53" customWidth="1"/>
    <col min="14665" max="14665" width="16.5703125" style="53" customWidth="1"/>
    <col min="14666" max="14669" width="1" style="53" customWidth="1"/>
    <col min="14670" max="14670" width="14.7109375" style="53" customWidth="1"/>
    <col min="14671" max="14672" width="1" style="53" customWidth="1"/>
    <col min="14673" max="14677" width="0" style="53" hidden="1" customWidth="1"/>
    <col min="14678" max="14679" width="1" style="53" customWidth="1"/>
    <col min="14680" max="14680" width="17.85546875" style="53" customWidth="1"/>
    <col min="14681" max="14682" width="1" style="53" customWidth="1"/>
    <col min="14683" max="14732" width="0" style="53" hidden="1" customWidth="1"/>
    <col min="14733" max="14734" width="1" style="53" customWidth="1"/>
    <col min="14735" max="14735" width="17.85546875" style="53" customWidth="1"/>
    <col min="14736" max="14738" width="1" style="53" customWidth="1"/>
    <col min="14739" max="14739" width="1.85546875" style="53" customWidth="1"/>
    <col min="14740" max="14740" width="11.28515625" style="53" bestFit="1" customWidth="1"/>
    <col min="14741" max="14741" width="10" style="53" customWidth="1"/>
    <col min="14742" max="14742" width="10.42578125" style="53" bestFit="1" customWidth="1"/>
    <col min="14743" max="14743" width="10" style="53" customWidth="1"/>
    <col min="14744" max="14745" width="10" style="53"/>
    <col min="14746" max="14746" width="13.42578125" style="53" bestFit="1" customWidth="1"/>
    <col min="14747" max="14848" width="10" style="53"/>
    <col min="14849" max="14851" width="0" style="53" hidden="1" customWidth="1"/>
    <col min="14852" max="14852" width="64.85546875" style="53" customWidth="1"/>
    <col min="14853" max="14853" width="7" style="53" customWidth="1"/>
    <col min="14854" max="14855" width="1" style="53" customWidth="1"/>
    <col min="14856" max="14856" width="15.140625" style="53" customWidth="1"/>
    <col min="14857" max="14858" width="1" style="53" customWidth="1"/>
    <col min="14859" max="14863" width="0" style="53" hidden="1" customWidth="1"/>
    <col min="14864" max="14865" width="1" style="53" customWidth="1"/>
    <col min="14866" max="14866" width="17.85546875" style="53" customWidth="1"/>
    <col min="14867" max="14868" width="1" style="53" customWidth="1"/>
    <col min="14869" max="14918" width="0" style="53" hidden="1" customWidth="1"/>
    <col min="14919" max="14920" width="1" style="53" customWidth="1"/>
    <col min="14921" max="14921" width="16.5703125" style="53" customWidth="1"/>
    <col min="14922" max="14925" width="1" style="53" customWidth="1"/>
    <col min="14926" max="14926" width="14.7109375" style="53" customWidth="1"/>
    <col min="14927" max="14928" width="1" style="53" customWidth="1"/>
    <col min="14929" max="14933" width="0" style="53" hidden="1" customWidth="1"/>
    <col min="14934" max="14935" width="1" style="53" customWidth="1"/>
    <col min="14936" max="14936" width="17.85546875" style="53" customWidth="1"/>
    <col min="14937" max="14938" width="1" style="53" customWidth="1"/>
    <col min="14939" max="14988" width="0" style="53" hidden="1" customWidth="1"/>
    <col min="14989" max="14990" width="1" style="53" customWidth="1"/>
    <col min="14991" max="14991" width="17.85546875" style="53" customWidth="1"/>
    <col min="14992" max="14994" width="1" style="53" customWidth="1"/>
    <col min="14995" max="14995" width="1.85546875" style="53" customWidth="1"/>
    <col min="14996" max="14996" width="11.28515625" style="53" bestFit="1" customWidth="1"/>
    <col min="14997" max="14997" width="10" style="53" customWidth="1"/>
    <col min="14998" max="14998" width="10.42578125" style="53" bestFit="1" customWidth="1"/>
    <col min="14999" max="14999" width="10" style="53" customWidth="1"/>
    <col min="15000" max="15001" width="10" style="53"/>
    <col min="15002" max="15002" width="13.42578125" style="53" bestFit="1" customWidth="1"/>
    <col min="15003" max="15104" width="10" style="53"/>
    <col min="15105" max="15107" width="0" style="53" hidden="1" customWidth="1"/>
    <col min="15108" max="15108" width="64.85546875" style="53" customWidth="1"/>
    <col min="15109" max="15109" width="7" style="53" customWidth="1"/>
    <col min="15110" max="15111" width="1" style="53" customWidth="1"/>
    <col min="15112" max="15112" width="15.140625" style="53" customWidth="1"/>
    <col min="15113" max="15114" width="1" style="53" customWidth="1"/>
    <col min="15115" max="15119" width="0" style="53" hidden="1" customWidth="1"/>
    <col min="15120" max="15121" width="1" style="53" customWidth="1"/>
    <col min="15122" max="15122" width="17.85546875" style="53" customWidth="1"/>
    <col min="15123" max="15124" width="1" style="53" customWidth="1"/>
    <col min="15125" max="15174" width="0" style="53" hidden="1" customWidth="1"/>
    <col min="15175" max="15176" width="1" style="53" customWidth="1"/>
    <col min="15177" max="15177" width="16.5703125" style="53" customWidth="1"/>
    <col min="15178" max="15181" width="1" style="53" customWidth="1"/>
    <col min="15182" max="15182" width="14.7109375" style="53" customWidth="1"/>
    <col min="15183" max="15184" width="1" style="53" customWidth="1"/>
    <col min="15185" max="15189" width="0" style="53" hidden="1" customWidth="1"/>
    <col min="15190" max="15191" width="1" style="53" customWidth="1"/>
    <col min="15192" max="15192" width="17.85546875" style="53" customWidth="1"/>
    <col min="15193" max="15194" width="1" style="53" customWidth="1"/>
    <col min="15195" max="15244" width="0" style="53" hidden="1" customWidth="1"/>
    <col min="15245" max="15246" width="1" style="53" customWidth="1"/>
    <col min="15247" max="15247" width="17.85546875" style="53" customWidth="1"/>
    <col min="15248" max="15250" width="1" style="53" customWidth="1"/>
    <col min="15251" max="15251" width="1.85546875" style="53" customWidth="1"/>
    <col min="15252" max="15252" width="11.28515625" style="53" bestFit="1" customWidth="1"/>
    <col min="15253" max="15253" width="10" style="53" customWidth="1"/>
    <col min="15254" max="15254" width="10.42578125" style="53" bestFit="1" customWidth="1"/>
    <col min="15255" max="15255" width="10" style="53" customWidth="1"/>
    <col min="15256" max="15257" width="10" style="53"/>
    <col min="15258" max="15258" width="13.42578125" style="53" bestFit="1" customWidth="1"/>
    <col min="15259" max="15360" width="10" style="53"/>
    <col min="15361" max="15363" width="0" style="53" hidden="1" customWidth="1"/>
    <col min="15364" max="15364" width="64.85546875" style="53" customWidth="1"/>
    <col min="15365" max="15365" width="7" style="53" customWidth="1"/>
    <col min="15366" max="15367" width="1" style="53" customWidth="1"/>
    <col min="15368" max="15368" width="15.140625" style="53" customWidth="1"/>
    <col min="15369" max="15370" width="1" style="53" customWidth="1"/>
    <col min="15371" max="15375" width="0" style="53" hidden="1" customWidth="1"/>
    <col min="15376" max="15377" width="1" style="53" customWidth="1"/>
    <col min="15378" max="15378" width="17.85546875" style="53" customWidth="1"/>
    <col min="15379" max="15380" width="1" style="53" customWidth="1"/>
    <col min="15381" max="15430" width="0" style="53" hidden="1" customWidth="1"/>
    <col min="15431" max="15432" width="1" style="53" customWidth="1"/>
    <col min="15433" max="15433" width="16.5703125" style="53" customWidth="1"/>
    <col min="15434" max="15437" width="1" style="53" customWidth="1"/>
    <col min="15438" max="15438" width="14.7109375" style="53" customWidth="1"/>
    <col min="15439" max="15440" width="1" style="53" customWidth="1"/>
    <col min="15441" max="15445" width="0" style="53" hidden="1" customWidth="1"/>
    <col min="15446" max="15447" width="1" style="53" customWidth="1"/>
    <col min="15448" max="15448" width="17.85546875" style="53" customWidth="1"/>
    <col min="15449" max="15450" width="1" style="53" customWidth="1"/>
    <col min="15451" max="15500" width="0" style="53" hidden="1" customWidth="1"/>
    <col min="15501" max="15502" width="1" style="53" customWidth="1"/>
    <col min="15503" max="15503" width="17.85546875" style="53" customWidth="1"/>
    <col min="15504" max="15506" width="1" style="53" customWidth="1"/>
    <col min="15507" max="15507" width="1.85546875" style="53" customWidth="1"/>
    <col min="15508" max="15508" width="11.28515625" style="53" bestFit="1" customWidth="1"/>
    <col min="15509" max="15509" width="10" style="53" customWidth="1"/>
    <col min="15510" max="15510" width="10.42578125" style="53" bestFit="1" customWidth="1"/>
    <col min="15511" max="15511" width="10" style="53" customWidth="1"/>
    <col min="15512" max="15513" width="10" style="53"/>
    <col min="15514" max="15514" width="13.42578125" style="53" bestFit="1" customWidth="1"/>
    <col min="15515" max="15616" width="10" style="53"/>
    <col min="15617" max="15619" width="0" style="53" hidden="1" customWidth="1"/>
    <col min="15620" max="15620" width="64.85546875" style="53" customWidth="1"/>
    <col min="15621" max="15621" width="7" style="53" customWidth="1"/>
    <col min="15622" max="15623" width="1" style="53" customWidth="1"/>
    <col min="15624" max="15624" width="15.140625" style="53" customWidth="1"/>
    <col min="15625" max="15626" width="1" style="53" customWidth="1"/>
    <col min="15627" max="15631" width="0" style="53" hidden="1" customWidth="1"/>
    <col min="15632" max="15633" width="1" style="53" customWidth="1"/>
    <col min="15634" max="15634" width="17.85546875" style="53" customWidth="1"/>
    <col min="15635" max="15636" width="1" style="53" customWidth="1"/>
    <col min="15637" max="15686" width="0" style="53" hidden="1" customWidth="1"/>
    <col min="15687" max="15688" width="1" style="53" customWidth="1"/>
    <col min="15689" max="15689" width="16.5703125" style="53" customWidth="1"/>
    <col min="15690" max="15693" width="1" style="53" customWidth="1"/>
    <col min="15694" max="15694" width="14.7109375" style="53" customWidth="1"/>
    <col min="15695" max="15696" width="1" style="53" customWidth="1"/>
    <col min="15697" max="15701" width="0" style="53" hidden="1" customWidth="1"/>
    <col min="15702" max="15703" width="1" style="53" customWidth="1"/>
    <col min="15704" max="15704" width="17.85546875" style="53" customWidth="1"/>
    <col min="15705" max="15706" width="1" style="53" customWidth="1"/>
    <col min="15707" max="15756" width="0" style="53" hidden="1" customWidth="1"/>
    <col min="15757" max="15758" width="1" style="53" customWidth="1"/>
    <col min="15759" max="15759" width="17.85546875" style="53" customWidth="1"/>
    <col min="15760" max="15762" width="1" style="53" customWidth="1"/>
    <col min="15763" max="15763" width="1.85546875" style="53" customWidth="1"/>
    <col min="15764" max="15764" width="11.28515625" style="53" bestFit="1" customWidth="1"/>
    <col min="15765" max="15765" width="10" style="53" customWidth="1"/>
    <col min="15766" max="15766" width="10.42578125" style="53" bestFit="1" customWidth="1"/>
    <col min="15767" max="15767" width="10" style="53" customWidth="1"/>
    <col min="15768" max="15769" width="10" style="53"/>
    <col min="15770" max="15770" width="13.42578125" style="53" bestFit="1" customWidth="1"/>
    <col min="15771" max="15872" width="10" style="53"/>
    <col min="15873" max="15875" width="0" style="53" hidden="1" customWidth="1"/>
    <col min="15876" max="15876" width="64.85546875" style="53" customWidth="1"/>
    <col min="15877" max="15877" width="7" style="53" customWidth="1"/>
    <col min="15878" max="15879" width="1" style="53" customWidth="1"/>
    <col min="15880" max="15880" width="15.140625" style="53" customWidth="1"/>
    <col min="15881" max="15882" width="1" style="53" customWidth="1"/>
    <col min="15883" max="15887" width="0" style="53" hidden="1" customWidth="1"/>
    <col min="15888" max="15889" width="1" style="53" customWidth="1"/>
    <col min="15890" max="15890" width="17.85546875" style="53" customWidth="1"/>
    <col min="15891" max="15892" width="1" style="53" customWidth="1"/>
    <col min="15893" max="15942" width="0" style="53" hidden="1" customWidth="1"/>
    <col min="15943" max="15944" width="1" style="53" customWidth="1"/>
    <col min="15945" max="15945" width="16.5703125" style="53" customWidth="1"/>
    <col min="15946" max="15949" width="1" style="53" customWidth="1"/>
    <col min="15950" max="15950" width="14.7109375" style="53" customWidth="1"/>
    <col min="15951" max="15952" width="1" style="53" customWidth="1"/>
    <col min="15953" max="15957" width="0" style="53" hidden="1" customWidth="1"/>
    <col min="15958" max="15959" width="1" style="53" customWidth="1"/>
    <col min="15960" max="15960" width="17.85546875" style="53" customWidth="1"/>
    <col min="15961" max="15962" width="1" style="53" customWidth="1"/>
    <col min="15963" max="16012" width="0" style="53" hidden="1" customWidth="1"/>
    <col min="16013" max="16014" width="1" style="53" customWidth="1"/>
    <col min="16015" max="16015" width="17.85546875" style="53" customWidth="1"/>
    <col min="16016" max="16018" width="1" style="53" customWidth="1"/>
    <col min="16019" max="16019" width="1.85546875" style="53" customWidth="1"/>
    <col min="16020" max="16020" width="11.28515625" style="53" bestFit="1" customWidth="1"/>
    <col min="16021" max="16021" width="10" style="53" customWidth="1"/>
    <col min="16022" max="16022" width="10.42578125" style="53" bestFit="1" customWidth="1"/>
    <col min="16023" max="16023" width="10" style="53" customWidth="1"/>
    <col min="16024" max="16025" width="10" style="53"/>
    <col min="16026" max="16026" width="13.42578125" style="53" bestFit="1" customWidth="1"/>
    <col min="16027" max="16128" width="10" style="53"/>
    <col min="16129" max="16131" width="0" style="53" hidden="1" customWidth="1"/>
    <col min="16132" max="16132" width="64.85546875" style="53" customWidth="1"/>
    <col min="16133" max="16133" width="7" style="53" customWidth="1"/>
    <col min="16134" max="16135" width="1" style="53" customWidth="1"/>
    <col min="16136" max="16136" width="15.140625" style="53" customWidth="1"/>
    <col min="16137" max="16138" width="1" style="53" customWidth="1"/>
    <col min="16139" max="16143" width="0" style="53" hidden="1" customWidth="1"/>
    <col min="16144" max="16145" width="1" style="53" customWidth="1"/>
    <col min="16146" max="16146" width="17.85546875" style="53" customWidth="1"/>
    <col min="16147" max="16148" width="1" style="53" customWidth="1"/>
    <col min="16149" max="16198" width="0" style="53" hidden="1" customWidth="1"/>
    <col min="16199" max="16200" width="1" style="53" customWidth="1"/>
    <col min="16201" max="16201" width="16.5703125" style="53" customWidth="1"/>
    <col min="16202" max="16205" width="1" style="53" customWidth="1"/>
    <col min="16206" max="16206" width="14.7109375" style="53" customWidth="1"/>
    <col min="16207" max="16208" width="1" style="53" customWidth="1"/>
    <col min="16209" max="16213" width="0" style="53" hidden="1" customWidth="1"/>
    <col min="16214" max="16215" width="1" style="53" customWidth="1"/>
    <col min="16216" max="16216" width="17.85546875" style="53" customWidth="1"/>
    <col min="16217" max="16218" width="1" style="53" customWidth="1"/>
    <col min="16219" max="16268" width="0" style="53" hidden="1" customWidth="1"/>
    <col min="16269" max="16270" width="1" style="53" customWidth="1"/>
    <col min="16271" max="16271" width="17.85546875" style="53" customWidth="1"/>
    <col min="16272" max="16274" width="1" style="53" customWidth="1"/>
    <col min="16275" max="16275" width="1.85546875" style="53" customWidth="1"/>
    <col min="16276" max="16276" width="11.28515625" style="53" bestFit="1" customWidth="1"/>
    <col min="16277" max="16277" width="10" style="53" customWidth="1"/>
    <col min="16278" max="16278" width="10.42578125" style="53" bestFit="1" customWidth="1"/>
    <col min="16279" max="16279" width="10" style="53" customWidth="1"/>
    <col min="16280" max="16281" width="10" style="53"/>
    <col min="16282" max="16282" width="13.42578125" style="53" bestFit="1" customWidth="1"/>
    <col min="16283" max="16384" width="10" style="53"/>
  </cols>
  <sheetData>
    <row r="1" spans="1:148" x14ac:dyDescent="0.2">
      <c r="B1" s="442"/>
      <c r="C1" s="442"/>
      <c r="D1" s="442"/>
      <c r="E1" s="219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>
        <f ca="1">+BZ:EM</f>
        <v>0</v>
      </c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  <c r="EP1" s="442"/>
    </row>
    <row r="2" spans="1:148" ht="3" customHeight="1" x14ac:dyDescent="0.2">
      <c r="A2" s="442"/>
      <c r="B2" s="442"/>
      <c r="C2" s="442"/>
      <c r="D2" s="442"/>
      <c r="E2" s="219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</row>
    <row r="3" spans="1:148" x14ac:dyDescent="0.2">
      <c r="A3" s="442"/>
      <c r="B3" s="442"/>
      <c r="D3" s="442"/>
    </row>
    <row r="4" spans="1:148" x14ac:dyDescent="0.2">
      <c r="A4" s="442"/>
      <c r="B4" s="442"/>
      <c r="D4" s="443"/>
      <c r="E4" s="119"/>
      <c r="F4" s="472"/>
      <c r="G4" s="472"/>
    </row>
    <row r="5" spans="1:148" x14ac:dyDescent="0.2">
      <c r="A5" s="442"/>
      <c r="B5" s="442"/>
      <c r="D5" s="442"/>
      <c r="E5" s="611"/>
      <c r="F5" s="443"/>
      <c r="G5" s="443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2"/>
      <c r="BL5" s="442"/>
      <c r="BM5" s="442"/>
      <c r="BN5" s="442"/>
      <c r="BO5" s="442"/>
      <c r="BP5" s="442"/>
      <c r="BQ5" s="442"/>
      <c r="BR5" s="442"/>
      <c r="BS5" s="442"/>
      <c r="BT5" s="442"/>
      <c r="BU5" s="442"/>
      <c r="BV5" s="442"/>
      <c r="BW5" s="442"/>
      <c r="BX5" s="442"/>
      <c r="BY5" s="442"/>
      <c r="BZ5" s="442"/>
      <c r="CA5" s="442"/>
      <c r="CB5" s="442"/>
      <c r="CC5" s="442"/>
      <c r="CD5" s="442"/>
      <c r="CE5" s="442"/>
      <c r="CF5" s="442"/>
      <c r="CG5" s="442"/>
      <c r="CH5" s="442"/>
      <c r="CI5" s="442"/>
      <c r="CJ5" s="442"/>
      <c r="CK5" s="442"/>
      <c r="CL5" s="442"/>
      <c r="CM5" s="442"/>
      <c r="CN5" s="442"/>
      <c r="CO5" s="442"/>
      <c r="CP5" s="442"/>
      <c r="CQ5" s="442"/>
      <c r="CR5" s="442"/>
      <c r="CS5" s="442"/>
      <c r="CT5" s="442"/>
      <c r="CU5" s="442"/>
      <c r="CV5" s="442"/>
      <c r="CW5" s="442"/>
      <c r="CX5" s="442"/>
      <c r="CY5" s="442"/>
      <c r="CZ5" s="442"/>
      <c r="DA5" s="442"/>
      <c r="DB5" s="442"/>
      <c r="DC5" s="442"/>
      <c r="DD5" s="442"/>
      <c r="DE5" s="442"/>
      <c r="DF5" s="442"/>
      <c r="DG5" s="442"/>
      <c r="DH5" s="442"/>
      <c r="DI5" s="442"/>
      <c r="DJ5" s="442"/>
      <c r="DK5" s="442"/>
      <c r="DL5" s="442"/>
      <c r="DM5" s="442"/>
      <c r="DN5" s="442"/>
      <c r="DO5" s="442"/>
      <c r="DP5" s="442"/>
      <c r="DQ5" s="442"/>
      <c r="DR5" s="442"/>
      <c r="DS5" s="442"/>
      <c r="DT5" s="442"/>
      <c r="DU5" s="442"/>
      <c r="DV5" s="442"/>
      <c r="DW5" s="442"/>
      <c r="DX5" s="442"/>
      <c r="DY5" s="442"/>
      <c r="DZ5" s="442"/>
      <c r="EA5" s="442"/>
      <c r="EB5" s="442"/>
      <c r="EC5" s="442"/>
      <c r="ED5" s="442"/>
      <c r="EE5" s="442"/>
      <c r="EF5" s="442"/>
      <c r="EG5" s="442"/>
      <c r="EH5" s="442"/>
      <c r="EI5" s="442"/>
      <c r="EJ5" s="442"/>
      <c r="EK5" s="442"/>
      <c r="EL5" s="442"/>
      <c r="EM5" s="442"/>
    </row>
    <row r="6" spans="1:148" x14ac:dyDescent="0.2">
      <c r="A6" s="442"/>
      <c r="B6" s="442"/>
      <c r="D6" s="442"/>
      <c r="E6" s="219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  <c r="AR6" s="442"/>
      <c r="AS6" s="442"/>
      <c r="AT6" s="442"/>
      <c r="AU6" s="442"/>
      <c r="AV6" s="442"/>
      <c r="AW6" s="442"/>
      <c r="AX6" s="442"/>
      <c r="AY6" s="442"/>
      <c r="AZ6" s="442"/>
      <c r="BA6" s="442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  <c r="BM6" s="442"/>
      <c r="BN6" s="442"/>
      <c r="BO6" s="442"/>
      <c r="BP6" s="442"/>
      <c r="BQ6" s="442"/>
      <c r="BR6" s="442"/>
      <c r="BS6" s="442"/>
      <c r="BT6" s="442"/>
      <c r="BU6" s="442"/>
      <c r="BV6" s="442"/>
      <c r="BW6" s="442"/>
      <c r="BX6" s="442"/>
      <c r="BY6" s="442"/>
      <c r="BZ6" s="442"/>
      <c r="CA6" s="442"/>
      <c r="CB6" s="442"/>
      <c r="CC6" s="442"/>
      <c r="CD6" s="442"/>
      <c r="CE6" s="442"/>
      <c r="CF6" s="442"/>
      <c r="CG6" s="442"/>
      <c r="CH6" s="442"/>
      <c r="CI6" s="442"/>
      <c r="CJ6" s="442"/>
      <c r="CK6" s="442"/>
      <c r="CL6" s="442"/>
      <c r="CM6" s="442"/>
      <c r="CN6" s="442"/>
      <c r="CO6" s="442"/>
      <c r="CP6" s="442"/>
      <c r="CQ6" s="442"/>
      <c r="CR6" s="442"/>
      <c r="CS6" s="442"/>
      <c r="CT6" s="442"/>
      <c r="CU6" s="442"/>
      <c r="CV6" s="442"/>
      <c r="CW6" s="442"/>
      <c r="CX6" s="442"/>
      <c r="CY6" s="442"/>
      <c r="CZ6" s="442"/>
      <c r="DA6" s="442"/>
      <c r="DB6" s="442"/>
      <c r="DC6" s="442"/>
      <c r="DD6" s="442"/>
      <c r="DE6" s="442"/>
      <c r="DF6" s="442"/>
      <c r="DG6" s="442"/>
      <c r="DH6" s="442"/>
      <c r="DI6" s="442"/>
      <c r="DJ6" s="442"/>
      <c r="DK6" s="442"/>
      <c r="DL6" s="442"/>
      <c r="DM6" s="442"/>
      <c r="DN6" s="442"/>
      <c r="DO6" s="442"/>
      <c r="DP6" s="442"/>
      <c r="DQ6" s="442"/>
      <c r="DR6" s="442"/>
      <c r="DS6" s="442"/>
      <c r="DT6" s="442"/>
      <c r="DU6" s="442"/>
      <c r="DV6" s="442"/>
      <c r="DW6" s="442"/>
      <c r="DX6" s="442"/>
      <c r="DY6" s="442"/>
      <c r="DZ6" s="442"/>
      <c r="EA6" s="442"/>
      <c r="EB6" s="442"/>
      <c r="EC6" s="442"/>
      <c r="ED6" s="442"/>
      <c r="EE6" s="442"/>
      <c r="EF6" s="442"/>
      <c r="EG6" s="442"/>
      <c r="EH6" s="442"/>
      <c r="EI6" s="442"/>
      <c r="EJ6" s="442"/>
      <c r="EK6" s="442"/>
      <c r="EL6" s="442"/>
      <c r="EM6" s="442"/>
    </row>
    <row r="7" spans="1:148" ht="15.75" customHeight="1" x14ac:dyDescent="0.25">
      <c r="A7" s="442"/>
      <c r="B7" s="442"/>
      <c r="D7" s="532" t="s">
        <v>490</v>
      </c>
      <c r="E7" s="611"/>
      <c r="F7" s="443"/>
      <c r="G7" s="443"/>
      <c r="H7" s="442"/>
      <c r="I7" s="442"/>
      <c r="J7" s="442"/>
      <c r="K7" s="442"/>
      <c r="L7" s="442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2"/>
      <c r="CB7" s="442"/>
      <c r="CC7" s="442"/>
      <c r="CD7" s="442"/>
      <c r="CE7" s="442"/>
      <c r="CF7" s="442"/>
      <c r="CG7" s="442"/>
      <c r="CH7" s="442"/>
      <c r="CI7" s="442"/>
      <c r="CJ7" s="442"/>
      <c r="CK7" s="442"/>
      <c r="CL7" s="442"/>
      <c r="CM7" s="442"/>
      <c r="CN7" s="442"/>
      <c r="CO7" s="442"/>
      <c r="CP7" s="442"/>
      <c r="CQ7" s="442"/>
      <c r="CR7" s="442"/>
      <c r="CS7" s="442"/>
      <c r="CT7" s="442"/>
      <c r="CU7" s="442"/>
      <c r="CV7" s="442"/>
      <c r="CW7" s="442"/>
      <c r="CX7" s="442"/>
      <c r="CY7" s="442"/>
      <c r="CZ7" s="442"/>
      <c r="DA7" s="442"/>
      <c r="DB7" s="442"/>
      <c r="DC7" s="442"/>
      <c r="DD7" s="442"/>
      <c r="DE7" s="442"/>
      <c r="DF7" s="442"/>
      <c r="DG7" s="442"/>
      <c r="DH7" s="442"/>
      <c r="DI7" s="442"/>
      <c r="DJ7" s="442"/>
      <c r="DK7" s="442"/>
      <c r="DL7" s="442"/>
      <c r="DM7" s="442"/>
      <c r="DN7" s="442"/>
      <c r="DO7" s="442"/>
      <c r="DP7" s="442"/>
      <c r="DQ7" s="442"/>
      <c r="DR7" s="442"/>
      <c r="DS7" s="442"/>
      <c r="DT7" s="442"/>
      <c r="DU7" s="442"/>
      <c r="DV7" s="442"/>
      <c r="DW7" s="442"/>
      <c r="DX7" s="442"/>
      <c r="DY7" s="442"/>
      <c r="DZ7" s="442"/>
      <c r="EA7" s="442"/>
      <c r="EB7" s="442"/>
      <c r="EC7" s="442"/>
      <c r="ED7" s="442"/>
      <c r="EE7" s="442"/>
      <c r="EF7" s="442"/>
      <c r="EG7" s="442"/>
      <c r="EH7" s="442"/>
      <c r="EI7" s="442"/>
      <c r="EJ7" s="442"/>
      <c r="EK7" s="442"/>
      <c r="EL7" s="442"/>
      <c r="EM7" s="445"/>
    </row>
    <row r="8" spans="1:148" ht="12.75" customHeight="1" x14ac:dyDescent="0.2">
      <c r="A8" s="442"/>
      <c r="B8" s="442"/>
      <c r="D8" s="612"/>
      <c r="E8" s="613"/>
      <c r="F8" s="614"/>
      <c r="G8" s="615"/>
      <c r="H8" s="616" t="str">
        <f>[12]summary!H8</f>
        <v>2020/21</v>
      </c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617"/>
      <c r="V8" s="617"/>
      <c r="W8" s="617"/>
      <c r="X8" s="617"/>
      <c r="Y8" s="617"/>
      <c r="Z8" s="617"/>
      <c r="AA8" s="617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7"/>
      <c r="BA8" s="617"/>
      <c r="BB8" s="617"/>
      <c r="BC8" s="617"/>
      <c r="BD8" s="617"/>
      <c r="BE8" s="617"/>
      <c r="BF8" s="617"/>
      <c r="BG8" s="617"/>
      <c r="BH8" s="617"/>
      <c r="BI8" s="617"/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8"/>
      <c r="BW8" s="618"/>
      <c r="BX8" s="619"/>
      <c r="BY8" s="618"/>
      <c r="BZ8" s="144" t="str">
        <f>[12]summary!BZ8</f>
        <v>2019/20</v>
      </c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  <c r="CZ8" s="450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  <c r="DN8" s="450"/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0"/>
      <c r="EE8" s="450"/>
      <c r="EF8" s="450"/>
      <c r="EG8" s="450"/>
      <c r="EH8" s="450"/>
      <c r="EI8" s="450"/>
      <c r="EJ8" s="450"/>
      <c r="EK8" s="450"/>
      <c r="EL8" s="450"/>
      <c r="EM8" s="450"/>
      <c r="EN8" s="618"/>
      <c r="EO8" s="620"/>
      <c r="EP8" s="572"/>
      <c r="EQ8" s="442"/>
    </row>
    <row r="9" spans="1:148" ht="12.75" customHeight="1" x14ac:dyDescent="0.2">
      <c r="A9" s="442"/>
      <c r="B9" s="442"/>
      <c r="D9" s="466"/>
      <c r="E9" s="611"/>
      <c r="F9" s="520"/>
      <c r="G9" s="519"/>
      <c r="H9" s="176" t="str">
        <f>[12]foreigndebt!G9</f>
        <v>Budget</v>
      </c>
      <c r="I9" s="176"/>
      <c r="J9" s="176"/>
      <c r="K9" s="517"/>
      <c r="L9" s="176"/>
      <c r="M9" s="176" t="s">
        <v>6</v>
      </c>
      <c r="N9" s="176"/>
      <c r="O9" s="176"/>
      <c r="P9" s="177"/>
      <c r="Q9" s="176"/>
      <c r="R9" s="176" t="s">
        <v>7</v>
      </c>
      <c r="S9" s="176"/>
      <c r="T9" s="176"/>
      <c r="U9" s="177"/>
      <c r="V9" s="176"/>
      <c r="W9" s="176" t="s">
        <v>8</v>
      </c>
      <c r="X9" s="176"/>
      <c r="Y9" s="176"/>
      <c r="Z9" s="177"/>
      <c r="AA9" s="176"/>
      <c r="AB9" s="176" t="s">
        <v>9</v>
      </c>
      <c r="AC9" s="176"/>
      <c r="AD9" s="176"/>
      <c r="AE9" s="177"/>
      <c r="AF9" s="176"/>
      <c r="AG9" s="176" t="s">
        <v>10</v>
      </c>
      <c r="AH9" s="176"/>
      <c r="AI9" s="176"/>
      <c r="AJ9" s="177"/>
      <c r="AK9" s="176"/>
      <c r="AL9" s="176" t="s">
        <v>11</v>
      </c>
      <c r="AM9" s="176"/>
      <c r="AN9" s="176"/>
      <c r="AO9" s="177"/>
      <c r="AP9" s="176"/>
      <c r="AQ9" s="176" t="s">
        <v>12</v>
      </c>
      <c r="AR9" s="176"/>
      <c r="AS9" s="176"/>
      <c r="AT9" s="177"/>
      <c r="AU9" s="176"/>
      <c r="AV9" s="176" t="s">
        <v>13</v>
      </c>
      <c r="AW9" s="176"/>
      <c r="AX9" s="176"/>
      <c r="AY9" s="177"/>
      <c r="AZ9" s="176"/>
      <c r="BA9" s="176" t="s">
        <v>14</v>
      </c>
      <c r="BB9" s="176"/>
      <c r="BC9" s="176"/>
      <c r="BD9" s="177"/>
      <c r="BE9" s="176"/>
      <c r="BF9" s="176" t="s">
        <v>15</v>
      </c>
      <c r="BG9" s="176"/>
      <c r="BH9" s="176"/>
      <c r="BI9" s="177"/>
      <c r="BJ9" s="176"/>
      <c r="BK9" s="176" t="s">
        <v>16</v>
      </c>
      <c r="BL9" s="176"/>
      <c r="BM9" s="176"/>
      <c r="BN9" s="177"/>
      <c r="BO9" s="176"/>
      <c r="BP9" s="176" t="s">
        <v>17</v>
      </c>
      <c r="BQ9" s="176"/>
      <c r="BR9" s="176"/>
      <c r="BS9" s="177"/>
      <c r="BT9" s="176"/>
      <c r="BU9" s="176" t="s">
        <v>18</v>
      </c>
      <c r="BV9" s="176"/>
      <c r="BW9" s="176"/>
      <c r="BX9" s="177"/>
      <c r="BY9" s="176"/>
      <c r="BZ9" s="176" t="str">
        <f>[12]foreigndebt!BY9</f>
        <v>Preliminary</v>
      </c>
      <c r="CA9" s="176"/>
      <c r="CB9" s="176"/>
      <c r="CC9" s="177"/>
      <c r="CD9" s="176"/>
      <c r="CE9" s="176" t="s">
        <v>6</v>
      </c>
      <c r="CF9" s="176"/>
      <c r="CG9" s="176"/>
      <c r="CH9" s="177"/>
      <c r="CI9" s="176"/>
      <c r="CJ9" s="176" t="s">
        <v>7</v>
      </c>
      <c r="CK9" s="176"/>
      <c r="CL9" s="176"/>
      <c r="CM9" s="177"/>
      <c r="CN9" s="176"/>
      <c r="CO9" s="176" t="s">
        <v>8</v>
      </c>
      <c r="CP9" s="176"/>
      <c r="CQ9" s="176"/>
      <c r="CR9" s="177"/>
      <c r="CS9" s="176"/>
      <c r="CT9" s="176" t="s">
        <v>9</v>
      </c>
      <c r="CU9" s="176"/>
      <c r="CV9" s="176"/>
      <c r="CW9" s="177"/>
      <c r="CX9" s="176"/>
      <c r="CY9" s="176" t="s">
        <v>10</v>
      </c>
      <c r="CZ9" s="176"/>
      <c r="DA9" s="176"/>
      <c r="DB9" s="177"/>
      <c r="DC9" s="176"/>
      <c r="DD9" s="176" t="s">
        <v>11</v>
      </c>
      <c r="DE9" s="176"/>
      <c r="DF9" s="176"/>
      <c r="DG9" s="177"/>
      <c r="DH9" s="176"/>
      <c r="DI9" s="176" t="s">
        <v>12</v>
      </c>
      <c r="DJ9" s="176"/>
      <c r="DK9" s="176"/>
      <c r="DL9" s="177"/>
      <c r="DM9" s="176"/>
      <c r="DN9" s="176" t="s">
        <v>13</v>
      </c>
      <c r="DO9" s="176"/>
      <c r="DP9" s="176"/>
      <c r="DQ9" s="177"/>
      <c r="DR9" s="176"/>
      <c r="DS9" s="176" t="s">
        <v>14</v>
      </c>
      <c r="DT9" s="176"/>
      <c r="DU9" s="176"/>
      <c r="DV9" s="177"/>
      <c r="DW9" s="176"/>
      <c r="DX9" s="176" t="s">
        <v>15</v>
      </c>
      <c r="DY9" s="176"/>
      <c r="DZ9" s="176"/>
      <c r="EA9" s="177"/>
      <c r="EB9" s="176"/>
      <c r="EC9" s="176" t="s">
        <v>16</v>
      </c>
      <c r="ED9" s="176"/>
      <c r="EE9" s="176"/>
      <c r="EF9" s="177"/>
      <c r="EG9" s="176"/>
      <c r="EH9" s="176" t="s">
        <v>17</v>
      </c>
      <c r="EI9" s="176"/>
      <c r="EJ9" s="176"/>
      <c r="EK9" s="177"/>
      <c r="EL9" s="176"/>
      <c r="EM9" s="176" t="s">
        <v>18</v>
      </c>
      <c r="EN9" s="176"/>
      <c r="EO9" s="621"/>
      <c r="EP9" s="157"/>
      <c r="EQ9" s="442"/>
    </row>
    <row r="10" spans="1:148" ht="12.75" customHeight="1" x14ac:dyDescent="0.2">
      <c r="A10" s="442"/>
      <c r="B10" s="442"/>
      <c r="D10" s="458" t="s">
        <v>20</v>
      </c>
      <c r="E10" s="622"/>
      <c r="F10" s="542"/>
      <c r="G10" s="491"/>
      <c r="H10" s="242" t="s">
        <v>22</v>
      </c>
      <c r="I10" s="242"/>
      <c r="J10" s="161"/>
      <c r="K10" s="460"/>
      <c r="L10" s="242"/>
      <c r="M10" s="459"/>
      <c r="N10" s="459"/>
      <c r="O10" s="459"/>
      <c r="P10" s="542"/>
      <c r="Q10" s="459"/>
      <c r="R10" s="459"/>
      <c r="S10" s="459"/>
      <c r="T10" s="459"/>
      <c r="U10" s="542"/>
      <c r="V10" s="459"/>
      <c r="W10" s="459"/>
      <c r="X10" s="459"/>
      <c r="Y10" s="459"/>
      <c r="Z10" s="542"/>
      <c r="AA10" s="459"/>
      <c r="AB10" s="459"/>
      <c r="AC10" s="459"/>
      <c r="AD10" s="459"/>
      <c r="AE10" s="542"/>
      <c r="AF10" s="459"/>
      <c r="AG10" s="459"/>
      <c r="AH10" s="459"/>
      <c r="AI10" s="459"/>
      <c r="AJ10" s="542"/>
      <c r="AK10" s="459"/>
      <c r="AL10" s="459"/>
      <c r="AM10" s="459"/>
      <c r="AN10" s="459"/>
      <c r="AO10" s="542"/>
      <c r="AP10" s="459"/>
      <c r="AQ10" s="459"/>
      <c r="AR10" s="459"/>
      <c r="AS10" s="459"/>
      <c r="AT10" s="542"/>
      <c r="AU10" s="459"/>
      <c r="AV10" s="459"/>
      <c r="AW10" s="459"/>
      <c r="AX10" s="459"/>
      <c r="AY10" s="542"/>
      <c r="AZ10" s="459"/>
      <c r="BA10" s="459"/>
      <c r="BB10" s="459"/>
      <c r="BC10" s="459"/>
      <c r="BD10" s="542"/>
      <c r="BE10" s="459"/>
      <c r="BF10" s="459"/>
      <c r="BG10" s="459"/>
      <c r="BH10" s="459"/>
      <c r="BI10" s="542"/>
      <c r="BJ10" s="459"/>
      <c r="BK10" s="459"/>
      <c r="BL10" s="459"/>
      <c r="BM10" s="459"/>
      <c r="BN10" s="542"/>
      <c r="BO10" s="459"/>
      <c r="BP10" s="459"/>
      <c r="BQ10" s="459"/>
      <c r="BR10" s="459"/>
      <c r="BS10" s="542"/>
      <c r="BT10" s="459"/>
      <c r="BU10" s="459"/>
      <c r="BV10" s="459"/>
      <c r="BW10" s="459"/>
      <c r="BX10" s="542"/>
      <c r="BY10" s="459"/>
      <c r="BZ10" s="242" t="s">
        <v>23</v>
      </c>
      <c r="CA10" s="242"/>
      <c r="CB10" s="242"/>
      <c r="CC10" s="460"/>
      <c r="CD10" s="242"/>
      <c r="CE10" s="459"/>
      <c r="CF10" s="459"/>
      <c r="CG10" s="459"/>
      <c r="CH10" s="542"/>
      <c r="CI10" s="459"/>
      <c r="CJ10" s="459"/>
      <c r="CK10" s="459"/>
      <c r="CL10" s="459"/>
      <c r="CM10" s="542"/>
      <c r="CN10" s="459"/>
      <c r="CO10" s="459"/>
      <c r="CP10" s="459"/>
      <c r="CQ10" s="459"/>
      <c r="CR10" s="542"/>
      <c r="CS10" s="459"/>
      <c r="CT10" s="459"/>
      <c r="CU10" s="459"/>
      <c r="CV10" s="459"/>
      <c r="CW10" s="542"/>
      <c r="CX10" s="459"/>
      <c r="CY10" s="459"/>
      <c r="CZ10" s="459"/>
      <c r="DA10" s="459"/>
      <c r="DB10" s="542"/>
      <c r="DC10" s="459"/>
      <c r="DD10" s="459"/>
      <c r="DE10" s="459"/>
      <c r="DF10" s="459"/>
      <c r="DG10" s="542"/>
      <c r="DH10" s="459"/>
      <c r="DI10" s="459"/>
      <c r="DJ10" s="459"/>
      <c r="DK10" s="459"/>
      <c r="DL10" s="542"/>
      <c r="DM10" s="459"/>
      <c r="DN10" s="459"/>
      <c r="DO10" s="459"/>
      <c r="DP10" s="459"/>
      <c r="DQ10" s="542"/>
      <c r="DR10" s="459"/>
      <c r="DS10" s="459"/>
      <c r="DT10" s="459"/>
      <c r="DU10" s="459"/>
      <c r="DV10" s="542"/>
      <c r="DW10" s="459"/>
      <c r="DX10" s="459"/>
      <c r="DY10" s="459"/>
      <c r="DZ10" s="459"/>
      <c r="EA10" s="542"/>
      <c r="EB10" s="459"/>
      <c r="EC10" s="459"/>
      <c r="ED10" s="459"/>
      <c r="EE10" s="459"/>
      <c r="EF10" s="542"/>
      <c r="EG10" s="459"/>
      <c r="EH10" s="459"/>
      <c r="EI10" s="459"/>
      <c r="EJ10" s="459"/>
      <c r="EK10" s="542"/>
      <c r="EL10" s="459"/>
      <c r="EM10" s="459"/>
      <c r="EN10" s="459"/>
      <c r="EO10" s="606"/>
      <c r="EP10" s="572"/>
      <c r="EQ10" s="442"/>
    </row>
    <row r="11" spans="1:148" x14ac:dyDescent="0.2">
      <c r="A11" s="442"/>
      <c r="B11" s="442"/>
      <c r="D11" s="455"/>
      <c r="E11" s="219"/>
      <c r="F11" s="465"/>
      <c r="G11" s="442"/>
      <c r="H11" s="442"/>
      <c r="I11" s="442"/>
      <c r="J11" s="442"/>
      <c r="K11" s="465"/>
      <c r="L11" s="442"/>
      <c r="M11" s="442"/>
      <c r="N11" s="442"/>
      <c r="O11" s="442"/>
      <c r="P11" s="465"/>
      <c r="Q11" s="442"/>
      <c r="R11" s="442"/>
      <c r="S11" s="442"/>
      <c r="T11" s="442"/>
      <c r="U11" s="465"/>
      <c r="V11" s="442"/>
      <c r="W11" s="442"/>
      <c r="X11" s="442"/>
      <c r="Y11" s="442"/>
      <c r="Z11" s="465"/>
      <c r="AA11" s="442"/>
      <c r="AB11" s="442"/>
      <c r="AC11" s="442"/>
      <c r="AD11" s="442"/>
      <c r="AE11" s="465"/>
      <c r="AF11" s="442"/>
      <c r="AG11" s="442"/>
      <c r="AH11" s="442"/>
      <c r="AI11" s="442"/>
      <c r="AJ11" s="465"/>
      <c r="AK11" s="442"/>
      <c r="AL11" s="442"/>
      <c r="AM11" s="442"/>
      <c r="AN11" s="442"/>
      <c r="AO11" s="465"/>
      <c r="AP11" s="442"/>
      <c r="AQ11" s="442"/>
      <c r="AR11" s="442"/>
      <c r="AS11" s="442"/>
      <c r="AT11" s="465"/>
      <c r="AU11" s="442"/>
      <c r="AV11" s="442"/>
      <c r="AW11" s="442"/>
      <c r="AX11" s="442"/>
      <c r="AY11" s="465"/>
      <c r="AZ11" s="442"/>
      <c r="BA11" s="442"/>
      <c r="BB11" s="442"/>
      <c r="BC11" s="442"/>
      <c r="BD11" s="465"/>
      <c r="BE11" s="442"/>
      <c r="BF11" s="442"/>
      <c r="BG11" s="442"/>
      <c r="BH11" s="442"/>
      <c r="BI11" s="465"/>
      <c r="BJ11" s="442"/>
      <c r="BK11" s="442"/>
      <c r="BL11" s="442"/>
      <c r="BM11" s="442"/>
      <c r="BN11" s="465"/>
      <c r="BO11" s="442"/>
      <c r="BP11" s="442"/>
      <c r="BQ11" s="442"/>
      <c r="BR11" s="442"/>
      <c r="BS11" s="465"/>
      <c r="BT11" s="442"/>
      <c r="BU11" s="442"/>
      <c r="BV11" s="442"/>
      <c r="BW11" s="442"/>
      <c r="BX11" s="465"/>
      <c r="BY11" s="442"/>
      <c r="BZ11" s="442"/>
      <c r="CA11" s="442"/>
      <c r="CB11" s="442"/>
      <c r="CC11" s="465"/>
      <c r="CD11" s="442"/>
      <c r="CE11" s="442"/>
      <c r="CF11" s="442"/>
      <c r="CG11" s="442"/>
      <c r="CH11" s="465"/>
      <c r="CI11" s="442"/>
      <c r="CJ11" s="442"/>
      <c r="CK11" s="442"/>
      <c r="CL11" s="442"/>
      <c r="CM11" s="465"/>
      <c r="CN11" s="442"/>
      <c r="CO11" s="442"/>
      <c r="CP11" s="442"/>
      <c r="CQ11" s="442"/>
      <c r="CR11" s="465"/>
      <c r="CS11" s="442"/>
      <c r="CT11" s="442"/>
      <c r="CU11" s="442"/>
      <c r="CV11" s="442"/>
      <c r="CW11" s="465"/>
      <c r="CX11" s="442"/>
      <c r="CY11" s="442"/>
      <c r="CZ11" s="442"/>
      <c r="DA11" s="442"/>
      <c r="DB11" s="465"/>
      <c r="DC11" s="442"/>
      <c r="DD11" s="442"/>
      <c r="DE11" s="442"/>
      <c r="DF11" s="442"/>
      <c r="DG11" s="465"/>
      <c r="DH11" s="442"/>
      <c r="DI11" s="442"/>
      <c r="DJ11" s="442"/>
      <c r="DK11" s="442"/>
      <c r="DL11" s="465"/>
      <c r="DM11" s="442"/>
      <c r="DN11" s="442"/>
      <c r="DO11" s="442"/>
      <c r="DP11" s="442"/>
      <c r="DQ11" s="465"/>
      <c r="DR11" s="442"/>
      <c r="DS11" s="442"/>
      <c r="DT11" s="442"/>
      <c r="DU11" s="442"/>
      <c r="DV11" s="465"/>
      <c r="DW11" s="442"/>
      <c r="DX11" s="442"/>
      <c r="DY11" s="442"/>
      <c r="DZ11" s="442"/>
      <c r="EA11" s="465"/>
      <c r="EB11" s="442"/>
      <c r="EC11" s="442"/>
      <c r="ED11" s="442"/>
      <c r="EE11" s="442"/>
      <c r="EF11" s="465"/>
      <c r="EG11" s="442"/>
      <c r="EH11" s="442"/>
      <c r="EI11" s="442"/>
      <c r="EJ11" s="442"/>
      <c r="EK11" s="465"/>
      <c r="EL11" s="442"/>
      <c r="EM11" s="474"/>
      <c r="EN11" s="442"/>
      <c r="EO11" s="442"/>
      <c r="EP11" s="455"/>
      <c r="EQ11" s="442"/>
    </row>
    <row r="12" spans="1:148" s="472" customFormat="1" x14ac:dyDescent="0.2">
      <c r="A12" s="443"/>
      <c r="B12" s="443"/>
      <c r="C12" s="443"/>
      <c r="D12" s="466" t="s">
        <v>491</v>
      </c>
      <c r="E12" s="219" t="s">
        <v>87</v>
      </c>
      <c r="F12" s="465"/>
      <c r="G12" s="442"/>
      <c r="H12" s="74">
        <f>+H13-H17</f>
        <v>12596000</v>
      </c>
      <c r="I12" s="74"/>
      <c r="J12" s="74"/>
      <c r="K12" s="409"/>
      <c r="L12" s="74"/>
      <c r="M12" s="74">
        <f>+M13-M17</f>
        <v>-18484170</v>
      </c>
      <c r="N12" s="74"/>
      <c r="O12" s="74"/>
      <c r="P12" s="409"/>
      <c r="Q12" s="74"/>
      <c r="R12" s="74">
        <f>+R13-R17</f>
        <v>3349854</v>
      </c>
      <c r="S12" s="74"/>
      <c r="T12" s="74"/>
      <c r="U12" s="409"/>
      <c r="V12" s="74"/>
      <c r="W12" s="74">
        <f>+W13-W17</f>
        <v>250795984</v>
      </c>
      <c r="X12" s="74"/>
      <c r="Y12" s="74"/>
      <c r="Z12" s="409"/>
      <c r="AA12" s="74"/>
      <c r="AB12" s="74">
        <f>+AB13-AB17</f>
        <v>0</v>
      </c>
      <c r="AC12" s="74"/>
      <c r="AD12" s="74"/>
      <c r="AE12" s="409"/>
      <c r="AF12" s="74"/>
      <c r="AG12" s="74">
        <f>+AG13-AG17</f>
        <v>0</v>
      </c>
      <c r="AH12" s="74"/>
      <c r="AI12" s="74"/>
      <c r="AJ12" s="409"/>
      <c r="AK12" s="74"/>
      <c r="AL12" s="74">
        <f>+AL13-AL17</f>
        <v>0</v>
      </c>
      <c r="AM12" s="74"/>
      <c r="AN12" s="74"/>
      <c r="AO12" s="409"/>
      <c r="AP12" s="74"/>
      <c r="AQ12" s="74">
        <f>+AQ13-AQ17</f>
        <v>0</v>
      </c>
      <c r="AR12" s="74"/>
      <c r="AS12" s="74"/>
      <c r="AT12" s="409"/>
      <c r="AU12" s="74"/>
      <c r="AV12" s="74">
        <f>+AV13-AV17</f>
        <v>0</v>
      </c>
      <c r="AW12" s="74"/>
      <c r="AX12" s="74"/>
      <c r="AY12" s="409"/>
      <c r="AZ12" s="74"/>
      <c r="BA12" s="74">
        <f>+BA13-BA17</f>
        <v>0</v>
      </c>
      <c r="BB12" s="74"/>
      <c r="BC12" s="74"/>
      <c r="BD12" s="409"/>
      <c r="BE12" s="74"/>
      <c r="BF12" s="74">
        <f>+BF13-BF17</f>
        <v>0</v>
      </c>
      <c r="BG12" s="74"/>
      <c r="BH12" s="74"/>
      <c r="BI12" s="409"/>
      <c r="BJ12" s="74"/>
      <c r="BK12" s="74">
        <f>+BK13-BK17</f>
        <v>0</v>
      </c>
      <c r="BL12" s="74"/>
      <c r="BM12" s="74"/>
      <c r="BN12" s="409"/>
      <c r="BO12" s="74"/>
      <c r="BP12" s="74">
        <f>+BP13-BP17</f>
        <v>0</v>
      </c>
      <c r="BQ12" s="74"/>
      <c r="BR12" s="74"/>
      <c r="BS12" s="409"/>
      <c r="BT12" s="74"/>
      <c r="BU12" s="74">
        <f>+BU13-BU17</f>
        <v>-15134316</v>
      </c>
      <c r="BV12" s="74"/>
      <c r="BW12" s="74"/>
      <c r="BX12" s="409"/>
      <c r="BY12" s="74"/>
      <c r="BZ12" s="74">
        <f>+BZ13-BZ17</f>
        <v>2473985</v>
      </c>
      <c r="CA12" s="74"/>
      <c r="CB12" s="74"/>
      <c r="CC12" s="409"/>
      <c r="CD12" s="74"/>
      <c r="CE12" s="74">
        <f>+CE13-CE17</f>
        <v>39161985</v>
      </c>
      <c r="CF12" s="74"/>
      <c r="CG12" s="74"/>
      <c r="CH12" s="409"/>
      <c r="CI12" s="74"/>
      <c r="CJ12" s="74">
        <f>+CJ13-CJ17</f>
        <v>6533576</v>
      </c>
      <c r="CK12" s="74"/>
      <c r="CL12" s="74"/>
      <c r="CM12" s="409"/>
      <c r="CN12" s="74"/>
      <c r="CO12" s="74">
        <f>+CO13-CO17</f>
        <v>-80194837</v>
      </c>
      <c r="CP12" s="74"/>
      <c r="CQ12" s="74"/>
      <c r="CR12" s="409"/>
      <c r="CS12" s="74"/>
      <c r="CT12" s="74">
        <f>+CT13-CT17</f>
        <v>71485782</v>
      </c>
      <c r="CU12" s="74"/>
      <c r="CV12" s="74"/>
      <c r="CW12" s="409"/>
      <c r="CX12" s="74"/>
      <c r="CY12" s="74">
        <f>+CY13-CY17</f>
        <v>10515236</v>
      </c>
      <c r="CZ12" s="74"/>
      <c r="DA12" s="74"/>
      <c r="DB12" s="409"/>
      <c r="DC12" s="74"/>
      <c r="DD12" s="74">
        <f>+DD13-DD17</f>
        <v>-104528279</v>
      </c>
      <c r="DE12" s="74"/>
      <c r="DF12" s="74"/>
      <c r="DG12" s="409"/>
      <c r="DH12" s="74"/>
      <c r="DI12" s="74">
        <f>+DI13-DI17</f>
        <v>2731873</v>
      </c>
      <c r="DJ12" s="74"/>
      <c r="DK12" s="74"/>
      <c r="DL12" s="409"/>
      <c r="DM12" s="74"/>
      <c r="DN12" s="74">
        <f>+DN13-DN17</f>
        <v>-9369739</v>
      </c>
      <c r="DO12" s="74"/>
      <c r="DP12" s="74"/>
      <c r="DQ12" s="409"/>
      <c r="DR12" s="74"/>
      <c r="DS12" s="74">
        <f>+DS13-DS17</f>
        <v>-7896523</v>
      </c>
      <c r="DT12" s="74"/>
      <c r="DU12" s="74"/>
      <c r="DV12" s="409"/>
      <c r="DW12" s="74"/>
      <c r="DX12" s="74">
        <f>+DX13-DX17</f>
        <v>33364654</v>
      </c>
      <c r="DY12" s="74"/>
      <c r="DZ12" s="74"/>
      <c r="EA12" s="409"/>
      <c r="EB12" s="74"/>
      <c r="EC12" s="74">
        <f>+EC13-EC17</f>
        <v>-27939762</v>
      </c>
      <c r="ED12" s="74"/>
      <c r="EE12" s="74"/>
      <c r="EF12" s="409"/>
      <c r="EG12" s="74"/>
      <c r="EH12" s="74">
        <f>+EH13-EH17</f>
        <v>68610019</v>
      </c>
      <c r="EI12" s="74"/>
      <c r="EJ12" s="74"/>
      <c r="EK12" s="409"/>
      <c r="EL12" s="74"/>
      <c r="EM12" s="623">
        <f>+EM13-EM17</f>
        <v>45695561</v>
      </c>
      <c r="EN12" s="74"/>
      <c r="EO12" s="74"/>
      <c r="EP12" s="624"/>
      <c r="EQ12" s="443"/>
    </row>
    <row r="13" spans="1:148" x14ac:dyDescent="0.2">
      <c r="A13" s="442"/>
      <c r="B13" s="442"/>
      <c r="C13" s="442"/>
      <c r="D13" s="455" t="s">
        <v>492</v>
      </c>
      <c r="E13" s="219"/>
      <c r="F13" s="465"/>
      <c r="G13" s="473"/>
      <c r="H13" s="625">
        <f>SUM(H14:H15)</f>
        <v>238785000</v>
      </c>
      <c r="I13" s="626"/>
      <c r="J13" s="88"/>
      <c r="K13" s="391"/>
      <c r="L13" s="627"/>
      <c r="M13" s="625">
        <f>SUM(M14:M15)</f>
        <v>235661668</v>
      </c>
      <c r="N13" s="626"/>
      <c r="O13" s="88"/>
      <c r="P13" s="391"/>
      <c r="Q13" s="627"/>
      <c r="R13" s="625">
        <f>SUM(R14:R15)</f>
        <v>254145838</v>
      </c>
      <c r="S13" s="626"/>
      <c r="T13" s="88"/>
      <c r="U13" s="391"/>
      <c r="V13" s="627"/>
      <c r="W13" s="625">
        <f>SUM(W14:W15)</f>
        <v>250795984</v>
      </c>
      <c r="X13" s="626"/>
      <c r="Y13" s="88"/>
      <c r="Z13" s="391"/>
      <c r="AA13" s="627"/>
      <c r="AB13" s="625">
        <f>SUM(AB14:AB15)</f>
        <v>0</v>
      </c>
      <c r="AC13" s="626"/>
      <c r="AD13" s="88"/>
      <c r="AE13" s="391"/>
      <c r="AF13" s="627"/>
      <c r="AG13" s="625">
        <f>SUM(AG14:AG15)</f>
        <v>0</v>
      </c>
      <c r="AH13" s="626"/>
      <c r="AI13" s="88"/>
      <c r="AJ13" s="391"/>
      <c r="AK13" s="627"/>
      <c r="AL13" s="625">
        <f>SUM(AL14:AL15)</f>
        <v>0</v>
      </c>
      <c r="AM13" s="626"/>
      <c r="AN13" s="88"/>
      <c r="AO13" s="391"/>
      <c r="AP13" s="627"/>
      <c r="AQ13" s="625">
        <f>SUM(AQ14:AQ15)</f>
        <v>0</v>
      </c>
      <c r="AR13" s="626"/>
      <c r="AS13" s="88"/>
      <c r="AT13" s="391"/>
      <c r="AU13" s="627"/>
      <c r="AV13" s="625">
        <f>SUM(AV14:AV15)</f>
        <v>0</v>
      </c>
      <c r="AW13" s="626"/>
      <c r="AX13" s="88"/>
      <c r="AY13" s="391"/>
      <c r="AZ13" s="627"/>
      <c r="BA13" s="625">
        <f>SUM(BA14:BA15)</f>
        <v>0</v>
      </c>
      <c r="BB13" s="626"/>
      <c r="BC13" s="88"/>
      <c r="BD13" s="391"/>
      <c r="BE13" s="627"/>
      <c r="BF13" s="625">
        <f>SUM(BF14:BF15)</f>
        <v>0</v>
      </c>
      <c r="BG13" s="626"/>
      <c r="BH13" s="88"/>
      <c r="BI13" s="391"/>
      <c r="BJ13" s="627"/>
      <c r="BK13" s="625">
        <f>SUM(BK14:BK15)</f>
        <v>0</v>
      </c>
      <c r="BL13" s="626"/>
      <c r="BM13" s="88"/>
      <c r="BN13" s="391"/>
      <c r="BO13" s="627"/>
      <c r="BP13" s="625">
        <f>SUM(BP14:BP15)</f>
        <v>0</v>
      </c>
      <c r="BQ13" s="626"/>
      <c r="BR13" s="88"/>
      <c r="BS13" s="391"/>
      <c r="BT13" s="627"/>
      <c r="BU13" s="625">
        <f>SUM(BU14:BU15)</f>
        <v>235661668</v>
      </c>
      <c r="BV13" s="626"/>
      <c r="BW13" s="88"/>
      <c r="BX13" s="391"/>
      <c r="BY13" s="627"/>
      <c r="BZ13" s="625">
        <f>SUM(BZ14:BZ15)</f>
        <v>238135653</v>
      </c>
      <c r="CA13" s="626"/>
      <c r="CB13" s="88"/>
      <c r="CC13" s="391"/>
      <c r="CD13" s="627"/>
      <c r="CE13" s="625">
        <f>SUM(CE14:CE15)</f>
        <v>238135653</v>
      </c>
      <c r="CF13" s="626"/>
      <c r="CG13" s="88"/>
      <c r="CH13" s="391"/>
      <c r="CI13" s="627"/>
      <c r="CJ13" s="625">
        <f>SUM(CJ14:CJ15)</f>
        <v>198973668</v>
      </c>
      <c r="CK13" s="626"/>
      <c r="CL13" s="88"/>
      <c r="CM13" s="391"/>
      <c r="CN13" s="627"/>
      <c r="CO13" s="625">
        <f>SUM(CO14:CO15)</f>
        <v>192440092</v>
      </c>
      <c r="CP13" s="626"/>
      <c r="CQ13" s="88"/>
      <c r="CR13" s="391"/>
      <c r="CS13" s="627"/>
      <c r="CT13" s="625">
        <f>SUM(CT14:CT15)</f>
        <v>272634929</v>
      </c>
      <c r="CU13" s="626"/>
      <c r="CV13" s="88"/>
      <c r="CW13" s="391"/>
      <c r="CX13" s="627"/>
      <c r="CY13" s="625">
        <f>SUM(CY14:CY15)</f>
        <v>201149147</v>
      </c>
      <c r="CZ13" s="626"/>
      <c r="DA13" s="88"/>
      <c r="DB13" s="391"/>
      <c r="DC13" s="627"/>
      <c r="DD13" s="625">
        <f>SUM(DD14:DD15)</f>
        <v>190633911</v>
      </c>
      <c r="DE13" s="626"/>
      <c r="DF13" s="88"/>
      <c r="DG13" s="391"/>
      <c r="DH13" s="627"/>
      <c r="DI13" s="625">
        <f>SUM(DI14:DI15)</f>
        <v>295162190</v>
      </c>
      <c r="DJ13" s="626"/>
      <c r="DK13" s="88"/>
      <c r="DL13" s="391"/>
      <c r="DM13" s="627"/>
      <c r="DN13" s="625">
        <f>SUM(DN14:DN15)</f>
        <v>292430317</v>
      </c>
      <c r="DO13" s="626"/>
      <c r="DP13" s="88"/>
      <c r="DQ13" s="391"/>
      <c r="DR13" s="627"/>
      <c r="DS13" s="625">
        <f>SUM(DS14:DS15)</f>
        <v>301800056</v>
      </c>
      <c r="DT13" s="626"/>
      <c r="DU13" s="88"/>
      <c r="DV13" s="391"/>
      <c r="DW13" s="627"/>
      <c r="DX13" s="625">
        <f>SUM(DX14:DX15)</f>
        <v>309696579</v>
      </c>
      <c r="DY13" s="626"/>
      <c r="DZ13" s="88"/>
      <c r="EA13" s="391"/>
      <c r="EB13" s="627"/>
      <c r="EC13" s="625">
        <f>SUM(EC14:EC15)</f>
        <v>276331925</v>
      </c>
      <c r="ED13" s="626"/>
      <c r="EE13" s="88"/>
      <c r="EF13" s="391"/>
      <c r="EG13" s="627"/>
      <c r="EH13" s="625">
        <f>SUM(EH14:EH15)</f>
        <v>304271687</v>
      </c>
      <c r="EI13" s="626"/>
      <c r="EJ13" s="88"/>
      <c r="EK13" s="391"/>
      <c r="EL13" s="627"/>
      <c r="EM13" s="625">
        <f>SUM(EM14:EM15)</f>
        <v>238135653</v>
      </c>
      <c r="EN13" s="626"/>
      <c r="EO13" s="88"/>
      <c r="EP13" s="628"/>
      <c r="EQ13" s="442"/>
      <c r="ER13" s="472"/>
    </row>
    <row r="14" spans="1:148" x14ac:dyDescent="0.2">
      <c r="A14" s="442"/>
      <c r="B14" s="442"/>
      <c r="C14" s="442"/>
      <c r="D14" s="455" t="s">
        <v>493</v>
      </c>
      <c r="E14" s="219"/>
      <c r="F14" s="465"/>
      <c r="G14" s="465"/>
      <c r="H14" s="629">
        <v>188785000</v>
      </c>
      <c r="I14" s="87"/>
      <c r="J14" s="88"/>
      <c r="K14" s="391"/>
      <c r="L14" s="391"/>
      <c r="M14" s="629">
        <v>191125443</v>
      </c>
      <c r="N14" s="87"/>
      <c r="O14" s="88"/>
      <c r="P14" s="391"/>
      <c r="Q14" s="391"/>
      <c r="R14" s="629">
        <f>M18</f>
        <v>188398825</v>
      </c>
      <c r="S14" s="87"/>
      <c r="T14" s="88"/>
      <c r="U14" s="391"/>
      <c r="V14" s="391"/>
      <c r="W14" s="629">
        <f>R18</f>
        <v>183966537</v>
      </c>
      <c r="X14" s="87"/>
      <c r="Y14" s="88"/>
      <c r="Z14" s="391"/>
      <c r="AA14" s="391"/>
      <c r="AB14" s="629">
        <f>W18</f>
        <v>0</v>
      </c>
      <c r="AC14" s="87"/>
      <c r="AD14" s="88"/>
      <c r="AE14" s="391"/>
      <c r="AF14" s="391"/>
      <c r="AG14" s="629">
        <f>AB18</f>
        <v>0</v>
      </c>
      <c r="AH14" s="87"/>
      <c r="AI14" s="88"/>
      <c r="AJ14" s="391"/>
      <c r="AK14" s="391"/>
      <c r="AL14" s="629">
        <f>AG18</f>
        <v>0</v>
      </c>
      <c r="AM14" s="87"/>
      <c r="AN14" s="88"/>
      <c r="AO14" s="391"/>
      <c r="AP14" s="391"/>
      <c r="AQ14" s="629">
        <f>AL18</f>
        <v>0</v>
      </c>
      <c r="AR14" s="87"/>
      <c r="AS14" s="88"/>
      <c r="AT14" s="391"/>
      <c r="AU14" s="391"/>
      <c r="AV14" s="629">
        <f>AQ18</f>
        <v>0</v>
      </c>
      <c r="AW14" s="87"/>
      <c r="AX14" s="88"/>
      <c r="AY14" s="391"/>
      <c r="AZ14" s="391"/>
      <c r="BA14" s="629">
        <f>AV18</f>
        <v>0</v>
      </c>
      <c r="BB14" s="87"/>
      <c r="BC14" s="88"/>
      <c r="BD14" s="391"/>
      <c r="BE14" s="391"/>
      <c r="BF14" s="629">
        <f>BA18</f>
        <v>0</v>
      </c>
      <c r="BG14" s="87"/>
      <c r="BH14" s="88"/>
      <c r="BI14" s="391"/>
      <c r="BJ14" s="391"/>
      <c r="BK14" s="629">
        <f>BF18</f>
        <v>0</v>
      </c>
      <c r="BL14" s="87"/>
      <c r="BM14" s="88"/>
      <c r="BN14" s="391"/>
      <c r="BO14" s="391"/>
      <c r="BP14" s="629">
        <f>BK18</f>
        <v>0</v>
      </c>
      <c r="BQ14" s="87"/>
      <c r="BR14" s="88"/>
      <c r="BS14" s="391"/>
      <c r="BT14" s="391"/>
      <c r="BU14" s="630">
        <f>M14</f>
        <v>191125443</v>
      </c>
      <c r="BV14" s="87"/>
      <c r="BW14" s="88"/>
      <c r="BX14" s="391"/>
      <c r="BY14" s="391"/>
      <c r="BZ14" s="629">
        <v>174717635</v>
      </c>
      <c r="CA14" s="87"/>
      <c r="CB14" s="88"/>
      <c r="CC14" s="391"/>
      <c r="CD14" s="391"/>
      <c r="CE14" s="629">
        <v>174717635</v>
      </c>
      <c r="CF14" s="87"/>
      <c r="CG14" s="88"/>
      <c r="CH14" s="391"/>
      <c r="CI14" s="391"/>
      <c r="CJ14" s="629">
        <f>CE18</f>
        <v>171432024</v>
      </c>
      <c r="CK14" s="87"/>
      <c r="CL14" s="88"/>
      <c r="CM14" s="391"/>
      <c r="CN14" s="391"/>
      <c r="CO14" s="629">
        <f>CJ18</f>
        <v>159100607</v>
      </c>
      <c r="CP14" s="87"/>
      <c r="CQ14" s="88"/>
      <c r="CR14" s="391"/>
      <c r="CS14" s="391"/>
      <c r="CT14" s="629">
        <f>CO18</f>
        <v>157556488</v>
      </c>
      <c r="CU14" s="87"/>
      <c r="CV14" s="88"/>
      <c r="CW14" s="391"/>
      <c r="CX14" s="391"/>
      <c r="CY14" s="629">
        <f>CT18</f>
        <v>154393121</v>
      </c>
      <c r="CZ14" s="87"/>
      <c r="DA14" s="88"/>
      <c r="DB14" s="391"/>
      <c r="DC14" s="391"/>
      <c r="DD14" s="629">
        <f>CY18</f>
        <v>153790115</v>
      </c>
      <c r="DE14" s="87"/>
      <c r="DF14" s="88"/>
      <c r="DG14" s="391"/>
      <c r="DH14" s="391"/>
      <c r="DI14" s="629">
        <f>DD18</f>
        <v>226475319</v>
      </c>
      <c r="DJ14" s="87"/>
      <c r="DK14" s="88"/>
      <c r="DL14" s="391"/>
      <c r="DM14" s="391"/>
      <c r="DN14" s="629">
        <f>DI18</f>
        <v>223710506</v>
      </c>
      <c r="DO14" s="87"/>
      <c r="DP14" s="88"/>
      <c r="DQ14" s="391"/>
      <c r="DR14" s="391"/>
      <c r="DS14" s="629">
        <f>DN18</f>
        <v>222808884</v>
      </c>
      <c r="DT14" s="87"/>
      <c r="DU14" s="88"/>
      <c r="DV14" s="391"/>
      <c r="DW14" s="391"/>
      <c r="DX14" s="629">
        <f>DS18</f>
        <v>216296990</v>
      </c>
      <c r="DY14" s="87"/>
      <c r="DZ14" s="88"/>
      <c r="EA14" s="391"/>
      <c r="EB14" s="391"/>
      <c r="EC14" s="629">
        <f>DX18</f>
        <v>214990489</v>
      </c>
      <c r="ED14" s="87"/>
      <c r="EE14" s="88"/>
      <c r="EF14" s="391"/>
      <c r="EG14" s="391"/>
      <c r="EH14" s="629">
        <f>EC18</f>
        <v>214239939</v>
      </c>
      <c r="EI14" s="87"/>
      <c r="EJ14" s="88"/>
      <c r="EK14" s="391"/>
      <c r="EL14" s="391"/>
      <c r="EM14" s="629">
        <f>CE14</f>
        <v>174717635</v>
      </c>
      <c r="EN14" s="87"/>
      <c r="EO14" s="88"/>
      <c r="EP14" s="628"/>
      <c r="EQ14" s="442"/>
    </row>
    <row r="15" spans="1:148" x14ac:dyDescent="0.2">
      <c r="A15" s="442"/>
      <c r="B15" s="442"/>
      <c r="C15" s="442"/>
      <c r="D15" s="455" t="s">
        <v>494</v>
      </c>
      <c r="E15" s="219"/>
      <c r="F15" s="465"/>
      <c r="G15" s="465"/>
      <c r="H15" s="631">
        <v>50000000</v>
      </c>
      <c r="I15" s="87"/>
      <c r="J15" s="88"/>
      <c r="K15" s="391"/>
      <c r="L15" s="391"/>
      <c r="M15" s="631">
        <v>44536225</v>
      </c>
      <c r="N15" s="87"/>
      <c r="O15" s="88"/>
      <c r="P15" s="391"/>
      <c r="Q15" s="391"/>
      <c r="R15" s="631">
        <f>M19</f>
        <v>65747013</v>
      </c>
      <c r="S15" s="87"/>
      <c r="T15" s="88"/>
      <c r="U15" s="391"/>
      <c r="V15" s="391"/>
      <c r="W15" s="631">
        <f>R19</f>
        <v>66829447</v>
      </c>
      <c r="X15" s="87"/>
      <c r="Y15" s="88"/>
      <c r="Z15" s="391"/>
      <c r="AA15" s="391"/>
      <c r="AB15" s="631">
        <f>W19</f>
        <v>0</v>
      </c>
      <c r="AC15" s="87"/>
      <c r="AD15" s="88"/>
      <c r="AE15" s="391"/>
      <c r="AF15" s="391"/>
      <c r="AG15" s="631">
        <f>AB19</f>
        <v>0</v>
      </c>
      <c r="AH15" s="87"/>
      <c r="AI15" s="88"/>
      <c r="AJ15" s="391"/>
      <c r="AK15" s="391"/>
      <c r="AL15" s="631">
        <f>AG19</f>
        <v>0</v>
      </c>
      <c r="AM15" s="87"/>
      <c r="AN15" s="88"/>
      <c r="AO15" s="391"/>
      <c r="AP15" s="391"/>
      <c r="AQ15" s="631">
        <f>AL19</f>
        <v>0</v>
      </c>
      <c r="AR15" s="87"/>
      <c r="AS15" s="88"/>
      <c r="AT15" s="391"/>
      <c r="AU15" s="391"/>
      <c r="AV15" s="631">
        <f>AQ19</f>
        <v>0</v>
      </c>
      <c r="AW15" s="87"/>
      <c r="AX15" s="88"/>
      <c r="AY15" s="391"/>
      <c r="AZ15" s="391"/>
      <c r="BA15" s="631">
        <f>AV19</f>
        <v>0</v>
      </c>
      <c r="BB15" s="87"/>
      <c r="BC15" s="88"/>
      <c r="BD15" s="391"/>
      <c r="BE15" s="391"/>
      <c r="BF15" s="631">
        <f>BA19</f>
        <v>0</v>
      </c>
      <c r="BG15" s="87"/>
      <c r="BH15" s="88"/>
      <c r="BI15" s="391"/>
      <c r="BJ15" s="391"/>
      <c r="BK15" s="631">
        <f>BF19</f>
        <v>0</v>
      </c>
      <c r="BL15" s="87"/>
      <c r="BM15" s="88"/>
      <c r="BN15" s="391"/>
      <c r="BO15" s="391"/>
      <c r="BP15" s="631">
        <f>BK19</f>
        <v>0</v>
      </c>
      <c r="BQ15" s="87"/>
      <c r="BR15" s="88"/>
      <c r="BS15" s="391"/>
      <c r="BT15" s="391"/>
      <c r="BU15" s="111">
        <f>M15</f>
        <v>44536225</v>
      </c>
      <c r="BV15" s="87"/>
      <c r="BW15" s="88"/>
      <c r="BX15" s="391"/>
      <c r="BY15" s="391"/>
      <c r="BZ15" s="631">
        <v>63418018</v>
      </c>
      <c r="CA15" s="87"/>
      <c r="CB15" s="88"/>
      <c r="CC15" s="391"/>
      <c r="CD15" s="391"/>
      <c r="CE15" s="631">
        <v>63418018</v>
      </c>
      <c r="CF15" s="87"/>
      <c r="CG15" s="88"/>
      <c r="CH15" s="391"/>
      <c r="CI15" s="391"/>
      <c r="CJ15" s="631">
        <f>CE19</f>
        <v>27541644</v>
      </c>
      <c r="CK15" s="87"/>
      <c r="CL15" s="88"/>
      <c r="CM15" s="391"/>
      <c r="CN15" s="391"/>
      <c r="CO15" s="631">
        <f>CJ19</f>
        <v>33339485</v>
      </c>
      <c r="CP15" s="87"/>
      <c r="CQ15" s="88"/>
      <c r="CR15" s="391"/>
      <c r="CS15" s="391"/>
      <c r="CT15" s="631">
        <f>CO19</f>
        <v>115078441</v>
      </c>
      <c r="CU15" s="87"/>
      <c r="CV15" s="88"/>
      <c r="CW15" s="391"/>
      <c r="CX15" s="391"/>
      <c r="CY15" s="631">
        <f>CT19</f>
        <v>46756026</v>
      </c>
      <c r="CZ15" s="87"/>
      <c r="DA15" s="88"/>
      <c r="DB15" s="391"/>
      <c r="DC15" s="391"/>
      <c r="DD15" s="631">
        <f>CY19</f>
        <v>36843796</v>
      </c>
      <c r="DE15" s="87"/>
      <c r="DF15" s="88"/>
      <c r="DG15" s="391"/>
      <c r="DH15" s="391"/>
      <c r="DI15" s="631">
        <f>DD19</f>
        <v>68686871</v>
      </c>
      <c r="DJ15" s="87"/>
      <c r="DK15" s="88"/>
      <c r="DL15" s="391"/>
      <c r="DM15" s="391"/>
      <c r="DN15" s="631">
        <f>DI19</f>
        <v>68719811</v>
      </c>
      <c r="DO15" s="87"/>
      <c r="DP15" s="88"/>
      <c r="DQ15" s="391"/>
      <c r="DR15" s="391"/>
      <c r="DS15" s="631">
        <f>DN19</f>
        <v>78991172</v>
      </c>
      <c r="DT15" s="87"/>
      <c r="DU15" s="88"/>
      <c r="DV15" s="391"/>
      <c r="DW15" s="391"/>
      <c r="DX15" s="631">
        <f>DS19</f>
        <v>93399589</v>
      </c>
      <c r="DY15" s="87"/>
      <c r="DZ15" s="88"/>
      <c r="EA15" s="391"/>
      <c r="EB15" s="391"/>
      <c r="EC15" s="631">
        <f>DX19</f>
        <v>61341436</v>
      </c>
      <c r="ED15" s="87"/>
      <c r="EE15" s="88"/>
      <c r="EF15" s="391"/>
      <c r="EG15" s="391"/>
      <c r="EH15" s="631">
        <f>EC19</f>
        <v>90031748</v>
      </c>
      <c r="EI15" s="87"/>
      <c r="EJ15" s="88"/>
      <c r="EK15" s="391"/>
      <c r="EL15" s="391"/>
      <c r="EM15" s="631">
        <f>CE15</f>
        <v>63418018</v>
      </c>
      <c r="EN15" s="87"/>
      <c r="EO15" s="88"/>
      <c r="EP15" s="628"/>
      <c r="EQ15" s="442"/>
    </row>
    <row r="16" spans="1:148" x14ac:dyDescent="0.2">
      <c r="A16" s="442"/>
      <c r="B16" s="442"/>
      <c r="C16" s="442"/>
      <c r="D16" s="455"/>
      <c r="E16" s="219"/>
      <c r="F16" s="465"/>
      <c r="G16" s="465"/>
      <c r="H16" s="88"/>
      <c r="I16" s="87"/>
      <c r="J16" s="88"/>
      <c r="K16" s="391"/>
      <c r="L16" s="391"/>
      <c r="M16" s="88"/>
      <c r="N16" s="87"/>
      <c r="O16" s="88"/>
      <c r="P16" s="391"/>
      <c r="Q16" s="391"/>
      <c r="R16" s="88"/>
      <c r="S16" s="87"/>
      <c r="T16" s="88"/>
      <c r="U16" s="391"/>
      <c r="V16" s="391"/>
      <c r="W16" s="88"/>
      <c r="X16" s="87"/>
      <c r="Y16" s="88"/>
      <c r="Z16" s="391"/>
      <c r="AA16" s="391"/>
      <c r="AB16" s="88"/>
      <c r="AC16" s="87"/>
      <c r="AD16" s="88"/>
      <c r="AE16" s="391"/>
      <c r="AF16" s="391"/>
      <c r="AG16" s="88"/>
      <c r="AH16" s="87"/>
      <c r="AI16" s="88"/>
      <c r="AJ16" s="391"/>
      <c r="AK16" s="391"/>
      <c r="AL16" s="88"/>
      <c r="AM16" s="87"/>
      <c r="AN16" s="88"/>
      <c r="AO16" s="391"/>
      <c r="AP16" s="391"/>
      <c r="AQ16" s="88"/>
      <c r="AR16" s="87"/>
      <c r="AS16" s="88"/>
      <c r="AT16" s="391"/>
      <c r="AU16" s="391"/>
      <c r="AV16" s="88"/>
      <c r="AW16" s="87"/>
      <c r="AX16" s="88"/>
      <c r="AY16" s="391"/>
      <c r="AZ16" s="391"/>
      <c r="BA16" s="88"/>
      <c r="BB16" s="87"/>
      <c r="BC16" s="88"/>
      <c r="BD16" s="391"/>
      <c r="BE16" s="391"/>
      <c r="BF16" s="88"/>
      <c r="BG16" s="87"/>
      <c r="BH16" s="88"/>
      <c r="BI16" s="391"/>
      <c r="BJ16" s="391"/>
      <c r="BK16" s="88"/>
      <c r="BL16" s="87"/>
      <c r="BM16" s="88"/>
      <c r="BN16" s="391"/>
      <c r="BO16" s="391"/>
      <c r="BP16" s="88"/>
      <c r="BQ16" s="87"/>
      <c r="BR16" s="88"/>
      <c r="BS16" s="391"/>
      <c r="BT16" s="391"/>
      <c r="BU16" s="88"/>
      <c r="BV16" s="87"/>
      <c r="BW16" s="88"/>
      <c r="BX16" s="391"/>
      <c r="BY16" s="391"/>
      <c r="BZ16" s="88"/>
      <c r="CA16" s="87"/>
      <c r="CB16" s="88"/>
      <c r="CC16" s="391"/>
      <c r="CD16" s="391"/>
      <c r="CE16" s="88"/>
      <c r="CF16" s="87"/>
      <c r="CG16" s="88"/>
      <c r="CH16" s="391"/>
      <c r="CI16" s="391"/>
      <c r="CJ16" s="88"/>
      <c r="CK16" s="87"/>
      <c r="CL16" s="88"/>
      <c r="CM16" s="391"/>
      <c r="CN16" s="391"/>
      <c r="CO16" s="88"/>
      <c r="CP16" s="87"/>
      <c r="CQ16" s="88"/>
      <c r="CR16" s="391"/>
      <c r="CS16" s="391"/>
      <c r="CT16" s="88"/>
      <c r="CU16" s="87"/>
      <c r="CV16" s="88"/>
      <c r="CW16" s="391"/>
      <c r="CX16" s="391"/>
      <c r="CY16" s="88"/>
      <c r="CZ16" s="87"/>
      <c r="DA16" s="88"/>
      <c r="DB16" s="391"/>
      <c r="DC16" s="391"/>
      <c r="DD16" s="88"/>
      <c r="DE16" s="87"/>
      <c r="DF16" s="88"/>
      <c r="DG16" s="391"/>
      <c r="DH16" s="391"/>
      <c r="DI16" s="88"/>
      <c r="DJ16" s="87"/>
      <c r="DK16" s="88"/>
      <c r="DL16" s="391"/>
      <c r="DM16" s="391"/>
      <c r="DN16" s="88"/>
      <c r="DO16" s="87"/>
      <c r="DP16" s="88"/>
      <c r="DQ16" s="391"/>
      <c r="DR16" s="391"/>
      <c r="DS16" s="88"/>
      <c r="DT16" s="87"/>
      <c r="DU16" s="88"/>
      <c r="DV16" s="391"/>
      <c r="DW16" s="391"/>
      <c r="DX16" s="88"/>
      <c r="DY16" s="87"/>
      <c r="DZ16" s="88"/>
      <c r="EA16" s="391"/>
      <c r="EB16" s="391"/>
      <c r="EC16" s="88"/>
      <c r="ED16" s="87"/>
      <c r="EE16" s="88"/>
      <c r="EF16" s="391"/>
      <c r="EG16" s="391"/>
      <c r="EH16" s="88"/>
      <c r="EI16" s="87"/>
      <c r="EJ16" s="88"/>
      <c r="EK16" s="391"/>
      <c r="EL16" s="391"/>
      <c r="EM16" s="88"/>
      <c r="EN16" s="87"/>
      <c r="EO16" s="88"/>
      <c r="EP16" s="628"/>
      <c r="EQ16" s="442"/>
      <c r="ER16" s="472"/>
    </row>
    <row r="17" spans="1:154" x14ac:dyDescent="0.2">
      <c r="A17" s="442"/>
      <c r="B17" s="442"/>
      <c r="C17" s="442"/>
      <c r="D17" s="455" t="s">
        <v>495</v>
      </c>
      <c r="E17" s="219"/>
      <c r="F17" s="465"/>
      <c r="G17" s="465"/>
      <c r="H17" s="88">
        <f>SUM(H18:H19)</f>
        <v>226189000</v>
      </c>
      <c r="I17" s="87"/>
      <c r="J17" s="88"/>
      <c r="K17" s="391"/>
      <c r="L17" s="391"/>
      <c r="M17" s="88">
        <f>SUM(M18:M19)</f>
        <v>254145838</v>
      </c>
      <c r="N17" s="87"/>
      <c r="O17" s="88"/>
      <c r="P17" s="391"/>
      <c r="Q17" s="391"/>
      <c r="R17" s="88">
        <f>SUM(R18:R19)</f>
        <v>250795984</v>
      </c>
      <c r="S17" s="87"/>
      <c r="T17" s="88"/>
      <c r="U17" s="391"/>
      <c r="V17" s="391"/>
      <c r="W17" s="88">
        <f>SUM(W18:W19)</f>
        <v>0</v>
      </c>
      <c r="X17" s="87"/>
      <c r="Y17" s="88"/>
      <c r="Z17" s="391"/>
      <c r="AA17" s="391"/>
      <c r="AB17" s="88">
        <f>SUM(AB18:AB19)</f>
        <v>0</v>
      </c>
      <c r="AC17" s="87"/>
      <c r="AD17" s="88"/>
      <c r="AE17" s="391"/>
      <c r="AF17" s="391"/>
      <c r="AG17" s="88">
        <f>SUM(AG18:AG19)</f>
        <v>0</v>
      </c>
      <c r="AH17" s="87"/>
      <c r="AI17" s="88"/>
      <c r="AJ17" s="391"/>
      <c r="AK17" s="391"/>
      <c r="AL17" s="88">
        <f>SUM(AL18:AL19)</f>
        <v>0</v>
      </c>
      <c r="AM17" s="87"/>
      <c r="AN17" s="88"/>
      <c r="AO17" s="391"/>
      <c r="AP17" s="391"/>
      <c r="AQ17" s="88">
        <f>SUM(AQ18:AQ19)</f>
        <v>0</v>
      </c>
      <c r="AR17" s="87"/>
      <c r="AS17" s="88"/>
      <c r="AT17" s="391"/>
      <c r="AU17" s="391"/>
      <c r="AV17" s="88">
        <f>SUM(AV18:AV19)</f>
        <v>0</v>
      </c>
      <c r="AW17" s="87"/>
      <c r="AX17" s="88"/>
      <c r="AY17" s="391"/>
      <c r="AZ17" s="391"/>
      <c r="BA17" s="88">
        <f>SUM(BA18:BA19)</f>
        <v>0</v>
      </c>
      <c r="BB17" s="87"/>
      <c r="BC17" s="88"/>
      <c r="BD17" s="391"/>
      <c r="BE17" s="391"/>
      <c r="BF17" s="88">
        <f>SUM(BF18:BF19)</f>
        <v>0</v>
      </c>
      <c r="BG17" s="87"/>
      <c r="BH17" s="88"/>
      <c r="BI17" s="391"/>
      <c r="BJ17" s="391"/>
      <c r="BK17" s="88">
        <f>SUM(BK18:BK19)</f>
        <v>0</v>
      </c>
      <c r="BL17" s="87"/>
      <c r="BM17" s="88"/>
      <c r="BN17" s="391"/>
      <c r="BO17" s="391"/>
      <c r="BP17" s="88">
        <f>SUM(BP18:BP19)</f>
        <v>0</v>
      </c>
      <c r="BQ17" s="87"/>
      <c r="BR17" s="88"/>
      <c r="BS17" s="391"/>
      <c r="BT17" s="391"/>
      <c r="BU17" s="88">
        <f>SUM(BU18:BU19)</f>
        <v>250795984</v>
      </c>
      <c r="BV17" s="87"/>
      <c r="BW17" s="88"/>
      <c r="BX17" s="391"/>
      <c r="BY17" s="391"/>
      <c r="BZ17" s="88">
        <f>SUM(BZ18:BZ19)</f>
        <v>235661668</v>
      </c>
      <c r="CA17" s="87"/>
      <c r="CB17" s="88"/>
      <c r="CC17" s="391"/>
      <c r="CD17" s="391"/>
      <c r="CE17" s="88">
        <f>SUM(CE18:CE19)</f>
        <v>198973668</v>
      </c>
      <c r="CF17" s="87"/>
      <c r="CG17" s="88"/>
      <c r="CH17" s="391"/>
      <c r="CI17" s="391"/>
      <c r="CJ17" s="88">
        <f>SUM(CJ18:CJ19)</f>
        <v>192440092</v>
      </c>
      <c r="CK17" s="87"/>
      <c r="CL17" s="88"/>
      <c r="CM17" s="391"/>
      <c r="CN17" s="391"/>
      <c r="CO17" s="88">
        <f>SUM(CO18:CO19)</f>
        <v>272634929</v>
      </c>
      <c r="CP17" s="87"/>
      <c r="CQ17" s="88"/>
      <c r="CR17" s="391"/>
      <c r="CS17" s="391"/>
      <c r="CT17" s="88">
        <f>SUM(CT18:CT19)</f>
        <v>201149147</v>
      </c>
      <c r="CU17" s="87"/>
      <c r="CV17" s="88"/>
      <c r="CW17" s="391"/>
      <c r="CX17" s="391"/>
      <c r="CY17" s="88">
        <f>SUM(CY18:CY19)</f>
        <v>190633911</v>
      </c>
      <c r="CZ17" s="87"/>
      <c r="DA17" s="88"/>
      <c r="DB17" s="391"/>
      <c r="DC17" s="391"/>
      <c r="DD17" s="88">
        <f>SUM(DD18:DD19)</f>
        <v>295162190</v>
      </c>
      <c r="DE17" s="87"/>
      <c r="DF17" s="88"/>
      <c r="DG17" s="391"/>
      <c r="DH17" s="391"/>
      <c r="DI17" s="88">
        <f>SUM(DI18:DI19)</f>
        <v>292430317</v>
      </c>
      <c r="DJ17" s="87"/>
      <c r="DK17" s="88"/>
      <c r="DL17" s="391"/>
      <c r="DM17" s="391"/>
      <c r="DN17" s="88">
        <f>SUM(DN18:DN19)</f>
        <v>301800056</v>
      </c>
      <c r="DO17" s="87"/>
      <c r="DP17" s="88"/>
      <c r="DQ17" s="391"/>
      <c r="DR17" s="391"/>
      <c r="DS17" s="88">
        <f>SUM(DS18:DS19)</f>
        <v>309696579</v>
      </c>
      <c r="DT17" s="87"/>
      <c r="DU17" s="88"/>
      <c r="DV17" s="391"/>
      <c r="DW17" s="391"/>
      <c r="DX17" s="88">
        <f>SUM(DX18:DX19)</f>
        <v>276331925</v>
      </c>
      <c r="DY17" s="87"/>
      <c r="DZ17" s="88"/>
      <c r="EA17" s="391"/>
      <c r="EB17" s="391"/>
      <c r="EC17" s="88">
        <f>SUM(EC18:EC19)</f>
        <v>304271687</v>
      </c>
      <c r="ED17" s="87"/>
      <c r="EE17" s="88"/>
      <c r="EF17" s="391"/>
      <c r="EG17" s="391"/>
      <c r="EH17" s="88">
        <f>SUM(EH18:EH19)</f>
        <v>235661668</v>
      </c>
      <c r="EI17" s="87"/>
      <c r="EJ17" s="88"/>
      <c r="EK17" s="391"/>
      <c r="EL17" s="391"/>
      <c r="EM17" s="88">
        <f>SUM(EM18:EM19)</f>
        <v>192440092</v>
      </c>
      <c r="EN17" s="87"/>
      <c r="EO17" s="88"/>
      <c r="EP17" s="628"/>
      <c r="EQ17" s="442"/>
      <c r="ER17" s="472"/>
    </row>
    <row r="18" spans="1:154" x14ac:dyDescent="0.2">
      <c r="A18" s="442"/>
      <c r="B18" s="442"/>
      <c r="C18" s="442"/>
      <c r="D18" s="455" t="s">
        <v>493</v>
      </c>
      <c r="E18" s="219"/>
      <c r="F18" s="465"/>
      <c r="G18" s="465"/>
      <c r="H18" s="629">
        <v>176189000</v>
      </c>
      <c r="I18" s="87"/>
      <c r="J18" s="88"/>
      <c r="K18" s="391"/>
      <c r="L18" s="391"/>
      <c r="M18" s="629">
        <v>188398825</v>
      </c>
      <c r="N18" s="87"/>
      <c r="O18" s="88"/>
      <c r="P18" s="391"/>
      <c r="Q18" s="391"/>
      <c r="R18" s="629">
        <v>183966537</v>
      </c>
      <c r="S18" s="87"/>
      <c r="T18" s="88"/>
      <c r="U18" s="391"/>
      <c r="V18" s="391"/>
      <c r="W18" s="629">
        <v>0</v>
      </c>
      <c r="X18" s="87"/>
      <c r="Y18" s="88"/>
      <c r="Z18" s="391"/>
      <c r="AA18" s="391"/>
      <c r="AB18" s="629">
        <v>0</v>
      </c>
      <c r="AC18" s="87"/>
      <c r="AD18" s="88"/>
      <c r="AE18" s="391"/>
      <c r="AF18" s="391"/>
      <c r="AG18" s="629">
        <v>0</v>
      </c>
      <c r="AH18" s="87"/>
      <c r="AI18" s="88"/>
      <c r="AJ18" s="391"/>
      <c r="AK18" s="391"/>
      <c r="AL18" s="629">
        <v>0</v>
      </c>
      <c r="AM18" s="87"/>
      <c r="AN18" s="88"/>
      <c r="AO18" s="391"/>
      <c r="AP18" s="391"/>
      <c r="AQ18" s="629">
        <v>0</v>
      </c>
      <c r="AR18" s="87"/>
      <c r="AS18" s="88"/>
      <c r="AT18" s="391"/>
      <c r="AU18" s="391"/>
      <c r="AV18" s="629">
        <v>0</v>
      </c>
      <c r="AW18" s="87"/>
      <c r="AX18" s="88"/>
      <c r="AY18" s="391"/>
      <c r="AZ18" s="391"/>
      <c r="BA18" s="629">
        <v>0</v>
      </c>
      <c r="BB18" s="87"/>
      <c r="BC18" s="88"/>
      <c r="BD18" s="391"/>
      <c r="BE18" s="391"/>
      <c r="BF18" s="629">
        <v>0</v>
      </c>
      <c r="BG18" s="87"/>
      <c r="BH18" s="88"/>
      <c r="BI18" s="391"/>
      <c r="BJ18" s="391"/>
      <c r="BK18" s="629">
        <v>0</v>
      </c>
      <c r="BL18" s="87"/>
      <c r="BM18" s="88"/>
      <c r="BN18" s="391"/>
      <c r="BO18" s="391"/>
      <c r="BP18" s="629">
        <v>0</v>
      </c>
      <c r="BQ18" s="87"/>
      <c r="BR18" s="88"/>
      <c r="BS18" s="391"/>
      <c r="BT18" s="391"/>
      <c r="BU18" s="629">
        <f>R18</f>
        <v>183966537</v>
      </c>
      <c r="BV18" s="87"/>
      <c r="BW18" s="88"/>
      <c r="BX18" s="391"/>
      <c r="BY18" s="391"/>
      <c r="BZ18" s="629">
        <v>191125443</v>
      </c>
      <c r="CA18" s="87"/>
      <c r="CB18" s="88"/>
      <c r="CC18" s="391"/>
      <c r="CD18" s="391"/>
      <c r="CE18" s="629">
        <v>171432024</v>
      </c>
      <c r="CF18" s="87"/>
      <c r="CG18" s="88"/>
      <c r="CH18" s="391"/>
      <c r="CI18" s="391"/>
      <c r="CJ18" s="629">
        <v>159100607</v>
      </c>
      <c r="CK18" s="87"/>
      <c r="CL18" s="88"/>
      <c r="CM18" s="391"/>
      <c r="CN18" s="391"/>
      <c r="CO18" s="629">
        <v>157556488</v>
      </c>
      <c r="CP18" s="87"/>
      <c r="CQ18" s="88"/>
      <c r="CR18" s="391"/>
      <c r="CS18" s="391"/>
      <c r="CT18" s="629">
        <v>154393121</v>
      </c>
      <c r="CU18" s="87"/>
      <c r="CV18" s="88"/>
      <c r="CW18" s="391"/>
      <c r="CX18" s="391"/>
      <c r="CY18" s="629">
        <v>153790115</v>
      </c>
      <c r="CZ18" s="87"/>
      <c r="DA18" s="88"/>
      <c r="DB18" s="391"/>
      <c r="DC18" s="391"/>
      <c r="DD18" s="629">
        <v>226475319</v>
      </c>
      <c r="DE18" s="87"/>
      <c r="DF18" s="88"/>
      <c r="DG18" s="391"/>
      <c r="DH18" s="391"/>
      <c r="DI18" s="629">
        <v>223710506</v>
      </c>
      <c r="DJ18" s="87"/>
      <c r="DK18" s="88"/>
      <c r="DL18" s="391"/>
      <c r="DM18" s="391"/>
      <c r="DN18" s="629">
        <v>222808884</v>
      </c>
      <c r="DO18" s="87"/>
      <c r="DP18" s="88"/>
      <c r="DQ18" s="391"/>
      <c r="DR18" s="391"/>
      <c r="DS18" s="629">
        <v>216296990</v>
      </c>
      <c r="DT18" s="87"/>
      <c r="DU18" s="88"/>
      <c r="DV18" s="391"/>
      <c r="DW18" s="391"/>
      <c r="DX18" s="629">
        <v>214990489</v>
      </c>
      <c r="DY18" s="87"/>
      <c r="DZ18" s="88"/>
      <c r="EA18" s="391"/>
      <c r="EB18" s="391"/>
      <c r="EC18" s="629">
        <v>214239939</v>
      </c>
      <c r="ED18" s="87"/>
      <c r="EE18" s="88"/>
      <c r="EF18" s="391"/>
      <c r="EG18" s="391"/>
      <c r="EH18" s="629">
        <v>191125443</v>
      </c>
      <c r="EI18" s="87"/>
      <c r="EJ18" s="88"/>
      <c r="EK18" s="391"/>
      <c r="EL18" s="391"/>
      <c r="EM18" s="629">
        <f>CJ18</f>
        <v>159100607</v>
      </c>
      <c r="EN18" s="87"/>
      <c r="EO18" s="88"/>
      <c r="EP18" s="628"/>
      <c r="EQ18" s="442"/>
      <c r="ER18" s="472"/>
    </row>
    <row r="19" spans="1:154" x14ac:dyDescent="0.2">
      <c r="A19" s="442"/>
      <c r="B19" s="442"/>
      <c r="C19" s="442"/>
      <c r="D19" s="455" t="s">
        <v>494</v>
      </c>
      <c r="E19" s="219"/>
      <c r="F19" s="465"/>
      <c r="G19" s="465"/>
      <c r="H19" s="631">
        <v>50000000</v>
      </c>
      <c r="I19" s="87"/>
      <c r="J19" s="88"/>
      <c r="K19" s="391"/>
      <c r="L19" s="391"/>
      <c r="M19" s="631">
        <v>65747013</v>
      </c>
      <c r="N19" s="87"/>
      <c r="O19" s="88"/>
      <c r="P19" s="391"/>
      <c r="Q19" s="391"/>
      <c r="R19" s="631">
        <v>66829447</v>
      </c>
      <c r="S19" s="87"/>
      <c r="T19" s="88"/>
      <c r="U19" s="391"/>
      <c r="V19" s="391"/>
      <c r="W19" s="631">
        <v>0</v>
      </c>
      <c r="X19" s="87"/>
      <c r="Y19" s="88"/>
      <c r="Z19" s="391"/>
      <c r="AA19" s="391"/>
      <c r="AB19" s="631">
        <v>0</v>
      </c>
      <c r="AC19" s="87"/>
      <c r="AD19" s="88"/>
      <c r="AE19" s="391"/>
      <c r="AF19" s="391"/>
      <c r="AG19" s="631">
        <v>0</v>
      </c>
      <c r="AH19" s="87"/>
      <c r="AI19" s="88"/>
      <c r="AJ19" s="391"/>
      <c r="AK19" s="391"/>
      <c r="AL19" s="631">
        <v>0</v>
      </c>
      <c r="AM19" s="87"/>
      <c r="AN19" s="88"/>
      <c r="AO19" s="391"/>
      <c r="AP19" s="391"/>
      <c r="AQ19" s="631">
        <v>0</v>
      </c>
      <c r="AR19" s="87"/>
      <c r="AS19" s="88"/>
      <c r="AT19" s="391"/>
      <c r="AU19" s="391"/>
      <c r="AV19" s="631">
        <v>0</v>
      </c>
      <c r="AW19" s="87"/>
      <c r="AX19" s="88"/>
      <c r="AY19" s="391"/>
      <c r="AZ19" s="391"/>
      <c r="BA19" s="631">
        <v>0</v>
      </c>
      <c r="BB19" s="87"/>
      <c r="BC19" s="88"/>
      <c r="BD19" s="391"/>
      <c r="BE19" s="391"/>
      <c r="BF19" s="631">
        <v>0</v>
      </c>
      <c r="BG19" s="87"/>
      <c r="BH19" s="88"/>
      <c r="BI19" s="391"/>
      <c r="BJ19" s="391"/>
      <c r="BK19" s="631">
        <v>0</v>
      </c>
      <c r="BL19" s="87"/>
      <c r="BM19" s="88"/>
      <c r="BN19" s="391"/>
      <c r="BO19" s="391"/>
      <c r="BP19" s="631">
        <v>0</v>
      </c>
      <c r="BQ19" s="87"/>
      <c r="BR19" s="88"/>
      <c r="BS19" s="391"/>
      <c r="BT19" s="391"/>
      <c r="BU19" s="631">
        <f>R19</f>
        <v>66829447</v>
      </c>
      <c r="BV19" s="87"/>
      <c r="BW19" s="88"/>
      <c r="BX19" s="391"/>
      <c r="BY19" s="391"/>
      <c r="BZ19" s="631">
        <v>44536225</v>
      </c>
      <c r="CA19" s="87"/>
      <c r="CB19" s="88"/>
      <c r="CC19" s="391"/>
      <c r="CD19" s="391"/>
      <c r="CE19" s="631">
        <v>27541644</v>
      </c>
      <c r="CF19" s="87"/>
      <c r="CG19" s="88"/>
      <c r="CH19" s="391"/>
      <c r="CI19" s="391"/>
      <c r="CJ19" s="631">
        <v>33339485</v>
      </c>
      <c r="CK19" s="87"/>
      <c r="CL19" s="88"/>
      <c r="CM19" s="391"/>
      <c r="CN19" s="391"/>
      <c r="CO19" s="631">
        <v>115078441</v>
      </c>
      <c r="CP19" s="87"/>
      <c r="CQ19" s="88"/>
      <c r="CR19" s="391"/>
      <c r="CS19" s="391"/>
      <c r="CT19" s="631">
        <v>46756026</v>
      </c>
      <c r="CU19" s="87"/>
      <c r="CV19" s="88"/>
      <c r="CW19" s="391"/>
      <c r="CX19" s="391"/>
      <c r="CY19" s="631">
        <v>36843796</v>
      </c>
      <c r="CZ19" s="87"/>
      <c r="DA19" s="88"/>
      <c r="DB19" s="391"/>
      <c r="DC19" s="391"/>
      <c r="DD19" s="631">
        <v>68686871</v>
      </c>
      <c r="DE19" s="87"/>
      <c r="DF19" s="88"/>
      <c r="DG19" s="391"/>
      <c r="DH19" s="391"/>
      <c r="DI19" s="631">
        <v>68719811</v>
      </c>
      <c r="DJ19" s="87"/>
      <c r="DK19" s="88"/>
      <c r="DL19" s="391"/>
      <c r="DM19" s="391"/>
      <c r="DN19" s="631">
        <v>78991172</v>
      </c>
      <c r="DO19" s="87"/>
      <c r="DP19" s="88"/>
      <c r="DQ19" s="391"/>
      <c r="DR19" s="391"/>
      <c r="DS19" s="631">
        <v>93399589</v>
      </c>
      <c r="DT19" s="87"/>
      <c r="DU19" s="88"/>
      <c r="DV19" s="391"/>
      <c r="DW19" s="391"/>
      <c r="DX19" s="631">
        <v>61341436</v>
      </c>
      <c r="DY19" s="87"/>
      <c r="DZ19" s="88"/>
      <c r="EA19" s="391"/>
      <c r="EB19" s="391"/>
      <c r="EC19" s="631">
        <v>90031748</v>
      </c>
      <c r="ED19" s="87"/>
      <c r="EE19" s="88"/>
      <c r="EF19" s="391"/>
      <c r="EG19" s="391"/>
      <c r="EH19" s="631">
        <v>44536225</v>
      </c>
      <c r="EI19" s="87"/>
      <c r="EJ19" s="88"/>
      <c r="EK19" s="391"/>
      <c r="EL19" s="391"/>
      <c r="EM19" s="631">
        <f>CJ19</f>
        <v>33339485</v>
      </c>
      <c r="EN19" s="87"/>
      <c r="EO19" s="88"/>
      <c r="EP19" s="628"/>
      <c r="EQ19" s="442"/>
      <c r="ER19" s="472"/>
    </row>
    <row r="20" spans="1:154" x14ac:dyDescent="0.2">
      <c r="A20" s="442"/>
      <c r="B20" s="442"/>
      <c r="C20" s="442"/>
      <c r="D20" s="455"/>
      <c r="E20" s="219"/>
      <c r="F20" s="465"/>
      <c r="G20" s="488"/>
      <c r="H20" s="632"/>
      <c r="I20" s="633"/>
      <c r="J20" s="88"/>
      <c r="K20" s="391"/>
      <c r="L20" s="634"/>
      <c r="M20" s="632"/>
      <c r="N20" s="633"/>
      <c r="O20" s="88"/>
      <c r="P20" s="391"/>
      <c r="Q20" s="634"/>
      <c r="R20" s="632"/>
      <c r="S20" s="633"/>
      <c r="T20" s="88"/>
      <c r="U20" s="391"/>
      <c r="V20" s="634"/>
      <c r="W20" s="632"/>
      <c r="X20" s="633"/>
      <c r="Y20" s="88"/>
      <c r="Z20" s="391"/>
      <c r="AA20" s="634"/>
      <c r="AB20" s="632"/>
      <c r="AC20" s="633"/>
      <c r="AD20" s="88"/>
      <c r="AE20" s="391"/>
      <c r="AF20" s="634"/>
      <c r="AG20" s="632"/>
      <c r="AH20" s="633"/>
      <c r="AI20" s="88"/>
      <c r="AJ20" s="391"/>
      <c r="AK20" s="634"/>
      <c r="AL20" s="632"/>
      <c r="AM20" s="633"/>
      <c r="AN20" s="88"/>
      <c r="AO20" s="391"/>
      <c r="AP20" s="634"/>
      <c r="AQ20" s="632"/>
      <c r="AR20" s="633"/>
      <c r="AS20" s="88"/>
      <c r="AT20" s="391"/>
      <c r="AU20" s="634"/>
      <c r="AV20" s="632"/>
      <c r="AW20" s="633"/>
      <c r="AX20" s="88"/>
      <c r="AY20" s="391"/>
      <c r="AZ20" s="634"/>
      <c r="BA20" s="632"/>
      <c r="BB20" s="633"/>
      <c r="BC20" s="88"/>
      <c r="BD20" s="391"/>
      <c r="BE20" s="634"/>
      <c r="BF20" s="632"/>
      <c r="BG20" s="633"/>
      <c r="BH20" s="88"/>
      <c r="BI20" s="391"/>
      <c r="BJ20" s="634"/>
      <c r="BK20" s="632"/>
      <c r="BL20" s="633"/>
      <c r="BM20" s="88"/>
      <c r="BN20" s="391"/>
      <c r="BO20" s="634"/>
      <c r="BP20" s="632"/>
      <c r="BQ20" s="633"/>
      <c r="BR20" s="88"/>
      <c r="BS20" s="391"/>
      <c r="BT20" s="634"/>
      <c r="BU20" s="632"/>
      <c r="BV20" s="633"/>
      <c r="BW20" s="88"/>
      <c r="BX20" s="391"/>
      <c r="BY20" s="634"/>
      <c r="BZ20" s="632"/>
      <c r="CA20" s="633"/>
      <c r="CB20" s="88"/>
      <c r="CC20" s="391"/>
      <c r="CD20" s="634"/>
      <c r="CE20" s="632"/>
      <c r="CF20" s="633"/>
      <c r="CG20" s="88"/>
      <c r="CH20" s="391"/>
      <c r="CI20" s="634"/>
      <c r="CJ20" s="632"/>
      <c r="CK20" s="633"/>
      <c r="CL20" s="88"/>
      <c r="CM20" s="391"/>
      <c r="CN20" s="634"/>
      <c r="CO20" s="632"/>
      <c r="CP20" s="633"/>
      <c r="CQ20" s="88"/>
      <c r="CR20" s="391"/>
      <c r="CS20" s="634"/>
      <c r="CT20" s="632"/>
      <c r="CU20" s="633"/>
      <c r="CV20" s="88"/>
      <c r="CW20" s="391"/>
      <c r="CX20" s="634"/>
      <c r="CY20" s="632"/>
      <c r="CZ20" s="633"/>
      <c r="DA20" s="88"/>
      <c r="DB20" s="391"/>
      <c r="DC20" s="634"/>
      <c r="DD20" s="632"/>
      <c r="DE20" s="633"/>
      <c r="DF20" s="88"/>
      <c r="DG20" s="391"/>
      <c r="DH20" s="634"/>
      <c r="DI20" s="632"/>
      <c r="DJ20" s="633"/>
      <c r="DK20" s="88"/>
      <c r="DL20" s="391"/>
      <c r="DM20" s="634"/>
      <c r="DN20" s="632"/>
      <c r="DO20" s="633"/>
      <c r="DP20" s="88"/>
      <c r="DQ20" s="391"/>
      <c r="DR20" s="634"/>
      <c r="DS20" s="632"/>
      <c r="DT20" s="633"/>
      <c r="DU20" s="88"/>
      <c r="DV20" s="391"/>
      <c r="DW20" s="634"/>
      <c r="DX20" s="632"/>
      <c r="DY20" s="633"/>
      <c r="DZ20" s="88"/>
      <c r="EA20" s="391"/>
      <c r="EB20" s="634"/>
      <c r="EC20" s="632"/>
      <c r="ED20" s="633"/>
      <c r="EE20" s="88"/>
      <c r="EF20" s="391"/>
      <c r="EG20" s="634"/>
      <c r="EH20" s="632"/>
      <c r="EI20" s="633"/>
      <c r="EJ20" s="88"/>
      <c r="EK20" s="391"/>
      <c r="EL20" s="634"/>
      <c r="EM20" s="632"/>
      <c r="EN20" s="633"/>
      <c r="EO20" s="88"/>
      <c r="EP20" s="628"/>
      <c r="EQ20" s="442"/>
      <c r="ER20" s="472"/>
    </row>
    <row r="21" spans="1:154" x14ac:dyDescent="0.2">
      <c r="A21" s="442"/>
      <c r="B21" s="442"/>
      <c r="C21" s="442"/>
      <c r="D21" s="455"/>
      <c r="E21" s="219"/>
      <c r="F21" s="465"/>
      <c r="G21" s="442"/>
      <c r="H21" s="493"/>
      <c r="I21" s="493"/>
      <c r="J21" s="493"/>
      <c r="K21" s="492"/>
      <c r="L21" s="493"/>
      <c r="M21" s="493"/>
      <c r="N21" s="493"/>
      <c r="O21" s="493"/>
      <c r="P21" s="492"/>
      <c r="Q21" s="493"/>
      <c r="R21" s="493"/>
      <c r="S21" s="493"/>
      <c r="T21" s="493"/>
      <c r="U21" s="492"/>
      <c r="V21" s="493"/>
      <c r="W21" s="493"/>
      <c r="X21" s="493"/>
      <c r="Y21" s="493"/>
      <c r="Z21" s="492"/>
      <c r="AA21" s="493"/>
      <c r="AB21" s="493"/>
      <c r="AC21" s="493"/>
      <c r="AD21" s="493"/>
      <c r="AE21" s="492"/>
      <c r="AF21" s="493"/>
      <c r="AG21" s="493"/>
      <c r="AH21" s="493"/>
      <c r="AI21" s="493"/>
      <c r="AJ21" s="492"/>
      <c r="AK21" s="493"/>
      <c r="AL21" s="493"/>
      <c r="AM21" s="493"/>
      <c r="AN21" s="493"/>
      <c r="AO21" s="492"/>
      <c r="AP21" s="493"/>
      <c r="AQ21" s="493"/>
      <c r="AR21" s="493"/>
      <c r="AS21" s="493"/>
      <c r="AT21" s="492"/>
      <c r="AU21" s="493"/>
      <c r="AV21" s="493"/>
      <c r="AW21" s="493"/>
      <c r="AX21" s="493"/>
      <c r="AY21" s="492"/>
      <c r="AZ21" s="493"/>
      <c r="BA21" s="493"/>
      <c r="BB21" s="493"/>
      <c r="BC21" s="493"/>
      <c r="BD21" s="492"/>
      <c r="BE21" s="493"/>
      <c r="BF21" s="493"/>
      <c r="BG21" s="493"/>
      <c r="BH21" s="493"/>
      <c r="BI21" s="492"/>
      <c r="BJ21" s="493"/>
      <c r="BK21" s="493"/>
      <c r="BL21" s="493"/>
      <c r="BM21" s="493"/>
      <c r="BN21" s="492"/>
      <c r="BO21" s="493"/>
      <c r="BP21" s="493"/>
      <c r="BQ21" s="493"/>
      <c r="BR21" s="493"/>
      <c r="BS21" s="492"/>
      <c r="BT21" s="493"/>
      <c r="BU21" s="493"/>
      <c r="BV21" s="493"/>
      <c r="BW21" s="493"/>
      <c r="BX21" s="492"/>
      <c r="BY21" s="493"/>
      <c r="BZ21" s="493"/>
      <c r="CA21" s="493"/>
      <c r="CB21" s="493"/>
      <c r="CC21" s="492"/>
      <c r="CD21" s="493"/>
      <c r="CE21" s="493"/>
      <c r="CF21" s="493"/>
      <c r="CG21" s="493"/>
      <c r="CH21" s="492"/>
      <c r="CI21" s="493"/>
      <c r="CJ21" s="493"/>
      <c r="CK21" s="493"/>
      <c r="CL21" s="493"/>
      <c r="CM21" s="492"/>
      <c r="CN21" s="493"/>
      <c r="CO21" s="493"/>
      <c r="CP21" s="493"/>
      <c r="CQ21" s="493"/>
      <c r="CR21" s="492"/>
      <c r="CS21" s="493"/>
      <c r="CT21" s="493"/>
      <c r="CU21" s="493"/>
      <c r="CV21" s="493"/>
      <c r="CW21" s="492"/>
      <c r="CX21" s="493"/>
      <c r="CY21" s="493"/>
      <c r="CZ21" s="493"/>
      <c r="DA21" s="493"/>
      <c r="DB21" s="492"/>
      <c r="DC21" s="493"/>
      <c r="DD21" s="493"/>
      <c r="DE21" s="493"/>
      <c r="DF21" s="493"/>
      <c r="DG21" s="492"/>
      <c r="DH21" s="493"/>
      <c r="DI21" s="493"/>
      <c r="DJ21" s="493"/>
      <c r="DK21" s="493"/>
      <c r="DL21" s="492"/>
      <c r="DM21" s="493"/>
      <c r="DN21" s="493"/>
      <c r="DO21" s="493"/>
      <c r="DP21" s="493"/>
      <c r="DQ21" s="492"/>
      <c r="DR21" s="493"/>
      <c r="DS21" s="493"/>
      <c r="DT21" s="493"/>
      <c r="DU21" s="493"/>
      <c r="DV21" s="492"/>
      <c r="DW21" s="493"/>
      <c r="DX21" s="493"/>
      <c r="DY21" s="493"/>
      <c r="DZ21" s="493"/>
      <c r="EA21" s="492"/>
      <c r="EB21" s="493"/>
      <c r="EC21" s="493"/>
      <c r="ED21" s="493"/>
      <c r="EE21" s="493"/>
      <c r="EF21" s="492"/>
      <c r="EG21" s="493"/>
      <c r="EH21" s="493"/>
      <c r="EI21" s="493"/>
      <c r="EJ21" s="493"/>
      <c r="EK21" s="492"/>
      <c r="EL21" s="493"/>
      <c r="EM21" s="544"/>
      <c r="EN21" s="493"/>
      <c r="EO21" s="493"/>
      <c r="EP21" s="543"/>
      <c r="EQ21" s="442"/>
      <c r="ER21" s="472"/>
    </row>
    <row r="22" spans="1:154" s="472" customFormat="1" x14ac:dyDescent="0.2">
      <c r="A22" s="443"/>
      <c r="B22" s="443"/>
      <c r="C22" s="443"/>
      <c r="D22" s="466"/>
      <c r="E22" s="611"/>
      <c r="F22" s="468"/>
      <c r="G22" s="443"/>
      <c r="H22" s="495"/>
      <c r="I22" s="495"/>
      <c r="J22" s="495"/>
      <c r="K22" s="494"/>
      <c r="L22" s="495"/>
      <c r="M22" s="495"/>
      <c r="N22" s="495"/>
      <c r="O22" s="495"/>
      <c r="P22" s="494"/>
      <c r="Q22" s="495"/>
      <c r="R22" s="495"/>
      <c r="S22" s="495"/>
      <c r="T22" s="495"/>
      <c r="U22" s="494"/>
      <c r="V22" s="495"/>
      <c r="W22" s="495"/>
      <c r="X22" s="495"/>
      <c r="Y22" s="495"/>
      <c r="Z22" s="494"/>
      <c r="AA22" s="495"/>
      <c r="AB22" s="495"/>
      <c r="AC22" s="495"/>
      <c r="AD22" s="495"/>
      <c r="AE22" s="494"/>
      <c r="AF22" s="495"/>
      <c r="AG22" s="495"/>
      <c r="AH22" s="495"/>
      <c r="AI22" s="495"/>
      <c r="AJ22" s="494"/>
      <c r="AK22" s="495"/>
      <c r="AL22" s="495"/>
      <c r="AM22" s="495"/>
      <c r="AN22" s="495"/>
      <c r="AO22" s="494"/>
      <c r="AP22" s="495"/>
      <c r="AQ22" s="495"/>
      <c r="AR22" s="495"/>
      <c r="AS22" s="495"/>
      <c r="AT22" s="494"/>
      <c r="AU22" s="495"/>
      <c r="AV22" s="495"/>
      <c r="AW22" s="495"/>
      <c r="AX22" s="495"/>
      <c r="AY22" s="494"/>
      <c r="AZ22" s="495"/>
      <c r="BA22" s="495"/>
      <c r="BB22" s="495"/>
      <c r="BC22" s="495"/>
      <c r="BD22" s="494"/>
      <c r="BE22" s="495"/>
      <c r="BF22" s="495"/>
      <c r="BG22" s="495"/>
      <c r="BH22" s="495"/>
      <c r="BI22" s="494"/>
      <c r="BJ22" s="495"/>
      <c r="BK22" s="495"/>
      <c r="BL22" s="495"/>
      <c r="BM22" s="495"/>
      <c r="BN22" s="494"/>
      <c r="BO22" s="495"/>
      <c r="BP22" s="495"/>
      <c r="BQ22" s="495"/>
      <c r="BR22" s="495"/>
      <c r="BS22" s="494"/>
      <c r="BT22" s="495"/>
      <c r="BU22" s="495"/>
      <c r="BV22" s="495"/>
      <c r="BW22" s="495"/>
      <c r="BX22" s="494"/>
      <c r="BY22" s="495"/>
      <c r="BZ22" s="495"/>
      <c r="CA22" s="495"/>
      <c r="CB22" s="495"/>
      <c r="CC22" s="494"/>
      <c r="CD22" s="495"/>
      <c r="CE22" s="495"/>
      <c r="CF22" s="495"/>
      <c r="CG22" s="495"/>
      <c r="CH22" s="494"/>
      <c r="CI22" s="495"/>
      <c r="CJ22" s="495"/>
      <c r="CK22" s="495"/>
      <c r="CL22" s="495"/>
      <c r="CM22" s="494"/>
      <c r="CN22" s="495"/>
      <c r="CO22" s="495"/>
      <c r="CP22" s="495"/>
      <c r="CQ22" s="495"/>
      <c r="CR22" s="494"/>
      <c r="CS22" s="495"/>
      <c r="CT22" s="495"/>
      <c r="CU22" s="495"/>
      <c r="CV22" s="495"/>
      <c r="CW22" s="494"/>
      <c r="CX22" s="495"/>
      <c r="CY22" s="495"/>
      <c r="CZ22" s="495"/>
      <c r="DA22" s="495"/>
      <c r="DB22" s="494"/>
      <c r="DC22" s="495"/>
      <c r="DD22" s="495"/>
      <c r="DE22" s="495"/>
      <c r="DF22" s="495"/>
      <c r="DG22" s="494"/>
      <c r="DH22" s="495"/>
      <c r="DI22" s="495"/>
      <c r="DJ22" s="495"/>
      <c r="DK22" s="495"/>
      <c r="DL22" s="494"/>
      <c r="DM22" s="495"/>
      <c r="DN22" s="495"/>
      <c r="DO22" s="495"/>
      <c r="DP22" s="495"/>
      <c r="DQ22" s="494"/>
      <c r="DR22" s="495"/>
      <c r="DS22" s="495"/>
      <c r="DT22" s="495"/>
      <c r="DU22" s="495"/>
      <c r="DV22" s="494"/>
      <c r="DW22" s="495"/>
      <c r="DX22" s="495"/>
      <c r="DY22" s="495"/>
      <c r="DZ22" s="495"/>
      <c r="EA22" s="494"/>
      <c r="EB22" s="495"/>
      <c r="EC22" s="495"/>
      <c r="ED22" s="495"/>
      <c r="EE22" s="495"/>
      <c r="EF22" s="494"/>
      <c r="EG22" s="495"/>
      <c r="EH22" s="495"/>
      <c r="EI22" s="495"/>
      <c r="EJ22" s="495"/>
      <c r="EK22" s="494"/>
      <c r="EL22" s="495"/>
      <c r="EM22" s="495"/>
      <c r="EN22" s="495"/>
      <c r="EO22" s="495"/>
      <c r="EP22" s="572"/>
      <c r="EQ22" s="443"/>
    </row>
    <row r="23" spans="1:154" s="472" customFormat="1" x14ac:dyDescent="0.2">
      <c r="A23" s="443"/>
      <c r="B23" s="443"/>
      <c r="C23" s="443"/>
      <c r="D23" s="309" t="s">
        <v>496</v>
      </c>
      <c r="E23" s="611"/>
      <c r="F23" s="468"/>
      <c r="G23" s="443"/>
      <c r="H23" s="74">
        <v>0</v>
      </c>
      <c r="I23" s="74"/>
      <c r="J23" s="74"/>
      <c r="K23" s="409"/>
      <c r="L23" s="74"/>
      <c r="M23" s="74">
        <v>34143659</v>
      </c>
      <c r="N23" s="74"/>
      <c r="O23" s="74"/>
      <c r="P23" s="409"/>
      <c r="Q23" s="74"/>
      <c r="R23" s="74">
        <v>-4349966</v>
      </c>
      <c r="S23" s="74"/>
      <c r="T23" s="74"/>
      <c r="U23" s="409"/>
      <c r="V23" s="74"/>
      <c r="W23" s="74">
        <v>0</v>
      </c>
      <c r="X23" s="74"/>
      <c r="Y23" s="74"/>
      <c r="Z23" s="409"/>
      <c r="AA23" s="74"/>
      <c r="AB23" s="74">
        <v>0</v>
      </c>
      <c r="AC23" s="74"/>
      <c r="AD23" s="74"/>
      <c r="AE23" s="409"/>
      <c r="AF23" s="74"/>
      <c r="AG23" s="74">
        <v>0</v>
      </c>
      <c r="AH23" s="74"/>
      <c r="AI23" s="74"/>
      <c r="AJ23" s="409"/>
      <c r="AK23" s="74"/>
      <c r="AL23" s="74">
        <v>0</v>
      </c>
      <c r="AM23" s="74"/>
      <c r="AN23" s="74"/>
      <c r="AO23" s="409"/>
      <c r="AP23" s="74"/>
      <c r="AQ23" s="74">
        <v>0</v>
      </c>
      <c r="AR23" s="74"/>
      <c r="AS23" s="74"/>
      <c r="AT23" s="409"/>
      <c r="AU23" s="74"/>
      <c r="AV23" s="74">
        <v>0</v>
      </c>
      <c r="AW23" s="74"/>
      <c r="AX23" s="74"/>
      <c r="AY23" s="409"/>
      <c r="AZ23" s="74"/>
      <c r="BA23" s="74">
        <v>0</v>
      </c>
      <c r="BB23" s="74"/>
      <c r="BC23" s="74"/>
      <c r="BD23" s="409"/>
      <c r="BE23" s="74"/>
      <c r="BF23" s="74">
        <v>0</v>
      </c>
      <c r="BG23" s="74"/>
      <c r="BH23" s="74"/>
      <c r="BI23" s="409"/>
      <c r="BJ23" s="74"/>
      <c r="BK23" s="74">
        <v>0</v>
      </c>
      <c r="BL23" s="74"/>
      <c r="BM23" s="74"/>
      <c r="BN23" s="409"/>
      <c r="BO23" s="74"/>
      <c r="BP23" s="74">
        <v>0</v>
      </c>
      <c r="BQ23" s="74"/>
      <c r="BR23" s="74"/>
      <c r="BS23" s="409"/>
      <c r="BT23" s="74"/>
      <c r="BU23" s="74">
        <f>SUM(M23:BP23)</f>
        <v>29793693</v>
      </c>
      <c r="BV23" s="74"/>
      <c r="BW23" s="74"/>
      <c r="BX23" s="409"/>
      <c r="BY23" s="74"/>
      <c r="BZ23" s="74">
        <v>-17008126</v>
      </c>
      <c r="CA23" s="74"/>
      <c r="CB23" s="74"/>
      <c r="CC23" s="409"/>
      <c r="CD23" s="74"/>
      <c r="CE23" s="74">
        <v>-17895405</v>
      </c>
      <c r="CF23" s="74"/>
      <c r="CG23" s="74"/>
      <c r="CH23" s="409"/>
      <c r="CI23" s="74"/>
      <c r="CJ23" s="74">
        <v>-2162772</v>
      </c>
      <c r="CK23" s="74"/>
      <c r="CL23" s="74"/>
      <c r="CM23" s="409"/>
      <c r="CN23" s="74"/>
      <c r="CO23" s="74">
        <v>1746060</v>
      </c>
      <c r="CP23" s="74"/>
      <c r="CQ23" s="74"/>
      <c r="CR23" s="409"/>
      <c r="CS23" s="74"/>
      <c r="CT23" s="74">
        <v>9207825</v>
      </c>
      <c r="CU23" s="74"/>
      <c r="CV23" s="74"/>
      <c r="CW23" s="409"/>
      <c r="CX23" s="74"/>
      <c r="CY23" s="74">
        <f>-8222766</f>
        <v>-8222766</v>
      </c>
      <c r="CZ23" s="74"/>
      <c r="DA23" s="74"/>
      <c r="DB23" s="409"/>
      <c r="DC23" s="74"/>
      <c r="DD23" s="74">
        <v>21412052</v>
      </c>
      <c r="DE23" s="74"/>
      <c r="DF23" s="74"/>
      <c r="DG23" s="409"/>
      <c r="DH23" s="74"/>
      <c r="DI23" s="74">
        <v>67094</v>
      </c>
      <c r="DJ23" s="74"/>
      <c r="DK23" s="74"/>
      <c r="DL23" s="409"/>
      <c r="DM23" s="74"/>
      <c r="DN23" s="74">
        <v>5423083</v>
      </c>
      <c r="DO23" s="74"/>
      <c r="DP23" s="74"/>
      <c r="DQ23" s="409"/>
      <c r="DR23" s="74"/>
      <c r="DS23" s="74">
        <v>3006040</v>
      </c>
      <c r="DT23" s="74"/>
      <c r="DU23" s="74"/>
      <c r="DV23" s="409"/>
      <c r="DW23" s="74"/>
      <c r="DX23" s="74">
        <f>484408</f>
        <v>484408</v>
      </c>
      <c r="DY23" s="74"/>
      <c r="DZ23" s="74"/>
      <c r="EA23" s="409"/>
      <c r="EB23" s="74"/>
      <c r="EC23" s="74">
        <v>4553332</v>
      </c>
      <c r="ED23" s="74"/>
      <c r="EE23" s="74"/>
      <c r="EF23" s="409"/>
      <c r="EG23" s="74"/>
      <c r="EH23" s="74">
        <f>-34627078+1</f>
        <v>-34627077</v>
      </c>
      <c r="EI23" s="74"/>
      <c r="EJ23" s="74"/>
      <c r="EK23" s="409"/>
      <c r="EL23" s="74"/>
      <c r="EM23" s="74">
        <f>SUM(CE23:CJ23)</f>
        <v>-20058177</v>
      </c>
      <c r="EN23" s="74"/>
      <c r="EO23" s="74"/>
      <c r="EP23" s="624"/>
      <c r="EQ23" s="443"/>
    </row>
    <row r="24" spans="1:154" x14ac:dyDescent="0.2">
      <c r="A24" s="442"/>
      <c r="B24" s="442"/>
      <c r="C24" s="442"/>
      <c r="D24" s="455"/>
      <c r="E24" s="219"/>
      <c r="F24" s="465"/>
      <c r="G24" s="442"/>
      <c r="H24" s="493"/>
      <c r="I24" s="493"/>
      <c r="J24" s="493"/>
      <c r="K24" s="492"/>
      <c r="L24" s="493"/>
      <c r="M24" s="493"/>
      <c r="N24" s="493"/>
      <c r="O24" s="493"/>
      <c r="P24" s="492"/>
      <c r="Q24" s="493"/>
      <c r="R24" s="493"/>
      <c r="S24" s="493"/>
      <c r="T24" s="493"/>
      <c r="U24" s="492"/>
      <c r="V24" s="493"/>
      <c r="W24" s="493"/>
      <c r="X24" s="493"/>
      <c r="Y24" s="493"/>
      <c r="Z24" s="492"/>
      <c r="AA24" s="493"/>
      <c r="AB24" s="493"/>
      <c r="AC24" s="493"/>
      <c r="AD24" s="493"/>
      <c r="AE24" s="492"/>
      <c r="AF24" s="493"/>
      <c r="AG24" s="493"/>
      <c r="AH24" s="493"/>
      <c r="AI24" s="493"/>
      <c r="AJ24" s="492"/>
      <c r="AK24" s="493"/>
      <c r="AL24" s="493"/>
      <c r="AM24" s="493"/>
      <c r="AN24" s="493"/>
      <c r="AO24" s="492"/>
      <c r="AP24" s="493"/>
      <c r="AQ24" s="493"/>
      <c r="AR24" s="493"/>
      <c r="AS24" s="493"/>
      <c r="AT24" s="492"/>
      <c r="AU24" s="493"/>
      <c r="AV24" s="493"/>
      <c r="AW24" s="493"/>
      <c r="AX24" s="493"/>
      <c r="AY24" s="492"/>
      <c r="AZ24" s="493"/>
      <c r="BA24" s="493"/>
      <c r="BB24" s="493"/>
      <c r="BC24" s="493"/>
      <c r="BD24" s="492"/>
      <c r="BE24" s="493"/>
      <c r="BF24" s="493"/>
      <c r="BG24" s="493"/>
      <c r="BH24" s="493"/>
      <c r="BI24" s="492"/>
      <c r="BJ24" s="493"/>
      <c r="BK24" s="493"/>
      <c r="BL24" s="493"/>
      <c r="BM24" s="493"/>
      <c r="BN24" s="492"/>
      <c r="BO24" s="493"/>
      <c r="BP24" s="493"/>
      <c r="BQ24" s="493"/>
      <c r="BR24" s="493"/>
      <c r="BS24" s="492"/>
      <c r="BT24" s="493"/>
      <c r="BU24" s="442"/>
      <c r="BV24" s="442"/>
      <c r="BW24" s="442"/>
      <c r="BX24" s="465"/>
      <c r="BY24" s="442"/>
      <c r="BZ24" s="493"/>
      <c r="CA24" s="493"/>
      <c r="CB24" s="493"/>
      <c r="CC24" s="492"/>
      <c r="CD24" s="493"/>
      <c r="CE24" s="493"/>
      <c r="CF24" s="493"/>
      <c r="CG24" s="493"/>
      <c r="CH24" s="492"/>
      <c r="CI24" s="493"/>
      <c r="CJ24" s="493"/>
      <c r="CK24" s="493"/>
      <c r="CL24" s="493"/>
      <c r="CM24" s="492"/>
      <c r="CN24" s="493"/>
      <c r="CO24" s="493"/>
      <c r="CP24" s="493"/>
      <c r="CQ24" s="493"/>
      <c r="CR24" s="492"/>
      <c r="CS24" s="493"/>
      <c r="CT24" s="493"/>
      <c r="CU24" s="493"/>
      <c r="CV24" s="493"/>
      <c r="CW24" s="492"/>
      <c r="CX24" s="493"/>
      <c r="CY24" s="493"/>
      <c r="CZ24" s="493"/>
      <c r="DA24" s="493"/>
      <c r="DB24" s="492"/>
      <c r="DC24" s="493"/>
      <c r="DD24" s="493"/>
      <c r="DE24" s="493"/>
      <c r="DF24" s="493"/>
      <c r="DG24" s="492"/>
      <c r="DH24" s="493"/>
      <c r="DI24" s="493"/>
      <c r="DJ24" s="493"/>
      <c r="DK24" s="493"/>
      <c r="DL24" s="492"/>
      <c r="DM24" s="493"/>
      <c r="DN24" s="493"/>
      <c r="DO24" s="493"/>
      <c r="DP24" s="493"/>
      <c r="DQ24" s="492"/>
      <c r="DR24" s="493"/>
      <c r="DS24" s="493"/>
      <c r="DT24" s="493"/>
      <c r="DU24" s="493"/>
      <c r="DV24" s="492"/>
      <c r="DW24" s="493"/>
      <c r="DX24" s="493"/>
      <c r="DY24" s="493"/>
      <c r="DZ24" s="493"/>
      <c r="EA24" s="492"/>
      <c r="EB24" s="493"/>
      <c r="EC24" s="493"/>
      <c r="ED24" s="493"/>
      <c r="EE24" s="493"/>
      <c r="EF24" s="492"/>
      <c r="EG24" s="493"/>
      <c r="EH24" s="493"/>
      <c r="EI24" s="493"/>
      <c r="EJ24" s="493"/>
      <c r="EK24" s="492"/>
      <c r="EL24" s="493"/>
      <c r="EM24" s="442"/>
      <c r="EN24" s="442"/>
      <c r="EO24" s="442"/>
      <c r="EP24" s="455"/>
      <c r="EQ24" s="442"/>
      <c r="ER24" s="472"/>
    </row>
    <row r="25" spans="1:154" s="472" customFormat="1" x14ac:dyDescent="0.2">
      <c r="A25" s="443"/>
      <c r="B25" s="443"/>
      <c r="C25" s="443"/>
      <c r="D25" s="466" t="s">
        <v>497</v>
      </c>
      <c r="E25" s="611"/>
      <c r="F25" s="468"/>
      <c r="G25" s="443"/>
      <c r="H25" s="495">
        <v>0</v>
      </c>
      <c r="I25" s="495"/>
      <c r="J25" s="495"/>
      <c r="K25" s="494"/>
      <c r="L25" s="495"/>
      <c r="M25" s="495">
        <v>0</v>
      </c>
      <c r="N25" s="495"/>
      <c r="O25" s="495"/>
      <c r="P25" s="494"/>
      <c r="Q25" s="495"/>
      <c r="R25" s="495">
        <v>0</v>
      </c>
      <c r="S25" s="495"/>
      <c r="T25" s="495"/>
      <c r="U25" s="494"/>
      <c r="V25" s="495"/>
      <c r="W25" s="495">
        <v>0</v>
      </c>
      <c r="X25" s="495"/>
      <c r="Y25" s="495"/>
      <c r="Z25" s="494"/>
      <c r="AA25" s="495"/>
      <c r="AB25" s="495">
        <v>0</v>
      </c>
      <c r="AC25" s="495"/>
      <c r="AD25" s="495"/>
      <c r="AE25" s="494"/>
      <c r="AF25" s="495"/>
      <c r="AG25" s="495">
        <v>0</v>
      </c>
      <c r="AH25" s="495"/>
      <c r="AI25" s="495"/>
      <c r="AJ25" s="494"/>
      <c r="AK25" s="495"/>
      <c r="AL25" s="495">
        <v>0</v>
      </c>
      <c r="AM25" s="495"/>
      <c r="AN25" s="495"/>
      <c r="AO25" s="494"/>
      <c r="AP25" s="495"/>
      <c r="AQ25" s="495">
        <v>0</v>
      </c>
      <c r="AR25" s="495"/>
      <c r="AS25" s="495"/>
      <c r="AT25" s="494"/>
      <c r="AU25" s="495"/>
      <c r="AV25" s="495">
        <v>0</v>
      </c>
      <c r="AW25" s="495"/>
      <c r="AX25" s="495"/>
      <c r="AY25" s="494"/>
      <c r="AZ25" s="495"/>
      <c r="BA25" s="495">
        <v>0</v>
      </c>
      <c r="BB25" s="495"/>
      <c r="BC25" s="495"/>
      <c r="BD25" s="494"/>
      <c r="BE25" s="495"/>
      <c r="BF25" s="495">
        <v>0</v>
      </c>
      <c r="BG25" s="495"/>
      <c r="BH25" s="495"/>
      <c r="BI25" s="494"/>
      <c r="BJ25" s="495"/>
      <c r="BK25" s="495">
        <v>0</v>
      </c>
      <c r="BL25" s="495"/>
      <c r="BM25" s="495"/>
      <c r="BN25" s="494"/>
      <c r="BO25" s="495"/>
      <c r="BP25" s="495">
        <v>0</v>
      </c>
      <c r="BQ25" s="495"/>
      <c r="BR25" s="495"/>
      <c r="BS25" s="494"/>
      <c r="BT25" s="495"/>
      <c r="BU25" s="74">
        <f>SUM(M25:BP25)</f>
        <v>0</v>
      </c>
      <c r="BV25" s="443"/>
      <c r="BW25" s="443"/>
      <c r="BX25" s="468"/>
      <c r="BY25" s="443"/>
      <c r="BZ25" s="495">
        <v>0</v>
      </c>
      <c r="CA25" s="495"/>
      <c r="CB25" s="495"/>
      <c r="CC25" s="494"/>
      <c r="CD25" s="495"/>
      <c r="CE25" s="495">
        <v>0</v>
      </c>
      <c r="CF25" s="495"/>
      <c r="CG25" s="495"/>
      <c r="CH25" s="494"/>
      <c r="CI25" s="495"/>
      <c r="CJ25" s="495">
        <v>0</v>
      </c>
      <c r="CK25" s="495"/>
      <c r="CL25" s="495"/>
      <c r="CM25" s="494"/>
      <c r="CN25" s="495"/>
      <c r="CO25" s="495">
        <v>0</v>
      </c>
      <c r="CP25" s="495"/>
      <c r="CQ25" s="495"/>
      <c r="CR25" s="494"/>
      <c r="CS25" s="495"/>
      <c r="CT25" s="495">
        <v>0</v>
      </c>
      <c r="CU25" s="495"/>
      <c r="CV25" s="495"/>
      <c r="CW25" s="494"/>
      <c r="CX25" s="495"/>
      <c r="CY25" s="495">
        <v>0</v>
      </c>
      <c r="CZ25" s="495"/>
      <c r="DA25" s="495"/>
      <c r="DB25" s="494"/>
      <c r="DC25" s="495"/>
      <c r="DD25" s="495">
        <v>0</v>
      </c>
      <c r="DE25" s="495"/>
      <c r="DF25" s="495"/>
      <c r="DG25" s="494"/>
      <c r="DH25" s="495"/>
      <c r="DI25" s="495">
        <v>0</v>
      </c>
      <c r="DJ25" s="495"/>
      <c r="DK25" s="495"/>
      <c r="DL25" s="494"/>
      <c r="DM25" s="495"/>
      <c r="DN25" s="495">
        <v>0</v>
      </c>
      <c r="DO25" s="495"/>
      <c r="DP25" s="495"/>
      <c r="DQ25" s="494"/>
      <c r="DR25" s="495"/>
      <c r="DS25" s="495">
        <v>0</v>
      </c>
      <c r="DT25" s="495"/>
      <c r="DU25" s="495"/>
      <c r="DV25" s="494"/>
      <c r="DW25" s="495"/>
      <c r="DX25" s="495">
        <v>0</v>
      </c>
      <c r="DY25" s="495"/>
      <c r="DZ25" s="495"/>
      <c r="EA25" s="494"/>
      <c r="EB25" s="495"/>
      <c r="EC25" s="495">
        <v>0</v>
      </c>
      <c r="ED25" s="495"/>
      <c r="EE25" s="495"/>
      <c r="EF25" s="494"/>
      <c r="EG25" s="495"/>
      <c r="EH25" s="495">
        <v>0</v>
      </c>
      <c r="EI25" s="495"/>
      <c r="EJ25" s="495"/>
      <c r="EK25" s="494"/>
      <c r="EL25" s="495"/>
      <c r="EM25" s="74">
        <f>SUM(CE25:CJ25)</f>
        <v>0</v>
      </c>
      <c r="EN25" s="443"/>
      <c r="EO25" s="443"/>
      <c r="EP25" s="466"/>
      <c r="EQ25" s="443"/>
      <c r="EX25" s="635"/>
    </row>
    <row r="26" spans="1:154" x14ac:dyDescent="0.2">
      <c r="A26" s="442"/>
      <c r="B26" s="442"/>
      <c r="C26" s="442"/>
      <c r="D26" s="455"/>
      <c r="E26" s="219"/>
      <c r="F26" s="465"/>
      <c r="G26" s="442"/>
      <c r="H26" s="493"/>
      <c r="I26" s="493"/>
      <c r="J26" s="493"/>
      <c r="K26" s="492"/>
      <c r="L26" s="493"/>
      <c r="M26" s="493"/>
      <c r="N26" s="493"/>
      <c r="O26" s="493"/>
      <c r="P26" s="492"/>
      <c r="Q26" s="493"/>
      <c r="R26" s="493"/>
      <c r="S26" s="493"/>
      <c r="T26" s="493"/>
      <c r="U26" s="492"/>
      <c r="V26" s="493"/>
      <c r="W26" s="493"/>
      <c r="X26" s="493"/>
      <c r="Y26" s="493"/>
      <c r="Z26" s="492"/>
      <c r="AA26" s="493"/>
      <c r="AB26" s="493"/>
      <c r="AC26" s="493"/>
      <c r="AD26" s="493"/>
      <c r="AE26" s="492"/>
      <c r="AF26" s="493"/>
      <c r="AG26" s="493"/>
      <c r="AH26" s="493"/>
      <c r="AI26" s="493"/>
      <c r="AJ26" s="492"/>
      <c r="AK26" s="493"/>
      <c r="AL26" s="493"/>
      <c r="AM26" s="493"/>
      <c r="AN26" s="493"/>
      <c r="AO26" s="492"/>
      <c r="AP26" s="493"/>
      <c r="AQ26" s="493"/>
      <c r="AR26" s="493"/>
      <c r="AS26" s="493"/>
      <c r="AT26" s="492"/>
      <c r="AU26" s="493"/>
      <c r="AV26" s="493"/>
      <c r="AW26" s="493"/>
      <c r="AX26" s="493"/>
      <c r="AY26" s="492"/>
      <c r="AZ26" s="493"/>
      <c r="BA26" s="493"/>
      <c r="BB26" s="493"/>
      <c r="BC26" s="493"/>
      <c r="BD26" s="492"/>
      <c r="BE26" s="493"/>
      <c r="BF26" s="493"/>
      <c r="BG26" s="493"/>
      <c r="BH26" s="493"/>
      <c r="BI26" s="492"/>
      <c r="BJ26" s="493"/>
      <c r="BK26" s="493"/>
      <c r="BL26" s="493"/>
      <c r="BM26" s="493"/>
      <c r="BN26" s="492"/>
      <c r="BO26" s="493"/>
      <c r="BP26" s="493"/>
      <c r="BQ26" s="493"/>
      <c r="BR26" s="493"/>
      <c r="BS26" s="492"/>
      <c r="BT26" s="493"/>
      <c r="BU26" s="493"/>
      <c r="BV26" s="493"/>
      <c r="BW26" s="493"/>
      <c r="BX26" s="492"/>
      <c r="BY26" s="493"/>
      <c r="BZ26" s="493"/>
      <c r="CA26" s="493"/>
      <c r="CB26" s="493"/>
      <c r="CC26" s="492"/>
      <c r="CD26" s="493"/>
      <c r="CE26" s="493"/>
      <c r="CF26" s="493"/>
      <c r="CG26" s="493"/>
      <c r="CH26" s="492"/>
      <c r="CI26" s="493"/>
      <c r="CJ26" s="493"/>
      <c r="CK26" s="493"/>
      <c r="CL26" s="493"/>
      <c r="CM26" s="492"/>
      <c r="CN26" s="493"/>
      <c r="CO26" s="493"/>
      <c r="CP26" s="493"/>
      <c r="CQ26" s="493"/>
      <c r="CR26" s="492"/>
      <c r="CS26" s="493"/>
      <c r="CT26" s="493"/>
      <c r="CU26" s="493"/>
      <c r="CV26" s="493"/>
      <c r="CW26" s="492"/>
      <c r="CX26" s="493"/>
      <c r="CY26" s="493"/>
      <c r="CZ26" s="493"/>
      <c r="DA26" s="493"/>
      <c r="DB26" s="492"/>
      <c r="DC26" s="493"/>
      <c r="DD26" s="493"/>
      <c r="DE26" s="493"/>
      <c r="DF26" s="493"/>
      <c r="DG26" s="492"/>
      <c r="DH26" s="493"/>
      <c r="DI26" s="493"/>
      <c r="DJ26" s="493"/>
      <c r="DK26" s="493"/>
      <c r="DL26" s="492"/>
      <c r="DM26" s="493"/>
      <c r="DN26" s="493"/>
      <c r="DO26" s="493"/>
      <c r="DP26" s="493"/>
      <c r="DQ26" s="492"/>
      <c r="DR26" s="493"/>
      <c r="DS26" s="493"/>
      <c r="DT26" s="493"/>
      <c r="DU26" s="493"/>
      <c r="DV26" s="492"/>
      <c r="DW26" s="493"/>
      <c r="DX26" s="493"/>
      <c r="DY26" s="493"/>
      <c r="DZ26" s="493"/>
      <c r="EA26" s="492"/>
      <c r="EB26" s="493"/>
      <c r="EC26" s="493"/>
      <c r="ED26" s="493"/>
      <c r="EE26" s="493"/>
      <c r="EF26" s="492"/>
      <c r="EG26" s="493"/>
      <c r="EH26" s="493"/>
      <c r="EI26" s="493"/>
      <c r="EJ26" s="493"/>
      <c r="EK26" s="492"/>
      <c r="EL26" s="493"/>
      <c r="EM26" s="493"/>
      <c r="EN26" s="493"/>
      <c r="EO26" s="493"/>
      <c r="EP26" s="543"/>
      <c r="EQ26" s="442"/>
      <c r="ER26" s="472"/>
    </row>
    <row r="27" spans="1:154" s="472" customFormat="1" x14ac:dyDescent="0.2">
      <c r="A27" s="443"/>
      <c r="B27" s="443"/>
      <c r="C27" s="443"/>
      <c r="D27" s="466" t="s">
        <v>498</v>
      </c>
      <c r="E27" s="219" t="s">
        <v>89</v>
      </c>
      <c r="F27" s="465"/>
      <c r="G27" s="442"/>
      <c r="H27" s="74">
        <f>SUM(H28:H29)</f>
        <v>5141850.1830000002</v>
      </c>
      <c r="I27" s="74"/>
      <c r="J27" s="74"/>
      <c r="K27" s="409"/>
      <c r="L27" s="74"/>
      <c r="M27" s="74">
        <f>SUM(M28:M29)</f>
        <v>0</v>
      </c>
      <c r="N27" s="74"/>
      <c r="O27" s="74"/>
      <c r="P27" s="409"/>
      <c r="Q27" s="74"/>
      <c r="R27" s="74">
        <f>SUM(R28:R29)</f>
        <v>871744.25600000005</v>
      </c>
      <c r="S27" s="74"/>
      <c r="T27" s="74"/>
      <c r="U27" s="409"/>
      <c r="V27" s="74"/>
      <c r="W27" s="74">
        <f>SUM(W28:W29)</f>
        <v>0</v>
      </c>
      <c r="X27" s="74"/>
      <c r="Y27" s="74"/>
      <c r="Z27" s="409"/>
      <c r="AA27" s="74"/>
      <c r="AB27" s="74">
        <f>SUM(AB28:AB29)</f>
        <v>0</v>
      </c>
      <c r="AC27" s="74"/>
      <c r="AD27" s="74"/>
      <c r="AE27" s="409"/>
      <c r="AF27" s="74"/>
      <c r="AG27" s="74">
        <f>SUM(AG28:AG29)</f>
        <v>0</v>
      </c>
      <c r="AH27" s="74"/>
      <c r="AI27" s="74"/>
      <c r="AJ27" s="409"/>
      <c r="AK27" s="74"/>
      <c r="AL27" s="74">
        <f>SUM(AL28:AL29)</f>
        <v>0</v>
      </c>
      <c r="AM27" s="74"/>
      <c r="AN27" s="74"/>
      <c r="AO27" s="409"/>
      <c r="AP27" s="74"/>
      <c r="AQ27" s="74">
        <f>SUM(AQ28:AQ29)</f>
        <v>0</v>
      </c>
      <c r="AR27" s="74"/>
      <c r="AS27" s="74"/>
      <c r="AT27" s="409"/>
      <c r="AU27" s="74"/>
      <c r="AV27" s="74">
        <f>SUM(AV28:AV29)</f>
        <v>0</v>
      </c>
      <c r="AW27" s="74"/>
      <c r="AX27" s="74"/>
      <c r="AY27" s="409"/>
      <c r="AZ27" s="74"/>
      <c r="BA27" s="74">
        <f>SUM(BA28:BA29)</f>
        <v>0</v>
      </c>
      <c r="BB27" s="74"/>
      <c r="BC27" s="74"/>
      <c r="BD27" s="409"/>
      <c r="BE27" s="74"/>
      <c r="BF27" s="74">
        <f>SUM(BF28:BF29)</f>
        <v>0</v>
      </c>
      <c r="BG27" s="74"/>
      <c r="BH27" s="74"/>
      <c r="BI27" s="409"/>
      <c r="BJ27" s="74"/>
      <c r="BK27" s="74">
        <f>SUM(BK28:BK29)</f>
        <v>0</v>
      </c>
      <c r="BL27" s="74"/>
      <c r="BM27" s="74"/>
      <c r="BN27" s="409"/>
      <c r="BO27" s="74"/>
      <c r="BP27" s="74">
        <f>SUM(BP28:BP29)</f>
        <v>0</v>
      </c>
      <c r="BQ27" s="74"/>
      <c r="BR27" s="74"/>
      <c r="BS27" s="409"/>
      <c r="BT27" s="74"/>
      <c r="BU27" s="74">
        <f>SUM(BU28:BU29)</f>
        <v>871744.25600000005</v>
      </c>
      <c r="BV27" s="74"/>
      <c r="BW27" s="74"/>
      <c r="BX27" s="409"/>
      <c r="BY27" s="74"/>
      <c r="BZ27" s="74">
        <f>SUM(BZ28:BZ29)</f>
        <v>11826596</v>
      </c>
      <c r="CA27" s="74"/>
      <c r="CB27" s="74"/>
      <c r="CC27" s="409"/>
      <c r="CD27" s="74"/>
      <c r="CE27" s="74">
        <f>SUM(CE28:CE29)</f>
        <v>1285536</v>
      </c>
      <c r="CF27" s="74"/>
      <c r="CG27" s="74"/>
      <c r="CH27" s="409"/>
      <c r="CI27" s="74"/>
      <c r="CJ27" s="74">
        <f>SUM(CJ28:CJ29)</f>
        <v>0</v>
      </c>
      <c r="CK27" s="74"/>
      <c r="CL27" s="74"/>
      <c r="CM27" s="409"/>
      <c r="CN27" s="74"/>
      <c r="CO27" s="74">
        <f>SUM(CO28:CO29)</f>
        <v>12272</v>
      </c>
      <c r="CP27" s="74"/>
      <c r="CQ27" s="74"/>
      <c r="CR27" s="409"/>
      <c r="CS27" s="74"/>
      <c r="CT27" s="74">
        <f>SUM(CT28:CT29)</f>
        <v>0</v>
      </c>
      <c r="CU27" s="74"/>
      <c r="CV27" s="74"/>
      <c r="CW27" s="409"/>
      <c r="CX27" s="74"/>
      <c r="CY27" s="74">
        <f>SUM(CY28:CY29)</f>
        <v>1736919</v>
      </c>
      <c r="CZ27" s="74"/>
      <c r="DA27" s="74"/>
      <c r="DB27" s="409"/>
      <c r="DC27" s="74"/>
      <c r="DD27" s="74">
        <f>SUM(DD28:DD29)</f>
        <v>245929</v>
      </c>
      <c r="DE27" s="74"/>
      <c r="DF27" s="74"/>
      <c r="DG27" s="409"/>
      <c r="DH27" s="74"/>
      <c r="DI27" s="74">
        <f>SUM(DI28:DI29)</f>
        <v>2261765</v>
      </c>
      <c r="DJ27" s="74"/>
      <c r="DK27" s="74"/>
      <c r="DL27" s="409"/>
      <c r="DM27" s="74"/>
      <c r="DN27" s="74">
        <f>SUM(DN28:DN29)</f>
        <v>1146180</v>
      </c>
      <c r="DO27" s="74"/>
      <c r="DP27" s="74"/>
      <c r="DQ27" s="409"/>
      <c r="DR27" s="74"/>
      <c r="DS27" s="74">
        <f>SUM(DS28:DS29)</f>
        <v>1005353</v>
      </c>
      <c r="DT27" s="74"/>
      <c r="DU27" s="74"/>
      <c r="DV27" s="409"/>
      <c r="DW27" s="74"/>
      <c r="DX27" s="74">
        <f>SUM(DX28:DX29)</f>
        <v>41798</v>
      </c>
      <c r="DY27" s="74"/>
      <c r="DZ27" s="74"/>
      <c r="EA27" s="409"/>
      <c r="EB27" s="74"/>
      <c r="EC27" s="74">
        <f>SUM(EC28:EC29)</f>
        <v>360442</v>
      </c>
      <c r="ED27" s="74"/>
      <c r="EE27" s="74"/>
      <c r="EF27" s="409"/>
      <c r="EG27" s="74"/>
      <c r="EH27" s="74">
        <f>SUM(EH28:EH29)</f>
        <v>3730402</v>
      </c>
      <c r="EI27" s="74"/>
      <c r="EJ27" s="74"/>
      <c r="EK27" s="409"/>
      <c r="EL27" s="74"/>
      <c r="EM27" s="623">
        <f>SUM(EM28:EM29)</f>
        <v>1285536</v>
      </c>
      <c r="EN27" s="74"/>
      <c r="EO27" s="74"/>
      <c r="EP27" s="624"/>
      <c r="EQ27" s="443"/>
    </row>
    <row r="28" spans="1:154" s="472" customFormat="1" x14ac:dyDescent="0.2">
      <c r="A28" s="443"/>
      <c r="B28" s="443"/>
      <c r="C28" s="443"/>
      <c r="D28" s="636" t="s">
        <v>499</v>
      </c>
      <c r="E28" s="611"/>
      <c r="F28" s="637"/>
      <c r="G28" s="638"/>
      <c r="H28" s="639">
        <v>5141850.1830000002</v>
      </c>
      <c r="I28" s="639"/>
      <c r="J28" s="86"/>
      <c r="K28" s="86"/>
      <c r="L28" s="639"/>
      <c r="M28" s="639">
        <v>0</v>
      </c>
      <c r="N28" s="639"/>
      <c r="O28" s="86"/>
      <c r="P28" s="86"/>
      <c r="Q28" s="639"/>
      <c r="R28" s="639">
        <v>871744.25600000005</v>
      </c>
      <c r="S28" s="639"/>
      <c r="T28" s="86"/>
      <c r="U28" s="86"/>
      <c r="V28" s="639"/>
      <c r="W28" s="639">
        <v>0</v>
      </c>
      <c r="X28" s="639"/>
      <c r="Y28" s="86"/>
      <c r="Z28" s="86"/>
      <c r="AA28" s="639"/>
      <c r="AB28" s="639">
        <v>0</v>
      </c>
      <c r="AC28" s="639"/>
      <c r="AD28" s="86"/>
      <c r="AE28" s="86"/>
      <c r="AF28" s="639"/>
      <c r="AG28" s="639">
        <v>0</v>
      </c>
      <c r="AH28" s="639"/>
      <c r="AI28" s="86"/>
      <c r="AJ28" s="86"/>
      <c r="AK28" s="639"/>
      <c r="AL28" s="639">
        <v>0</v>
      </c>
      <c r="AM28" s="639"/>
      <c r="AN28" s="86"/>
      <c r="AO28" s="86"/>
      <c r="AP28" s="639"/>
      <c r="AQ28" s="639">
        <v>0</v>
      </c>
      <c r="AR28" s="639"/>
      <c r="AS28" s="86"/>
      <c r="AT28" s="86"/>
      <c r="AU28" s="639"/>
      <c r="AV28" s="639">
        <v>0</v>
      </c>
      <c r="AW28" s="639"/>
      <c r="AX28" s="86"/>
      <c r="AY28" s="86"/>
      <c r="AZ28" s="639"/>
      <c r="BA28" s="639">
        <v>0</v>
      </c>
      <c r="BB28" s="564"/>
      <c r="BC28" s="86"/>
      <c r="BD28" s="86"/>
      <c r="BE28" s="564"/>
      <c r="BF28" s="639">
        <v>0</v>
      </c>
      <c r="BG28" s="639"/>
      <c r="BH28" s="86"/>
      <c r="BI28" s="86"/>
      <c r="BJ28" s="639"/>
      <c r="BK28" s="639">
        <v>0</v>
      </c>
      <c r="BL28" s="639"/>
      <c r="BM28" s="86"/>
      <c r="BN28" s="86"/>
      <c r="BO28" s="639"/>
      <c r="BP28" s="639">
        <v>0</v>
      </c>
      <c r="BQ28" s="639"/>
      <c r="BR28" s="86"/>
      <c r="BS28" s="86"/>
      <c r="BT28" s="639"/>
      <c r="BU28" s="639">
        <f>SUM(M28:BP28)</f>
        <v>871744.25600000005</v>
      </c>
      <c r="BV28" s="639"/>
      <c r="BW28" s="86"/>
      <c r="BX28" s="86"/>
      <c r="BY28" s="639"/>
      <c r="BZ28" s="639">
        <v>11826596</v>
      </c>
      <c r="CA28" s="639"/>
      <c r="CB28" s="86"/>
      <c r="CC28" s="86"/>
      <c r="CD28" s="639"/>
      <c r="CE28" s="639">
        <v>1285536</v>
      </c>
      <c r="CF28" s="639"/>
      <c r="CG28" s="86"/>
      <c r="CH28" s="86"/>
      <c r="CI28" s="639"/>
      <c r="CJ28" s="639">
        <v>0</v>
      </c>
      <c r="CK28" s="639"/>
      <c r="CL28" s="86"/>
      <c r="CM28" s="86"/>
      <c r="CN28" s="639"/>
      <c r="CO28" s="639">
        <v>12272</v>
      </c>
      <c r="CP28" s="639"/>
      <c r="CQ28" s="86"/>
      <c r="CR28" s="86"/>
      <c r="CS28" s="639"/>
      <c r="CT28" s="639">
        <v>0</v>
      </c>
      <c r="CU28" s="639"/>
      <c r="CV28" s="86"/>
      <c r="CW28" s="86"/>
      <c r="CX28" s="639"/>
      <c r="CY28" s="639">
        <v>1736919</v>
      </c>
      <c r="CZ28" s="639"/>
      <c r="DA28" s="86"/>
      <c r="DB28" s="86"/>
      <c r="DC28" s="639"/>
      <c r="DD28" s="639">
        <v>245929</v>
      </c>
      <c r="DE28" s="639"/>
      <c r="DF28" s="86"/>
      <c r="DG28" s="86"/>
      <c r="DH28" s="639"/>
      <c r="DI28" s="639">
        <v>2261765</v>
      </c>
      <c r="DJ28" s="639"/>
      <c r="DK28" s="86"/>
      <c r="DL28" s="86"/>
      <c r="DM28" s="639"/>
      <c r="DN28" s="639">
        <v>1146180</v>
      </c>
      <c r="DO28" s="639"/>
      <c r="DP28" s="86"/>
      <c r="DQ28" s="86"/>
      <c r="DR28" s="639"/>
      <c r="DS28" s="639">
        <v>1005353</v>
      </c>
      <c r="DT28" s="564"/>
      <c r="DU28" s="86"/>
      <c r="DV28" s="86"/>
      <c r="DW28" s="564"/>
      <c r="DX28" s="639">
        <v>41798</v>
      </c>
      <c r="DY28" s="639"/>
      <c r="DZ28" s="86"/>
      <c r="EA28" s="86"/>
      <c r="EB28" s="639"/>
      <c r="EC28" s="639">
        <v>360442</v>
      </c>
      <c r="ED28" s="639"/>
      <c r="EE28" s="86"/>
      <c r="EF28" s="86"/>
      <c r="EG28" s="639"/>
      <c r="EH28" s="639">
        <v>3730402</v>
      </c>
      <c r="EI28" s="639"/>
      <c r="EJ28" s="86"/>
      <c r="EK28" s="86"/>
      <c r="EL28" s="640"/>
      <c r="EM28" s="639">
        <f>SUM(CE28:CJ28)</f>
        <v>1285536</v>
      </c>
      <c r="EN28" s="641"/>
      <c r="EO28" s="642"/>
      <c r="EP28" s="624"/>
      <c r="EQ28" s="443"/>
    </row>
    <row r="29" spans="1:154" hidden="1" x14ac:dyDescent="0.2">
      <c r="A29" s="442"/>
      <c r="B29" s="442"/>
      <c r="C29" s="442"/>
      <c r="D29" s="643" t="s">
        <v>500</v>
      </c>
      <c r="E29" s="219"/>
      <c r="F29" s="465"/>
      <c r="G29" s="488"/>
      <c r="H29" s="632">
        <v>0</v>
      </c>
      <c r="I29" s="633"/>
      <c r="J29" s="88"/>
      <c r="K29" s="391"/>
      <c r="L29" s="634"/>
      <c r="M29" s="632">
        <v>0</v>
      </c>
      <c r="N29" s="633"/>
      <c r="O29" s="88"/>
      <c r="P29" s="391"/>
      <c r="Q29" s="634"/>
      <c r="R29" s="632">
        <v>0</v>
      </c>
      <c r="S29" s="633"/>
      <c r="T29" s="88"/>
      <c r="U29" s="391"/>
      <c r="V29" s="634"/>
      <c r="W29" s="632">
        <v>0</v>
      </c>
      <c r="X29" s="633"/>
      <c r="Y29" s="88"/>
      <c r="Z29" s="391"/>
      <c r="AA29" s="634"/>
      <c r="AB29" s="632">
        <v>0</v>
      </c>
      <c r="AC29" s="633"/>
      <c r="AD29" s="88"/>
      <c r="AE29" s="391"/>
      <c r="AF29" s="634"/>
      <c r="AG29" s="632">
        <v>0</v>
      </c>
      <c r="AH29" s="633"/>
      <c r="AI29" s="88"/>
      <c r="AJ29" s="391"/>
      <c r="AK29" s="634"/>
      <c r="AL29" s="632">
        <v>0</v>
      </c>
      <c r="AM29" s="633"/>
      <c r="AN29" s="88"/>
      <c r="AO29" s="391"/>
      <c r="AP29" s="634"/>
      <c r="AQ29" s="632">
        <v>0</v>
      </c>
      <c r="AR29" s="633"/>
      <c r="AS29" s="88"/>
      <c r="AT29" s="391"/>
      <c r="AU29" s="634"/>
      <c r="AV29" s="632">
        <v>0</v>
      </c>
      <c r="AW29" s="633"/>
      <c r="AX29" s="88"/>
      <c r="AY29" s="391"/>
      <c r="AZ29" s="634"/>
      <c r="BA29" s="632">
        <v>0</v>
      </c>
      <c r="BB29" s="633"/>
      <c r="BC29" s="88"/>
      <c r="BD29" s="391"/>
      <c r="BE29" s="634"/>
      <c r="BF29" s="632">
        <v>0</v>
      </c>
      <c r="BG29" s="633"/>
      <c r="BH29" s="88"/>
      <c r="BI29" s="391"/>
      <c r="BJ29" s="634"/>
      <c r="BK29" s="632">
        <v>0</v>
      </c>
      <c r="BL29" s="633"/>
      <c r="BM29" s="88"/>
      <c r="BN29" s="391"/>
      <c r="BO29" s="634"/>
      <c r="BP29" s="632">
        <v>0</v>
      </c>
      <c r="BQ29" s="633"/>
      <c r="BR29" s="88"/>
      <c r="BS29" s="391"/>
      <c r="BT29" s="634"/>
      <c r="BU29" s="632">
        <f>SUM(M29:BP29)</f>
        <v>0</v>
      </c>
      <c r="BV29" s="633"/>
      <c r="BW29" s="88"/>
      <c r="BX29" s="391"/>
      <c r="BY29" s="634"/>
      <c r="BZ29" s="632">
        <v>0</v>
      </c>
      <c r="CA29" s="633"/>
      <c r="CB29" s="88"/>
      <c r="CC29" s="391"/>
      <c r="CD29" s="634"/>
      <c r="CE29" s="632">
        <v>0</v>
      </c>
      <c r="CF29" s="633"/>
      <c r="CG29" s="88"/>
      <c r="CH29" s="391"/>
      <c r="CI29" s="634"/>
      <c r="CJ29" s="632">
        <v>0</v>
      </c>
      <c r="CK29" s="633"/>
      <c r="CL29" s="88"/>
      <c r="CM29" s="391"/>
      <c r="CN29" s="634"/>
      <c r="CO29" s="632">
        <v>0</v>
      </c>
      <c r="CP29" s="633"/>
      <c r="CQ29" s="88"/>
      <c r="CR29" s="391"/>
      <c r="CS29" s="634"/>
      <c r="CT29" s="632">
        <v>0</v>
      </c>
      <c r="CU29" s="633"/>
      <c r="CV29" s="88"/>
      <c r="CW29" s="391"/>
      <c r="CX29" s="634"/>
      <c r="CY29" s="632">
        <v>0</v>
      </c>
      <c r="CZ29" s="633"/>
      <c r="DA29" s="88"/>
      <c r="DB29" s="391"/>
      <c r="DC29" s="634"/>
      <c r="DD29" s="632">
        <v>0</v>
      </c>
      <c r="DE29" s="633"/>
      <c r="DF29" s="88"/>
      <c r="DG29" s="391"/>
      <c r="DH29" s="634"/>
      <c r="DI29" s="632">
        <v>0</v>
      </c>
      <c r="DJ29" s="633"/>
      <c r="DK29" s="88"/>
      <c r="DL29" s="391"/>
      <c r="DM29" s="634"/>
      <c r="DN29" s="632">
        <v>0</v>
      </c>
      <c r="DO29" s="633"/>
      <c r="DP29" s="88"/>
      <c r="DQ29" s="391"/>
      <c r="DR29" s="634"/>
      <c r="DS29" s="632">
        <v>0</v>
      </c>
      <c r="DT29" s="633"/>
      <c r="DU29" s="88"/>
      <c r="DV29" s="391"/>
      <c r="DW29" s="634"/>
      <c r="DX29" s="632">
        <v>0</v>
      </c>
      <c r="DY29" s="633"/>
      <c r="DZ29" s="88"/>
      <c r="EA29" s="391"/>
      <c r="EB29" s="634"/>
      <c r="EC29" s="632">
        <v>0</v>
      </c>
      <c r="ED29" s="633"/>
      <c r="EE29" s="88"/>
      <c r="EF29" s="391"/>
      <c r="EG29" s="634"/>
      <c r="EH29" s="632">
        <v>0</v>
      </c>
      <c r="EI29" s="633"/>
      <c r="EJ29" s="88"/>
      <c r="EK29" s="391"/>
      <c r="EL29" s="634"/>
      <c r="EM29" s="644">
        <f>SUM(CE29:DD29)</f>
        <v>0</v>
      </c>
      <c r="EN29" s="633"/>
      <c r="EO29" s="88"/>
      <c r="EP29" s="628"/>
      <c r="EQ29" s="442"/>
      <c r="ER29" s="472"/>
    </row>
    <row r="30" spans="1:154" x14ac:dyDescent="0.2">
      <c r="A30" s="442"/>
      <c r="B30" s="442"/>
      <c r="C30" s="442"/>
      <c r="D30" s="455"/>
      <c r="E30" s="219"/>
      <c r="F30" s="465"/>
      <c r="G30" s="442"/>
      <c r="H30" s="442"/>
      <c r="I30" s="442"/>
      <c r="J30" s="442"/>
      <c r="K30" s="465"/>
      <c r="L30" s="442"/>
      <c r="M30" s="442"/>
      <c r="N30" s="442"/>
      <c r="O30" s="442"/>
      <c r="P30" s="465"/>
      <c r="Q30" s="442"/>
      <c r="R30" s="442"/>
      <c r="S30" s="442"/>
      <c r="T30" s="442"/>
      <c r="U30" s="465"/>
      <c r="V30" s="442"/>
      <c r="W30" s="442"/>
      <c r="X30" s="442"/>
      <c r="Y30" s="442"/>
      <c r="Z30" s="465"/>
      <c r="AA30" s="442"/>
      <c r="AB30" s="442"/>
      <c r="AC30" s="442"/>
      <c r="AD30" s="442"/>
      <c r="AE30" s="465"/>
      <c r="AF30" s="442"/>
      <c r="AG30" s="442"/>
      <c r="AH30" s="442"/>
      <c r="AI30" s="442"/>
      <c r="AJ30" s="465"/>
      <c r="AK30" s="442"/>
      <c r="AL30" s="442"/>
      <c r="AM30" s="442"/>
      <c r="AN30" s="442"/>
      <c r="AO30" s="465"/>
      <c r="AP30" s="442"/>
      <c r="AQ30" s="442"/>
      <c r="AR30" s="442"/>
      <c r="AS30" s="442"/>
      <c r="AT30" s="465"/>
      <c r="AU30" s="442"/>
      <c r="AV30" s="442"/>
      <c r="AW30" s="442"/>
      <c r="AX30" s="442"/>
      <c r="AY30" s="465"/>
      <c r="AZ30" s="442"/>
      <c r="BA30" s="442"/>
      <c r="BB30" s="442"/>
      <c r="BC30" s="442"/>
      <c r="BD30" s="465"/>
      <c r="BE30" s="442"/>
      <c r="BF30" s="442"/>
      <c r="BG30" s="442"/>
      <c r="BH30" s="442"/>
      <c r="BI30" s="465"/>
      <c r="BJ30" s="442"/>
      <c r="BK30" s="442"/>
      <c r="BL30" s="442"/>
      <c r="BM30" s="442"/>
      <c r="BN30" s="465"/>
      <c r="BO30" s="442"/>
      <c r="BP30" s="442"/>
      <c r="BQ30" s="442"/>
      <c r="BR30" s="442"/>
      <c r="BS30" s="465"/>
      <c r="BT30" s="442"/>
      <c r="BU30" s="442"/>
      <c r="BV30" s="442"/>
      <c r="BW30" s="88"/>
      <c r="BX30" s="391"/>
      <c r="BY30" s="88"/>
      <c r="BZ30" s="442"/>
      <c r="CA30" s="442"/>
      <c r="CB30" s="442"/>
      <c r="CC30" s="465"/>
      <c r="CD30" s="442"/>
      <c r="CE30" s="442"/>
      <c r="CF30" s="442"/>
      <c r="CG30" s="442"/>
      <c r="CH30" s="465"/>
      <c r="CI30" s="442"/>
      <c r="CJ30" s="442"/>
      <c r="CK30" s="442"/>
      <c r="CL30" s="442"/>
      <c r="CM30" s="465"/>
      <c r="CN30" s="442"/>
      <c r="CO30" s="442"/>
      <c r="CP30" s="442"/>
      <c r="CQ30" s="442"/>
      <c r="CR30" s="465"/>
      <c r="CS30" s="442"/>
      <c r="CT30" s="442"/>
      <c r="CU30" s="442"/>
      <c r="CV30" s="442"/>
      <c r="CW30" s="465"/>
      <c r="CX30" s="442"/>
      <c r="CY30" s="442"/>
      <c r="CZ30" s="442"/>
      <c r="DA30" s="442"/>
      <c r="DB30" s="465"/>
      <c r="DC30" s="442"/>
      <c r="DD30" s="442"/>
      <c r="DE30" s="442"/>
      <c r="DF30" s="442"/>
      <c r="DG30" s="465"/>
      <c r="DH30" s="442"/>
      <c r="DI30" s="442"/>
      <c r="DJ30" s="442"/>
      <c r="DK30" s="442"/>
      <c r="DL30" s="465"/>
      <c r="DM30" s="442"/>
      <c r="DN30" s="442"/>
      <c r="DO30" s="442"/>
      <c r="DP30" s="442"/>
      <c r="DQ30" s="465"/>
      <c r="DR30" s="442"/>
      <c r="DS30" s="442"/>
      <c r="DT30" s="442"/>
      <c r="DU30" s="442"/>
      <c r="DV30" s="465"/>
      <c r="DW30" s="442"/>
      <c r="DX30" s="442"/>
      <c r="DY30" s="442"/>
      <c r="DZ30" s="442"/>
      <c r="EA30" s="465"/>
      <c r="EB30" s="442"/>
      <c r="EC30" s="442"/>
      <c r="ED30" s="442"/>
      <c r="EE30" s="442"/>
      <c r="EF30" s="465"/>
      <c r="EG30" s="442"/>
      <c r="EH30" s="442"/>
      <c r="EI30" s="442"/>
      <c r="EJ30" s="442"/>
      <c r="EK30" s="465"/>
      <c r="EL30" s="442"/>
      <c r="EM30" s="474"/>
      <c r="EN30" s="88"/>
      <c r="EO30" s="88"/>
      <c r="EP30" s="628"/>
      <c r="EQ30" s="442"/>
      <c r="ER30" s="472"/>
    </row>
    <row r="31" spans="1:154" x14ac:dyDescent="0.2">
      <c r="A31" s="442"/>
      <c r="B31" s="442"/>
      <c r="C31" s="442"/>
      <c r="D31" s="455"/>
      <c r="E31" s="219"/>
      <c r="F31" s="465"/>
      <c r="G31" s="442"/>
      <c r="H31" s="493"/>
      <c r="I31" s="493"/>
      <c r="J31" s="493"/>
      <c r="K31" s="492"/>
      <c r="L31" s="493"/>
      <c r="M31" s="493"/>
      <c r="N31" s="493"/>
      <c r="O31" s="493"/>
      <c r="P31" s="492"/>
      <c r="Q31" s="493"/>
      <c r="R31" s="493"/>
      <c r="S31" s="493"/>
      <c r="T31" s="493"/>
      <c r="U31" s="492"/>
      <c r="V31" s="493"/>
      <c r="W31" s="493"/>
      <c r="X31" s="493"/>
      <c r="Y31" s="493"/>
      <c r="Z31" s="492"/>
      <c r="AA31" s="493"/>
      <c r="AB31" s="493"/>
      <c r="AC31" s="493"/>
      <c r="AD31" s="493"/>
      <c r="AE31" s="492"/>
      <c r="AF31" s="493"/>
      <c r="AG31" s="493"/>
      <c r="AH31" s="493"/>
      <c r="AI31" s="493"/>
      <c r="AJ31" s="492"/>
      <c r="AK31" s="493"/>
      <c r="AL31" s="493"/>
      <c r="AM31" s="493"/>
      <c r="AN31" s="493"/>
      <c r="AO31" s="492"/>
      <c r="AP31" s="493"/>
      <c r="AQ31" s="493"/>
      <c r="AR31" s="493"/>
      <c r="AS31" s="493"/>
      <c r="AT31" s="492"/>
      <c r="AU31" s="493"/>
      <c r="AV31" s="493"/>
      <c r="AW31" s="493"/>
      <c r="AX31" s="493"/>
      <c r="AY31" s="492"/>
      <c r="AZ31" s="493"/>
      <c r="BA31" s="493"/>
      <c r="BB31" s="493"/>
      <c r="BC31" s="493"/>
      <c r="BD31" s="492"/>
      <c r="BE31" s="493"/>
      <c r="BF31" s="493"/>
      <c r="BG31" s="493"/>
      <c r="BH31" s="493"/>
      <c r="BI31" s="492"/>
      <c r="BJ31" s="493"/>
      <c r="BK31" s="493"/>
      <c r="BL31" s="493"/>
      <c r="BM31" s="493"/>
      <c r="BN31" s="492"/>
      <c r="BO31" s="493"/>
      <c r="BP31" s="493"/>
      <c r="BQ31" s="493"/>
      <c r="BR31" s="493"/>
      <c r="BS31" s="492"/>
      <c r="BT31" s="493"/>
      <c r="BU31" s="493"/>
      <c r="BV31" s="493"/>
      <c r="BW31" s="493"/>
      <c r="BX31" s="492"/>
      <c r="BY31" s="493"/>
      <c r="BZ31" s="493"/>
      <c r="CA31" s="493"/>
      <c r="CB31" s="493"/>
      <c r="CC31" s="492"/>
      <c r="CD31" s="493"/>
      <c r="CE31" s="493"/>
      <c r="CF31" s="493"/>
      <c r="CG31" s="493"/>
      <c r="CH31" s="492"/>
      <c r="CI31" s="493"/>
      <c r="CJ31" s="493"/>
      <c r="CK31" s="493"/>
      <c r="CL31" s="493"/>
      <c r="CM31" s="492"/>
      <c r="CN31" s="493"/>
      <c r="CO31" s="493"/>
      <c r="CP31" s="493"/>
      <c r="CQ31" s="493"/>
      <c r="CR31" s="492"/>
      <c r="CS31" s="493"/>
      <c r="CT31" s="493"/>
      <c r="CU31" s="493"/>
      <c r="CV31" s="493"/>
      <c r="CW31" s="492"/>
      <c r="CX31" s="493"/>
      <c r="CY31" s="493"/>
      <c r="CZ31" s="493"/>
      <c r="DA31" s="493"/>
      <c r="DB31" s="492"/>
      <c r="DC31" s="493"/>
      <c r="DD31" s="493"/>
      <c r="DE31" s="493"/>
      <c r="DF31" s="493"/>
      <c r="DG31" s="492"/>
      <c r="DH31" s="493"/>
      <c r="DI31" s="493"/>
      <c r="DJ31" s="493"/>
      <c r="DK31" s="493"/>
      <c r="DL31" s="492"/>
      <c r="DM31" s="493"/>
      <c r="DN31" s="493"/>
      <c r="DO31" s="493"/>
      <c r="DP31" s="493"/>
      <c r="DQ31" s="492"/>
      <c r="DR31" s="493"/>
      <c r="DS31" s="493"/>
      <c r="DT31" s="493"/>
      <c r="DU31" s="493"/>
      <c r="DV31" s="492"/>
      <c r="DW31" s="493"/>
      <c r="DX31" s="493"/>
      <c r="DY31" s="493"/>
      <c r="DZ31" s="493"/>
      <c r="EA31" s="492"/>
      <c r="EB31" s="493"/>
      <c r="EC31" s="493"/>
      <c r="ED31" s="493"/>
      <c r="EE31" s="493"/>
      <c r="EF31" s="492"/>
      <c r="EG31" s="493"/>
      <c r="EH31" s="493"/>
      <c r="EI31" s="493"/>
      <c r="EJ31" s="493"/>
      <c r="EK31" s="492"/>
      <c r="EL31" s="493"/>
      <c r="EM31" s="493"/>
      <c r="EN31" s="493"/>
      <c r="EO31" s="493"/>
      <c r="EP31" s="543"/>
      <c r="EQ31" s="442"/>
      <c r="ER31" s="472"/>
      <c r="EX31" s="645"/>
    </row>
    <row r="32" spans="1:154" s="472" customFormat="1" x14ac:dyDescent="0.2">
      <c r="A32" s="443"/>
      <c r="B32" s="443"/>
      <c r="C32" s="443"/>
      <c r="D32" s="466" t="s">
        <v>501</v>
      </c>
      <c r="E32" s="219" t="s">
        <v>117</v>
      </c>
      <c r="F32" s="465"/>
      <c r="G32" s="74"/>
      <c r="H32" s="495">
        <f>SUM(H33:H34)</f>
        <v>0</v>
      </c>
      <c r="I32" s="74"/>
      <c r="J32" s="74"/>
      <c r="K32" s="409"/>
      <c r="L32" s="74"/>
      <c r="M32" s="74">
        <f>SUM(M33:M34)</f>
        <v>0</v>
      </c>
      <c r="N32" s="74"/>
      <c r="O32" s="74"/>
      <c r="P32" s="409"/>
      <c r="Q32" s="74"/>
      <c r="R32" s="74">
        <f>SUM(R33:R34)</f>
        <v>0</v>
      </c>
      <c r="S32" s="74"/>
      <c r="T32" s="74"/>
      <c r="U32" s="409"/>
      <c r="V32" s="74"/>
      <c r="W32" s="74">
        <f>SUM(W33:W34)</f>
        <v>0</v>
      </c>
      <c r="X32" s="74"/>
      <c r="Y32" s="74"/>
      <c r="Z32" s="409"/>
      <c r="AA32" s="74"/>
      <c r="AB32" s="74">
        <f>SUM(AB33:AB34)</f>
        <v>0</v>
      </c>
      <c r="AC32" s="74"/>
      <c r="AD32" s="74"/>
      <c r="AE32" s="409"/>
      <c r="AF32" s="74"/>
      <c r="AG32" s="74">
        <f>SUM(AG33:AG34)</f>
        <v>0</v>
      </c>
      <c r="AH32" s="74"/>
      <c r="AI32" s="74"/>
      <c r="AJ32" s="409"/>
      <c r="AK32" s="74"/>
      <c r="AL32" s="74">
        <f>SUM(AL33:AL34)</f>
        <v>0</v>
      </c>
      <c r="AM32" s="74"/>
      <c r="AN32" s="74"/>
      <c r="AO32" s="409"/>
      <c r="AP32" s="74"/>
      <c r="AQ32" s="74">
        <f>SUM(AQ33:AQ34)</f>
        <v>0</v>
      </c>
      <c r="AR32" s="74"/>
      <c r="AS32" s="74"/>
      <c r="AT32" s="409"/>
      <c r="AU32" s="74"/>
      <c r="AV32" s="74">
        <f>SUM(AV33:AV34)</f>
        <v>0</v>
      </c>
      <c r="AW32" s="74"/>
      <c r="AX32" s="74"/>
      <c r="AY32" s="409"/>
      <c r="AZ32" s="74"/>
      <c r="BA32" s="74">
        <f>SUM(BA33:BA34)</f>
        <v>0</v>
      </c>
      <c r="BB32" s="74"/>
      <c r="BC32" s="74"/>
      <c r="BD32" s="409"/>
      <c r="BE32" s="74"/>
      <c r="BF32" s="74">
        <f>SUM(BF33:BF34)</f>
        <v>0</v>
      </c>
      <c r="BG32" s="74"/>
      <c r="BH32" s="74"/>
      <c r="BI32" s="409"/>
      <c r="BJ32" s="74"/>
      <c r="BK32" s="74">
        <f>SUM(BK33:BK34)</f>
        <v>0</v>
      </c>
      <c r="BL32" s="74"/>
      <c r="BM32" s="74"/>
      <c r="BN32" s="409"/>
      <c r="BO32" s="74"/>
      <c r="BP32" s="74">
        <f>SUM(BP33:BP34)</f>
        <v>0</v>
      </c>
      <c r="BQ32" s="495"/>
      <c r="BR32" s="495"/>
      <c r="BS32" s="494"/>
      <c r="BT32" s="74"/>
      <c r="BU32" s="495">
        <f>SUM(BU33:BU34)</f>
        <v>0</v>
      </c>
      <c r="BV32" s="74"/>
      <c r="BW32" s="495"/>
      <c r="BX32" s="494"/>
      <c r="BY32" s="74"/>
      <c r="BZ32" s="495">
        <f>SUM(BZ33:BZ34)</f>
        <v>-372703</v>
      </c>
      <c r="CA32" s="74"/>
      <c r="CB32" s="74"/>
      <c r="CC32" s="409"/>
      <c r="CD32" s="74"/>
      <c r="CE32" s="74">
        <f>SUM(CE33:CE34)</f>
        <v>0</v>
      </c>
      <c r="CF32" s="74"/>
      <c r="CG32" s="74"/>
      <c r="CH32" s="409"/>
      <c r="CI32" s="74"/>
      <c r="CJ32" s="74">
        <f>SUM(CJ33:CJ34)</f>
        <v>0</v>
      </c>
      <c r="CK32" s="74"/>
      <c r="CL32" s="74"/>
      <c r="CM32" s="409"/>
      <c r="CN32" s="74"/>
      <c r="CO32" s="74">
        <f>SUM(CO33:CO34)</f>
        <v>0</v>
      </c>
      <c r="CP32" s="74"/>
      <c r="CQ32" s="74"/>
      <c r="CR32" s="409"/>
      <c r="CS32" s="74"/>
      <c r="CT32" s="74">
        <f>SUM(CT33:CT34)</f>
        <v>0</v>
      </c>
      <c r="CU32" s="74"/>
      <c r="CV32" s="74"/>
      <c r="CW32" s="409"/>
      <c r="CX32" s="74"/>
      <c r="CY32" s="74">
        <f>SUM(CY33:CY34)</f>
        <v>-98</v>
      </c>
      <c r="CZ32" s="74"/>
      <c r="DA32" s="74"/>
      <c r="DB32" s="409"/>
      <c r="DC32" s="74"/>
      <c r="DD32" s="74">
        <f>SUM(DD33:DD34)</f>
        <v>0</v>
      </c>
      <c r="DE32" s="74"/>
      <c r="DF32" s="74"/>
      <c r="DG32" s="409"/>
      <c r="DH32" s="74"/>
      <c r="DI32" s="74">
        <f>SUM(DI33:DI34)</f>
        <v>-372528</v>
      </c>
      <c r="DJ32" s="74"/>
      <c r="DK32" s="74"/>
      <c r="DL32" s="409"/>
      <c r="DM32" s="74"/>
      <c r="DN32" s="74">
        <f>SUM(DN33:DN34)</f>
        <v>0</v>
      </c>
      <c r="DO32" s="74"/>
      <c r="DP32" s="74"/>
      <c r="DQ32" s="409"/>
      <c r="DR32" s="74"/>
      <c r="DS32" s="74">
        <f>SUM(DS33:DS34)</f>
        <v>0</v>
      </c>
      <c r="DT32" s="74"/>
      <c r="DU32" s="74"/>
      <c r="DV32" s="409"/>
      <c r="DW32" s="74"/>
      <c r="DX32" s="74">
        <f>SUM(DX33:DX34)</f>
        <v>0</v>
      </c>
      <c r="DY32" s="74"/>
      <c r="DZ32" s="74"/>
      <c r="EA32" s="409"/>
      <c r="EB32" s="74"/>
      <c r="EC32" s="74">
        <f>SUM(EC33:EC34)</f>
        <v>0</v>
      </c>
      <c r="ED32" s="74"/>
      <c r="EE32" s="74"/>
      <c r="EF32" s="409"/>
      <c r="EG32" s="74"/>
      <c r="EH32" s="74">
        <f>SUM(EH33:EH34)</f>
        <v>-77</v>
      </c>
      <c r="EI32" s="495"/>
      <c r="EJ32" s="495"/>
      <c r="EK32" s="494"/>
      <c r="EL32" s="74"/>
      <c r="EM32" s="459">
        <f>SUM(EM33:EM34)</f>
        <v>0</v>
      </c>
      <c r="EN32" s="74"/>
      <c r="EO32" s="495"/>
      <c r="EP32" s="572"/>
      <c r="EQ32" s="443"/>
    </row>
    <row r="33" spans="1:148" s="472" customFormat="1" x14ac:dyDescent="0.2">
      <c r="A33" s="443"/>
      <c r="B33" s="443"/>
      <c r="C33" s="443"/>
      <c r="D33" s="636" t="s">
        <v>502</v>
      </c>
      <c r="E33" s="611"/>
      <c r="F33" s="637"/>
      <c r="G33" s="638"/>
      <c r="H33" s="639">
        <v>0</v>
      </c>
      <c r="I33" s="639"/>
      <c r="J33" s="86"/>
      <c r="K33" s="86"/>
      <c r="L33" s="639"/>
      <c r="M33" s="639">
        <v>0</v>
      </c>
      <c r="N33" s="639"/>
      <c r="O33" s="86"/>
      <c r="P33" s="86"/>
      <c r="Q33" s="639"/>
      <c r="R33" s="639">
        <v>0</v>
      </c>
      <c r="S33" s="639"/>
      <c r="T33" s="86"/>
      <c r="U33" s="86"/>
      <c r="V33" s="639"/>
      <c r="W33" s="639">
        <v>0</v>
      </c>
      <c r="X33" s="639"/>
      <c r="Y33" s="86"/>
      <c r="Z33" s="86"/>
      <c r="AA33" s="639"/>
      <c r="AB33" s="639">
        <v>0</v>
      </c>
      <c r="AC33" s="639"/>
      <c r="AD33" s="86"/>
      <c r="AE33" s="86"/>
      <c r="AF33" s="639"/>
      <c r="AG33" s="639">
        <v>0</v>
      </c>
      <c r="AH33" s="639"/>
      <c r="AI33" s="86"/>
      <c r="AJ33" s="86"/>
      <c r="AK33" s="639"/>
      <c r="AL33" s="639">
        <v>0</v>
      </c>
      <c r="AM33" s="639"/>
      <c r="AN33" s="86"/>
      <c r="AO33" s="86"/>
      <c r="AP33" s="639"/>
      <c r="AQ33" s="639">
        <v>0</v>
      </c>
      <c r="AR33" s="639"/>
      <c r="AS33" s="86"/>
      <c r="AT33" s="86"/>
      <c r="AU33" s="639"/>
      <c r="AV33" s="639">
        <v>0</v>
      </c>
      <c r="AW33" s="639"/>
      <c r="AX33" s="86"/>
      <c r="AY33" s="86"/>
      <c r="AZ33" s="639"/>
      <c r="BA33" s="639">
        <v>0</v>
      </c>
      <c r="BB33" s="564"/>
      <c r="BC33" s="86"/>
      <c r="BD33" s="86"/>
      <c r="BE33" s="564"/>
      <c r="BF33" s="639">
        <v>0</v>
      </c>
      <c r="BG33" s="639"/>
      <c r="BH33" s="86"/>
      <c r="BI33" s="86"/>
      <c r="BJ33" s="639"/>
      <c r="BK33" s="639">
        <v>0</v>
      </c>
      <c r="BL33" s="639"/>
      <c r="BM33" s="86"/>
      <c r="BN33" s="86"/>
      <c r="BO33" s="639"/>
      <c r="BP33" s="639">
        <v>0</v>
      </c>
      <c r="BQ33" s="639"/>
      <c r="BR33" s="86"/>
      <c r="BS33" s="86"/>
      <c r="BT33" s="639"/>
      <c r="BU33" s="639">
        <f>SUM(M33:BP33)</f>
        <v>0</v>
      </c>
      <c r="BV33" s="639"/>
      <c r="BW33" s="86"/>
      <c r="BX33" s="86"/>
      <c r="BY33" s="639"/>
      <c r="BZ33" s="639">
        <v>-372703</v>
      </c>
      <c r="CA33" s="639"/>
      <c r="CB33" s="86"/>
      <c r="CC33" s="86"/>
      <c r="CD33" s="639"/>
      <c r="CE33" s="639">
        <v>0</v>
      </c>
      <c r="CF33" s="639"/>
      <c r="CG33" s="86"/>
      <c r="CH33" s="86"/>
      <c r="CI33" s="639"/>
      <c r="CJ33" s="639">
        <v>0</v>
      </c>
      <c r="CK33" s="639"/>
      <c r="CL33" s="86"/>
      <c r="CM33" s="86"/>
      <c r="CN33" s="639"/>
      <c r="CO33" s="639">
        <v>0</v>
      </c>
      <c r="CP33" s="639"/>
      <c r="CQ33" s="86"/>
      <c r="CR33" s="86"/>
      <c r="CS33" s="639"/>
      <c r="CT33" s="639">
        <v>0</v>
      </c>
      <c r="CU33" s="639"/>
      <c r="CV33" s="86"/>
      <c r="CW33" s="86"/>
      <c r="CX33" s="639"/>
      <c r="CY33" s="639">
        <v>-98</v>
      </c>
      <c r="CZ33" s="639"/>
      <c r="DA33" s="86"/>
      <c r="DB33" s="86"/>
      <c r="DC33" s="639"/>
      <c r="DD33" s="639">
        <v>0</v>
      </c>
      <c r="DE33" s="639"/>
      <c r="DF33" s="86"/>
      <c r="DG33" s="86"/>
      <c r="DH33" s="639"/>
      <c r="DI33" s="639">
        <v>-372528</v>
      </c>
      <c r="DJ33" s="639"/>
      <c r="DK33" s="86"/>
      <c r="DL33" s="86"/>
      <c r="DM33" s="639"/>
      <c r="DN33" s="639">
        <v>0</v>
      </c>
      <c r="DO33" s="639"/>
      <c r="DP33" s="86"/>
      <c r="DQ33" s="86"/>
      <c r="DR33" s="639"/>
      <c r="DS33" s="639">
        <v>0</v>
      </c>
      <c r="DT33" s="564"/>
      <c r="DU33" s="86"/>
      <c r="DV33" s="86"/>
      <c r="DW33" s="564"/>
      <c r="DX33" s="639">
        <v>0</v>
      </c>
      <c r="DY33" s="639"/>
      <c r="DZ33" s="86"/>
      <c r="EA33" s="86"/>
      <c r="EB33" s="639"/>
      <c r="EC33" s="639">
        <v>0</v>
      </c>
      <c r="ED33" s="639"/>
      <c r="EE33" s="86"/>
      <c r="EF33" s="86"/>
      <c r="EG33" s="639"/>
      <c r="EH33" s="639">
        <v>-77</v>
      </c>
      <c r="EI33" s="639"/>
      <c r="EJ33" s="86"/>
      <c r="EK33" s="86"/>
      <c r="EL33" s="640"/>
      <c r="EM33" s="639">
        <f>SUM(CE33:CJ33)</f>
        <v>0</v>
      </c>
      <c r="EN33" s="641"/>
      <c r="EO33" s="642"/>
      <c r="EP33" s="624"/>
      <c r="EQ33" s="443"/>
    </row>
    <row r="34" spans="1:148" hidden="1" x14ac:dyDescent="0.2">
      <c r="A34" s="442"/>
      <c r="B34" s="442"/>
      <c r="C34" s="442"/>
      <c r="D34" s="643" t="s">
        <v>500</v>
      </c>
      <c r="E34" s="219"/>
      <c r="F34" s="465"/>
      <c r="G34" s="488"/>
      <c r="H34" s="632">
        <v>0</v>
      </c>
      <c r="I34" s="633"/>
      <c r="J34" s="88"/>
      <c r="K34" s="391"/>
      <c r="L34" s="488"/>
      <c r="M34" s="632">
        <v>0</v>
      </c>
      <c r="N34" s="633"/>
      <c r="O34" s="88"/>
      <c r="P34" s="391"/>
      <c r="Q34" s="634"/>
      <c r="R34" s="632">
        <v>0</v>
      </c>
      <c r="S34" s="633"/>
      <c r="T34" s="88"/>
      <c r="U34" s="391"/>
      <c r="V34" s="634"/>
      <c r="W34" s="632">
        <v>0</v>
      </c>
      <c r="X34" s="633"/>
      <c r="Y34" s="88"/>
      <c r="Z34" s="391"/>
      <c r="AA34" s="634"/>
      <c r="AB34" s="632">
        <v>0</v>
      </c>
      <c r="AC34" s="633"/>
      <c r="AD34" s="88"/>
      <c r="AE34" s="391"/>
      <c r="AF34" s="634"/>
      <c r="AG34" s="632">
        <v>0</v>
      </c>
      <c r="AH34" s="633"/>
      <c r="AI34" s="88"/>
      <c r="AJ34" s="391"/>
      <c r="AK34" s="634"/>
      <c r="AL34" s="632">
        <v>0</v>
      </c>
      <c r="AM34" s="633"/>
      <c r="AN34" s="88"/>
      <c r="AO34" s="391"/>
      <c r="AP34" s="634"/>
      <c r="AQ34" s="632">
        <v>0</v>
      </c>
      <c r="AR34" s="633"/>
      <c r="AS34" s="88"/>
      <c r="AT34" s="391"/>
      <c r="AU34" s="634"/>
      <c r="AV34" s="632">
        <v>0</v>
      </c>
      <c r="AW34" s="633"/>
      <c r="AX34" s="88"/>
      <c r="AY34" s="391"/>
      <c r="AZ34" s="634"/>
      <c r="BA34" s="632">
        <v>0</v>
      </c>
      <c r="BB34" s="633"/>
      <c r="BC34" s="88"/>
      <c r="BD34" s="391"/>
      <c r="BE34" s="634"/>
      <c r="BF34" s="632">
        <v>0</v>
      </c>
      <c r="BG34" s="633"/>
      <c r="BH34" s="88"/>
      <c r="BI34" s="391"/>
      <c r="BJ34" s="634"/>
      <c r="BK34" s="632">
        <v>0</v>
      </c>
      <c r="BL34" s="633"/>
      <c r="BM34" s="88"/>
      <c r="BN34" s="391"/>
      <c r="BO34" s="634"/>
      <c r="BP34" s="632">
        <v>0</v>
      </c>
      <c r="BQ34" s="633"/>
      <c r="BR34" s="493"/>
      <c r="BS34" s="492"/>
      <c r="BT34" s="488"/>
      <c r="BU34" s="632">
        <f>SUM(M34:BP34)</f>
        <v>0</v>
      </c>
      <c r="BV34" s="633"/>
      <c r="BW34" s="493"/>
      <c r="BX34" s="492"/>
      <c r="BY34" s="488"/>
      <c r="BZ34" s="632">
        <v>0</v>
      </c>
      <c r="CA34" s="633"/>
      <c r="CB34" s="88"/>
      <c r="CC34" s="391"/>
      <c r="CD34" s="488"/>
      <c r="CE34" s="632">
        <v>0</v>
      </c>
      <c r="CF34" s="633"/>
      <c r="CG34" s="88"/>
      <c r="CH34" s="391"/>
      <c r="CI34" s="634"/>
      <c r="CJ34" s="632">
        <v>0</v>
      </c>
      <c r="CK34" s="633"/>
      <c r="CL34" s="88"/>
      <c r="CM34" s="391"/>
      <c r="CN34" s="634"/>
      <c r="CO34" s="632">
        <v>0</v>
      </c>
      <c r="CP34" s="633"/>
      <c r="CQ34" s="88"/>
      <c r="CR34" s="391"/>
      <c r="CS34" s="634"/>
      <c r="CT34" s="632">
        <v>0</v>
      </c>
      <c r="CU34" s="633"/>
      <c r="CV34" s="88"/>
      <c r="CW34" s="391"/>
      <c r="CX34" s="634"/>
      <c r="CY34" s="632">
        <v>0</v>
      </c>
      <c r="CZ34" s="633"/>
      <c r="DA34" s="88"/>
      <c r="DB34" s="391"/>
      <c r="DC34" s="634"/>
      <c r="DD34" s="632">
        <v>0</v>
      </c>
      <c r="DE34" s="633"/>
      <c r="DF34" s="88"/>
      <c r="DG34" s="391"/>
      <c r="DH34" s="634"/>
      <c r="DI34" s="632">
        <v>0</v>
      </c>
      <c r="DJ34" s="633"/>
      <c r="DK34" s="88"/>
      <c r="DL34" s="391"/>
      <c r="DM34" s="634"/>
      <c r="DN34" s="632">
        <v>0</v>
      </c>
      <c r="DO34" s="633"/>
      <c r="DP34" s="88"/>
      <c r="DQ34" s="391"/>
      <c r="DR34" s="634"/>
      <c r="DS34" s="632">
        <v>0</v>
      </c>
      <c r="DT34" s="633"/>
      <c r="DU34" s="88"/>
      <c r="DV34" s="391"/>
      <c r="DW34" s="634"/>
      <c r="DX34" s="632">
        <v>0</v>
      </c>
      <c r="DY34" s="633"/>
      <c r="DZ34" s="88"/>
      <c r="EA34" s="391"/>
      <c r="EB34" s="634"/>
      <c r="EC34" s="632">
        <v>0</v>
      </c>
      <c r="ED34" s="633"/>
      <c r="EE34" s="88"/>
      <c r="EF34" s="391"/>
      <c r="EG34" s="634"/>
      <c r="EH34" s="632">
        <v>0</v>
      </c>
      <c r="EI34" s="633"/>
      <c r="EJ34" s="493"/>
      <c r="EK34" s="492"/>
      <c r="EL34" s="488"/>
      <c r="EM34" s="644">
        <f>SUM(CE34:DD34)</f>
        <v>0</v>
      </c>
      <c r="EN34" s="633"/>
      <c r="EO34" s="493"/>
      <c r="EP34" s="543"/>
      <c r="EQ34" s="442"/>
      <c r="ER34" s="472"/>
    </row>
    <row r="35" spans="1:148" x14ac:dyDescent="0.2">
      <c r="A35" s="442"/>
      <c r="B35" s="442"/>
      <c r="C35" s="442"/>
      <c r="D35" s="455"/>
      <c r="E35" s="219"/>
      <c r="F35" s="465"/>
      <c r="G35" s="442"/>
      <c r="H35" s="88"/>
      <c r="I35" s="88"/>
      <c r="J35" s="88"/>
      <c r="K35" s="391"/>
      <c r="L35" s="88"/>
      <c r="M35" s="88"/>
      <c r="N35" s="88"/>
      <c r="O35" s="88"/>
      <c r="P35" s="391"/>
      <c r="Q35" s="88"/>
      <c r="R35" s="88"/>
      <c r="S35" s="88"/>
      <c r="T35" s="88"/>
      <c r="U35" s="391"/>
      <c r="V35" s="88"/>
      <c r="W35" s="88"/>
      <c r="X35" s="88"/>
      <c r="Y35" s="88"/>
      <c r="Z35" s="391"/>
      <c r="AA35" s="88"/>
      <c r="AB35" s="88"/>
      <c r="AC35" s="88"/>
      <c r="AD35" s="88"/>
      <c r="AE35" s="391"/>
      <c r="AF35" s="88"/>
      <c r="AG35" s="88"/>
      <c r="AH35" s="88"/>
      <c r="AI35" s="88"/>
      <c r="AJ35" s="391"/>
      <c r="AK35" s="88"/>
      <c r="AL35" s="88"/>
      <c r="AM35" s="88"/>
      <c r="AN35" s="88"/>
      <c r="AO35" s="391"/>
      <c r="AP35" s="88"/>
      <c r="AQ35" s="88"/>
      <c r="AR35" s="88"/>
      <c r="AS35" s="88"/>
      <c r="AT35" s="391"/>
      <c r="AU35" s="88"/>
      <c r="AV35" s="88"/>
      <c r="AW35" s="625"/>
      <c r="AX35" s="88"/>
      <c r="AY35" s="391"/>
      <c r="AZ35" s="88"/>
      <c r="BA35" s="88"/>
      <c r="BB35" s="88"/>
      <c r="BC35" s="88"/>
      <c r="BD35" s="391"/>
      <c r="BE35" s="88"/>
      <c r="BF35" s="88"/>
      <c r="BG35" s="88"/>
      <c r="BH35" s="88"/>
      <c r="BI35" s="391"/>
      <c r="BJ35" s="88"/>
      <c r="BK35" s="88"/>
      <c r="BL35" s="88"/>
      <c r="BM35" s="88"/>
      <c r="BN35" s="391"/>
      <c r="BO35" s="625"/>
      <c r="BP35" s="88"/>
      <c r="BQ35" s="625"/>
      <c r="BR35" s="88"/>
      <c r="BS35" s="391"/>
      <c r="BT35" s="88"/>
      <c r="BU35" s="88"/>
      <c r="BV35" s="88"/>
      <c r="BW35" s="88"/>
      <c r="BX35" s="391"/>
      <c r="BY35" s="88"/>
      <c r="BZ35" s="88"/>
      <c r="CA35" s="88"/>
      <c r="CB35" s="88"/>
      <c r="CC35" s="391"/>
      <c r="CD35" s="88"/>
      <c r="CE35" s="88"/>
      <c r="CF35" s="88"/>
      <c r="CG35" s="88"/>
      <c r="CH35" s="391"/>
      <c r="CI35" s="88"/>
      <c r="CJ35" s="88"/>
      <c r="CK35" s="88"/>
      <c r="CL35" s="88"/>
      <c r="CM35" s="391"/>
      <c r="CN35" s="88"/>
      <c r="CO35" s="88"/>
      <c r="CP35" s="88"/>
      <c r="CQ35" s="88"/>
      <c r="CR35" s="391"/>
      <c r="CS35" s="88"/>
      <c r="CT35" s="88"/>
      <c r="CU35" s="88"/>
      <c r="CV35" s="88"/>
      <c r="CW35" s="391"/>
      <c r="CX35" s="88"/>
      <c r="CY35" s="88"/>
      <c r="CZ35" s="88"/>
      <c r="DA35" s="88"/>
      <c r="DB35" s="391"/>
      <c r="DC35" s="88"/>
      <c r="DD35" s="88"/>
      <c r="DE35" s="88"/>
      <c r="DF35" s="88"/>
      <c r="DG35" s="391"/>
      <c r="DH35" s="88"/>
      <c r="DI35" s="88"/>
      <c r="DJ35" s="88"/>
      <c r="DK35" s="88"/>
      <c r="DL35" s="391"/>
      <c r="DM35" s="88"/>
      <c r="DN35" s="88"/>
      <c r="DO35" s="625"/>
      <c r="DP35" s="88"/>
      <c r="DQ35" s="391"/>
      <c r="DR35" s="88"/>
      <c r="DS35" s="88"/>
      <c r="DT35" s="88"/>
      <c r="DU35" s="88"/>
      <c r="DV35" s="391"/>
      <c r="DW35" s="88"/>
      <c r="DX35" s="88"/>
      <c r="DY35" s="88"/>
      <c r="DZ35" s="88"/>
      <c r="EA35" s="391"/>
      <c r="EB35" s="88"/>
      <c r="EC35" s="88"/>
      <c r="ED35" s="88"/>
      <c r="EE35" s="88"/>
      <c r="EF35" s="391"/>
      <c r="EG35" s="625"/>
      <c r="EH35" s="88"/>
      <c r="EI35" s="625"/>
      <c r="EJ35" s="88"/>
      <c r="EK35" s="391"/>
      <c r="EL35" s="88"/>
      <c r="EM35" s="625"/>
      <c r="EN35" s="625"/>
      <c r="EO35" s="88"/>
      <c r="EP35" s="628"/>
      <c r="EQ35" s="442"/>
      <c r="ER35" s="472"/>
    </row>
    <row r="36" spans="1:148" x14ac:dyDescent="0.2">
      <c r="A36" s="442"/>
      <c r="B36" s="442"/>
      <c r="C36" s="442"/>
      <c r="D36" s="455"/>
      <c r="E36" s="219"/>
      <c r="F36" s="465"/>
      <c r="G36" s="442"/>
      <c r="H36" s="493"/>
      <c r="I36" s="493"/>
      <c r="J36" s="493"/>
      <c r="K36" s="492"/>
      <c r="L36" s="493"/>
      <c r="M36" s="493"/>
      <c r="N36" s="493"/>
      <c r="O36" s="493"/>
      <c r="P36" s="492"/>
      <c r="Q36" s="493"/>
      <c r="R36" s="493"/>
      <c r="S36" s="493"/>
      <c r="T36" s="493"/>
      <c r="U36" s="492"/>
      <c r="V36" s="493"/>
      <c r="W36" s="493"/>
      <c r="X36" s="493"/>
      <c r="Y36" s="493"/>
      <c r="Z36" s="492"/>
      <c r="AA36" s="493"/>
      <c r="AB36" s="493"/>
      <c r="AC36" s="493"/>
      <c r="AD36" s="493"/>
      <c r="AE36" s="492"/>
      <c r="AF36" s="493"/>
      <c r="AG36" s="493"/>
      <c r="AH36" s="493"/>
      <c r="AI36" s="493"/>
      <c r="AJ36" s="492"/>
      <c r="AK36" s="493"/>
      <c r="AL36" s="493"/>
      <c r="AM36" s="493"/>
      <c r="AN36" s="493"/>
      <c r="AO36" s="492"/>
      <c r="AP36" s="493"/>
      <c r="AQ36" s="493"/>
      <c r="AR36" s="493"/>
      <c r="AS36" s="493"/>
      <c r="AT36" s="492"/>
      <c r="AU36" s="493"/>
      <c r="AV36" s="493"/>
      <c r="AW36" s="493"/>
      <c r="AX36" s="493"/>
      <c r="AY36" s="492"/>
      <c r="AZ36" s="493"/>
      <c r="BA36" s="493"/>
      <c r="BB36" s="493"/>
      <c r="BC36" s="493"/>
      <c r="BD36" s="492"/>
      <c r="BE36" s="493"/>
      <c r="BF36" s="493"/>
      <c r="BG36" s="493"/>
      <c r="BH36" s="493"/>
      <c r="BI36" s="492"/>
      <c r="BJ36" s="493"/>
      <c r="BK36" s="493"/>
      <c r="BL36" s="493"/>
      <c r="BM36" s="493"/>
      <c r="BN36" s="492"/>
      <c r="BO36" s="493"/>
      <c r="BP36" s="493"/>
      <c r="BQ36" s="493"/>
      <c r="BR36" s="493"/>
      <c r="BS36" s="492"/>
      <c r="BT36" s="493"/>
      <c r="BU36" s="493"/>
      <c r="BV36" s="493"/>
      <c r="BW36" s="493"/>
      <c r="BX36" s="492"/>
      <c r="BY36" s="493"/>
      <c r="BZ36" s="493"/>
      <c r="CA36" s="493"/>
      <c r="CB36" s="493"/>
      <c r="CC36" s="492"/>
      <c r="CD36" s="493"/>
      <c r="CE36" s="493"/>
      <c r="CF36" s="493"/>
      <c r="CG36" s="493"/>
      <c r="CH36" s="492"/>
      <c r="CI36" s="493"/>
      <c r="CJ36" s="493"/>
      <c r="CK36" s="493"/>
      <c r="CL36" s="493"/>
      <c r="CM36" s="492"/>
      <c r="CN36" s="493"/>
      <c r="CO36" s="493"/>
      <c r="CP36" s="493"/>
      <c r="CQ36" s="493"/>
      <c r="CR36" s="492"/>
      <c r="CS36" s="493"/>
      <c r="CT36" s="493"/>
      <c r="CU36" s="493"/>
      <c r="CV36" s="493"/>
      <c r="CW36" s="492"/>
      <c r="CX36" s="493"/>
      <c r="CY36" s="493"/>
      <c r="CZ36" s="493"/>
      <c r="DA36" s="493"/>
      <c r="DB36" s="492"/>
      <c r="DC36" s="493"/>
      <c r="DD36" s="493"/>
      <c r="DE36" s="493"/>
      <c r="DF36" s="493"/>
      <c r="DG36" s="492"/>
      <c r="DH36" s="493"/>
      <c r="DI36" s="493"/>
      <c r="DJ36" s="493"/>
      <c r="DK36" s="493"/>
      <c r="DL36" s="492"/>
      <c r="DM36" s="493"/>
      <c r="DN36" s="493"/>
      <c r="DO36" s="493"/>
      <c r="DP36" s="493"/>
      <c r="DQ36" s="492"/>
      <c r="DR36" s="493"/>
      <c r="DS36" s="493"/>
      <c r="DT36" s="493"/>
      <c r="DU36" s="493"/>
      <c r="DV36" s="492"/>
      <c r="DW36" s="493"/>
      <c r="DX36" s="493"/>
      <c r="DY36" s="493"/>
      <c r="DZ36" s="493"/>
      <c r="EA36" s="492"/>
      <c r="EB36" s="493"/>
      <c r="EC36" s="493"/>
      <c r="ED36" s="493"/>
      <c r="EE36" s="493"/>
      <c r="EF36" s="492"/>
      <c r="EG36" s="493"/>
      <c r="EH36" s="493"/>
      <c r="EI36" s="493"/>
      <c r="EJ36" s="493"/>
      <c r="EK36" s="492"/>
      <c r="EL36" s="493"/>
      <c r="EM36" s="493"/>
      <c r="EN36" s="493"/>
      <c r="EO36" s="493"/>
      <c r="EP36" s="543"/>
      <c r="EQ36" s="442"/>
      <c r="ER36" s="472"/>
    </row>
    <row r="37" spans="1:148" s="472" customFormat="1" hidden="1" x14ac:dyDescent="0.2">
      <c r="A37" s="443"/>
      <c r="B37" s="443"/>
      <c r="C37" s="443"/>
      <c r="D37" s="466"/>
      <c r="E37" s="611"/>
      <c r="F37" s="468"/>
      <c r="G37" s="443"/>
      <c r="H37" s="74"/>
      <c r="I37" s="74"/>
      <c r="J37" s="74"/>
      <c r="K37" s="409"/>
      <c r="L37" s="74"/>
      <c r="M37" s="74"/>
      <c r="N37" s="74"/>
      <c r="O37" s="74"/>
      <c r="P37" s="409"/>
      <c r="Q37" s="74"/>
      <c r="R37" s="74"/>
      <c r="S37" s="74"/>
      <c r="T37" s="74"/>
      <c r="U37" s="409"/>
      <c r="V37" s="74"/>
      <c r="W37" s="74"/>
      <c r="X37" s="74"/>
      <c r="Y37" s="74"/>
      <c r="Z37" s="409"/>
      <c r="AA37" s="74"/>
      <c r="AB37" s="74"/>
      <c r="AC37" s="74"/>
      <c r="AD37" s="74"/>
      <c r="AE37" s="409"/>
      <c r="AF37" s="74"/>
      <c r="AG37" s="74"/>
      <c r="AH37" s="74"/>
      <c r="AI37" s="74"/>
      <c r="AJ37" s="409"/>
      <c r="AK37" s="74"/>
      <c r="AL37" s="74"/>
      <c r="AM37" s="74"/>
      <c r="AN37" s="74"/>
      <c r="AO37" s="409"/>
      <c r="AP37" s="74"/>
      <c r="AQ37" s="74"/>
      <c r="AR37" s="74"/>
      <c r="AS37" s="74"/>
      <c r="AT37" s="409"/>
      <c r="AU37" s="74"/>
      <c r="AV37" s="74"/>
      <c r="AW37" s="74"/>
      <c r="AX37" s="74"/>
      <c r="AY37" s="409"/>
      <c r="AZ37" s="74"/>
      <c r="BA37" s="74"/>
      <c r="BB37" s="74"/>
      <c r="BC37" s="74"/>
      <c r="BD37" s="409"/>
      <c r="BE37" s="74"/>
      <c r="BF37" s="74"/>
      <c r="BG37" s="74"/>
      <c r="BH37" s="74"/>
      <c r="BI37" s="409"/>
      <c r="BJ37" s="74"/>
      <c r="BK37" s="74"/>
      <c r="BL37" s="74"/>
      <c r="BM37" s="74"/>
      <c r="BN37" s="409"/>
      <c r="BO37" s="74"/>
      <c r="BP37" s="74"/>
      <c r="BQ37" s="74"/>
      <c r="BR37" s="74"/>
      <c r="BS37" s="409"/>
      <c r="BT37" s="74"/>
      <c r="BU37" s="74"/>
      <c r="BV37" s="74"/>
      <c r="BW37" s="74"/>
      <c r="BX37" s="409"/>
      <c r="BY37" s="74"/>
      <c r="BZ37" s="74"/>
      <c r="CA37" s="74"/>
      <c r="CB37" s="74"/>
      <c r="CC37" s="409"/>
      <c r="CD37" s="74"/>
      <c r="CE37" s="74"/>
      <c r="CF37" s="74"/>
      <c r="CG37" s="74"/>
      <c r="CH37" s="409"/>
      <c r="CI37" s="74"/>
      <c r="CJ37" s="74"/>
      <c r="CK37" s="74"/>
      <c r="CL37" s="74"/>
      <c r="CM37" s="409"/>
      <c r="CN37" s="74"/>
      <c r="CO37" s="74"/>
      <c r="CP37" s="74"/>
      <c r="CQ37" s="74"/>
      <c r="CR37" s="409"/>
      <c r="CS37" s="74"/>
      <c r="CT37" s="74"/>
      <c r="CU37" s="74"/>
      <c r="CV37" s="74"/>
      <c r="CW37" s="409"/>
      <c r="CX37" s="74"/>
      <c r="CY37" s="74"/>
      <c r="CZ37" s="74"/>
      <c r="DA37" s="74"/>
      <c r="DB37" s="409"/>
      <c r="DC37" s="74"/>
      <c r="DD37" s="74"/>
      <c r="DE37" s="74"/>
      <c r="DF37" s="74"/>
      <c r="DG37" s="409"/>
      <c r="DH37" s="74"/>
      <c r="DI37" s="74"/>
      <c r="DJ37" s="74"/>
      <c r="DK37" s="74"/>
      <c r="DL37" s="409"/>
      <c r="DM37" s="74"/>
      <c r="DN37" s="74"/>
      <c r="DO37" s="74"/>
      <c r="DP37" s="74"/>
      <c r="DQ37" s="409"/>
      <c r="DR37" s="74"/>
      <c r="DS37" s="74"/>
      <c r="DT37" s="74"/>
      <c r="DU37" s="74"/>
      <c r="DV37" s="409"/>
      <c r="DW37" s="74"/>
      <c r="DX37" s="74"/>
      <c r="DY37" s="74"/>
      <c r="DZ37" s="74"/>
      <c r="EA37" s="409"/>
      <c r="EB37" s="74"/>
      <c r="EC37" s="74"/>
      <c r="ED37" s="74"/>
      <c r="EE37" s="74"/>
      <c r="EF37" s="409"/>
      <c r="EG37" s="74"/>
      <c r="EH37" s="74"/>
      <c r="EI37" s="74"/>
      <c r="EJ37" s="74"/>
      <c r="EK37" s="409"/>
      <c r="EL37" s="74"/>
      <c r="EM37" s="623"/>
      <c r="EN37" s="74"/>
      <c r="EO37" s="74"/>
      <c r="EP37" s="624"/>
      <c r="EQ37" s="443"/>
    </row>
    <row r="38" spans="1:148" s="472" customFormat="1" x14ac:dyDescent="0.2">
      <c r="A38" s="443"/>
      <c r="B38" s="443"/>
      <c r="C38" s="443"/>
      <c r="D38" s="466" t="s">
        <v>503</v>
      </c>
      <c r="E38" s="611"/>
      <c r="F38" s="637"/>
      <c r="G38" s="638"/>
      <c r="H38" s="646">
        <v>0</v>
      </c>
      <c r="I38" s="646"/>
      <c r="J38" s="73"/>
      <c r="K38" s="73"/>
      <c r="L38" s="646"/>
      <c r="M38" s="646">
        <f>-[30]original!$F$82</f>
        <v>-34158767.953769997</v>
      </c>
      <c r="N38" s="646"/>
      <c r="O38" s="73"/>
      <c r="P38" s="73"/>
      <c r="Q38" s="646"/>
      <c r="R38" s="646">
        <f>-[31]original!$G$82</f>
        <v>665778.1075699823</v>
      </c>
      <c r="S38" s="646"/>
      <c r="T38" s="73"/>
      <c r="U38" s="73"/>
      <c r="V38" s="646"/>
      <c r="W38" s="646">
        <v>0</v>
      </c>
      <c r="X38" s="646"/>
      <c r="Y38" s="73"/>
      <c r="Z38" s="73"/>
      <c r="AA38" s="646"/>
      <c r="AB38" s="646">
        <v>0</v>
      </c>
      <c r="AC38" s="646"/>
      <c r="AD38" s="73"/>
      <c r="AE38" s="73"/>
      <c r="AF38" s="646"/>
      <c r="AG38" s="646">
        <v>0</v>
      </c>
      <c r="AH38" s="646"/>
      <c r="AI38" s="73"/>
      <c r="AJ38" s="73"/>
      <c r="AK38" s="646"/>
      <c r="AL38" s="646">
        <v>0</v>
      </c>
      <c r="AM38" s="646"/>
      <c r="AN38" s="73"/>
      <c r="AO38" s="73"/>
      <c r="AP38" s="646"/>
      <c r="AQ38" s="646">
        <v>0</v>
      </c>
      <c r="AR38" s="646"/>
      <c r="AS38" s="73"/>
      <c r="AT38" s="73"/>
      <c r="AU38" s="646"/>
      <c r="AV38" s="646">
        <v>0</v>
      </c>
      <c r="AW38" s="646"/>
      <c r="AX38" s="73"/>
      <c r="AY38" s="73"/>
      <c r="AZ38" s="646"/>
      <c r="BA38" s="646">
        <v>0</v>
      </c>
      <c r="BB38" s="647"/>
      <c r="BC38" s="73"/>
      <c r="BD38" s="73"/>
      <c r="BE38" s="647"/>
      <c r="BF38" s="646">
        <v>0</v>
      </c>
      <c r="BG38" s="646"/>
      <c r="BH38" s="73"/>
      <c r="BI38" s="73"/>
      <c r="BJ38" s="646"/>
      <c r="BK38" s="646">
        <v>0</v>
      </c>
      <c r="BL38" s="646"/>
      <c r="BM38" s="73"/>
      <c r="BN38" s="73"/>
      <c r="BO38" s="646"/>
      <c r="BP38" s="646">
        <v>0</v>
      </c>
      <c r="BQ38" s="646"/>
      <c r="BR38" s="73"/>
      <c r="BS38" s="73"/>
      <c r="BT38" s="646"/>
      <c r="BU38" s="646">
        <f>SUM(M38:BP38)</f>
        <v>-33492989.846200015</v>
      </c>
      <c r="BV38" s="646"/>
      <c r="BW38" s="73"/>
      <c r="BX38" s="73"/>
      <c r="BY38" s="646"/>
      <c r="BZ38" s="646">
        <f>-[30]original!$V$82</f>
        <v>2431354.9546501637</v>
      </c>
      <c r="CA38" s="646"/>
      <c r="CB38" s="73"/>
      <c r="CC38" s="73"/>
      <c r="CD38" s="646"/>
      <c r="CE38" s="646">
        <f>-[32]original!$F$83</f>
        <v>-9617047.0857300311</v>
      </c>
      <c r="CF38" s="646"/>
      <c r="CG38" s="73"/>
      <c r="CH38" s="73"/>
      <c r="CI38" s="646"/>
      <c r="CJ38" s="646">
        <f>-[33]original!$X$82</f>
        <v>1658010.930979982</v>
      </c>
      <c r="CK38" s="646"/>
      <c r="CL38" s="73"/>
      <c r="CM38" s="73"/>
      <c r="CN38" s="646"/>
      <c r="CO38" s="646">
        <f>-[34]original!$H$83</f>
        <v>13980252.002719998</v>
      </c>
      <c r="CP38" s="646"/>
      <c r="CQ38" s="73"/>
      <c r="CR38" s="73"/>
      <c r="CS38" s="646"/>
      <c r="CT38" s="646">
        <f>-[35]original!$I$83</f>
        <v>-8777405.5292999893</v>
      </c>
      <c r="CU38" s="646"/>
      <c r="CV38" s="73"/>
      <c r="CW38" s="73"/>
      <c r="CX38" s="646"/>
      <c r="CY38" s="646">
        <f>-[36]original!$J$83</f>
        <v>-9967884.6452499926</v>
      </c>
      <c r="CZ38" s="646"/>
      <c r="DA38" s="73"/>
      <c r="DB38" s="73"/>
      <c r="DC38" s="646"/>
      <c r="DD38" s="646">
        <f>-[37]original!$K$83</f>
        <v>-4315544.2743200064</v>
      </c>
      <c r="DE38" s="646"/>
      <c r="DF38" s="73"/>
      <c r="DG38" s="73"/>
      <c r="DH38" s="646"/>
      <c r="DI38" s="646">
        <f>-[38]original!$L$84</f>
        <v>-395955.73492997885</v>
      </c>
      <c r="DJ38" s="646"/>
      <c r="DK38" s="73"/>
      <c r="DL38" s="73"/>
      <c r="DM38" s="646"/>
      <c r="DN38" s="646">
        <f>-[39]original!$M$84</f>
        <v>-18897629.034100011</v>
      </c>
      <c r="DO38" s="646"/>
      <c r="DP38" s="73"/>
      <c r="DQ38" s="73"/>
      <c r="DR38" s="646"/>
      <c r="DS38" s="646">
        <f>-[40]original!$N$82</f>
        <v>-1291051.425060004</v>
      </c>
      <c r="DT38" s="647"/>
      <c r="DU38" s="73"/>
      <c r="DV38" s="73"/>
      <c r="DW38" s="647"/>
      <c r="DX38" s="646">
        <f>-[41]original!$O$82</f>
        <v>-2746121.6662400216</v>
      </c>
      <c r="DY38" s="646"/>
      <c r="DZ38" s="73"/>
      <c r="EA38" s="73"/>
      <c r="EB38" s="646"/>
      <c r="EC38" s="646">
        <f>-[42]original!$P$82</f>
        <v>-5785998.0916399956</v>
      </c>
      <c r="ED38" s="646"/>
      <c r="EE38" s="73"/>
      <c r="EF38" s="73"/>
      <c r="EG38" s="646"/>
      <c r="EH38" s="646">
        <f>-[43]original!$Q$82</f>
        <v>48587728.50752002</v>
      </c>
      <c r="EI38" s="646"/>
      <c r="EJ38" s="73"/>
      <c r="EK38" s="73"/>
      <c r="EL38" s="648"/>
      <c r="EM38" s="646">
        <f>SUM(CE38:CJ38)</f>
        <v>-7959036.1547500491</v>
      </c>
      <c r="EN38" s="641"/>
      <c r="EO38" s="642"/>
      <c r="EP38" s="624"/>
      <c r="EQ38" s="443"/>
    </row>
    <row r="39" spans="1:148" x14ac:dyDescent="0.2">
      <c r="A39" s="442"/>
      <c r="B39" s="442"/>
      <c r="C39" s="442"/>
      <c r="D39" s="455"/>
      <c r="E39" s="289"/>
      <c r="F39" s="465"/>
      <c r="G39" s="442"/>
      <c r="H39" s="88"/>
      <c r="I39" s="88"/>
      <c r="J39" s="88"/>
      <c r="K39" s="391"/>
      <c r="L39" s="88"/>
      <c r="M39" s="88"/>
      <c r="N39" s="88"/>
      <c r="O39" s="88"/>
      <c r="P39" s="391"/>
      <c r="Q39" s="88"/>
      <c r="R39" s="88"/>
      <c r="S39" s="88"/>
      <c r="T39" s="88"/>
      <c r="U39" s="391"/>
      <c r="V39" s="88"/>
      <c r="W39" s="88"/>
      <c r="X39" s="88"/>
      <c r="Y39" s="88"/>
      <c r="Z39" s="391"/>
      <c r="AA39" s="88"/>
      <c r="AB39" s="88"/>
      <c r="AC39" s="88"/>
      <c r="AD39" s="88"/>
      <c r="AE39" s="391"/>
      <c r="AF39" s="88"/>
      <c r="AG39" s="88"/>
      <c r="AH39" s="88"/>
      <c r="AI39" s="88"/>
      <c r="AJ39" s="391"/>
      <c r="AK39" s="88"/>
      <c r="AL39" s="88"/>
      <c r="AM39" s="88"/>
      <c r="AN39" s="88"/>
      <c r="AO39" s="391"/>
      <c r="AP39" s="88"/>
      <c r="AQ39" s="88"/>
      <c r="AR39" s="88"/>
      <c r="AS39" s="88"/>
      <c r="AT39" s="391"/>
      <c r="AU39" s="88"/>
      <c r="AV39" s="88"/>
      <c r="AW39" s="88"/>
      <c r="AX39" s="88"/>
      <c r="AY39" s="391"/>
      <c r="AZ39" s="88"/>
      <c r="BA39" s="88"/>
      <c r="BB39" s="88"/>
      <c r="BC39" s="88"/>
      <c r="BD39" s="391"/>
      <c r="BE39" s="88"/>
      <c r="BF39" s="88"/>
      <c r="BG39" s="88"/>
      <c r="BH39" s="88"/>
      <c r="BI39" s="391"/>
      <c r="BJ39" s="88"/>
      <c r="BK39" s="88"/>
      <c r="BL39" s="88"/>
      <c r="BM39" s="88"/>
      <c r="BN39" s="391"/>
      <c r="BO39" s="88"/>
      <c r="BP39" s="88"/>
      <c r="BQ39" s="88"/>
      <c r="BR39" s="88"/>
      <c r="BS39" s="391"/>
      <c r="BT39" s="88"/>
      <c r="BU39" s="88"/>
      <c r="BV39" s="88"/>
      <c r="BW39" s="88"/>
      <c r="BX39" s="391"/>
      <c r="BY39" s="88"/>
      <c r="BZ39" s="88"/>
      <c r="CA39" s="88"/>
      <c r="CB39" s="88"/>
      <c r="CC39" s="391"/>
      <c r="CD39" s="88"/>
      <c r="CE39" s="88"/>
      <c r="CF39" s="88"/>
      <c r="CG39" s="88"/>
      <c r="CH39" s="391"/>
      <c r="CI39" s="88"/>
      <c r="CJ39" s="88"/>
      <c r="CK39" s="88"/>
      <c r="CL39" s="88"/>
      <c r="CM39" s="391"/>
      <c r="CN39" s="88"/>
      <c r="CO39" s="88"/>
      <c r="CP39" s="88"/>
      <c r="CQ39" s="88"/>
      <c r="CR39" s="391"/>
      <c r="CS39" s="88"/>
      <c r="CT39" s="88"/>
      <c r="CU39" s="88"/>
      <c r="CV39" s="88"/>
      <c r="CW39" s="391"/>
      <c r="CX39" s="88"/>
      <c r="CY39" s="88"/>
      <c r="CZ39" s="88"/>
      <c r="DA39" s="88"/>
      <c r="DB39" s="391"/>
      <c r="DC39" s="88"/>
      <c r="DD39" s="88"/>
      <c r="DE39" s="88"/>
      <c r="DF39" s="88"/>
      <c r="DG39" s="391"/>
      <c r="DH39" s="88"/>
      <c r="DI39" s="88"/>
      <c r="DJ39" s="88"/>
      <c r="DK39" s="88"/>
      <c r="DL39" s="391"/>
      <c r="DM39" s="88"/>
      <c r="DN39" s="88"/>
      <c r="DO39" s="88"/>
      <c r="DP39" s="88"/>
      <c r="DQ39" s="391"/>
      <c r="DR39" s="88"/>
      <c r="DS39" s="88"/>
      <c r="DT39" s="88"/>
      <c r="DU39" s="88"/>
      <c r="DV39" s="391"/>
      <c r="DW39" s="88"/>
      <c r="DX39" s="88"/>
      <c r="DY39" s="88"/>
      <c r="DZ39" s="88"/>
      <c r="EA39" s="391"/>
      <c r="EB39" s="88"/>
      <c r="EC39" s="88"/>
      <c r="ED39" s="88"/>
      <c r="EE39" s="88"/>
      <c r="EF39" s="391"/>
      <c r="EG39" s="88"/>
      <c r="EH39" s="88"/>
      <c r="EI39" s="88"/>
      <c r="EJ39" s="88"/>
      <c r="EK39" s="391"/>
      <c r="EL39" s="88"/>
      <c r="EM39" s="88"/>
      <c r="EN39" s="639"/>
      <c r="EO39" s="88"/>
      <c r="EP39" s="628"/>
      <c r="EQ39" s="442"/>
      <c r="ER39" s="472"/>
    </row>
    <row r="40" spans="1:148" s="472" customFormat="1" x14ac:dyDescent="0.2">
      <c r="A40" s="443"/>
      <c r="B40" s="443"/>
      <c r="C40" s="443"/>
      <c r="D40" s="649" t="s">
        <v>504</v>
      </c>
      <c r="E40" s="650" t="s">
        <v>87</v>
      </c>
      <c r="F40" s="651"/>
      <c r="G40" s="652"/>
      <c r="H40" s="426">
        <f>+H12+H38+H32+H27+H23</f>
        <v>17737850.182999998</v>
      </c>
      <c r="I40" s="426"/>
      <c r="J40" s="426"/>
      <c r="K40" s="425"/>
      <c r="L40" s="426"/>
      <c r="M40" s="426">
        <f>+M12+M38+M32+M27+M23</f>
        <v>-18499278.953769997</v>
      </c>
      <c r="N40" s="426"/>
      <c r="O40" s="426"/>
      <c r="P40" s="425"/>
      <c r="Q40" s="426"/>
      <c r="R40" s="426">
        <f>+R12+R38+R32+R27+R23</f>
        <v>537410.36356998235</v>
      </c>
      <c r="S40" s="426"/>
      <c r="T40" s="426"/>
      <c r="U40" s="425"/>
      <c r="V40" s="426"/>
      <c r="W40" s="426">
        <f>+W12+W38+W32+W27+W23</f>
        <v>250795984</v>
      </c>
      <c r="X40" s="426"/>
      <c r="Y40" s="426"/>
      <c r="Z40" s="425"/>
      <c r="AA40" s="426"/>
      <c r="AB40" s="426">
        <f>+AB12+AB38+AB32+AB27+AB23</f>
        <v>0</v>
      </c>
      <c r="AC40" s="426"/>
      <c r="AD40" s="426"/>
      <c r="AE40" s="425"/>
      <c r="AF40" s="426"/>
      <c r="AG40" s="426">
        <f>+AG12+AG38+AG32+AG27+AG23</f>
        <v>0</v>
      </c>
      <c r="AH40" s="426"/>
      <c r="AI40" s="426"/>
      <c r="AJ40" s="425"/>
      <c r="AK40" s="426"/>
      <c r="AL40" s="426">
        <f>+AL12+AL38+AL32+AL27+AL23</f>
        <v>0</v>
      </c>
      <c r="AM40" s="426"/>
      <c r="AN40" s="426"/>
      <c r="AO40" s="425"/>
      <c r="AP40" s="426"/>
      <c r="AQ40" s="426">
        <f>+AQ12+AQ38+AQ32+AQ27+AQ23</f>
        <v>0</v>
      </c>
      <c r="AR40" s="426"/>
      <c r="AS40" s="426"/>
      <c r="AT40" s="425"/>
      <c r="AU40" s="426"/>
      <c r="AV40" s="426">
        <f>+AV12+AV38+AV32+AV27+AV23</f>
        <v>0</v>
      </c>
      <c r="AW40" s="426"/>
      <c r="AX40" s="426"/>
      <c r="AY40" s="425"/>
      <c r="AZ40" s="426"/>
      <c r="BA40" s="426">
        <f>+BA12+BA38+BA32+BA27+BA23</f>
        <v>0</v>
      </c>
      <c r="BB40" s="426"/>
      <c r="BC40" s="426"/>
      <c r="BD40" s="425"/>
      <c r="BE40" s="426"/>
      <c r="BF40" s="426">
        <f>+BF12+BF23+BF25+BF27+BF32+BF38</f>
        <v>0</v>
      </c>
      <c r="BG40" s="426"/>
      <c r="BH40" s="426"/>
      <c r="BI40" s="425"/>
      <c r="BJ40" s="426"/>
      <c r="BK40" s="426">
        <f>+BK12+BK38+BK32+BK27+BK23</f>
        <v>0</v>
      </c>
      <c r="BL40" s="426"/>
      <c r="BM40" s="426"/>
      <c r="BN40" s="425"/>
      <c r="BO40" s="426"/>
      <c r="BP40" s="426">
        <f>+BP12+BP38+BP32+BP27+BP23</f>
        <v>0</v>
      </c>
      <c r="BQ40" s="426"/>
      <c r="BR40" s="426"/>
      <c r="BS40" s="425"/>
      <c r="BT40" s="426"/>
      <c r="BU40" s="426">
        <f>+BU12+BU23+BU25+BU27+BU32+BU38</f>
        <v>-17961868.590200014</v>
      </c>
      <c r="BV40" s="426"/>
      <c r="BW40" s="426"/>
      <c r="BX40" s="425"/>
      <c r="BY40" s="426"/>
      <c r="BZ40" s="426">
        <f>+BZ12+BZ23+BZ25+BZ27+BZ32+BZ38</f>
        <v>-648893.04534983635</v>
      </c>
      <c r="CA40" s="426"/>
      <c r="CB40" s="426"/>
      <c r="CC40" s="425"/>
      <c r="CD40" s="426"/>
      <c r="CE40" s="426">
        <f>+CE12+CE38+CE32+CE27+CE23</f>
        <v>12935068.914269969</v>
      </c>
      <c r="CF40" s="426"/>
      <c r="CG40" s="426"/>
      <c r="CH40" s="425"/>
      <c r="CI40" s="426"/>
      <c r="CJ40" s="426">
        <f>+CJ12+CJ38+CJ32+CJ27+CJ23</f>
        <v>6028814.930979982</v>
      </c>
      <c r="CK40" s="426"/>
      <c r="CL40" s="426"/>
      <c r="CM40" s="425"/>
      <c r="CN40" s="426"/>
      <c r="CO40" s="426">
        <f>+CO12+CO38+CO32+CO27+CO23</f>
        <v>-64456252.997280002</v>
      </c>
      <c r="CP40" s="426"/>
      <c r="CQ40" s="426"/>
      <c r="CR40" s="425"/>
      <c r="CS40" s="426"/>
      <c r="CT40" s="426">
        <f>+CT12+CT38+CT32+CT27+CT23</f>
        <v>71916201.470700011</v>
      </c>
      <c r="CU40" s="426"/>
      <c r="CV40" s="426"/>
      <c r="CW40" s="425"/>
      <c r="CX40" s="426"/>
      <c r="CY40" s="426">
        <f>+CY12+CY38+CY32+CY27+CY23</f>
        <v>-5938593.6452499926</v>
      </c>
      <c r="CZ40" s="426"/>
      <c r="DA40" s="426"/>
      <c r="DB40" s="425"/>
      <c r="DC40" s="426"/>
      <c r="DD40" s="426">
        <f>+DD12+DD38+DD32+DD27+DD23</f>
        <v>-87185842.274320006</v>
      </c>
      <c r="DE40" s="426"/>
      <c r="DF40" s="426"/>
      <c r="DG40" s="425"/>
      <c r="DH40" s="426"/>
      <c r="DI40" s="426">
        <f>+DI12+DI38+DI32+DI27+DI23</f>
        <v>4292248.2650700212</v>
      </c>
      <c r="DJ40" s="426"/>
      <c r="DK40" s="426"/>
      <c r="DL40" s="425"/>
      <c r="DM40" s="426"/>
      <c r="DN40" s="426">
        <f>+DN12+DN38+DN32+DN27+DN23</f>
        <v>-21698105.034100011</v>
      </c>
      <c r="DO40" s="426"/>
      <c r="DP40" s="426"/>
      <c r="DQ40" s="425"/>
      <c r="DR40" s="426"/>
      <c r="DS40" s="426">
        <f>+DS12+DS38+DS32+DS27+DS23</f>
        <v>-5176181.425060004</v>
      </c>
      <c r="DT40" s="426"/>
      <c r="DU40" s="426"/>
      <c r="DV40" s="425"/>
      <c r="DW40" s="426"/>
      <c r="DX40" s="426">
        <f>+DX12+DX23+DX25+DX27+DX32+DX38</f>
        <v>31144738.333759978</v>
      </c>
      <c r="DY40" s="426"/>
      <c r="DZ40" s="426"/>
      <c r="EA40" s="425"/>
      <c r="EB40" s="426"/>
      <c r="EC40" s="426">
        <f>+EC12+EC38+EC32+EC27+EC23</f>
        <v>-28811986.091639996</v>
      </c>
      <c r="ED40" s="426"/>
      <c r="EE40" s="426"/>
      <c r="EF40" s="425"/>
      <c r="EG40" s="426"/>
      <c r="EH40" s="426">
        <f>+EH12+EH38+EH32+EH27+EH23</f>
        <v>86300995.50752002</v>
      </c>
      <c r="EI40" s="426"/>
      <c r="EJ40" s="426"/>
      <c r="EK40" s="425"/>
      <c r="EL40" s="426"/>
      <c r="EM40" s="426">
        <f>+EM12+EM38+EM32+EM27+EM23+EM25</f>
        <v>18963883.845249951</v>
      </c>
      <c r="EN40" s="653"/>
      <c r="EO40" s="74"/>
      <c r="EP40" s="624"/>
      <c r="EQ40" s="443"/>
    </row>
    <row r="41" spans="1:148" x14ac:dyDescent="0.2">
      <c r="A41" s="442"/>
      <c r="B41" s="442"/>
      <c r="C41" s="442"/>
      <c r="D41" s="654" t="s">
        <v>42</v>
      </c>
      <c r="E41" s="654"/>
      <c r="F41" s="654"/>
      <c r="G41" s="654"/>
      <c r="H41" s="654"/>
      <c r="I41" s="654"/>
      <c r="J41" s="654"/>
      <c r="K41" s="654"/>
      <c r="L41" s="654"/>
      <c r="M41" s="654"/>
      <c r="N41" s="654"/>
      <c r="O41" s="654"/>
      <c r="P41" s="654"/>
      <c r="Q41" s="654"/>
      <c r="R41" s="654"/>
      <c r="S41" s="654"/>
      <c r="T41" s="654"/>
      <c r="U41" s="654"/>
      <c r="V41" s="654"/>
      <c r="W41" s="654"/>
      <c r="X41" s="654"/>
      <c r="Y41" s="654"/>
      <c r="Z41" s="654"/>
      <c r="AA41" s="654"/>
      <c r="AB41" s="654"/>
      <c r="AC41" s="654"/>
      <c r="AD41" s="654"/>
      <c r="AE41" s="654"/>
      <c r="AF41" s="654"/>
      <c r="AG41" s="654"/>
      <c r="AH41" s="654"/>
      <c r="AI41" s="654"/>
      <c r="AJ41" s="654"/>
      <c r="AK41" s="654"/>
      <c r="AL41" s="654"/>
      <c r="AM41" s="654"/>
      <c r="AN41" s="654"/>
      <c r="AO41" s="654"/>
      <c r="AP41" s="654"/>
      <c r="AQ41" s="654"/>
      <c r="AR41" s="654"/>
      <c r="AS41" s="654"/>
      <c r="AT41" s="654"/>
      <c r="AU41" s="654"/>
      <c r="AV41" s="654"/>
      <c r="AW41" s="654"/>
      <c r="AX41" s="654"/>
      <c r="AY41" s="654"/>
      <c r="AZ41" s="654"/>
      <c r="BA41" s="654"/>
      <c r="BB41" s="654"/>
      <c r="BC41" s="654"/>
      <c r="BD41" s="654"/>
      <c r="BE41" s="654"/>
      <c r="BF41" s="654"/>
      <c r="BG41" s="654"/>
      <c r="BH41" s="654"/>
      <c r="BI41" s="654"/>
      <c r="BJ41" s="654"/>
      <c r="BK41" s="654"/>
      <c r="BL41" s="654"/>
      <c r="BM41" s="654"/>
      <c r="BN41" s="654"/>
      <c r="BO41" s="654"/>
      <c r="BP41" s="654"/>
      <c r="BQ41" s="654"/>
      <c r="BR41" s="654"/>
      <c r="BS41" s="654"/>
      <c r="BT41" s="654"/>
      <c r="BU41" s="654"/>
      <c r="BV41" s="524"/>
      <c r="BW41" s="524"/>
      <c r="BX41" s="524"/>
      <c r="BY41" s="524"/>
      <c r="BZ41" s="524"/>
      <c r="CA41" s="524"/>
      <c r="CB41" s="524"/>
      <c r="CC41" s="524"/>
      <c r="CD41" s="524"/>
      <c r="CE41" s="524"/>
      <c r="CF41" s="524"/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  <c r="CR41" s="524"/>
      <c r="CS41" s="524"/>
      <c r="CT41" s="524"/>
      <c r="CU41" s="524"/>
      <c r="CV41" s="524"/>
      <c r="CW41" s="524"/>
      <c r="CX41" s="524"/>
      <c r="CY41" s="524"/>
      <c r="CZ41" s="524"/>
      <c r="DA41" s="524"/>
      <c r="DB41" s="524"/>
      <c r="DC41" s="524"/>
      <c r="DD41" s="524"/>
      <c r="DE41" s="524"/>
      <c r="DF41" s="524"/>
      <c r="DG41" s="524"/>
      <c r="DH41" s="524"/>
      <c r="DI41" s="524"/>
      <c r="DJ41" s="524"/>
      <c r="DK41" s="524"/>
      <c r="DL41" s="524"/>
      <c r="DM41" s="524"/>
      <c r="DN41" s="524"/>
      <c r="DO41" s="524"/>
      <c r="DP41" s="524"/>
      <c r="DQ41" s="524"/>
      <c r="DR41" s="524"/>
      <c r="DS41" s="524"/>
      <c r="DT41" s="524"/>
      <c r="DU41" s="524"/>
      <c r="DV41" s="524"/>
      <c r="DW41" s="524"/>
      <c r="DX41" s="524"/>
      <c r="DY41" s="524"/>
      <c r="DZ41" s="524"/>
      <c r="EA41" s="524"/>
      <c r="EB41" s="524"/>
      <c r="EC41" s="524"/>
      <c r="ED41" s="524"/>
      <c r="EE41" s="524"/>
      <c r="EF41" s="524"/>
      <c r="EG41" s="524"/>
      <c r="EH41" s="524"/>
      <c r="EI41" s="524"/>
      <c r="EJ41" s="524"/>
      <c r="EK41" s="524"/>
      <c r="EL41" s="524"/>
      <c r="EM41" s="524"/>
      <c r="EN41" s="524"/>
      <c r="EO41" s="524"/>
      <c r="EP41" s="442"/>
    </row>
    <row r="42" spans="1:148" hidden="1" x14ac:dyDescent="0.2">
      <c r="A42" s="442"/>
      <c r="B42" s="442"/>
      <c r="C42" s="442"/>
      <c r="D42" s="655" t="s">
        <v>505</v>
      </c>
      <c r="E42" s="219"/>
      <c r="F42" s="442"/>
      <c r="G42" s="442"/>
      <c r="H42" s="442"/>
      <c r="I42" s="442"/>
      <c r="J42" s="442"/>
      <c r="K42" s="442"/>
      <c r="L42" s="442"/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  <c r="BM42" s="442"/>
      <c r="BN42" s="442"/>
      <c r="BO42" s="442"/>
      <c r="BP42" s="442"/>
      <c r="BQ42" s="442"/>
      <c r="BR42" s="442"/>
      <c r="BS42" s="442"/>
      <c r="BT42" s="442"/>
      <c r="BU42" s="442"/>
      <c r="BV42" s="442"/>
      <c r="BW42" s="442"/>
      <c r="BX42" s="442"/>
      <c r="BY42" s="442"/>
      <c r="BZ42" s="442"/>
      <c r="CA42" s="442"/>
      <c r="CB42" s="442"/>
      <c r="CC42" s="442"/>
      <c r="CD42" s="442"/>
      <c r="CE42" s="442"/>
      <c r="CF42" s="442"/>
      <c r="CG42" s="442"/>
      <c r="CH42" s="442"/>
      <c r="CI42" s="442"/>
      <c r="CJ42" s="442"/>
      <c r="CK42" s="442"/>
      <c r="CL42" s="442"/>
      <c r="CM42" s="442"/>
      <c r="CN42" s="442"/>
      <c r="CO42" s="442"/>
      <c r="CP42" s="442"/>
      <c r="CQ42" s="442"/>
      <c r="CR42" s="442"/>
      <c r="CS42" s="442"/>
      <c r="CT42" s="442"/>
      <c r="CU42" s="442"/>
      <c r="CV42" s="442"/>
      <c r="CW42" s="442"/>
      <c r="CX42" s="442"/>
      <c r="CY42" s="442"/>
      <c r="CZ42" s="442"/>
      <c r="DA42" s="442"/>
      <c r="DB42" s="442"/>
      <c r="DC42" s="442"/>
      <c r="DD42" s="442"/>
      <c r="DE42" s="442"/>
      <c r="DF42" s="442"/>
      <c r="DG42" s="442"/>
      <c r="DH42" s="442"/>
      <c r="DI42" s="442"/>
      <c r="DJ42" s="442"/>
      <c r="DK42" s="442"/>
      <c r="DL42" s="442"/>
      <c r="DM42" s="442"/>
      <c r="DN42" s="442"/>
      <c r="DO42" s="442"/>
      <c r="DP42" s="442"/>
      <c r="DQ42" s="442"/>
      <c r="DR42" s="442"/>
      <c r="DS42" s="442"/>
      <c r="DT42" s="442"/>
      <c r="DU42" s="442"/>
      <c r="DV42" s="442"/>
      <c r="DW42" s="442"/>
      <c r="DX42" s="442"/>
      <c r="DY42" s="442"/>
      <c r="DZ42" s="442"/>
      <c r="EA42" s="442"/>
      <c r="EB42" s="442"/>
      <c r="EC42" s="442"/>
      <c r="ED42" s="442"/>
      <c r="EE42" s="442"/>
      <c r="EF42" s="442"/>
      <c r="EG42" s="442"/>
      <c r="EH42" s="442"/>
      <c r="EI42" s="442"/>
      <c r="EJ42" s="442"/>
      <c r="EK42" s="442"/>
      <c r="EL42" s="442"/>
      <c r="EM42" s="442"/>
      <c r="EN42" s="442"/>
      <c r="EO42" s="442"/>
      <c r="EP42" s="442"/>
    </row>
    <row r="43" spans="1:148" hidden="1" x14ac:dyDescent="0.2">
      <c r="A43" s="442"/>
      <c r="B43" s="442"/>
      <c r="C43" s="442"/>
      <c r="D43" s="655" t="s">
        <v>506</v>
      </c>
      <c r="E43" s="219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  <c r="AQ43" s="442"/>
      <c r="AR43" s="442"/>
      <c r="AS43" s="442"/>
      <c r="AT43" s="442"/>
      <c r="AU43" s="442"/>
      <c r="AV43" s="442"/>
      <c r="AW43" s="442"/>
      <c r="AX43" s="442"/>
      <c r="AY43" s="442"/>
      <c r="AZ43" s="442"/>
      <c r="BA43" s="442"/>
      <c r="BB43" s="442"/>
      <c r="BC43" s="442"/>
      <c r="BD43" s="442"/>
      <c r="BE43" s="442"/>
      <c r="BF43" s="442"/>
      <c r="BG43" s="442"/>
      <c r="BH43" s="442"/>
      <c r="BI43" s="442"/>
      <c r="BJ43" s="442"/>
      <c r="BK43" s="442"/>
      <c r="BL43" s="442"/>
      <c r="BM43" s="442"/>
      <c r="BN43" s="442"/>
      <c r="BO43" s="442"/>
      <c r="BP43" s="442"/>
      <c r="BQ43" s="442"/>
      <c r="BR43" s="442"/>
      <c r="BS43" s="442"/>
      <c r="BT43" s="442"/>
      <c r="BU43" s="442"/>
      <c r="BV43" s="442"/>
      <c r="BW43" s="442"/>
      <c r="BX43" s="442"/>
      <c r="BY43" s="442"/>
      <c r="BZ43" s="442"/>
      <c r="CA43" s="442"/>
      <c r="CB43" s="442"/>
      <c r="CC43" s="442"/>
      <c r="CD43" s="442"/>
      <c r="CE43" s="442"/>
      <c r="CF43" s="442"/>
      <c r="CG43" s="442"/>
      <c r="CH43" s="442"/>
      <c r="CI43" s="442"/>
      <c r="CJ43" s="442"/>
      <c r="CK43" s="442"/>
      <c r="CL43" s="442"/>
      <c r="CM43" s="442"/>
      <c r="CN43" s="442"/>
      <c r="CO43" s="442"/>
      <c r="CP43" s="442"/>
      <c r="CQ43" s="442"/>
      <c r="CR43" s="442"/>
      <c r="CS43" s="442"/>
      <c r="CT43" s="442"/>
      <c r="CU43" s="442"/>
      <c r="CV43" s="442"/>
      <c r="CW43" s="442"/>
      <c r="CX43" s="442"/>
      <c r="CY43" s="442"/>
      <c r="CZ43" s="442"/>
      <c r="DA43" s="442"/>
      <c r="DB43" s="442"/>
      <c r="DC43" s="442"/>
      <c r="DD43" s="442"/>
      <c r="DE43" s="442"/>
      <c r="DF43" s="442"/>
      <c r="DG43" s="442"/>
      <c r="DH43" s="442"/>
      <c r="DI43" s="442"/>
      <c r="DJ43" s="442"/>
      <c r="DK43" s="442"/>
      <c r="DL43" s="442"/>
      <c r="DM43" s="442"/>
      <c r="DN43" s="442"/>
      <c r="DO43" s="442"/>
      <c r="DP43" s="442"/>
      <c r="DQ43" s="442"/>
      <c r="DR43" s="442"/>
      <c r="DS43" s="442"/>
      <c r="DT43" s="442"/>
      <c r="DU43" s="442"/>
      <c r="DV43" s="442"/>
      <c r="DW43" s="442"/>
      <c r="DX43" s="442"/>
      <c r="DY43" s="442"/>
      <c r="DZ43" s="442"/>
      <c r="EA43" s="442"/>
      <c r="EB43" s="442"/>
      <c r="EC43" s="442"/>
      <c r="ED43" s="442"/>
      <c r="EE43" s="442"/>
      <c r="EF43" s="442"/>
      <c r="EG43" s="442"/>
      <c r="EH43" s="442"/>
      <c r="EI43" s="442"/>
      <c r="EJ43" s="442"/>
      <c r="EK43" s="442"/>
      <c r="EL43" s="442"/>
      <c r="EM43" s="442"/>
      <c r="EN43" s="442"/>
      <c r="EO43" s="442"/>
      <c r="EP43" s="442"/>
    </row>
    <row r="44" spans="1:148" hidden="1" x14ac:dyDescent="0.2">
      <c r="A44" s="442"/>
      <c r="B44" s="442"/>
      <c r="C44" s="442"/>
      <c r="D44" s="655" t="s">
        <v>507</v>
      </c>
      <c r="E44" s="219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442"/>
      <c r="AJ44" s="442"/>
      <c r="AK44" s="442"/>
      <c r="AL44" s="442"/>
      <c r="AM44" s="442"/>
      <c r="AN44" s="442"/>
      <c r="AO44" s="442"/>
      <c r="AP44" s="442"/>
      <c r="AQ44" s="442"/>
      <c r="AR44" s="442"/>
      <c r="AS44" s="442"/>
      <c r="AT44" s="442"/>
      <c r="AU44" s="442"/>
      <c r="AV44" s="442"/>
      <c r="AW44" s="442"/>
      <c r="AX44" s="442"/>
      <c r="AY44" s="442"/>
      <c r="AZ44" s="442"/>
      <c r="BA44" s="442"/>
      <c r="BB44" s="442"/>
      <c r="BC44" s="442"/>
      <c r="BD44" s="442"/>
      <c r="BE44" s="442"/>
      <c r="BF44" s="442"/>
      <c r="BG44" s="442"/>
      <c r="BH44" s="442"/>
      <c r="BI44" s="442"/>
      <c r="BJ44" s="442"/>
      <c r="BK44" s="442"/>
      <c r="BL44" s="442"/>
      <c r="BM44" s="442"/>
      <c r="BN44" s="442"/>
      <c r="BO44" s="442"/>
      <c r="BP44" s="442"/>
      <c r="BQ44" s="442"/>
      <c r="BR44" s="442"/>
      <c r="BS44" s="442"/>
      <c r="BT44" s="442"/>
      <c r="BU44" s="442"/>
      <c r="BV44" s="442"/>
      <c r="BW44" s="442"/>
      <c r="BX44" s="442"/>
      <c r="BY44" s="442"/>
      <c r="BZ44" s="442"/>
      <c r="CA44" s="442"/>
      <c r="CB44" s="442"/>
      <c r="CC44" s="442"/>
      <c r="CD44" s="442"/>
      <c r="CE44" s="442"/>
      <c r="CF44" s="442"/>
      <c r="CG44" s="442"/>
      <c r="CH44" s="442"/>
      <c r="CI44" s="442"/>
      <c r="CJ44" s="442"/>
      <c r="CK44" s="442"/>
      <c r="CL44" s="442"/>
      <c r="CM44" s="442"/>
      <c r="CN44" s="442"/>
      <c r="CO44" s="442"/>
      <c r="CP44" s="442"/>
      <c r="CQ44" s="442"/>
      <c r="CR44" s="442"/>
      <c r="CS44" s="442"/>
      <c r="CT44" s="442"/>
      <c r="CU44" s="442"/>
      <c r="CV44" s="442"/>
      <c r="CW44" s="442"/>
      <c r="CX44" s="442"/>
      <c r="CY44" s="442"/>
      <c r="CZ44" s="442"/>
      <c r="DA44" s="442"/>
      <c r="DB44" s="442"/>
      <c r="DC44" s="442"/>
      <c r="DD44" s="442"/>
      <c r="DE44" s="442"/>
      <c r="DF44" s="442"/>
      <c r="DG44" s="442"/>
      <c r="DH44" s="442"/>
      <c r="DI44" s="442"/>
      <c r="DJ44" s="442"/>
      <c r="DK44" s="442"/>
      <c r="DL44" s="442"/>
      <c r="DM44" s="442"/>
      <c r="DN44" s="442"/>
      <c r="DO44" s="442"/>
      <c r="DP44" s="442"/>
      <c r="DQ44" s="442"/>
      <c r="DR44" s="442"/>
      <c r="DS44" s="442"/>
      <c r="DT44" s="442"/>
      <c r="DU44" s="442"/>
      <c r="DV44" s="442"/>
      <c r="DW44" s="442"/>
      <c r="DX44" s="442"/>
      <c r="DY44" s="442"/>
      <c r="DZ44" s="442"/>
      <c r="EA44" s="442"/>
      <c r="EB44" s="442"/>
      <c r="EC44" s="442"/>
      <c r="ED44" s="442"/>
      <c r="EE44" s="442"/>
      <c r="EF44" s="442"/>
      <c r="EG44" s="442"/>
      <c r="EH44" s="442"/>
      <c r="EI44" s="442"/>
      <c r="EJ44" s="442"/>
      <c r="EK44" s="442"/>
      <c r="EL44" s="442"/>
      <c r="EM44" s="442"/>
      <c r="EN44" s="442"/>
      <c r="EO44" s="442"/>
      <c r="EP44" s="442"/>
    </row>
    <row r="45" spans="1:148" hidden="1" x14ac:dyDescent="0.2">
      <c r="A45" s="442"/>
      <c r="B45" s="442"/>
      <c r="C45" s="442"/>
      <c r="D45" s="655" t="s">
        <v>508</v>
      </c>
      <c r="E45" s="219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442"/>
      <c r="CL45" s="442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  <c r="DZ45" s="442"/>
      <c r="EA45" s="442"/>
      <c r="EB45" s="442"/>
      <c r="EC45" s="442"/>
      <c r="ED45" s="442"/>
      <c r="EE45" s="442"/>
      <c r="EF45" s="442"/>
      <c r="EG45" s="442"/>
      <c r="EH45" s="442"/>
      <c r="EI45" s="442"/>
      <c r="EJ45" s="442"/>
      <c r="EK45" s="442"/>
      <c r="EL45" s="442"/>
      <c r="EM45" s="442"/>
      <c r="EN45" s="442"/>
      <c r="EO45" s="442"/>
      <c r="EP45" s="442"/>
    </row>
    <row r="46" spans="1:148" x14ac:dyDescent="0.2">
      <c r="D46" s="655" t="s">
        <v>509</v>
      </c>
      <c r="CJ46" s="472"/>
    </row>
    <row r="47" spans="1:148" x14ac:dyDescent="0.2">
      <c r="D47" s="655" t="s">
        <v>510</v>
      </c>
      <c r="E47" s="656"/>
      <c r="F47" s="655"/>
      <c r="G47" s="655"/>
    </row>
    <row r="48" spans="1:148" x14ac:dyDescent="0.2">
      <c r="E48" s="656"/>
      <c r="F48" s="655"/>
      <c r="G48" s="655"/>
      <c r="M48" s="657"/>
      <c r="DN48" s="88"/>
      <c r="DO48" s="88"/>
      <c r="DP48" s="88"/>
      <c r="DQ48" s="88"/>
      <c r="DR48" s="88"/>
    </row>
    <row r="49" spans="4:93" x14ac:dyDescent="0.2">
      <c r="E49" s="656"/>
      <c r="F49" s="655"/>
      <c r="G49" s="655"/>
    </row>
    <row r="50" spans="4:93" hidden="1" x14ac:dyDescent="0.2">
      <c r="BZ50" s="53">
        <v>3245038.1090099812</v>
      </c>
    </row>
    <row r="51" spans="4:93" hidden="1" x14ac:dyDescent="0.2">
      <c r="CO51" s="472">
        <f>CO38+4818384</f>
        <v>18798636.002719998</v>
      </c>
    </row>
    <row r="52" spans="4:93" hidden="1" x14ac:dyDescent="0.2">
      <c r="CJ52" s="53">
        <f>CJ38-1071906</f>
        <v>586104.93097998202</v>
      </c>
      <c r="CO52" s="658">
        <f>CO51/2</f>
        <v>9399318.0013599992</v>
      </c>
    </row>
    <row r="53" spans="4:93" hidden="1" x14ac:dyDescent="0.2">
      <c r="D53" s="659"/>
      <c r="M53" s="53">
        <f>M12-CE12</f>
        <v>-57646155</v>
      </c>
      <c r="N53" s="53">
        <f t="shared" ref="N53:BU57" si="0">N12-CF12</f>
        <v>0</v>
      </c>
      <c r="O53" s="53">
        <f t="shared" si="0"/>
        <v>0</v>
      </c>
      <c r="P53" s="53">
        <f t="shared" si="0"/>
        <v>0</v>
      </c>
      <c r="Q53" s="53">
        <f t="shared" si="0"/>
        <v>0</v>
      </c>
      <c r="R53" s="53">
        <f t="shared" si="0"/>
        <v>-3183722</v>
      </c>
      <c r="S53" s="53">
        <f t="shared" si="0"/>
        <v>0</v>
      </c>
      <c r="T53" s="53">
        <f t="shared" si="0"/>
        <v>0</v>
      </c>
      <c r="U53" s="53">
        <f t="shared" si="0"/>
        <v>0</v>
      </c>
      <c r="V53" s="53">
        <f t="shared" si="0"/>
        <v>0</v>
      </c>
      <c r="W53" s="53">
        <f t="shared" si="0"/>
        <v>330990821</v>
      </c>
      <c r="X53" s="53">
        <f t="shared" si="0"/>
        <v>0</v>
      </c>
      <c r="Y53" s="53">
        <f t="shared" si="0"/>
        <v>0</v>
      </c>
      <c r="Z53" s="53">
        <f t="shared" si="0"/>
        <v>0</v>
      </c>
      <c r="AA53" s="53">
        <f t="shared" si="0"/>
        <v>0</v>
      </c>
      <c r="AB53" s="53">
        <f t="shared" si="0"/>
        <v>-71485782</v>
      </c>
      <c r="AC53" s="53">
        <f t="shared" si="0"/>
        <v>0</v>
      </c>
      <c r="AD53" s="53">
        <f t="shared" si="0"/>
        <v>0</v>
      </c>
      <c r="AE53" s="53">
        <f t="shared" si="0"/>
        <v>0</v>
      </c>
      <c r="AF53" s="53">
        <f t="shared" si="0"/>
        <v>0</v>
      </c>
      <c r="AG53" s="53">
        <f t="shared" si="0"/>
        <v>-10515236</v>
      </c>
      <c r="AH53" s="53">
        <f t="shared" si="0"/>
        <v>0</v>
      </c>
      <c r="AI53" s="53">
        <f t="shared" si="0"/>
        <v>0</v>
      </c>
      <c r="AJ53" s="53">
        <f t="shared" si="0"/>
        <v>0</v>
      </c>
      <c r="AK53" s="53">
        <f t="shared" si="0"/>
        <v>0</v>
      </c>
      <c r="AL53" s="53">
        <f t="shared" si="0"/>
        <v>104528279</v>
      </c>
      <c r="AM53" s="53">
        <f t="shared" si="0"/>
        <v>0</v>
      </c>
      <c r="AN53" s="53">
        <f t="shared" si="0"/>
        <v>0</v>
      </c>
      <c r="AO53" s="53">
        <f t="shared" si="0"/>
        <v>0</v>
      </c>
      <c r="AP53" s="53">
        <f t="shared" si="0"/>
        <v>0</v>
      </c>
      <c r="AQ53" s="53">
        <f t="shared" si="0"/>
        <v>-2731873</v>
      </c>
      <c r="AR53" s="53">
        <f t="shared" si="0"/>
        <v>0</v>
      </c>
      <c r="AS53" s="53">
        <f t="shared" si="0"/>
        <v>0</v>
      </c>
      <c r="AT53" s="53">
        <f t="shared" si="0"/>
        <v>0</v>
      </c>
      <c r="AU53" s="53">
        <f t="shared" si="0"/>
        <v>0</v>
      </c>
      <c r="AV53" s="53">
        <f t="shared" si="0"/>
        <v>9369739</v>
      </c>
      <c r="AW53" s="53">
        <f t="shared" si="0"/>
        <v>0</v>
      </c>
      <c r="AX53" s="53">
        <f t="shared" si="0"/>
        <v>0</v>
      </c>
      <c r="AY53" s="53">
        <f t="shared" si="0"/>
        <v>0</v>
      </c>
      <c r="AZ53" s="53">
        <f t="shared" si="0"/>
        <v>0</v>
      </c>
      <c r="BA53" s="53">
        <f t="shared" si="0"/>
        <v>7896523</v>
      </c>
      <c r="BB53" s="53">
        <f t="shared" si="0"/>
        <v>0</v>
      </c>
      <c r="BC53" s="53">
        <f t="shared" si="0"/>
        <v>0</v>
      </c>
      <c r="BD53" s="53">
        <f t="shared" si="0"/>
        <v>0</v>
      </c>
      <c r="BE53" s="53">
        <f t="shared" si="0"/>
        <v>0</v>
      </c>
      <c r="BF53" s="53">
        <f t="shared" si="0"/>
        <v>-33364654</v>
      </c>
      <c r="BG53" s="53">
        <f t="shared" si="0"/>
        <v>0</v>
      </c>
      <c r="BH53" s="53">
        <f t="shared" si="0"/>
        <v>0</v>
      </c>
      <c r="BI53" s="53">
        <f t="shared" si="0"/>
        <v>0</v>
      </c>
      <c r="BJ53" s="53">
        <f t="shared" si="0"/>
        <v>0</v>
      </c>
      <c r="BK53" s="53">
        <f t="shared" si="0"/>
        <v>27939762</v>
      </c>
      <c r="BL53" s="53">
        <f t="shared" si="0"/>
        <v>0</v>
      </c>
      <c r="BM53" s="53">
        <f t="shared" si="0"/>
        <v>0</v>
      </c>
      <c r="BN53" s="53">
        <f t="shared" si="0"/>
        <v>0</v>
      </c>
      <c r="BO53" s="53">
        <f t="shared" si="0"/>
        <v>0</v>
      </c>
      <c r="BP53" s="53">
        <f t="shared" si="0"/>
        <v>-68610019</v>
      </c>
      <c r="BQ53" s="53">
        <f t="shared" si="0"/>
        <v>0</v>
      </c>
      <c r="BR53" s="53">
        <f t="shared" si="0"/>
        <v>0</v>
      </c>
      <c r="BS53" s="53">
        <f t="shared" si="0"/>
        <v>0</v>
      </c>
      <c r="BT53" s="53">
        <f t="shared" si="0"/>
        <v>0</v>
      </c>
      <c r="BU53" s="53">
        <f t="shared" si="0"/>
        <v>-60829877</v>
      </c>
    </row>
    <row r="54" spans="4:93" hidden="1" x14ac:dyDescent="0.2">
      <c r="M54" s="53">
        <f t="shared" ref="M54:AB69" si="1">M13-CE13</f>
        <v>-2473985</v>
      </c>
      <c r="N54" s="53">
        <f t="shared" si="0"/>
        <v>0</v>
      </c>
      <c r="O54" s="53">
        <f t="shared" si="0"/>
        <v>0</v>
      </c>
      <c r="P54" s="53">
        <f t="shared" si="0"/>
        <v>0</v>
      </c>
      <c r="Q54" s="53">
        <f t="shared" si="0"/>
        <v>0</v>
      </c>
      <c r="R54" s="53">
        <f t="shared" si="0"/>
        <v>55172170</v>
      </c>
      <c r="S54" s="53">
        <f t="shared" si="0"/>
        <v>0</v>
      </c>
      <c r="T54" s="53">
        <f t="shared" si="0"/>
        <v>0</v>
      </c>
      <c r="U54" s="53">
        <f t="shared" si="0"/>
        <v>0</v>
      </c>
      <c r="V54" s="53">
        <f t="shared" si="0"/>
        <v>0</v>
      </c>
      <c r="W54" s="53">
        <f t="shared" si="0"/>
        <v>58355892</v>
      </c>
      <c r="X54" s="53">
        <f t="shared" si="0"/>
        <v>0</v>
      </c>
      <c r="Y54" s="53">
        <f t="shared" si="0"/>
        <v>0</v>
      </c>
      <c r="Z54" s="53">
        <f t="shared" si="0"/>
        <v>0</v>
      </c>
      <c r="AA54" s="53">
        <f t="shared" si="0"/>
        <v>0</v>
      </c>
      <c r="AB54" s="53">
        <f t="shared" si="0"/>
        <v>-272634929</v>
      </c>
      <c r="AC54" s="53">
        <f t="shared" si="0"/>
        <v>0</v>
      </c>
      <c r="AD54" s="53">
        <f t="shared" si="0"/>
        <v>0</v>
      </c>
      <c r="AE54" s="53">
        <f t="shared" si="0"/>
        <v>0</v>
      </c>
      <c r="AF54" s="53">
        <f t="shared" si="0"/>
        <v>0</v>
      </c>
      <c r="AG54" s="53">
        <f t="shared" si="0"/>
        <v>-201149147</v>
      </c>
      <c r="AH54" s="53">
        <f t="shared" si="0"/>
        <v>0</v>
      </c>
      <c r="AI54" s="53">
        <f t="shared" si="0"/>
        <v>0</v>
      </c>
      <c r="AJ54" s="53">
        <f t="shared" si="0"/>
        <v>0</v>
      </c>
      <c r="AK54" s="53">
        <f t="shared" si="0"/>
        <v>0</v>
      </c>
      <c r="AL54" s="53">
        <f t="shared" si="0"/>
        <v>-190633911</v>
      </c>
      <c r="AM54" s="53">
        <f t="shared" si="0"/>
        <v>0</v>
      </c>
      <c r="AN54" s="53">
        <f t="shared" si="0"/>
        <v>0</v>
      </c>
      <c r="AO54" s="53">
        <f t="shared" si="0"/>
        <v>0</v>
      </c>
      <c r="AP54" s="53">
        <f t="shared" si="0"/>
        <v>0</v>
      </c>
      <c r="AQ54" s="53">
        <f t="shared" si="0"/>
        <v>-295162190</v>
      </c>
      <c r="AR54" s="53">
        <f t="shared" si="0"/>
        <v>0</v>
      </c>
      <c r="AS54" s="53">
        <f t="shared" si="0"/>
        <v>0</v>
      </c>
      <c r="AT54" s="53">
        <f t="shared" si="0"/>
        <v>0</v>
      </c>
      <c r="AU54" s="53">
        <f t="shared" si="0"/>
        <v>0</v>
      </c>
      <c r="AV54" s="53">
        <f t="shared" si="0"/>
        <v>-292430317</v>
      </c>
      <c r="AW54" s="53">
        <f t="shared" si="0"/>
        <v>0</v>
      </c>
      <c r="AX54" s="53">
        <f t="shared" si="0"/>
        <v>0</v>
      </c>
      <c r="AY54" s="53">
        <f t="shared" si="0"/>
        <v>0</v>
      </c>
      <c r="AZ54" s="53">
        <f t="shared" si="0"/>
        <v>0</v>
      </c>
      <c r="BA54" s="53">
        <f t="shared" si="0"/>
        <v>-301800056</v>
      </c>
      <c r="BB54" s="53">
        <f t="shared" si="0"/>
        <v>0</v>
      </c>
      <c r="BC54" s="53">
        <f t="shared" si="0"/>
        <v>0</v>
      </c>
      <c r="BD54" s="53">
        <f t="shared" si="0"/>
        <v>0</v>
      </c>
      <c r="BE54" s="53">
        <f t="shared" si="0"/>
        <v>0</v>
      </c>
      <c r="BF54" s="53">
        <f t="shared" si="0"/>
        <v>-309696579</v>
      </c>
      <c r="BG54" s="53">
        <f t="shared" si="0"/>
        <v>0</v>
      </c>
      <c r="BH54" s="53">
        <f t="shared" si="0"/>
        <v>0</v>
      </c>
      <c r="BI54" s="53">
        <f t="shared" si="0"/>
        <v>0</v>
      </c>
      <c r="BJ54" s="53">
        <f t="shared" si="0"/>
        <v>0</v>
      </c>
      <c r="BK54" s="53">
        <f t="shared" si="0"/>
        <v>-276331925</v>
      </c>
      <c r="BL54" s="53">
        <f t="shared" si="0"/>
        <v>0</v>
      </c>
      <c r="BM54" s="53">
        <f t="shared" si="0"/>
        <v>0</v>
      </c>
      <c r="BN54" s="53">
        <f t="shared" si="0"/>
        <v>0</v>
      </c>
      <c r="BO54" s="53">
        <f t="shared" si="0"/>
        <v>0</v>
      </c>
      <c r="BP54" s="53">
        <f t="shared" si="0"/>
        <v>-304271687</v>
      </c>
      <c r="BQ54" s="53">
        <f t="shared" si="0"/>
        <v>0</v>
      </c>
      <c r="BR54" s="53">
        <f t="shared" si="0"/>
        <v>0</v>
      </c>
      <c r="BS54" s="53">
        <f t="shared" si="0"/>
        <v>0</v>
      </c>
      <c r="BT54" s="53">
        <f t="shared" si="0"/>
        <v>0</v>
      </c>
      <c r="BU54" s="53">
        <f t="shared" si="0"/>
        <v>-2473985</v>
      </c>
      <c r="CO54" s="53">
        <f>CJ52-CO51</f>
        <v>-18212531.071740016</v>
      </c>
    </row>
    <row r="55" spans="4:93" hidden="1" x14ac:dyDescent="0.2">
      <c r="D55" s="660"/>
      <c r="M55" s="53">
        <f t="shared" si="1"/>
        <v>16407808</v>
      </c>
      <c r="N55" s="53">
        <f t="shared" si="0"/>
        <v>0</v>
      </c>
      <c r="O55" s="53">
        <f t="shared" si="0"/>
        <v>0</v>
      </c>
      <c r="P55" s="53">
        <f t="shared" si="0"/>
        <v>0</v>
      </c>
      <c r="Q55" s="53">
        <f t="shared" si="0"/>
        <v>0</v>
      </c>
      <c r="R55" s="53">
        <f t="shared" si="0"/>
        <v>16966801</v>
      </c>
      <c r="S55" s="53">
        <f t="shared" si="0"/>
        <v>0</v>
      </c>
      <c r="T55" s="53">
        <f t="shared" si="0"/>
        <v>0</v>
      </c>
      <c r="U55" s="53">
        <f t="shared" si="0"/>
        <v>0</v>
      </c>
      <c r="V55" s="53">
        <f t="shared" si="0"/>
        <v>0</v>
      </c>
      <c r="W55" s="53">
        <f t="shared" si="0"/>
        <v>24865930</v>
      </c>
      <c r="X55" s="53">
        <f t="shared" si="0"/>
        <v>0</v>
      </c>
      <c r="Y55" s="53">
        <f t="shared" si="0"/>
        <v>0</v>
      </c>
      <c r="Z55" s="53">
        <f t="shared" si="0"/>
        <v>0</v>
      </c>
      <c r="AA55" s="53">
        <f t="shared" si="0"/>
        <v>0</v>
      </c>
      <c r="AB55" s="53">
        <f t="shared" si="0"/>
        <v>-157556488</v>
      </c>
      <c r="AC55" s="53">
        <f t="shared" si="0"/>
        <v>0</v>
      </c>
      <c r="AD55" s="53">
        <f t="shared" si="0"/>
        <v>0</v>
      </c>
      <c r="AE55" s="53">
        <f t="shared" si="0"/>
        <v>0</v>
      </c>
      <c r="AF55" s="53">
        <f t="shared" si="0"/>
        <v>0</v>
      </c>
      <c r="AG55" s="53">
        <f t="shared" si="0"/>
        <v>-154393121</v>
      </c>
      <c r="AH55" s="53">
        <f t="shared" si="0"/>
        <v>0</v>
      </c>
      <c r="AI55" s="53">
        <f t="shared" si="0"/>
        <v>0</v>
      </c>
      <c r="AJ55" s="53">
        <f t="shared" si="0"/>
        <v>0</v>
      </c>
      <c r="AK55" s="53">
        <f t="shared" si="0"/>
        <v>0</v>
      </c>
      <c r="AL55" s="53">
        <f t="shared" si="0"/>
        <v>-153790115</v>
      </c>
      <c r="AM55" s="53">
        <f t="shared" si="0"/>
        <v>0</v>
      </c>
      <c r="AN55" s="53">
        <f t="shared" si="0"/>
        <v>0</v>
      </c>
      <c r="AO55" s="53">
        <f t="shared" si="0"/>
        <v>0</v>
      </c>
      <c r="AP55" s="53">
        <f t="shared" si="0"/>
        <v>0</v>
      </c>
      <c r="AQ55" s="53">
        <f t="shared" si="0"/>
        <v>-226475319</v>
      </c>
      <c r="AR55" s="53">
        <f t="shared" si="0"/>
        <v>0</v>
      </c>
      <c r="AS55" s="53">
        <f t="shared" si="0"/>
        <v>0</v>
      </c>
      <c r="AT55" s="53">
        <f t="shared" si="0"/>
        <v>0</v>
      </c>
      <c r="AU55" s="53">
        <f t="shared" si="0"/>
        <v>0</v>
      </c>
      <c r="AV55" s="53">
        <f t="shared" si="0"/>
        <v>-223710506</v>
      </c>
      <c r="AW55" s="53">
        <f t="shared" si="0"/>
        <v>0</v>
      </c>
      <c r="AX55" s="53">
        <f t="shared" si="0"/>
        <v>0</v>
      </c>
      <c r="AY55" s="53">
        <f t="shared" si="0"/>
        <v>0</v>
      </c>
      <c r="AZ55" s="53">
        <f t="shared" si="0"/>
        <v>0</v>
      </c>
      <c r="BA55" s="53">
        <f t="shared" si="0"/>
        <v>-222808884</v>
      </c>
      <c r="BB55" s="53">
        <f t="shared" si="0"/>
        <v>0</v>
      </c>
      <c r="BC55" s="53">
        <f t="shared" si="0"/>
        <v>0</v>
      </c>
      <c r="BD55" s="53">
        <f t="shared" si="0"/>
        <v>0</v>
      </c>
      <c r="BE55" s="53">
        <f t="shared" si="0"/>
        <v>0</v>
      </c>
      <c r="BF55" s="53">
        <f t="shared" si="0"/>
        <v>-216296990</v>
      </c>
      <c r="BG55" s="53">
        <f t="shared" si="0"/>
        <v>0</v>
      </c>
      <c r="BH55" s="53">
        <f t="shared" si="0"/>
        <v>0</v>
      </c>
      <c r="BI55" s="53">
        <f t="shared" si="0"/>
        <v>0</v>
      </c>
      <c r="BJ55" s="53">
        <f t="shared" si="0"/>
        <v>0</v>
      </c>
      <c r="BK55" s="53">
        <f t="shared" si="0"/>
        <v>-214990489</v>
      </c>
      <c r="BL55" s="53">
        <f t="shared" si="0"/>
        <v>0</v>
      </c>
      <c r="BM55" s="53">
        <f t="shared" si="0"/>
        <v>0</v>
      </c>
      <c r="BN55" s="53">
        <f t="shared" si="0"/>
        <v>0</v>
      </c>
      <c r="BO55" s="53">
        <f t="shared" si="0"/>
        <v>0</v>
      </c>
      <c r="BP55" s="53">
        <f t="shared" si="0"/>
        <v>-214239939</v>
      </c>
      <c r="BQ55" s="53">
        <f t="shared" si="0"/>
        <v>0</v>
      </c>
      <c r="BR55" s="53">
        <f t="shared" si="0"/>
        <v>0</v>
      </c>
      <c r="BS55" s="53">
        <f t="shared" si="0"/>
        <v>0</v>
      </c>
      <c r="BT55" s="53">
        <f t="shared" si="0"/>
        <v>0</v>
      </c>
      <c r="BU55" s="53">
        <f t="shared" si="0"/>
        <v>16407808</v>
      </c>
    </row>
    <row r="56" spans="4:93" hidden="1" x14ac:dyDescent="0.2">
      <c r="D56" s="661"/>
      <c r="M56" s="53">
        <f t="shared" si="1"/>
        <v>-18881793</v>
      </c>
      <c r="N56" s="53">
        <f t="shared" si="0"/>
        <v>0</v>
      </c>
      <c r="O56" s="53">
        <f t="shared" si="0"/>
        <v>0</v>
      </c>
      <c r="P56" s="53">
        <f t="shared" si="0"/>
        <v>0</v>
      </c>
      <c r="Q56" s="53">
        <f t="shared" si="0"/>
        <v>0</v>
      </c>
      <c r="R56" s="53">
        <f t="shared" si="0"/>
        <v>38205369</v>
      </c>
      <c r="S56" s="53">
        <f t="shared" si="0"/>
        <v>0</v>
      </c>
      <c r="T56" s="53">
        <f t="shared" si="0"/>
        <v>0</v>
      </c>
      <c r="U56" s="53">
        <f t="shared" si="0"/>
        <v>0</v>
      </c>
      <c r="V56" s="53">
        <f t="shared" si="0"/>
        <v>0</v>
      </c>
      <c r="W56" s="53">
        <f t="shared" si="0"/>
        <v>33489962</v>
      </c>
      <c r="X56" s="53">
        <f t="shared" si="0"/>
        <v>0</v>
      </c>
      <c r="Y56" s="53">
        <f t="shared" si="0"/>
        <v>0</v>
      </c>
      <c r="Z56" s="53">
        <f t="shared" si="0"/>
        <v>0</v>
      </c>
      <c r="AA56" s="53">
        <f t="shared" si="0"/>
        <v>0</v>
      </c>
      <c r="AB56" s="53">
        <f t="shared" si="0"/>
        <v>-115078441</v>
      </c>
      <c r="AC56" s="53">
        <f t="shared" si="0"/>
        <v>0</v>
      </c>
      <c r="AD56" s="53">
        <f t="shared" si="0"/>
        <v>0</v>
      </c>
      <c r="AE56" s="53">
        <f t="shared" si="0"/>
        <v>0</v>
      </c>
      <c r="AF56" s="53">
        <f t="shared" si="0"/>
        <v>0</v>
      </c>
      <c r="AG56" s="53">
        <f t="shared" si="0"/>
        <v>-46756026</v>
      </c>
      <c r="AH56" s="53">
        <f t="shared" si="0"/>
        <v>0</v>
      </c>
      <c r="AI56" s="53">
        <f t="shared" si="0"/>
        <v>0</v>
      </c>
      <c r="AJ56" s="53">
        <f t="shared" si="0"/>
        <v>0</v>
      </c>
      <c r="AK56" s="53">
        <f t="shared" si="0"/>
        <v>0</v>
      </c>
      <c r="AL56" s="53">
        <f t="shared" si="0"/>
        <v>-36843796</v>
      </c>
      <c r="AM56" s="53">
        <f t="shared" si="0"/>
        <v>0</v>
      </c>
      <c r="AN56" s="53">
        <f t="shared" si="0"/>
        <v>0</v>
      </c>
      <c r="AO56" s="53">
        <f t="shared" si="0"/>
        <v>0</v>
      </c>
      <c r="AP56" s="53">
        <f t="shared" si="0"/>
        <v>0</v>
      </c>
      <c r="AQ56" s="53">
        <f t="shared" si="0"/>
        <v>-68686871</v>
      </c>
      <c r="AR56" s="53">
        <f t="shared" si="0"/>
        <v>0</v>
      </c>
      <c r="AS56" s="53">
        <f t="shared" si="0"/>
        <v>0</v>
      </c>
      <c r="AT56" s="53">
        <f t="shared" si="0"/>
        <v>0</v>
      </c>
      <c r="AU56" s="53">
        <f t="shared" si="0"/>
        <v>0</v>
      </c>
      <c r="AV56" s="53">
        <f t="shared" si="0"/>
        <v>-68719811</v>
      </c>
      <c r="AW56" s="53">
        <f t="shared" si="0"/>
        <v>0</v>
      </c>
      <c r="AX56" s="53">
        <f t="shared" si="0"/>
        <v>0</v>
      </c>
      <c r="AY56" s="53">
        <f t="shared" si="0"/>
        <v>0</v>
      </c>
      <c r="AZ56" s="53">
        <f t="shared" si="0"/>
        <v>0</v>
      </c>
      <c r="BA56" s="53">
        <f t="shared" si="0"/>
        <v>-78991172</v>
      </c>
      <c r="BB56" s="53">
        <f t="shared" si="0"/>
        <v>0</v>
      </c>
      <c r="BC56" s="53">
        <f t="shared" si="0"/>
        <v>0</v>
      </c>
      <c r="BD56" s="53">
        <f t="shared" si="0"/>
        <v>0</v>
      </c>
      <c r="BE56" s="53">
        <f t="shared" si="0"/>
        <v>0</v>
      </c>
      <c r="BF56" s="53">
        <f t="shared" si="0"/>
        <v>-93399589</v>
      </c>
      <c r="BG56" s="53">
        <f t="shared" si="0"/>
        <v>0</v>
      </c>
      <c r="BH56" s="53">
        <f t="shared" si="0"/>
        <v>0</v>
      </c>
      <c r="BI56" s="53">
        <f t="shared" si="0"/>
        <v>0</v>
      </c>
      <c r="BJ56" s="53">
        <f t="shared" si="0"/>
        <v>0</v>
      </c>
      <c r="BK56" s="53">
        <f t="shared" si="0"/>
        <v>-61341436</v>
      </c>
      <c r="BL56" s="53">
        <f t="shared" si="0"/>
        <v>0</v>
      </c>
      <c r="BM56" s="53">
        <f t="shared" si="0"/>
        <v>0</v>
      </c>
      <c r="BN56" s="53">
        <f t="shared" si="0"/>
        <v>0</v>
      </c>
      <c r="BO56" s="53">
        <f t="shared" si="0"/>
        <v>0</v>
      </c>
      <c r="BP56" s="53">
        <f t="shared" si="0"/>
        <v>-90031748</v>
      </c>
      <c r="BQ56" s="53">
        <f t="shared" si="0"/>
        <v>0</v>
      </c>
      <c r="BR56" s="53">
        <f t="shared" si="0"/>
        <v>0</v>
      </c>
      <c r="BS56" s="53">
        <f t="shared" si="0"/>
        <v>0</v>
      </c>
      <c r="BT56" s="53">
        <f t="shared" si="0"/>
        <v>0</v>
      </c>
      <c r="BU56" s="53">
        <f t="shared" si="0"/>
        <v>-18881793</v>
      </c>
    </row>
    <row r="57" spans="4:93" hidden="1" x14ac:dyDescent="0.2">
      <c r="D57" s="662"/>
      <c r="M57" s="53">
        <f t="shared" si="1"/>
        <v>0</v>
      </c>
      <c r="N57" s="53">
        <f t="shared" si="0"/>
        <v>0</v>
      </c>
      <c r="O57" s="53">
        <f t="shared" si="0"/>
        <v>0</v>
      </c>
      <c r="P57" s="53">
        <f t="shared" si="0"/>
        <v>0</v>
      </c>
      <c r="Q57" s="53">
        <f t="shared" si="0"/>
        <v>0</v>
      </c>
      <c r="R57" s="53">
        <f t="shared" si="0"/>
        <v>0</v>
      </c>
      <c r="S57" s="53">
        <f t="shared" si="0"/>
        <v>0</v>
      </c>
      <c r="T57" s="53">
        <f t="shared" si="0"/>
        <v>0</v>
      </c>
      <c r="U57" s="53">
        <f t="shared" si="0"/>
        <v>0</v>
      </c>
      <c r="V57" s="53">
        <f t="shared" si="0"/>
        <v>0</v>
      </c>
      <c r="W57" s="53">
        <f t="shared" si="0"/>
        <v>0</v>
      </c>
      <c r="X57" s="53">
        <f t="shared" si="0"/>
        <v>0</v>
      </c>
      <c r="Y57" s="53">
        <f t="shared" si="0"/>
        <v>0</v>
      </c>
      <c r="Z57" s="53">
        <f t="shared" si="0"/>
        <v>0</v>
      </c>
      <c r="AA57" s="53">
        <f t="shared" si="0"/>
        <v>0</v>
      </c>
      <c r="AB57" s="53">
        <f t="shared" si="0"/>
        <v>0</v>
      </c>
      <c r="AC57" s="53">
        <f t="shared" ref="AC57:BU62" si="2">AC16-CU16</f>
        <v>0</v>
      </c>
      <c r="AD57" s="53">
        <f t="shared" si="2"/>
        <v>0</v>
      </c>
      <c r="AE57" s="53">
        <f t="shared" si="2"/>
        <v>0</v>
      </c>
      <c r="AF57" s="53">
        <f t="shared" si="2"/>
        <v>0</v>
      </c>
      <c r="AG57" s="53">
        <f t="shared" si="2"/>
        <v>0</v>
      </c>
      <c r="AH57" s="53">
        <f t="shared" si="2"/>
        <v>0</v>
      </c>
      <c r="AI57" s="53">
        <f t="shared" si="2"/>
        <v>0</v>
      </c>
      <c r="AJ57" s="53">
        <f t="shared" si="2"/>
        <v>0</v>
      </c>
      <c r="AK57" s="53">
        <f t="shared" si="2"/>
        <v>0</v>
      </c>
      <c r="AL57" s="53">
        <f t="shared" si="2"/>
        <v>0</v>
      </c>
      <c r="AM57" s="53">
        <f t="shared" si="2"/>
        <v>0</v>
      </c>
      <c r="AN57" s="53">
        <f t="shared" si="2"/>
        <v>0</v>
      </c>
      <c r="AO57" s="53">
        <f t="shared" si="2"/>
        <v>0</v>
      </c>
      <c r="AP57" s="53">
        <f t="shared" si="2"/>
        <v>0</v>
      </c>
      <c r="AQ57" s="53">
        <f t="shared" si="2"/>
        <v>0</v>
      </c>
      <c r="AR57" s="53">
        <f t="shared" si="2"/>
        <v>0</v>
      </c>
      <c r="AS57" s="53">
        <f t="shared" si="2"/>
        <v>0</v>
      </c>
      <c r="AT57" s="53">
        <f t="shared" si="2"/>
        <v>0</v>
      </c>
      <c r="AU57" s="53">
        <f t="shared" si="2"/>
        <v>0</v>
      </c>
      <c r="AV57" s="53">
        <f t="shared" si="2"/>
        <v>0</v>
      </c>
      <c r="AW57" s="53">
        <f t="shared" si="2"/>
        <v>0</v>
      </c>
      <c r="AX57" s="53">
        <f t="shared" si="2"/>
        <v>0</v>
      </c>
      <c r="AY57" s="53">
        <f t="shared" si="2"/>
        <v>0</v>
      </c>
      <c r="AZ57" s="53">
        <f t="shared" si="2"/>
        <v>0</v>
      </c>
      <c r="BA57" s="53">
        <f t="shared" si="2"/>
        <v>0</v>
      </c>
      <c r="BB57" s="53">
        <f t="shared" si="2"/>
        <v>0</v>
      </c>
      <c r="BC57" s="53">
        <f t="shared" si="2"/>
        <v>0</v>
      </c>
      <c r="BD57" s="53">
        <f t="shared" si="2"/>
        <v>0</v>
      </c>
      <c r="BE57" s="53">
        <f t="shared" si="2"/>
        <v>0</v>
      </c>
      <c r="BF57" s="53">
        <f t="shared" si="2"/>
        <v>0</v>
      </c>
      <c r="BG57" s="53">
        <f t="shared" si="2"/>
        <v>0</v>
      </c>
      <c r="BH57" s="53">
        <f t="shared" si="2"/>
        <v>0</v>
      </c>
      <c r="BI57" s="53">
        <f t="shared" si="2"/>
        <v>0</v>
      </c>
      <c r="BJ57" s="53">
        <f t="shared" si="2"/>
        <v>0</v>
      </c>
      <c r="BK57" s="53">
        <f t="shared" si="2"/>
        <v>0</v>
      </c>
      <c r="BL57" s="53">
        <f t="shared" si="2"/>
        <v>0</v>
      </c>
      <c r="BM57" s="53">
        <f t="shared" si="2"/>
        <v>0</v>
      </c>
      <c r="BN57" s="53">
        <f t="shared" si="2"/>
        <v>0</v>
      </c>
      <c r="BO57" s="53">
        <f t="shared" si="2"/>
        <v>0</v>
      </c>
      <c r="BP57" s="53">
        <f t="shared" si="2"/>
        <v>0</v>
      </c>
      <c r="BQ57" s="53">
        <f t="shared" si="2"/>
        <v>0</v>
      </c>
      <c r="BR57" s="53">
        <f t="shared" si="2"/>
        <v>0</v>
      </c>
      <c r="BS57" s="53">
        <f t="shared" si="2"/>
        <v>0</v>
      </c>
      <c r="BT57" s="53">
        <f t="shared" si="2"/>
        <v>0</v>
      </c>
      <c r="BU57" s="53">
        <f t="shared" si="2"/>
        <v>0</v>
      </c>
      <c r="CJ57" s="663"/>
    </row>
    <row r="58" spans="4:93" hidden="1" x14ac:dyDescent="0.2">
      <c r="M58" s="53">
        <f t="shared" si="1"/>
        <v>55172170</v>
      </c>
      <c r="N58" s="53">
        <f t="shared" si="1"/>
        <v>0</v>
      </c>
      <c r="O58" s="53">
        <f t="shared" si="1"/>
        <v>0</v>
      </c>
      <c r="P58" s="53">
        <f t="shared" si="1"/>
        <v>0</v>
      </c>
      <c r="Q58" s="53">
        <f t="shared" si="1"/>
        <v>0</v>
      </c>
      <c r="R58" s="53">
        <f t="shared" si="1"/>
        <v>58355892</v>
      </c>
      <c r="S58" s="53">
        <f t="shared" si="1"/>
        <v>0</v>
      </c>
      <c r="T58" s="53">
        <f t="shared" si="1"/>
        <v>0</v>
      </c>
      <c r="U58" s="53">
        <f t="shared" si="1"/>
        <v>0</v>
      </c>
      <c r="V58" s="53">
        <f t="shared" si="1"/>
        <v>0</v>
      </c>
      <c r="W58" s="53">
        <f t="shared" si="1"/>
        <v>-272634929</v>
      </c>
      <c r="X58" s="53">
        <f t="shared" si="1"/>
        <v>0</v>
      </c>
      <c r="Y58" s="53">
        <f t="shared" si="1"/>
        <v>0</v>
      </c>
      <c r="Z58" s="53">
        <f t="shared" si="1"/>
        <v>0</v>
      </c>
      <c r="AA58" s="53">
        <f t="shared" si="1"/>
        <v>0</v>
      </c>
      <c r="AB58" s="53">
        <f t="shared" si="1"/>
        <v>-201149147</v>
      </c>
      <c r="AC58" s="53">
        <f t="shared" si="2"/>
        <v>0</v>
      </c>
      <c r="AD58" s="53">
        <f t="shared" si="2"/>
        <v>0</v>
      </c>
      <c r="AE58" s="53">
        <f t="shared" si="2"/>
        <v>0</v>
      </c>
      <c r="AF58" s="53">
        <f t="shared" si="2"/>
        <v>0</v>
      </c>
      <c r="AG58" s="53">
        <f t="shared" si="2"/>
        <v>-190633911</v>
      </c>
      <c r="AH58" s="53">
        <f t="shared" si="2"/>
        <v>0</v>
      </c>
      <c r="AI58" s="53">
        <f t="shared" si="2"/>
        <v>0</v>
      </c>
      <c r="AJ58" s="53">
        <f t="shared" si="2"/>
        <v>0</v>
      </c>
      <c r="AK58" s="53">
        <f t="shared" si="2"/>
        <v>0</v>
      </c>
      <c r="AL58" s="53">
        <f t="shared" si="2"/>
        <v>-295162190</v>
      </c>
      <c r="AM58" s="53">
        <f t="shared" si="2"/>
        <v>0</v>
      </c>
      <c r="AN58" s="53">
        <f t="shared" si="2"/>
        <v>0</v>
      </c>
      <c r="AO58" s="53">
        <f t="shared" si="2"/>
        <v>0</v>
      </c>
      <c r="AP58" s="53">
        <f t="shared" si="2"/>
        <v>0</v>
      </c>
      <c r="AQ58" s="53">
        <f t="shared" si="2"/>
        <v>-292430317</v>
      </c>
      <c r="AR58" s="53">
        <f t="shared" si="2"/>
        <v>0</v>
      </c>
      <c r="AS58" s="53">
        <f t="shared" si="2"/>
        <v>0</v>
      </c>
      <c r="AT58" s="53">
        <f t="shared" si="2"/>
        <v>0</v>
      </c>
      <c r="AU58" s="53">
        <f t="shared" si="2"/>
        <v>0</v>
      </c>
      <c r="AV58" s="53">
        <f t="shared" si="2"/>
        <v>-301800056</v>
      </c>
      <c r="AW58" s="53">
        <f t="shared" si="2"/>
        <v>0</v>
      </c>
      <c r="AX58" s="53">
        <f t="shared" si="2"/>
        <v>0</v>
      </c>
      <c r="AY58" s="53">
        <f t="shared" si="2"/>
        <v>0</v>
      </c>
      <c r="AZ58" s="53">
        <f t="shared" si="2"/>
        <v>0</v>
      </c>
      <c r="BA58" s="53">
        <f t="shared" si="2"/>
        <v>-309696579</v>
      </c>
      <c r="BB58" s="53">
        <f t="shared" si="2"/>
        <v>0</v>
      </c>
      <c r="BC58" s="53">
        <f t="shared" si="2"/>
        <v>0</v>
      </c>
      <c r="BD58" s="53">
        <f t="shared" si="2"/>
        <v>0</v>
      </c>
      <c r="BE58" s="53">
        <f t="shared" si="2"/>
        <v>0</v>
      </c>
      <c r="BF58" s="53">
        <f t="shared" si="2"/>
        <v>-276331925</v>
      </c>
      <c r="BG58" s="53">
        <f t="shared" si="2"/>
        <v>0</v>
      </c>
      <c r="BH58" s="53">
        <f t="shared" si="2"/>
        <v>0</v>
      </c>
      <c r="BI58" s="53">
        <f t="shared" si="2"/>
        <v>0</v>
      </c>
      <c r="BJ58" s="53">
        <f t="shared" si="2"/>
        <v>0</v>
      </c>
      <c r="BK58" s="53">
        <f t="shared" si="2"/>
        <v>-304271687</v>
      </c>
      <c r="BL58" s="53">
        <f t="shared" si="2"/>
        <v>0</v>
      </c>
      <c r="BM58" s="53">
        <f t="shared" si="2"/>
        <v>0</v>
      </c>
      <c r="BN58" s="53">
        <f t="shared" si="2"/>
        <v>0</v>
      </c>
      <c r="BO58" s="53">
        <f t="shared" si="2"/>
        <v>0</v>
      </c>
      <c r="BP58" s="53">
        <f t="shared" si="2"/>
        <v>-235661668</v>
      </c>
      <c r="BQ58" s="53">
        <f t="shared" si="2"/>
        <v>0</v>
      </c>
      <c r="BR58" s="53">
        <f t="shared" si="2"/>
        <v>0</v>
      </c>
      <c r="BS58" s="53">
        <f t="shared" si="2"/>
        <v>0</v>
      </c>
      <c r="BT58" s="53">
        <f t="shared" si="2"/>
        <v>0</v>
      </c>
      <c r="BU58" s="53">
        <f t="shared" si="2"/>
        <v>58355892</v>
      </c>
    </row>
    <row r="59" spans="4:93" hidden="1" x14ac:dyDescent="0.2">
      <c r="E59" s="219"/>
      <c r="F59" s="442"/>
      <c r="G59" s="442"/>
      <c r="M59" s="53">
        <f t="shared" si="1"/>
        <v>16966801</v>
      </c>
      <c r="N59" s="53">
        <f t="shared" si="1"/>
        <v>0</v>
      </c>
      <c r="O59" s="53">
        <f t="shared" si="1"/>
        <v>0</v>
      </c>
      <c r="P59" s="53">
        <f t="shared" si="1"/>
        <v>0</v>
      </c>
      <c r="Q59" s="53">
        <f t="shared" si="1"/>
        <v>0</v>
      </c>
      <c r="R59" s="53">
        <f t="shared" si="1"/>
        <v>24865930</v>
      </c>
      <c r="S59" s="53">
        <f t="shared" si="1"/>
        <v>0</v>
      </c>
      <c r="T59" s="53">
        <f t="shared" si="1"/>
        <v>0</v>
      </c>
      <c r="U59" s="53">
        <f t="shared" si="1"/>
        <v>0</v>
      </c>
      <c r="V59" s="53">
        <f t="shared" si="1"/>
        <v>0</v>
      </c>
      <c r="W59" s="53">
        <f t="shared" si="1"/>
        <v>-157556488</v>
      </c>
      <c r="X59" s="53">
        <f t="shared" si="1"/>
        <v>0</v>
      </c>
      <c r="Y59" s="53">
        <f t="shared" si="1"/>
        <v>0</v>
      </c>
      <c r="Z59" s="53">
        <f t="shared" si="1"/>
        <v>0</v>
      </c>
      <c r="AA59" s="53">
        <f t="shared" si="1"/>
        <v>0</v>
      </c>
      <c r="AB59" s="53">
        <f t="shared" si="1"/>
        <v>-154393121</v>
      </c>
      <c r="AC59" s="53">
        <f t="shared" si="2"/>
        <v>0</v>
      </c>
      <c r="AD59" s="53">
        <f t="shared" si="2"/>
        <v>0</v>
      </c>
      <c r="AE59" s="53">
        <f t="shared" si="2"/>
        <v>0</v>
      </c>
      <c r="AF59" s="53">
        <f t="shared" si="2"/>
        <v>0</v>
      </c>
      <c r="AG59" s="53">
        <f t="shared" si="2"/>
        <v>-153790115</v>
      </c>
      <c r="AH59" s="53">
        <f t="shared" si="2"/>
        <v>0</v>
      </c>
      <c r="AI59" s="53">
        <f t="shared" si="2"/>
        <v>0</v>
      </c>
      <c r="AJ59" s="53">
        <f t="shared" si="2"/>
        <v>0</v>
      </c>
      <c r="AK59" s="53">
        <f t="shared" si="2"/>
        <v>0</v>
      </c>
      <c r="AL59" s="53">
        <f t="shared" si="2"/>
        <v>-226475319</v>
      </c>
      <c r="AM59" s="53">
        <f t="shared" si="2"/>
        <v>0</v>
      </c>
      <c r="AN59" s="53">
        <f t="shared" si="2"/>
        <v>0</v>
      </c>
      <c r="AO59" s="53">
        <f t="shared" si="2"/>
        <v>0</v>
      </c>
      <c r="AP59" s="53">
        <f t="shared" si="2"/>
        <v>0</v>
      </c>
      <c r="AQ59" s="53">
        <f t="shared" si="2"/>
        <v>-223710506</v>
      </c>
      <c r="AR59" s="53">
        <f t="shared" si="2"/>
        <v>0</v>
      </c>
      <c r="AS59" s="53">
        <f t="shared" si="2"/>
        <v>0</v>
      </c>
      <c r="AT59" s="53">
        <f t="shared" si="2"/>
        <v>0</v>
      </c>
      <c r="AU59" s="53">
        <f t="shared" si="2"/>
        <v>0</v>
      </c>
      <c r="AV59" s="53">
        <f t="shared" si="2"/>
        <v>-222808884</v>
      </c>
      <c r="AW59" s="53">
        <f t="shared" si="2"/>
        <v>0</v>
      </c>
      <c r="AX59" s="53">
        <f t="shared" si="2"/>
        <v>0</v>
      </c>
      <c r="AY59" s="53">
        <f t="shared" si="2"/>
        <v>0</v>
      </c>
      <c r="AZ59" s="53">
        <f t="shared" si="2"/>
        <v>0</v>
      </c>
      <c r="BA59" s="53">
        <f t="shared" si="2"/>
        <v>-216296990</v>
      </c>
      <c r="BB59" s="53">
        <f t="shared" si="2"/>
        <v>0</v>
      </c>
      <c r="BC59" s="53">
        <f t="shared" si="2"/>
        <v>0</v>
      </c>
      <c r="BD59" s="53">
        <f t="shared" si="2"/>
        <v>0</v>
      </c>
      <c r="BE59" s="53">
        <f t="shared" si="2"/>
        <v>0</v>
      </c>
      <c r="BF59" s="53">
        <f t="shared" si="2"/>
        <v>-214990489</v>
      </c>
      <c r="BG59" s="53">
        <f t="shared" si="2"/>
        <v>0</v>
      </c>
      <c r="BH59" s="53">
        <f t="shared" si="2"/>
        <v>0</v>
      </c>
      <c r="BI59" s="53">
        <f t="shared" si="2"/>
        <v>0</v>
      </c>
      <c r="BJ59" s="53">
        <f t="shared" si="2"/>
        <v>0</v>
      </c>
      <c r="BK59" s="53">
        <f t="shared" si="2"/>
        <v>-214239939</v>
      </c>
      <c r="BL59" s="53">
        <f t="shared" si="2"/>
        <v>0</v>
      </c>
      <c r="BM59" s="53">
        <f t="shared" si="2"/>
        <v>0</v>
      </c>
      <c r="BN59" s="53">
        <f t="shared" si="2"/>
        <v>0</v>
      </c>
      <c r="BO59" s="53">
        <f t="shared" si="2"/>
        <v>0</v>
      </c>
      <c r="BP59" s="53">
        <f t="shared" si="2"/>
        <v>-191125443</v>
      </c>
      <c r="BQ59" s="53">
        <f t="shared" si="2"/>
        <v>0</v>
      </c>
      <c r="BR59" s="53">
        <f t="shared" si="2"/>
        <v>0</v>
      </c>
      <c r="BS59" s="53">
        <f t="shared" si="2"/>
        <v>0</v>
      </c>
      <c r="BT59" s="53">
        <f t="shared" si="2"/>
        <v>0</v>
      </c>
      <c r="BU59" s="53">
        <f t="shared" si="2"/>
        <v>24865930</v>
      </c>
    </row>
    <row r="60" spans="4:93" hidden="1" x14ac:dyDescent="0.2">
      <c r="M60" s="53">
        <f t="shared" si="1"/>
        <v>38205369</v>
      </c>
      <c r="N60" s="53">
        <f t="shared" si="1"/>
        <v>0</v>
      </c>
      <c r="O60" s="53">
        <f t="shared" si="1"/>
        <v>0</v>
      </c>
      <c r="P60" s="53">
        <f t="shared" si="1"/>
        <v>0</v>
      </c>
      <c r="Q60" s="53">
        <f t="shared" si="1"/>
        <v>0</v>
      </c>
      <c r="R60" s="53">
        <f t="shared" si="1"/>
        <v>33489962</v>
      </c>
      <c r="S60" s="53">
        <f t="shared" si="1"/>
        <v>0</v>
      </c>
      <c r="T60" s="53">
        <f t="shared" si="1"/>
        <v>0</v>
      </c>
      <c r="U60" s="53">
        <f t="shared" si="1"/>
        <v>0</v>
      </c>
      <c r="V60" s="53">
        <f t="shared" si="1"/>
        <v>0</v>
      </c>
      <c r="W60" s="53">
        <f t="shared" si="1"/>
        <v>-115078441</v>
      </c>
      <c r="X60" s="53">
        <f t="shared" si="1"/>
        <v>0</v>
      </c>
      <c r="Y60" s="53">
        <f t="shared" si="1"/>
        <v>0</v>
      </c>
      <c r="Z60" s="53">
        <f t="shared" si="1"/>
        <v>0</v>
      </c>
      <c r="AA60" s="53">
        <f t="shared" si="1"/>
        <v>0</v>
      </c>
      <c r="AB60" s="53">
        <f t="shared" si="1"/>
        <v>-46756026</v>
      </c>
      <c r="AC60" s="53">
        <f t="shared" si="2"/>
        <v>0</v>
      </c>
      <c r="AD60" s="53">
        <f t="shared" si="2"/>
        <v>0</v>
      </c>
      <c r="AE60" s="53">
        <f t="shared" si="2"/>
        <v>0</v>
      </c>
      <c r="AF60" s="53">
        <f t="shared" si="2"/>
        <v>0</v>
      </c>
      <c r="AG60" s="53">
        <f t="shared" si="2"/>
        <v>-36843796</v>
      </c>
      <c r="AH60" s="53">
        <f t="shared" si="2"/>
        <v>0</v>
      </c>
      <c r="AI60" s="53">
        <f t="shared" si="2"/>
        <v>0</v>
      </c>
      <c r="AJ60" s="53">
        <f t="shared" si="2"/>
        <v>0</v>
      </c>
      <c r="AK60" s="53">
        <f t="shared" si="2"/>
        <v>0</v>
      </c>
      <c r="AL60" s="53">
        <f t="shared" si="2"/>
        <v>-68686871</v>
      </c>
      <c r="AM60" s="53">
        <f t="shared" si="2"/>
        <v>0</v>
      </c>
      <c r="AN60" s="53">
        <f t="shared" si="2"/>
        <v>0</v>
      </c>
      <c r="AO60" s="53">
        <f t="shared" si="2"/>
        <v>0</v>
      </c>
      <c r="AP60" s="53">
        <f t="shared" si="2"/>
        <v>0</v>
      </c>
      <c r="AQ60" s="53">
        <f t="shared" si="2"/>
        <v>-68719811</v>
      </c>
      <c r="AR60" s="53">
        <f t="shared" si="2"/>
        <v>0</v>
      </c>
      <c r="AS60" s="53">
        <f t="shared" si="2"/>
        <v>0</v>
      </c>
      <c r="AT60" s="53">
        <f t="shared" si="2"/>
        <v>0</v>
      </c>
      <c r="AU60" s="53">
        <f t="shared" si="2"/>
        <v>0</v>
      </c>
      <c r="AV60" s="53">
        <f t="shared" si="2"/>
        <v>-78991172</v>
      </c>
      <c r="AW60" s="53">
        <f t="shared" si="2"/>
        <v>0</v>
      </c>
      <c r="AX60" s="53">
        <f t="shared" si="2"/>
        <v>0</v>
      </c>
      <c r="AY60" s="53">
        <f t="shared" si="2"/>
        <v>0</v>
      </c>
      <c r="AZ60" s="53">
        <f t="shared" si="2"/>
        <v>0</v>
      </c>
      <c r="BA60" s="53">
        <f t="shared" si="2"/>
        <v>-93399589</v>
      </c>
      <c r="BB60" s="53">
        <f t="shared" si="2"/>
        <v>0</v>
      </c>
      <c r="BC60" s="53">
        <f t="shared" si="2"/>
        <v>0</v>
      </c>
      <c r="BD60" s="53">
        <f t="shared" si="2"/>
        <v>0</v>
      </c>
      <c r="BE60" s="53">
        <f t="shared" si="2"/>
        <v>0</v>
      </c>
      <c r="BF60" s="53">
        <f t="shared" si="2"/>
        <v>-61341436</v>
      </c>
      <c r="BG60" s="53">
        <f t="shared" si="2"/>
        <v>0</v>
      </c>
      <c r="BH60" s="53">
        <f t="shared" si="2"/>
        <v>0</v>
      </c>
      <c r="BI60" s="53">
        <f t="shared" si="2"/>
        <v>0</v>
      </c>
      <c r="BJ60" s="53">
        <f t="shared" si="2"/>
        <v>0</v>
      </c>
      <c r="BK60" s="53">
        <f t="shared" si="2"/>
        <v>-90031748</v>
      </c>
      <c r="BL60" s="53">
        <f t="shared" si="2"/>
        <v>0</v>
      </c>
      <c r="BM60" s="53">
        <f t="shared" si="2"/>
        <v>0</v>
      </c>
      <c r="BN60" s="53">
        <f t="shared" si="2"/>
        <v>0</v>
      </c>
      <c r="BO60" s="53">
        <f t="shared" si="2"/>
        <v>0</v>
      </c>
      <c r="BP60" s="53">
        <f t="shared" si="2"/>
        <v>-44536225</v>
      </c>
      <c r="BQ60" s="53">
        <f t="shared" si="2"/>
        <v>0</v>
      </c>
      <c r="BR60" s="53">
        <f t="shared" si="2"/>
        <v>0</v>
      </c>
      <c r="BS60" s="53">
        <f t="shared" si="2"/>
        <v>0</v>
      </c>
      <c r="BT60" s="53">
        <f t="shared" si="2"/>
        <v>0</v>
      </c>
      <c r="BU60" s="53">
        <f t="shared" si="2"/>
        <v>33489962</v>
      </c>
    </row>
    <row r="61" spans="4:93" hidden="1" x14ac:dyDescent="0.2">
      <c r="M61" s="53">
        <f t="shared" si="1"/>
        <v>0</v>
      </c>
      <c r="N61" s="53">
        <f t="shared" si="1"/>
        <v>0</v>
      </c>
      <c r="O61" s="53">
        <f t="shared" si="1"/>
        <v>0</v>
      </c>
      <c r="P61" s="53">
        <f t="shared" si="1"/>
        <v>0</v>
      </c>
      <c r="Q61" s="53">
        <f t="shared" si="1"/>
        <v>0</v>
      </c>
      <c r="R61" s="53">
        <f t="shared" si="1"/>
        <v>0</v>
      </c>
      <c r="S61" s="53">
        <f t="shared" si="1"/>
        <v>0</v>
      </c>
      <c r="T61" s="53">
        <f t="shared" si="1"/>
        <v>0</v>
      </c>
      <c r="U61" s="53">
        <f t="shared" si="1"/>
        <v>0</v>
      </c>
      <c r="V61" s="53">
        <f t="shared" si="1"/>
        <v>0</v>
      </c>
      <c r="W61" s="53">
        <f t="shared" si="1"/>
        <v>0</v>
      </c>
      <c r="X61" s="53">
        <f t="shared" si="1"/>
        <v>0</v>
      </c>
      <c r="Y61" s="53">
        <f t="shared" si="1"/>
        <v>0</v>
      </c>
      <c r="Z61" s="53">
        <f t="shared" si="1"/>
        <v>0</v>
      </c>
      <c r="AA61" s="53">
        <f t="shared" si="1"/>
        <v>0</v>
      </c>
      <c r="AB61" s="53">
        <f t="shared" si="1"/>
        <v>0</v>
      </c>
      <c r="AC61" s="53">
        <f t="shared" si="2"/>
        <v>0</v>
      </c>
      <c r="AD61" s="53">
        <f t="shared" si="2"/>
        <v>0</v>
      </c>
      <c r="AE61" s="53">
        <f t="shared" si="2"/>
        <v>0</v>
      </c>
      <c r="AF61" s="53">
        <f t="shared" si="2"/>
        <v>0</v>
      </c>
      <c r="AG61" s="53">
        <f t="shared" si="2"/>
        <v>0</v>
      </c>
      <c r="AH61" s="53">
        <f t="shared" si="2"/>
        <v>0</v>
      </c>
      <c r="AI61" s="53">
        <f t="shared" si="2"/>
        <v>0</v>
      </c>
      <c r="AJ61" s="53">
        <f t="shared" si="2"/>
        <v>0</v>
      </c>
      <c r="AK61" s="53">
        <f t="shared" si="2"/>
        <v>0</v>
      </c>
      <c r="AL61" s="53">
        <f t="shared" si="2"/>
        <v>0</v>
      </c>
      <c r="AM61" s="53">
        <f t="shared" si="2"/>
        <v>0</v>
      </c>
      <c r="AN61" s="53">
        <f t="shared" si="2"/>
        <v>0</v>
      </c>
      <c r="AO61" s="53">
        <f t="shared" si="2"/>
        <v>0</v>
      </c>
      <c r="AP61" s="53">
        <f t="shared" si="2"/>
        <v>0</v>
      </c>
      <c r="AQ61" s="53">
        <f t="shared" si="2"/>
        <v>0</v>
      </c>
      <c r="AR61" s="53">
        <f t="shared" si="2"/>
        <v>0</v>
      </c>
      <c r="AS61" s="53">
        <f t="shared" si="2"/>
        <v>0</v>
      </c>
      <c r="AT61" s="53">
        <f t="shared" si="2"/>
        <v>0</v>
      </c>
      <c r="AU61" s="53">
        <f t="shared" si="2"/>
        <v>0</v>
      </c>
      <c r="AV61" s="53">
        <f t="shared" si="2"/>
        <v>0</v>
      </c>
      <c r="AW61" s="53">
        <f t="shared" si="2"/>
        <v>0</v>
      </c>
      <c r="AX61" s="53">
        <f t="shared" si="2"/>
        <v>0</v>
      </c>
      <c r="AY61" s="53">
        <f t="shared" si="2"/>
        <v>0</v>
      </c>
      <c r="AZ61" s="53">
        <f t="shared" si="2"/>
        <v>0</v>
      </c>
      <c r="BA61" s="53">
        <f t="shared" si="2"/>
        <v>0</v>
      </c>
      <c r="BB61" s="53">
        <f t="shared" si="2"/>
        <v>0</v>
      </c>
      <c r="BC61" s="53">
        <f t="shared" si="2"/>
        <v>0</v>
      </c>
      <c r="BD61" s="53">
        <f t="shared" si="2"/>
        <v>0</v>
      </c>
      <c r="BE61" s="53">
        <f t="shared" si="2"/>
        <v>0</v>
      </c>
      <c r="BF61" s="53">
        <f t="shared" si="2"/>
        <v>0</v>
      </c>
      <c r="BG61" s="53">
        <f t="shared" si="2"/>
        <v>0</v>
      </c>
      <c r="BH61" s="53">
        <f t="shared" si="2"/>
        <v>0</v>
      </c>
      <c r="BI61" s="53">
        <f t="shared" si="2"/>
        <v>0</v>
      </c>
      <c r="BJ61" s="53">
        <f t="shared" si="2"/>
        <v>0</v>
      </c>
      <c r="BK61" s="53">
        <f t="shared" si="2"/>
        <v>0</v>
      </c>
      <c r="BL61" s="53">
        <f t="shared" si="2"/>
        <v>0</v>
      </c>
      <c r="BM61" s="53">
        <f t="shared" si="2"/>
        <v>0</v>
      </c>
      <c r="BN61" s="53">
        <f t="shared" si="2"/>
        <v>0</v>
      </c>
      <c r="BO61" s="53">
        <f t="shared" si="2"/>
        <v>0</v>
      </c>
      <c r="BP61" s="53">
        <f t="shared" si="2"/>
        <v>0</v>
      </c>
      <c r="BQ61" s="53">
        <f t="shared" si="2"/>
        <v>0</v>
      </c>
      <c r="BR61" s="53">
        <f t="shared" si="2"/>
        <v>0</v>
      </c>
      <c r="BS61" s="53">
        <f t="shared" si="2"/>
        <v>0</v>
      </c>
      <c r="BT61" s="53">
        <f t="shared" si="2"/>
        <v>0</v>
      </c>
      <c r="BU61" s="53">
        <f t="shared" si="2"/>
        <v>0</v>
      </c>
    </row>
    <row r="62" spans="4:93" hidden="1" x14ac:dyDescent="0.2">
      <c r="M62" s="53">
        <f t="shared" si="1"/>
        <v>0</v>
      </c>
      <c r="N62" s="53">
        <f t="shared" si="1"/>
        <v>0</v>
      </c>
      <c r="O62" s="53">
        <f t="shared" si="1"/>
        <v>0</v>
      </c>
      <c r="P62" s="53">
        <f t="shared" si="1"/>
        <v>0</v>
      </c>
      <c r="Q62" s="53">
        <f t="shared" si="1"/>
        <v>0</v>
      </c>
      <c r="R62" s="53">
        <f t="shared" si="1"/>
        <v>0</v>
      </c>
      <c r="S62" s="53">
        <f t="shared" si="1"/>
        <v>0</v>
      </c>
      <c r="T62" s="53">
        <f t="shared" si="1"/>
        <v>0</v>
      </c>
      <c r="U62" s="53">
        <f t="shared" si="1"/>
        <v>0</v>
      </c>
      <c r="V62" s="53">
        <f t="shared" si="1"/>
        <v>0</v>
      </c>
      <c r="W62" s="53">
        <f t="shared" si="1"/>
        <v>0</v>
      </c>
      <c r="X62" s="53">
        <f t="shared" si="1"/>
        <v>0</v>
      </c>
      <c r="Y62" s="53">
        <f t="shared" si="1"/>
        <v>0</v>
      </c>
      <c r="Z62" s="53">
        <f t="shared" si="1"/>
        <v>0</v>
      </c>
      <c r="AA62" s="53">
        <f t="shared" si="1"/>
        <v>0</v>
      </c>
      <c r="AB62" s="53">
        <f t="shared" si="1"/>
        <v>0</v>
      </c>
      <c r="AC62" s="53">
        <f t="shared" si="2"/>
        <v>0</v>
      </c>
      <c r="AD62" s="53">
        <f t="shared" si="2"/>
        <v>0</v>
      </c>
      <c r="AE62" s="53">
        <f t="shared" si="2"/>
        <v>0</v>
      </c>
      <c r="AF62" s="53">
        <f t="shared" si="2"/>
        <v>0</v>
      </c>
      <c r="AG62" s="53">
        <f t="shared" si="2"/>
        <v>0</v>
      </c>
      <c r="AH62" s="53">
        <f t="shared" si="2"/>
        <v>0</v>
      </c>
      <c r="AI62" s="53">
        <f t="shared" si="2"/>
        <v>0</v>
      </c>
      <c r="AJ62" s="53">
        <f t="shared" si="2"/>
        <v>0</v>
      </c>
      <c r="AK62" s="53">
        <f t="shared" si="2"/>
        <v>0</v>
      </c>
      <c r="AL62" s="53">
        <f t="shared" si="2"/>
        <v>0</v>
      </c>
      <c r="AM62" s="53">
        <f t="shared" si="2"/>
        <v>0</v>
      </c>
      <c r="AN62" s="53">
        <f t="shared" si="2"/>
        <v>0</v>
      </c>
      <c r="AO62" s="53">
        <f t="shared" si="2"/>
        <v>0</v>
      </c>
      <c r="AP62" s="53">
        <f t="shared" si="2"/>
        <v>0</v>
      </c>
      <c r="AQ62" s="53">
        <f t="shared" si="2"/>
        <v>0</v>
      </c>
      <c r="AR62" s="53">
        <f t="shared" si="2"/>
        <v>0</v>
      </c>
      <c r="AS62" s="53">
        <f t="shared" si="2"/>
        <v>0</v>
      </c>
      <c r="AT62" s="53">
        <f t="shared" si="2"/>
        <v>0</v>
      </c>
      <c r="AU62" s="53">
        <f t="shared" si="2"/>
        <v>0</v>
      </c>
      <c r="AV62" s="53">
        <f t="shared" si="2"/>
        <v>0</v>
      </c>
      <c r="AW62" s="53">
        <f t="shared" si="2"/>
        <v>0</v>
      </c>
      <c r="AX62" s="53">
        <f t="shared" si="2"/>
        <v>0</v>
      </c>
      <c r="AY62" s="53">
        <f t="shared" si="2"/>
        <v>0</v>
      </c>
      <c r="AZ62" s="53">
        <f t="shared" si="2"/>
        <v>0</v>
      </c>
      <c r="BA62" s="53">
        <f t="shared" si="2"/>
        <v>0</v>
      </c>
      <c r="BB62" s="53">
        <f t="shared" si="2"/>
        <v>0</v>
      </c>
      <c r="BC62" s="53">
        <f t="shared" si="2"/>
        <v>0</v>
      </c>
      <c r="BD62" s="53">
        <f t="shared" si="2"/>
        <v>0</v>
      </c>
      <c r="BE62" s="53">
        <f t="shared" si="2"/>
        <v>0</v>
      </c>
      <c r="BF62" s="53">
        <f t="shared" si="2"/>
        <v>0</v>
      </c>
      <c r="BG62" s="53">
        <f t="shared" ref="BG62:BU77" si="3">BG21-DY21</f>
        <v>0</v>
      </c>
      <c r="BH62" s="53">
        <f t="shared" si="3"/>
        <v>0</v>
      </c>
      <c r="BI62" s="53">
        <f t="shared" si="3"/>
        <v>0</v>
      </c>
      <c r="BJ62" s="53">
        <f t="shared" si="3"/>
        <v>0</v>
      </c>
      <c r="BK62" s="53">
        <f t="shared" si="3"/>
        <v>0</v>
      </c>
      <c r="BL62" s="53">
        <f t="shared" si="3"/>
        <v>0</v>
      </c>
      <c r="BM62" s="53">
        <f t="shared" si="3"/>
        <v>0</v>
      </c>
      <c r="BN62" s="53">
        <f t="shared" si="3"/>
        <v>0</v>
      </c>
      <c r="BO62" s="53">
        <f t="shared" si="3"/>
        <v>0</v>
      </c>
      <c r="BP62" s="53">
        <f t="shared" si="3"/>
        <v>0</v>
      </c>
      <c r="BQ62" s="53">
        <f t="shared" si="3"/>
        <v>0</v>
      </c>
      <c r="BR62" s="53">
        <f t="shared" si="3"/>
        <v>0</v>
      </c>
      <c r="BS62" s="53">
        <f t="shared" si="3"/>
        <v>0</v>
      </c>
      <c r="BT62" s="53">
        <f t="shared" si="3"/>
        <v>0</v>
      </c>
      <c r="BU62" s="53">
        <f t="shared" si="3"/>
        <v>0</v>
      </c>
    </row>
    <row r="63" spans="4:93" hidden="1" x14ac:dyDescent="0.2">
      <c r="M63" s="53">
        <f t="shared" si="1"/>
        <v>0</v>
      </c>
      <c r="N63" s="53">
        <f t="shared" si="1"/>
        <v>0</v>
      </c>
      <c r="O63" s="53">
        <f t="shared" si="1"/>
        <v>0</v>
      </c>
      <c r="P63" s="53">
        <f t="shared" si="1"/>
        <v>0</v>
      </c>
      <c r="Q63" s="53">
        <f t="shared" si="1"/>
        <v>0</v>
      </c>
      <c r="R63" s="53">
        <f t="shared" si="1"/>
        <v>0</v>
      </c>
      <c r="S63" s="53">
        <f t="shared" si="1"/>
        <v>0</v>
      </c>
      <c r="T63" s="53">
        <f t="shared" si="1"/>
        <v>0</v>
      </c>
      <c r="U63" s="53">
        <f t="shared" si="1"/>
        <v>0</v>
      </c>
      <c r="V63" s="53">
        <f t="shared" si="1"/>
        <v>0</v>
      </c>
      <c r="W63" s="53">
        <f t="shared" si="1"/>
        <v>0</v>
      </c>
      <c r="X63" s="53">
        <f t="shared" si="1"/>
        <v>0</v>
      </c>
      <c r="Y63" s="53">
        <f t="shared" si="1"/>
        <v>0</v>
      </c>
      <c r="Z63" s="53">
        <f t="shared" si="1"/>
        <v>0</v>
      </c>
      <c r="AA63" s="53">
        <f t="shared" si="1"/>
        <v>0</v>
      </c>
      <c r="AB63" s="53">
        <f t="shared" si="1"/>
        <v>0</v>
      </c>
      <c r="AC63" s="53">
        <f t="shared" ref="AC63:BF71" si="4">AC22-CU22</f>
        <v>0</v>
      </c>
      <c r="AD63" s="53">
        <f t="shared" si="4"/>
        <v>0</v>
      </c>
      <c r="AE63" s="53">
        <f t="shared" si="4"/>
        <v>0</v>
      </c>
      <c r="AF63" s="53">
        <f t="shared" si="4"/>
        <v>0</v>
      </c>
      <c r="AG63" s="53">
        <f t="shared" si="4"/>
        <v>0</v>
      </c>
      <c r="AH63" s="53">
        <f t="shared" si="4"/>
        <v>0</v>
      </c>
      <c r="AI63" s="53">
        <f t="shared" si="4"/>
        <v>0</v>
      </c>
      <c r="AJ63" s="53">
        <f t="shared" si="4"/>
        <v>0</v>
      </c>
      <c r="AK63" s="53">
        <f t="shared" si="4"/>
        <v>0</v>
      </c>
      <c r="AL63" s="53">
        <f t="shared" si="4"/>
        <v>0</v>
      </c>
      <c r="AM63" s="53">
        <f t="shared" si="4"/>
        <v>0</v>
      </c>
      <c r="AN63" s="53">
        <f t="shared" si="4"/>
        <v>0</v>
      </c>
      <c r="AO63" s="53">
        <f t="shared" si="4"/>
        <v>0</v>
      </c>
      <c r="AP63" s="53">
        <f t="shared" si="4"/>
        <v>0</v>
      </c>
      <c r="AQ63" s="53">
        <f t="shared" si="4"/>
        <v>0</v>
      </c>
      <c r="AR63" s="53">
        <f t="shared" si="4"/>
        <v>0</v>
      </c>
      <c r="AS63" s="53">
        <f t="shared" si="4"/>
        <v>0</v>
      </c>
      <c r="AT63" s="53">
        <f t="shared" si="4"/>
        <v>0</v>
      </c>
      <c r="AU63" s="53">
        <f t="shared" si="4"/>
        <v>0</v>
      </c>
      <c r="AV63" s="53">
        <f t="shared" si="4"/>
        <v>0</v>
      </c>
      <c r="AW63" s="53">
        <f t="shared" si="4"/>
        <v>0</v>
      </c>
      <c r="AX63" s="53">
        <f t="shared" si="4"/>
        <v>0</v>
      </c>
      <c r="AY63" s="53">
        <f t="shared" si="4"/>
        <v>0</v>
      </c>
      <c r="AZ63" s="53">
        <f t="shared" si="4"/>
        <v>0</v>
      </c>
      <c r="BA63" s="53">
        <f t="shared" si="4"/>
        <v>0</v>
      </c>
      <c r="BB63" s="53">
        <f t="shared" si="4"/>
        <v>0</v>
      </c>
      <c r="BC63" s="53">
        <f t="shared" si="4"/>
        <v>0</v>
      </c>
      <c r="BD63" s="53">
        <f t="shared" si="4"/>
        <v>0</v>
      </c>
      <c r="BE63" s="53">
        <f t="shared" si="4"/>
        <v>0</v>
      </c>
      <c r="BF63" s="53">
        <f t="shared" si="4"/>
        <v>0</v>
      </c>
      <c r="BG63" s="53">
        <f t="shared" si="3"/>
        <v>0</v>
      </c>
      <c r="BH63" s="53">
        <f t="shared" si="3"/>
        <v>0</v>
      </c>
      <c r="BI63" s="53">
        <f t="shared" si="3"/>
        <v>0</v>
      </c>
      <c r="BJ63" s="53">
        <f t="shared" si="3"/>
        <v>0</v>
      </c>
      <c r="BK63" s="53">
        <f t="shared" si="3"/>
        <v>0</v>
      </c>
      <c r="BL63" s="53">
        <f t="shared" si="3"/>
        <v>0</v>
      </c>
      <c r="BM63" s="53">
        <f t="shared" si="3"/>
        <v>0</v>
      </c>
      <c r="BN63" s="53">
        <f t="shared" si="3"/>
        <v>0</v>
      </c>
      <c r="BO63" s="53">
        <f t="shared" si="3"/>
        <v>0</v>
      </c>
      <c r="BP63" s="53">
        <f t="shared" si="3"/>
        <v>0</v>
      </c>
      <c r="BQ63" s="53">
        <f t="shared" si="3"/>
        <v>0</v>
      </c>
      <c r="BR63" s="53">
        <f t="shared" si="3"/>
        <v>0</v>
      </c>
      <c r="BS63" s="53">
        <f t="shared" si="3"/>
        <v>0</v>
      </c>
      <c r="BT63" s="53">
        <f t="shared" si="3"/>
        <v>0</v>
      </c>
      <c r="BU63" s="53">
        <f t="shared" si="3"/>
        <v>0</v>
      </c>
    </row>
    <row r="64" spans="4:93" hidden="1" x14ac:dyDescent="0.2">
      <c r="M64" s="53">
        <f t="shared" si="1"/>
        <v>52039064</v>
      </c>
      <c r="N64" s="53">
        <f t="shared" si="1"/>
        <v>0</v>
      </c>
      <c r="O64" s="53">
        <f t="shared" si="1"/>
        <v>0</v>
      </c>
      <c r="P64" s="53">
        <f t="shared" si="1"/>
        <v>0</v>
      </c>
      <c r="Q64" s="53">
        <f t="shared" si="1"/>
        <v>0</v>
      </c>
      <c r="R64" s="53">
        <f t="shared" si="1"/>
        <v>-2187194</v>
      </c>
      <c r="S64" s="53">
        <f t="shared" si="1"/>
        <v>0</v>
      </c>
      <c r="T64" s="53">
        <f t="shared" si="1"/>
        <v>0</v>
      </c>
      <c r="U64" s="53">
        <f t="shared" si="1"/>
        <v>0</v>
      </c>
      <c r="V64" s="53">
        <f t="shared" si="1"/>
        <v>0</v>
      </c>
      <c r="W64" s="53">
        <f t="shared" si="1"/>
        <v>-1746060</v>
      </c>
      <c r="X64" s="53">
        <f t="shared" si="1"/>
        <v>0</v>
      </c>
      <c r="Y64" s="53">
        <f t="shared" si="1"/>
        <v>0</v>
      </c>
      <c r="Z64" s="53">
        <f t="shared" si="1"/>
        <v>0</v>
      </c>
      <c r="AA64" s="53">
        <f t="shared" si="1"/>
        <v>0</v>
      </c>
      <c r="AB64" s="53">
        <f t="shared" si="1"/>
        <v>-9207825</v>
      </c>
      <c r="AC64" s="53">
        <f t="shared" si="4"/>
        <v>0</v>
      </c>
      <c r="AD64" s="53">
        <f t="shared" si="4"/>
        <v>0</v>
      </c>
      <c r="AE64" s="53">
        <f t="shared" si="4"/>
        <v>0</v>
      </c>
      <c r="AF64" s="53">
        <f t="shared" si="4"/>
        <v>0</v>
      </c>
      <c r="AG64" s="53">
        <f t="shared" si="4"/>
        <v>8222766</v>
      </c>
      <c r="AH64" s="53">
        <f t="shared" si="4"/>
        <v>0</v>
      </c>
      <c r="AI64" s="53">
        <f t="shared" si="4"/>
        <v>0</v>
      </c>
      <c r="AJ64" s="53">
        <f t="shared" si="4"/>
        <v>0</v>
      </c>
      <c r="AK64" s="53">
        <f t="shared" si="4"/>
        <v>0</v>
      </c>
      <c r="AL64" s="53">
        <f t="shared" si="4"/>
        <v>-21412052</v>
      </c>
      <c r="AM64" s="53">
        <f t="shared" si="4"/>
        <v>0</v>
      </c>
      <c r="AN64" s="53">
        <f t="shared" si="4"/>
        <v>0</v>
      </c>
      <c r="AO64" s="53">
        <f t="shared" si="4"/>
        <v>0</v>
      </c>
      <c r="AP64" s="53">
        <f t="shared" si="4"/>
        <v>0</v>
      </c>
      <c r="AQ64" s="53">
        <f t="shared" si="4"/>
        <v>-67094</v>
      </c>
      <c r="AR64" s="53">
        <f t="shared" si="4"/>
        <v>0</v>
      </c>
      <c r="AS64" s="53">
        <f t="shared" si="4"/>
        <v>0</v>
      </c>
      <c r="AT64" s="53">
        <f t="shared" si="4"/>
        <v>0</v>
      </c>
      <c r="AU64" s="53">
        <f t="shared" si="4"/>
        <v>0</v>
      </c>
      <c r="AV64" s="53">
        <f t="shared" si="4"/>
        <v>-5423083</v>
      </c>
      <c r="AW64" s="53">
        <f t="shared" si="4"/>
        <v>0</v>
      </c>
      <c r="AX64" s="53">
        <f t="shared" si="4"/>
        <v>0</v>
      </c>
      <c r="AY64" s="53">
        <f t="shared" si="4"/>
        <v>0</v>
      </c>
      <c r="AZ64" s="53">
        <f t="shared" si="4"/>
        <v>0</v>
      </c>
      <c r="BA64" s="53">
        <f t="shared" si="4"/>
        <v>-3006040</v>
      </c>
      <c r="BB64" s="53">
        <f t="shared" si="4"/>
        <v>0</v>
      </c>
      <c r="BC64" s="53">
        <f t="shared" si="4"/>
        <v>0</v>
      </c>
      <c r="BD64" s="53">
        <f t="shared" si="4"/>
        <v>0</v>
      </c>
      <c r="BE64" s="53">
        <f t="shared" si="4"/>
        <v>0</v>
      </c>
      <c r="BF64" s="53">
        <f t="shared" si="4"/>
        <v>-484408</v>
      </c>
      <c r="BG64" s="53">
        <f t="shared" si="3"/>
        <v>0</v>
      </c>
      <c r="BH64" s="53">
        <f t="shared" si="3"/>
        <v>0</v>
      </c>
      <c r="BI64" s="53">
        <f t="shared" si="3"/>
        <v>0</v>
      </c>
      <c r="BJ64" s="53">
        <f t="shared" si="3"/>
        <v>0</v>
      </c>
      <c r="BK64" s="53">
        <f t="shared" si="3"/>
        <v>-4553332</v>
      </c>
      <c r="BL64" s="53">
        <f t="shared" si="3"/>
        <v>0</v>
      </c>
      <c r="BM64" s="53">
        <f t="shared" si="3"/>
        <v>0</v>
      </c>
      <c r="BN64" s="53">
        <f t="shared" si="3"/>
        <v>0</v>
      </c>
      <c r="BO64" s="53">
        <f t="shared" si="3"/>
        <v>0</v>
      </c>
      <c r="BP64" s="53">
        <f t="shared" si="3"/>
        <v>34627077</v>
      </c>
      <c r="BQ64" s="53">
        <f t="shared" si="3"/>
        <v>0</v>
      </c>
      <c r="BR64" s="53">
        <f t="shared" si="3"/>
        <v>0</v>
      </c>
      <c r="BS64" s="53">
        <f t="shared" si="3"/>
        <v>0</v>
      </c>
      <c r="BT64" s="53">
        <f t="shared" si="3"/>
        <v>0</v>
      </c>
      <c r="BU64" s="53">
        <f t="shared" si="3"/>
        <v>49851870</v>
      </c>
    </row>
    <row r="65" spans="13:73" hidden="1" x14ac:dyDescent="0.2">
      <c r="M65" s="53">
        <f t="shared" si="1"/>
        <v>0</v>
      </c>
      <c r="N65" s="53">
        <f t="shared" si="1"/>
        <v>0</v>
      </c>
      <c r="O65" s="53">
        <f t="shared" si="1"/>
        <v>0</v>
      </c>
      <c r="P65" s="53">
        <f t="shared" si="1"/>
        <v>0</v>
      </c>
      <c r="Q65" s="53">
        <f t="shared" si="1"/>
        <v>0</v>
      </c>
      <c r="R65" s="53">
        <f t="shared" si="1"/>
        <v>0</v>
      </c>
      <c r="S65" s="53">
        <f t="shared" si="1"/>
        <v>0</v>
      </c>
      <c r="T65" s="53">
        <f t="shared" si="1"/>
        <v>0</v>
      </c>
      <c r="U65" s="53">
        <f t="shared" si="1"/>
        <v>0</v>
      </c>
      <c r="V65" s="53">
        <f t="shared" si="1"/>
        <v>0</v>
      </c>
      <c r="W65" s="53">
        <f t="shared" si="1"/>
        <v>0</v>
      </c>
      <c r="X65" s="53">
        <f t="shared" si="1"/>
        <v>0</v>
      </c>
      <c r="Y65" s="53">
        <f t="shared" si="1"/>
        <v>0</v>
      </c>
      <c r="Z65" s="53">
        <f t="shared" si="1"/>
        <v>0</v>
      </c>
      <c r="AA65" s="53">
        <f t="shared" si="1"/>
        <v>0</v>
      </c>
      <c r="AB65" s="53">
        <f t="shared" si="1"/>
        <v>0</v>
      </c>
      <c r="AC65" s="53">
        <f t="shared" si="4"/>
        <v>0</v>
      </c>
      <c r="AD65" s="53">
        <f t="shared" si="4"/>
        <v>0</v>
      </c>
      <c r="AE65" s="53">
        <f t="shared" si="4"/>
        <v>0</v>
      </c>
      <c r="AF65" s="53">
        <f t="shared" si="4"/>
        <v>0</v>
      </c>
      <c r="AG65" s="53">
        <f t="shared" si="4"/>
        <v>0</v>
      </c>
      <c r="AH65" s="53">
        <f t="shared" si="4"/>
        <v>0</v>
      </c>
      <c r="AI65" s="53">
        <f t="shared" si="4"/>
        <v>0</v>
      </c>
      <c r="AJ65" s="53">
        <f t="shared" si="4"/>
        <v>0</v>
      </c>
      <c r="AK65" s="53">
        <f t="shared" si="4"/>
        <v>0</v>
      </c>
      <c r="AL65" s="53">
        <f t="shared" si="4"/>
        <v>0</v>
      </c>
      <c r="AM65" s="53">
        <f t="shared" si="4"/>
        <v>0</v>
      </c>
      <c r="AN65" s="53">
        <f t="shared" si="4"/>
        <v>0</v>
      </c>
      <c r="AO65" s="53">
        <f t="shared" si="4"/>
        <v>0</v>
      </c>
      <c r="AP65" s="53">
        <f t="shared" si="4"/>
        <v>0</v>
      </c>
      <c r="AQ65" s="53">
        <f t="shared" si="4"/>
        <v>0</v>
      </c>
      <c r="AR65" s="53">
        <f t="shared" si="4"/>
        <v>0</v>
      </c>
      <c r="AS65" s="53">
        <f t="shared" si="4"/>
        <v>0</v>
      </c>
      <c r="AT65" s="53">
        <f t="shared" si="4"/>
        <v>0</v>
      </c>
      <c r="AU65" s="53">
        <f t="shared" si="4"/>
        <v>0</v>
      </c>
      <c r="AV65" s="53">
        <f t="shared" si="4"/>
        <v>0</v>
      </c>
      <c r="AW65" s="53">
        <f t="shared" si="4"/>
        <v>0</v>
      </c>
      <c r="AX65" s="53">
        <f t="shared" si="4"/>
        <v>0</v>
      </c>
      <c r="AY65" s="53">
        <f t="shared" si="4"/>
        <v>0</v>
      </c>
      <c r="AZ65" s="53">
        <f t="shared" si="4"/>
        <v>0</v>
      </c>
      <c r="BA65" s="53">
        <f t="shared" si="4"/>
        <v>0</v>
      </c>
      <c r="BB65" s="53">
        <f t="shared" si="4"/>
        <v>0</v>
      </c>
      <c r="BC65" s="53">
        <f t="shared" si="4"/>
        <v>0</v>
      </c>
      <c r="BD65" s="53">
        <f t="shared" si="4"/>
        <v>0</v>
      </c>
      <c r="BE65" s="53">
        <f t="shared" si="4"/>
        <v>0</v>
      </c>
      <c r="BF65" s="53">
        <f t="shared" si="4"/>
        <v>0</v>
      </c>
      <c r="BG65" s="53">
        <f t="shared" si="3"/>
        <v>0</v>
      </c>
      <c r="BH65" s="53">
        <f t="shared" si="3"/>
        <v>0</v>
      </c>
      <c r="BI65" s="53">
        <f t="shared" si="3"/>
        <v>0</v>
      </c>
      <c r="BJ65" s="53">
        <f t="shared" si="3"/>
        <v>0</v>
      </c>
      <c r="BK65" s="53">
        <f t="shared" si="3"/>
        <v>0</v>
      </c>
      <c r="BL65" s="53">
        <f t="shared" si="3"/>
        <v>0</v>
      </c>
      <c r="BM65" s="53">
        <f t="shared" si="3"/>
        <v>0</v>
      </c>
      <c r="BN65" s="53">
        <f t="shared" si="3"/>
        <v>0</v>
      </c>
      <c r="BO65" s="53">
        <f t="shared" si="3"/>
        <v>0</v>
      </c>
      <c r="BP65" s="53">
        <f t="shared" si="3"/>
        <v>0</v>
      </c>
      <c r="BQ65" s="53">
        <f t="shared" si="3"/>
        <v>0</v>
      </c>
      <c r="BR65" s="53">
        <f t="shared" si="3"/>
        <v>0</v>
      </c>
      <c r="BS65" s="53">
        <f t="shared" si="3"/>
        <v>0</v>
      </c>
      <c r="BT65" s="53">
        <f t="shared" si="3"/>
        <v>0</v>
      </c>
      <c r="BU65" s="53">
        <f t="shared" si="3"/>
        <v>0</v>
      </c>
    </row>
    <row r="66" spans="13:73" hidden="1" x14ac:dyDescent="0.2">
      <c r="M66" s="53">
        <f t="shared" si="1"/>
        <v>0</v>
      </c>
      <c r="N66" s="53">
        <f t="shared" si="1"/>
        <v>0</v>
      </c>
      <c r="O66" s="53">
        <f t="shared" si="1"/>
        <v>0</v>
      </c>
      <c r="P66" s="53">
        <f t="shared" si="1"/>
        <v>0</v>
      </c>
      <c r="Q66" s="53">
        <f t="shared" si="1"/>
        <v>0</v>
      </c>
      <c r="R66" s="53">
        <f t="shared" si="1"/>
        <v>0</v>
      </c>
      <c r="S66" s="53">
        <f t="shared" si="1"/>
        <v>0</v>
      </c>
      <c r="T66" s="53">
        <f t="shared" si="1"/>
        <v>0</v>
      </c>
      <c r="U66" s="53">
        <f t="shared" si="1"/>
        <v>0</v>
      </c>
      <c r="V66" s="53">
        <f t="shared" si="1"/>
        <v>0</v>
      </c>
      <c r="W66" s="53">
        <f t="shared" si="1"/>
        <v>0</v>
      </c>
      <c r="X66" s="53">
        <f t="shared" si="1"/>
        <v>0</v>
      </c>
      <c r="Y66" s="53">
        <f t="shared" si="1"/>
        <v>0</v>
      </c>
      <c r="Z66" s="53">
        <f t="shared" si="1"/>
        <v>0</v>
      </c>
      <c r="AA66" s="53">
        <f t="shared" si="1"/>
        <v>0</v>
      </c>
      <c r="AB66" s="53">
        <f t="shared" si="1"/>
        <v>0</v>
      </c>
      <c r="AC66" s="53">
        <f t="shared" si="4"/>
        <v>0</v>
      </c>
      <c r="AD66" s="53">
        <f t="shared" si="4"/>
        <v>0</v>
      </c>
      <c r="AE66" s="53">
        <f t="shared" si="4"/>
        <v>0</v>
      </c>
      <c r="AF66" s="53">
        <f t="shared" si="4"/>
        <v>0</v>
      </c>
      <c r="AG66" s="53">
        <f t="shared" si="4"/>
        <v>0</v>
      </c>
      <c r="AH66" s="53">
        <f t="shared" si="4"/>
        <v>0</v>
      </c>
      <c r="AI66" s="53">
        <f t="shared" si="4"/>
        <v>0</v>
      </c>
      <c r="AJ66" s="53">
        <f t="shared" si="4"/>
        <v>0</v>
      </c>
      <c r="AK66" s="53">
        <f t="shared" si="4"/>
        <v>0</v>
      </c>
      <c r="AL66" s="53">
        <f t="shared" si="4"/>
        <v>0</v>
      </c>
      <c r="AM66" s="53">
        <f t="shared" si="4"/>
        <v>0</v>
      </c>
      <c r="AN66" s="53">
        <f t="shared" si="4"/>
        <v>0</v>
      </c>
      <c r="AO66" s="53">
        <f t="shared" si="4"/>
        <v>0</v>
      </c>
      <c r="AP66" s="53">
        <f t="shared" si="4"/>
        <v>0</v>
      </c>
      <c r="AQ66" s="53">
        <f t="shared" si="4"/>
        <v>0</v>
      </c>
      <c r="AR66" s="53">
        <f t="shared" si="4"/>
        <v>0</v>
      </c>
      <c r="AS66" s="53">
        <f t="shared" si="4"/>
        <v>0</v>
      </c>
      <c r="AT66" s="53">
        <f t="shared" si="4"/>
        <v>0</v>
      </c>
      <c r="AU66" s="53">
        <f t="shared" si="4"/>
        <v>0</v>
      </c>
      <c r="AV66" s="53">
        <f t="shared" si="4"/>
        <v>0</v>
      </c>
      <c r="AW66" s="53">
        <f t="shared" si="4"/>
        <v>0</v>
      </c>
      <c r="AX66" s="53">
        <f t="shared" si="4"/>
        <v>0</v>
      </c>
      <c r="AY66" s="53">
        <f t="shared" si="4"/>
        <v>0</v>
      </c>
      <c r="AZ66" s="53">
        <f t="shared" si="4"/>
        <v>0</v>
      </c>
      <c r="BA66" s="53">
        <f t="shared" si="4"/>
        <v>0</v>
      </c>
      <c r="BB66" s="53">
        <f t="shared" si="4"/>
        <v>0</v>
      </c>
      <c r="BC66" s="53">
        <f t="shared" si="4"/>
        <v>0</v>
      </c>
      <c r="BD66" s="53">
        <f t="shared" si="4"/>
        <v>0</v>
      </c>
      <c r="BE66" s="53">
        <f t="shared" si="4"/>
        <v>0</v>
      </c>
      <c r="BF66" s="53">
        <f t="shared" si="4"/>
        <v>0</v>
      </c>
      <c r="BG66" s="53">
        <f t="shared" si="3"/>
        <v>0</v>
      </c>
      <c r="BH66" s="53">
        <f t="shared" si="3"/>
        <v>0</v>
      </c>
      <c r="BI66" s="53">
        <f t="shared" si="3"/>
        <v>0</v>
      </c>
      <c r="BJ66" s="53">
        <f t="shared" si="3"/>
        <v>0</v>
      </c>
      <c r="BK66" s="53">
        <f t="shared" si="3"/>
        <v>0</v>
      </c>
      <c r="BL66" s="53">
        <f t="shared" si="3"/>
        <v>0</v>
      </c>
      <c r="BM66" s="53">
        <f t="shared" si="3"/>
        <v>0</v>
      </c>
      <c r="BN66" s="53">
        <f t="shared" si="3"/>
        <v>0</v>
      </c>
      <c r="BO66" s="53">
        <f t="shared" si="3"/>
        <v>0</v>
      </c>
      <c r="BP66" s="53">
        <f t="shared" si="3"/>
        <v>0</v>
      </c>
      <c r="BQ66" s="53">
        <f t="shared" si="3"/>
        <v>0</v>
      </c>
      <c r="BR66" s="53">
        <f t="shared" si="3"/>
        <v>0</v>
      </c>
      <c r="BS66" s="53">
        <f t="shared" si="3"/>
        <v>0</v>
      </c>
      <c r="BT66" s="53">
        <f t="shared" si="3"/>
        <v>0</v>
      </c>
      <c r="BU66" s="53">
        <f t="shared" si="3"/>
        <v>0</v>
      </c>
    </row>
    <row r="67" spans="13:73" hidden="1" x14ac:dyDescent="0.2">
      <c r="M67" s="53">
        <f t="shared" si="1"/>
        <v>0</v>
      </c>
      <c r="N67" s="53">
        <f t="shared" si="1"/>
        <v>0</v>
      </c>
      <c r="O67" s="53">
        <f t="shared" si="1"/>
        <v>0</v>
      </c>
      <c r="P67" s="53">
        <f t="shared" si="1"/>
        <v>0</v>
      </c>
      <c r="Q67" s="53">
        <f t="shared" si="1"/>
        <v>0</v>
      </c>
      <c r="R67" s="53">
        <f t="shared" si="1"/>
        <v>0</v>
      </c>
      <c r="S67" s="53">
        <f t="shared" si="1"/>
        <v>0</v>
      </c>
      <c r="T67" s="53">
        <f t="shared" si="1"/>
        <v>0</v>
      </c>
      <c r="U67" s="53">
        <f t="shared" si="1"/>
        <v>0</v>
      </c>
      <c r="V67" s="53">
        <f t="shared" si="1"/>
        <v>0</v>
      </c>
      <c r="W67" s="53">
        <f t="shared" si="1"/>
        <v>0</v>
      </c>
      <c r="X67" s="53">
        <f t="shared" si="1"/>
        <v>0</v>
      </c>
      <c r="Y67" s="53">
        <f t="shared" si="1"/>
        <v>0</v>
      </c>
      <c r="Z67" s="53">
        <f t="shared" si="1"/>
        <v>0</v>
      </c>
      <c r="AA67" s="53">
        <f t="shared" si="1"/>
        <v>0</v>
      </c>
      <c r="AB67" s="53">
        <f t="shared" si="1"/>
        <v>0</v>
      </c>
      <c r="AC67" s="53">
        <f t="shared" si="4"/>
        <v>0</v>
      </c>
      <c r="AD67" s="53">
        <f t="shared" si="4"/>
        <v>0</v>
      </c>
      <c r="AE67" s="53">
        <f t="shared" si="4"/>
        <v>0</v>
      </c>
      <c r="AF67" s="53">
        <f t="shared" si="4"/>
        <v>0</v>
      </c>
      <c r="AG67" s="53">
        <f t="shared" si="4"/>
        <v>0</v>
      </c>
      <c r="AH67" s="53">
        <f t="shared" si="4"/>
        <v>0</v>
      </c>
      <c r="AI67" s="53">
        <f t="shared" si="4"/>
        <v>0</v>
      </c>
      <c r="AJ67" s="53">
        <f t="shared" si="4"/>
        <v>0</v>
      </c>
      <c r="AK67" s="53">
        <f t="shared" si="4"/>
        <v>0</v>
      </c>
      <c r="AL67" s="53">
        <f t="shared" si="4"/>
        <v>0</v>
      </c>
      <c r="AM67" s="53">
        <f t="shared" si="4"/>
        <v>0</v>
      </c>
      <c r="AN67" s="53">
        <f t="shared" si="4"/>
        <v>0</v>
      </c>
      <c r="AO67" s="53">
        <f t="shared" si="4"/>
        <v>0</v>
      </c>
      <c r="AP67" s="53">
        <f t="shared" si="4"/>
        <v>0</v>
      </c>
      <c r="AQ67" s="53">
        <f t="shared" si="4"/>
        <v>0</v>
      </c>
      <c r="AR67" s="53">
        <f t="shared" si="4"/>
        <v>0</v>
      </c>
      <c r="AS67" s="53">
        <f t="shared" si="4"/>
        <v>0</v>
      </c>
      <c r="AT67" s="53">
        <f t="shared" si="4"/>
        <v>0</v>
      </c>
      <c r="AU67" s="53">
        <f t="shared" si="4"/>
        <v>0</v>
      </c>
      <c r="AV67" s="53">
        <f t="shared" si="4"/>
        <v>0</v>
      </c>
      <c r="AW67" s="53">
        <f t="shared" si="4"/>
        <v>0</v>
      </c>
      <c r="AX67" s="53">
        <f t="shared" si="4"/>
        <v>0</v>
      </c>
      <c r="AY67" s="53">
        <f t="shared" si="4"/>
        <v>0</v>
      </c>
      <c r="AZ67" s="53">
        <f t="shared" si="4"/>
        <v>0</v>
      </c>
      <c r="BA67" s="53">
        <f t="shared" si="4"/>
        <v>0</v>
      </c>
      <c r="BB67" s="53">
        <f t="shared" si="4"/>
        <v>0</v>
      </c>
      <c r="BC67" s="53">
        <f t="shared" si="4"/>
        <v>0</v>
      </c>
      <c r="BD67" s="53">
        <f t="shared" si="4"/>
        <v>0</v>
      </c>
      <c r="BE67" s="53">
        <f t="shared" si="4"/>
        <v>0</v>
      </c>
      <c r="BF67" s="53">
        <f t="shared" si="4"/>
        <v>0</v>
      </c>
      <c r="BG67" s="53">
        <f t="shared" si="3"/>
        <v>0</v>
      </c>
      <c r="BH67" s="53">
        <f t="shared" si="3"/>
        <v>0</v>
      </c>
      <c r="BI67" s="53">
        <f t="shared" si="3"/>
        <v>0</v>
      </c>
      <c r="BJ67" s="53">
        <f t="shared" si="3"/>
        <v>0</v>
      </c>
      <c r="BK67" s="53">
        <f t="shared" si="3"/>
        <v>0</v>
      </c>
      <c r="BL67" s="53">
        <f t="shared" si="3"/>
        <v>0</v>
      </c>
      <c r="BM67" s="53">
        <f t="shared" si="3"/>
        <v>0</v>
      </c>
      <c r="BN67" s="53">
        <f t="shared" si="3"/>
        <v>0</v>
      </c>
      <c r="BO67" s="53">
        <f t="shared" si="3"/>
        <v>0</v>
      </c>
      <c r="BP67" s="53">
        <f t="shared" si="3"/>
        <v>0</v>
      </c>
      <c r="BQ67" s="53">
        <f t="shared" si="3"/>
        <v>0</v>
      </c>
      <c r="BR67" s="53">
        <f t="shared" si="3"/>
        <v>0</v>
      </c>
      <c r="BS67" s="53">
        <f t="shared" si="3"/>
        <v>0</v>
      </c>
      <c r="BT67" s="53">
        <f t="shared" si="3"/>
        <v>0</v>
      </c>
      <c r="BU67" s="53">
        <f t="shared" si="3"/>
        <v>0</v>
      </c>
    </row>
    <row r="68" spans="13:73" hidden="1" x14ac:dyDescent="0.2">
      <c r="M68" s="53">
        <f t="shared" si="1"/>
        <v>-1285536</v>
      </c>
      <c r="N68" s="53">
        <f t="shared" si="1"/>
        <v>0</v>
      </c>
      <c r="O68" s="53">
        <f t="shared" si="1"/>
        <v>0</v>
      </c>
      <c r="P68" s="53">
        <f t="shared" si="1"/>
        <v>0</v>
      </c>
      <c r="Q68" s="53">
        <f t="shared" si="1"/>
        <v>0</v>
      </c>
      <c r="R68" s="53">
        <f t="shared" si="1"/>
        <v>871744.25600000005</v>
      </c>
      <c r="S68" s="53">
        <f t="shared" si="1"/>
        <v>0</v>
      </c>
      <c r="T68" s="53">
        <f t="shared" si="1"/>
        <v>0</v>
      </c>
      <c r="U68" s="53">
        <f t="shared" si="1"/>
        <v>0</v>
      </c>
      <c r="V68" s="53">
        <f t="shared" si="1"/>
        <v>0</v>
      </c>
      <c r="W68" s="53">
        <f t="shared" si="1"/>
        <v>-12272</v>
      </c>
      <c r="X68" s="53">
        <f t="shared" si="1"/>
        <v>0</v>
      </c>
      <c r="Y68" s="53">
        <f t="shared" si="1"/>
        <v>0</v>
      </c>
      <c r="Z68" s="53">
        <f t="shared" si="1"/>
        <v>0</v>
      </c>
      <c r="AA68" s="53">
        <f t="shared" si="1"/>
        <v>0</v>
      </c>
      <c r="AB68" s="53">
        <f t="shared" si="1"/>
        <v>0</v>
      </c>
      <c r="AC68" s="53">
        <f t="shared" si="4"/>
        <v>0</v>
      </c>
      <c r="AD68" s="53">
        <f t="shared" si="4"/>
        <v>0</v>
      </c>
      <c r="AE68" s="53">
        <f t="shared" si="4"/>
        <v>0</v>
      </c>
      <c r="AF68" s="53">
        <f t="shared" si="4"/>
        <v>0</v>
      </c>
      <c r="AG68" s="53">
        <f t="shared" si="4"/>
        <v>-1736919</v>
      </c>
      <c r="AH68" s="53">
        <f t="shared" si="4"/>
        <v>0</v>
      </c>
      <c r="AI68" s="53">
        <f t="shared" si="4"/>
        <v>0</v>
      </c>
      <c r="AJ68" s="53">
        <f t="shared" si="4"/>
        <v>0</v>
      </c>
      <c r="AK68" s="53">
        <f t="shared" si="4"/>
        <v>0</v>
      </c>
      <c r="AL68" s="53">
        <f t="shared" si="4"/>
        <v>-245929</v>
      </c>
      <c r="AM68" s="53">
        <f t="shared" si="4"/>
        <v>0</v>
      </c>
      <c r="AN68" s="53">
        <f t="shared" si="4"/>
        <v>0</v>
      </c>
      <c r="AO68" s="53">
        <f t="shared" si="4"/>
        <v>0</v>
      </c>
      <c r="AP68" s="53">
        <f t="shared" si="4"/>
        <v>0</v>
      </c>
      <c r="AQ68" s="53">
        <f t="shared" si="4"/>
        <v>-2261765</v>
      </c>
      <c r="AR68" s="53">
        <f t="shared" si="4"/>
        <v>0</v>
      </c>
      <c r="AS68" s="53">
        <f t="shared" si="4"/>
        <v>0</v>
      </c>
      <c r="AT68" s="53">
        <f t="shared" si="4"/>
        <v>0</v>
      </c>
      <c r="AU68" s="53">
        <f t="shared" si="4"/>
        <v>0</v>
      </c>
      <c r="AV68" s="53">
        <f t="shared" si="4"/>
        <v>-1146180</v>
      </c>
      <c r="AW68" s="53">
        <f t="shared" si="4"/>
        <v>0</v>
      </c>
      <c r="AX68" s="53">
        <f t="shared" si="4"/>
        <v>0</v>
      </c>
      <c r="AY68" s="53">
        <f t="shared" si="4"/>
        <v>0</v>
      </c>
      <c r="AZ68" s="53">
        <f t="shared" si="4"/>
        <v>0</v>
      </c>
      <c r="BA68" s="53">
        <f t="shared" si="4"/>
        <v>-1005353</v>
      </c>
      <c r="BB68" s="53">
        <f t="shared" si="4"/>
        <v>0</v>
      </c>
      <c r="BC68" s="53">
        <f t="shared" si="4"/>
        <v>0</v>
      </c>
      <c r="BD68" s="53">
        <f t="shared" si="4"/>
        <v>0</v>
      </c>
      <c r="BE68" s="53">
        <f t="shared" si="4"/>
        <v>0</v>
      </c>
      <c r="BF68" s="53">
        <f t="shared" si="4"/>
        <v>-41798</v>
      </c>
      <c r="BG68" s="53">
        <f t="shared" si="3"/>
        <v>0</v>
      </c>
      <c r="BH68" s="53">
        <f t="shared" si="3"/>
        <v>0</v>
      </c>
      <c r="BI68" s="53">
        <f t="shared" si="3"/>
        <v>0</v>
      </c>
      <c r="BJ68" s="53">
        <f t="shared" si="3"/>
        <v>0</v>
      </c>
      <c r="BK68" s="53">
        <f t="shared" si="3"/>
        <v>-360442</v>
      </c>
      <c r="BL68" s="53">
        <f t="shared" si="3"/>
        <v>0</v>
      </c>
      <c r="BM68" s="53">
        <f t="shared" si="3"/>
        <v>0</v>
      </c>
      <c r="BN68" s="53">
        <f t="shared" si="3"/>
        <v>0</v>
      </c>
      <c r="BO68" s="53">
        <f t="shared" si="3"/>
        <v>0</v>
      </c>
      <c r="BP68" s="53">
        <f t="shared" si="3"/>
        <v>-3730402</v>
      </c>
      <c r="BQ68" s="53">
        <f t="shared" si="3"/>
        <v>0</v>
      </c>
      <c r="BR68" s="53">
        <f t="shared" si="3"/>
        <v>0</v>
      </c>
      <c r="BS68" s="53">
        <f t="shared" si="3"/>
        <v>0</v>
      </c>
      <c r="BT68" s="53">
        <f t="shared" si="3"/>
        <v>0</v>
      </c>
      <c r="BU68" s="53">
        <f t="shared" si="3"/>
        <v>-413791.74399999995</v>
      </c>
    </row>
    <row r="69" spans="13:73" hidden="1" x14ac:dyDescent="0.2">
      <c r="M69" s="53">
        <f t="shared" si="1"/>
        <v>-1285536</v>
      </c>
      <c r="N69" s="53">
        <f t="shared" si="1"/>
        <v>0</v>
      </c>
      <c r="O69" s="53">
        <f t="shared" si="1"/>
        <v>0</v>
      </c>
      <c r="P69" s="53">
        <f t="shared" si="1"/>
        <v>0</v>
      </c>
      <c r="Q69" s="53">
        <f t="shared" si="1"/>
        <v>0</v>
      </c>
      <c r="R69" s="53">
        <f t="shared" si="1"/>
        <v>871744.25600000005</v>
      </c>
      <c r="S69" s="53">
        <f t="shared" si="1"/>
        <v>0</v>
      </c>
      <c r="T69" s="53">
        <f t="shared" si="1"/>
        <v>0</v>
      </c>
      <c r="U69" s="53">
        <f t="shared" si="1"/>
        <v>0</v>
      </c>
      <c r="V69" s="53">
        <f t="shared" si="1"/>
        <v>0</v>
      </c>
      <c r="W69" s="53">
        <f t="shared" si="1"/>
        <v>-12272</v>
      </c>
      <c r="X69" s="53">
        <f t="shared" si="1"/>
        <v>0</v>
      </c>
      <c r="Y69" s="53">
        <f t="shared" si="1"/>
        <v>0</v>
      </c>
      <c r="Z69" s="53">
        <f t="shared" si="1"/>
        <v>0</v>
      </c>
      <c r="AA69" s="53">
        <f t="shared" si="1"/>
        <v>0</v>
      </c>
      <c r="AB69" s="53">
        <f t="shared" si="1"/>
        <v>0</v>
      </c>
      <c r="AC69" s="53">
        <f t="shared" si="4"/>
        <v>0</v>
      </c>
      <c r="AD69" s="53">
        <f t="shared" si="4"/>
        <v>0</v>
      </c>
      <c r="AE69" s="53">
        <f t="shared" si="4"/>
        <v>0</v>
      </c>
      <c r="AF69" s="53">
        <f t="shared" si="4"/>
        <v>0</v>
      </c>
      <c r="AG69" s="53">
        <f t="shared" si="4"/>
        <v>-1736919</v>
      </c>
      <c r="AH69" s="53">
        <f t="shared" si="4"/>
        <v>0</v>
      </c>
      <c r="AI69" s="53">
        <f t="shared" si="4"/>
        <v>0</v>
      </c>
      <c r="AJ69" s="53">
        <f t="shared" si="4"/>
        <v>0</v>
      </c>
      <c r="AK69" s="53">
        <f t="shared" si="4"/>
        <v>0</v>
      </c>
      <c r="AL69" s="53">
        <f t="shared" si="4"/>
        <v>-245929</v>
      </c>
      <c r="AM69" s="53">
        <f t="shared" si="4"/>
        <v>0</v>
      </c>
      <c r="AN69" s="53">
        <f t="shared" si="4"/>
        <v>0</v>
      </c>
      <c r="AO69" s="53">
        <f t="shared" si="4"/>
        <v>0</v>
      </c>
      <c r="AP69" s="53">
        <f t="shared" si="4"/>
        <v>0</v>
      </c>
      <c r="AQ69" s="53">
        <f t="shared" si="4"/>
        <v>-2261765</v>
      </c>
      <c r="AR69" s="53">
        <f t="shared" si="4"/>
        <v>0</v>
      </c>
      <c r="AS69" s="53">
        <f t="shared" si="4"/>
        <v>0</v>
      </c>
      <c r="AT69" s="53">
        <f t="shared" si="4"/>
        <v>0</v>
      </c>
      <c r="AU69" s="53">
        <f t="shared" si="4"/>
        <v>0</v>
      </c>
      <c r="AV69" s="53">
        <f t="shared" si="4"/>
        <v>-1146180</v>
      </c>
      <c r="AW69" s="53">
        <f t="shared" si="4"/>
        <v>0</v>
      </c>
      <c r="AX69" s="53">
        <f t="shared" si="4"/>
        <v>0</v>
      </c>
      <c r="AY69" s="53">
        <f t="shared" si="4"/>
        <v>0</v>
      </c>
      <c r="AZ69" s="53">
        <f t="shared" si="4"/>
        <v>0</v>
      </c>
      <c r="BA69" s="53">
        <f t="shared" si="4"/>
        <v>-1005353</v>
      </c>
      <c r="BB69" s="53">
        <f t="shared" si="4"/>
        <v>0</v>
      </c>
      <c r="BC69" s="53">
        <f t="shared" si="4"/>
        <v>0</v>
      </c>
      <c r="BD69" s="53">
        <f t="shared" si="4"/>
        <v>0</v>
      </c>
      <c r="BE69" s="53">
        <f t="shared" si="4"/>
        <v>0</v>
      </c>
      <c r="BF69" s="53">
        <f t="shared" si="4"/>
        <v>-41798</v>
      </c>
      <c r="BG69" s="53">
        <f t="shared" si="3"/>
        <v>0</v>
      </c>
      <c r="BH69" s="53">
        <f t="shared" si="3"/>
        <v>0</v>
      </c>
      <c r="BI69" s="53">
        <f t="shared" si="3"/>
        <v>0</v>
      </c>
      <c r="BJ69" s="53">
        <f t="shared" si="3"/>
        <v>0</v>
      </c>
      <c r="BK69" s="53">
        <f t="shared" si="3"/>
        <v>-360442</v>
      </c>
      <c r="BL69" s="53">
        <f t="shared" si="3"/>
        <v>0</v>
      </c>
      <c r="BM69" s="53">
        <f t="shared" si="3"/>
        <v>0</v>
      </c>
      <c r="BN69" s="53">
        <f t="shared" si="3"/>
        <v>0</v>
      </c>
      <c r="BO69" s="53">
        <f t="shared" si="3"/>
        <v>0</v>
      </c>
      <c r="BP69" s="53">
        <f t="shared" si="3"/>
        <v>-3730402</v>
      </c>
      <c r="BQ69" s="53">
        <f t="shared" si="3"/>
        <v>0</v>
      </c>
      <c r="BR69" s="53">
        <f t="shared" si="3"/>
        <v>0</v>
      </c>
      <c r="BS69" s="53">
        <f t="shared" si="3"/>
        <v>0</v>
      </c>
      <c r="BT69" s="53">
        <f t="shared" si="3"/>
        <v>0</v>
      </c>
      <c r="BU69" s="53">
        <f t="shared" si="3"/>
        <v>-413791.74399999995</v>
      </c>
    </row>
    <row r="70" spans="13:73" hidden="1" x14ac:dyDescent="0.2">
      <c r="M70" s="53">
        <f t="shared" ref="M70:AB81" si="5">M29-CE29</f>
        <v>0</v>
      </c>
      <c r="N70" s="53">
        <f t="shared" si="5"/>
        <v>0</v>
      </c>
      <c r="O70" s="53">
        <f t="shared" si="5"/>
        <v>0</v>
      </c>
      <c r="P70" s="53">
        <f t="shared" si="5"/>
        <v>0</v>
      </c>
      <c r="Q70" s="53">
        <f t="shared" si="5"/>
        <v>0</v>
      </c>
      <c r="R70" s="53">
        <f t="shared" si="5"/>
        <v>0</v>
      </c>
      <c r="S70" s="53">
        <f t="shared" si="5"/>
        <v>0</v>
      </c>
      <c r="T70" s="53">
        <f t="shared" si="5"/>
        <v>0</v>
      </c>
      <c r="U70" s="53">
        <f t="shared" si="5"/>
        <v>0</v>
      </c>
      <c r="V70" s="53">
        <f t="shared" si="5"/>
        <v>0</v>
      </c>
      <c r="W70" s="53">
        <f t="shared" si="5"/>
        <v>0</v>
      </c>
      <c r="X70" s="53">
        <f t="shared" si="5"/>
        <v>0</v>
      </c>
      <c r="Y70" s="53">
        <f t="shared" si="5"/>
        <v>0</v>
      </c>
      <c r="Z70" s="53">
        <f t="shared" si="5"/>
        <v>0</v>
      </c>
      <c r="AA70" s="53">
        <f t="shared" si="5"/>
        <v>0</v>
      </c>
      <c r="AB70" s="53">
        <f t="shared" si="5"/>
        <v>0</v>
      </c>
      <c r="AC70" s="53">
        <f t="shared" si="4"/>
        <v>0</v>
      </c>
      <c r="AD70" s="53">
        <f t="shared" si="4"/>
        <v>0</v>
      </c>
      <c r="AE70" s="53">
        <f t="shared" si="4"/>
        <v>0</v>
      </c>
      <c r="AF70" s="53">
        <f t="shared" si="4"/>
        <v>0</v>
      </c>
      <c r="AG70" s="53">
        <f t="shared" si="4"/>
        <v>0</v>
      </c>
      <c r="AH70" s="53">
        <f t="shared" si="4"/>
        <v>0</v>
      </c>
      <c r="AI70" s="53">
        <f t="shared" si="4"/>
        <v>0</v>
      </c>
      <c r="AJ70" s="53">
        <f t="shared" si="4"/>
        <v>0</v>
      </c>
      <c r="AK70" s="53">
        <f t="shared" si="4"/>
        <v>0</v>
      </c>
      <c r="AL70" s="53">
        <f t="shared" si="4"/>
        <v>0</v>
      </c>
      <c r="AM70" s="53">
        <f t="shared" si="4"/>
        <v>0</v>
      </c>
      <c r="AN70" s="53">
        <f t="shared" si="4"/>
        <v>0</v>
      </c>
      <c r="AO70" s="53">
        <f t="shared" si="4"/>
        <v>0</v>
      </c>
      <c r="AP70" s="53">
        <f t="shared" si="4"/>
        <v>0</v>
      </c>
      <c r="AQ70" s="53">
        <f t="shared" si="4"/>
        <v>0</v>
      </c>
      <c r="AR70" s="53">
        <f t="shared" si="4"/>
        <v>0</v>
      </c>
      <c r="AS70" s="53">
        <f t="shared" si="4"/>
        <v>0</v>
      </c>
      <c r="AT70" s="53">
        <f t="shared" si="4"/>
        <v>0</v>
      </c>
      <c r="AU70" s="53">
        <f t="shared" si="4"/>
        <v>0</v>
      </c>
      <c r="AV70" s="53">
        <f t="shared" si="4"/>
        <v>0</v>
      </c>
      <c r="AW70" s="53">
        <f t="shared" si="4"/>
        <v>0</v>
      </c>
      <c r="AX70" s="53">
        <f t="shared" si="4"/>
        <v>0</v>
      </c>
      <c r="AY70" s="53">
        <f t="shared" si="4"/>
        <v>0</v>
      </c>
      <c r="AZ70" s="53">
        <f t="shared" si="4"/>
        <v>0</v>
      </c>
      <c r="BA70" s="53">
        <f t="shared" si="4"/>
        <v>0</v>
      </c>
      <c r="BB70" s="53">
        <f t="shared" si="4"/>
        <v>0</v>
      </c>
      <c r="BC70" s="53">
        <f t="shared" si="4"/>
        <v>0</v>
      </c>
      <c r="BD70" s="53">
        <f t="shared" si="4"/>
        <v>0</v>
      </c>
      <c r="BE70" s="53">
        <f t="shared" si="4"/>
        <v>0</v>
      </c>
      <c r="BF70" s="53">
        <f t="shared" si="4"/>
        <v>0</v>
      </c>
      <c r="BG70" s="53">
        <f t="shared" si="3"/>
        <v>0</v>
      </c>
      <c r="BH70" s="53">
        <f t="shared" si="3"/>
        <v>0</v>
      </c>
      <c r="BI70" s="53">
        <f t="shared" si="3"/>
        <v>0</v>
      </c>
      <c r="BJ70" s="53">
        <f t="shared" si="3"/>
        <v>0</v>
      </c>
      <c r="BK70" s="53">
        <f t="shared" si="3"/>
        <v>0</v>
      </c>
      <c r="BL70" s="53">
        <f t="shared" si="3"/>
        <v>0</v>
      </c>
      <c r="BM70" s="53">
        <f t="shared" si="3"/>
        <v>0</v>
      </c>
      <c r="BN70" s="53">
        <f t="shared" si="3"/>
        <v>0</v>
      </c>
      <c r="BO70" s="53">
        <f t="shared" si="3"/>
        <v>0</v>
      </c>
      <c r="BP70" s="53">
        <f t="shared" si="3"/>
        <v>0</v>
      </c>
      <c r="BQ70" s="53">
        <f t="shared" si="3"/>
        <v>0</v>
      </c>
      <c r="BR70" s="53">
        <f t="shared" si="3"/>
        <v>0</v>
      </c>
      <c r="BS70" s="53">
        <f t="shared" si="3"/>
        <v>0</v>
      </c>
      <c r="BT70" s="53">
        <f t="shared" si="3"/>
        <v>0</v>
      </c>
      <c r="BU70" s="53">
        <f t="shared" si="3"/>
        <v>0</v>
      </c>
    </row>
    <row r="71" spans="13:73" hidden="1" x14ac:dyDescent="0.2">
      <c r="M71" s="53">
        <f t="shared" si="5"/>
        <v>0</v>
      </c>
      <c r="N71" s="53">
        <f t="shared" si="5"/>
        <v>0</v>
      </c>
      <c r="O71" s="53">
        <f t="shared" si="5"/>
        <v>0</v>
      </c>
      <c r="P71" s="53">
        <f t="shared" si="5"/>
        <v>0</v>
      </c>
      <c r="Q71" s="53">
        <f t="shared" si="5"/>
        <v>0</v>
      </c>
      <c r="R71" s="53">
        <f t="shared" si="5"/>
        <v>0</v>
      </c>
      <c r="S71" s="53">
        <f t="shared" si="5"/>
        <v>0</v>
      </c>
      <c r="T71" s="53">
        <f t="shared" si="5"/>
        <v>0</v>
      </c>
      <c r="U71" s="53">
        <f t="shared" si="5"/>
        <v>0</v>
      </c>
      <c r="V71" s="53">
        <f t="shared" si="5"/>
        <v>0</v>
      </c>
      <c r="W71" s="53">
        <f t="shared" si="5"/>
        <v>0</v>
      </c>
      <c r="X71" s="53">
        <f t="shared" si="5"/>
        <v>0</v>
      </c>
      <c r="Y71" s="53">
        <f t="shared" si="5"/>
        <v>0</v>
      </c>
      <c r="Z71" s="53">
        <f t="shared" si="5"/>
        <v>0</v>
      </c>
      <c r="AA71" s="53">
        <f t="shared" si="5"/>
        <v>0</v>
      </c>
      <c r="AB71" s="53">
        <f t="shared" si="5"/>
        <v>0</v>
      </c>
      <c r="AC71" s="53">
        <f t="shared" si="4"/>
        <v>0</v>
      </c>
      <c r="AD71" s="53">
        <f t="shared" si="4"/>
        <v>0</v>
      </c>
      <c r="AE71" s="53">
        <f t="shared" si="4"/>
        <v>0</v>
      </c>
      <c r="AF71" s="53">
        <f t="shared" si="4"/>
        <v>0</v>
      </c>
      <c r="AG71" s="53">
        <f t="shared" si="4"/>
        <v>0</v>
      </c>
      <c r="AH71" s="53">
        <f t="shared" si="4"/>
        <v>0</v>
      </c>
      <c r="AI71" s="53">
        <f t="shared" si="4"/>
        <v>0</v>
      </c>
      <c r="AJ71" s="53">
        <f t="shared" si="4"/>
        <v>0</v>
      </c>
      <c r="AK71" s="53">
        <f t="shared" si="4"/>
        <v>0</v>
      </c>
      <c r="AL71" s="53">
        <f t="shared" si="4"/>
        <v>0</v>
      </c>
      <c r="AM71" s="53">
        <f t="shared" si="4"/>
        <v>0</v>
      </c>
      <c r="AN71" s="53">
        <f t="shared" si="4"/>
        <v>0</v>
      </c>
      <c r="AO71" s="53">
        <f t="shared" si="4"/>
        <v>0</v>
      </c>
      <c r="AP71" s="53">
        <f t="shared" si="4"/>
        <v>0</v>
      </c>
      <c r="AQ71" s="53">
        <f t="shared" si="4"/>
        <v>0</v>
      </c>
      <c r="AR71" s="53">
        <f t="shared" ref="AR71:BG81" si="6">AR30-DJ30</f>
        <v>0</v>
      </c>
      <c r="AS71" s="53">
        <f t="shared" si="6"/>
        <v>0</v>
      </c>
      <c r="AT71" s="53">
        <f t="shared" si="6"/>
        <v>0</v>
      </c>
      <c r="AU71" s="53">
        <f t="shared" si="6"/>
        <v>0</v>
      </c>
      <c r="AV71" s="53">
        <f t="shared" si="6"/>
        <v>0</v>
      </c>
      <c r="AW71" s="53">
        <f t="shared" si="6"/>
        <v>0</v>
      </c>
      <c r="AX71" s="53">
        <f t="shared" si="6"/>
        <v>0</v>
      </c>
      <c r="AY71" s="53">
        <f t="shared" si="6"/>
        <v>0</v>
      </c>
      <c r="AZ71" s="53">
        <f t="shared" si="6"/>
        <v>0</v>
      </c>
      <c r="BA71" s="53">
        <f t="shared" si="6"/>
        <v>0</v>
      </c>
      <c r="BB71" s="53">
        <f t="shared" si="6"/>
        <v>0</v>
      </c>
      <c r="BC71" s="53">
        <f t="shared" si="6"/>
        <v>0</v>
      </c>
      <c r="BD71" s="53">
        <f t="shared" si="6"/>
        <v>0</v>
      </c>
      <c r="BE71" s="53">
        <f t="shared" si="6"/>
        <v>0</v>
      </c>
      <c r="BF71" s="53">
        <f t="shared" si="6"/>
        <v>0</v>
      </c>
      <c r="BG71" s="53">
        <f t="shared" si="3"/>
        <v>0</v>
      </c>
      <c r="BH71" s="53">
        <f t="shared" si="3"/>
        <v>0</v>
      </c>
      <c r="BI71" s="53">
        <f t="shared" si="3"/>
        <v>0</v>
      </c>
      <c r="BJ71" s="53">
        <f t="shared" si="3"/>
        <v>0</v>
      </c>
      <c r="BK71" s="53">
        <f t="shared" si="3"/>
        <v>0</v>
      </c>
      <c r="BL71" s="53">
        <f t="shared" si="3"/>
        <v>0</v>
      </c>
      <c r="BM71" s="53">
        <f t="shared" si="3"/>
        <v>0</v>
      </c>
      <c r="BN71" s="53">
        <f t="shared" si="3"/>
        <v>0</v>
      </c>
      <c r="BO71" s="53">
        <f t="shared" si="3"/>
        <v>0</v>
      </c>
      <c r="BP71" s="53">
        <f t="shared" si="3"/>
        <v>0</v>
      </c>
      <c r="BQ71" s="53">
        <f t="shared" si="3"/>
        <v>0</v>
      </c>
      <c r="BR71" s="53">
        <f t="shared" si="3"/>
        <v>0</v>
      </c>
      <c r="BS71" s="53">
        <f t="shared" si="3"/>
        <v>0</v>
      </c>
      <c r="BT71" s="53">
        <f t="shared" si="3"/>
        <v>0</v>
      </c>
      <c r="BU71" s="53">
        <f t="shared" si="3"/>
        <v>0</v>
      </c>
    </row>
    <row r="72" spans="13:73" hidden="1" x14ac:dyDescent="0.2">
      <c r="M72" s="53">
        <f t="shared" si="5"/>
        <v>0</v>
      </c>
      <c r="N72" s="53">
        <f t="shared" si="5"/>
        <v>0</v>
      </c>
      <c r="O72" s="53">
        <f t="shared" si="5"/>
        <v>0</v>
      </c>
      <c r="P72" s="53">
        <f t="shared" si="5"/>
        <v>0</v>
      </c>
      <c r="Q72" s="53">
        <f t="shared" si="5"/>
        <v>0</v>
      </c>
      <c r="R72" s="53">
        <f t="shared" si="5"/>
        <v>0</v>
      </c>
      <c r="S72" s="53">
        <f t="shared" si="5"/>
        <v>0</v>
      </c>
      <c r="T72" s="53">
        <f t="shared" si="5"/>
        <v>0</v>
      </c>
      <c r="U72" s="53">
        <f t="shared" si="5"/>
        <v>0</v>
      </c>
      <c r="V72" s="53">
        <f t="shared" si="5"/>
        <v>0</v>
      </c>
      <c r="W72" s="53">
        <f t="shared" si="5"/>
        <v>0</v>
      </c>
      <c r="X72" s="53">
        <f t="shared" si="5"/>
        <v>0</v>
      </c>
      <c r="Y72" s="53">
        <f t="shared" si="5"/>
        <v>0</v>
      </c>
      <c r="Z72" s="53">
        <f t="shared" si="5"/>
        <v>0</v>
      </c>
      <c r="AA72" s="53">
        <f t="shared" si="5"/>
        <v>0</v>
      </c>
      <c r="AB72" s="53">
        <f t="shared" si="5"/>
        <v>0</v>
      </c>
      <c r="AC72" s="53">
        <f t="shared" ref="AC72:AQ81" si="7">AC31-CU31</f>
        <v>0</v>
      </c>
      <c r="AD72" s="53">
        <f t="shared" si="7"/>
        <v>0</v>
      </c>
      <c r="AE72" s="53">
        <f t="shared" si="7"/>
        <v>0</v>
      </c>
      <c r="AF72" s="53">
        <f t="shared" si="7"/>
        <v>0</v>
      </c>
      <c r="AG72" s="53">
        <f t="shared" si="7"/>
        <v>0</v>
      </c>
      <c r="AH72" s="53">
        <f t="shared" si="7"/>
        <v>0</v>
      </c>
      <c r="AI72" s="53">
        <f t="shared" si="7"/>
        <v>0</v>
      </c>
      <c r="AJ72" s="53">
        <f t="shared" si="7"/>
        <v>0</v>
      </c>
      <c r="AK72" s="53">
        <f t="shared" si="7"/>
        <v>0</v>
      </c>
      <c r="AL72" s="53">
        <f t="shared" si="7"/>
        <v>0</v>
      </c>
      <c r="AM72" s="53">
        <f t="shared" si="7"/>
        <v>0</v>
      </c>
      <c r="AN72" s="53">
        <f t="shared" si="7"/>
        <v>0</v>
      </c>
      <c r="AO72" s="53">
        <f t="shared" si="7"/>
        <v>0</v>
      </c>
      <c r="AP72" s="53">
        <f t="shared" si="7"/>
        <v>0</v>
      </c>
      <c r="AQ72" s="53">
        <f t="shared" si="7"/>
        <v>0</v>
      </c>
      <c r="AR72" s="53">
        <f t="shared" si="6"/>
        <v>0</v>
      </c>
      <c r="AS72" s="53">
        <f t="shared" si="6"/>
        <v>0</v>
      </c>
      <c r="AT72" s="53">
        <f t="shared" si="6"/>
        <v>0</v>
      </c>
      <c r="AU72" s="53">
        <f t="shared" si="6"/>
        <v>0</v>
      </c>
      <c r="AV72" s="53">
        <f t="shared" si="6"/>
        <v>0</v>
      </c>
      <c r="AW72" s="53">
        <f t="shared" si="6"/>
        <v>0</v>
      </c>
      <c r="AX72" s="53">
        <f t="shared" si="6"/>
        <v>0</v>
      </c>
      <c r="AY72" s="53">
        <f t="shared" si="6"/>
        <v>0</v>
      </c>
      <c r="AZ72" s="53">
        <f t="shared" si="6"/>
        <v>0</v>
      </c>
      <c r="BA72" s="53">
        <f t="shared" si="6"/>
        <v>0</v>
      </c>
      <c r="BB72" s="53">
        <f t="shared" si="6"/>
        <v>0</v>
      </c>
      <c r="BC72" s="53">
        <f t="shared" si="6"/>
        <v>0</v>
      </c>
      <c r="BD72" s="53">
        <f t="shared" si="6"/>
        <v>0</v>
      </c>
      <c r="BE72" s="53">
        <f t="shared" si="6"/>
        <v>0</v>
      </c>
      <c r="BF72" s="53">
        <f t="shared" si="6"/>
        <v>0</v>
      </c>
      <c r="BG72" s="53">
        <f t="shared" si="3"/>
        <v>0</v>
      </c>
      <c r="BH72" s="53">
        <f t="shared" si="3"/>
        <v>0</v>
      </c>
      <c r="BI72" s="53">
        <f t="shared" si="3"/>
        <v>0</v>
      </c>
      <c r="BJ72" s="53">
        <f t="shared" si="3"/>
        <v>0</v>
      </c>
      <c r="BK72" s="53">
        <f t="shared" si="3"/>
        <v>0</v>
      </c>
      <c r="BL72" s="53">
        <f t="shared" si="3"/>
        <v>0</v>
      </c>
      <c r="BM72" s="53">
        <f t="shared" si="3"/>
        <v>0</v>
      </c>
      <c r="BN72" s="53">
        <f t="shared" si="3"/>
        <v>0</v>
      </c>
      <c r="BO72" s="53">
        <f t="shared" si="3"/>
        <v>0</v>
      </c>
      <c r="BP72" s="53">
        <f t="shared" si="3"/>
        <v>0</v>
      </c>
      <c r="BQ72" s="53">
        <f t="shared" si="3"/>
        <v>0</v>
      </c>
      <c r="BR72" s="53">
        <f t="shared" si="3"/>
        <v>0</v>
      </c>
      <c r="BS72" s="53">
        <f t="shared" si="3"/>
        <v>0</v>
      </c>
      <c r="BT72" s="53">
        <f t="shared" si="3"/>
        <v>0</v>
      </c>
      <c r="BU72" s="53">
        <f t="shared" si="3"/>
        <v>0</v>
      </c>
    </row>
    <row r="73" spans="13:73" hidden="1" x14ac:dyDescent="0.2">
      <c r="M73" s="53">
        <f t="shared" si="5"/>
        <v>0</v>
      </c>
      <c r="N73" s="53">
        <f t="shared" si="5"/>
        <v>0</v>
      </c>
      <c r="O73" s="53">
        <f t="shared" si="5"/>
        <v>0</v>
      </c>
      <c r="P73" s="53">
        <f t="shared" si="5"/>
        <v>0</v>
      </c>
      <c r="Q73" s="53">
        <f t="shared" si="5"/>
        <v>0</v>
      </c>
      <c r="R73" s="53">
        <f t="shared" si="5"/>
        <v>0</v>
      </c>
      <c r="S73" s="53">
        <f t="shared" si="5"/>
        <v>0</v>
      </c>
      <c r="T73" s="53">
        <f t="shared" si="5"/>
        <v>0</v>
      </c>
      <c r="U73" s="53">
        <f t="shared" si="5"/>
        <v>0</v>
      </c>
      <c r="V73" s="53">
        <f t="shared" si="5"/>
        <v>0</v>
      </c>
      <c r="W73" s="53">
        <f t="shared" si="5"/>
        <v>0</v>
      </c>
      <c r="X73" s="53">
        <f t="shared" si="5"/>
        <v>0</v>
      </c>
      <c r="Y73" s="53">
        <f t="shared" si="5"/>
        <v>0</v>
      </c>
      <c r="Z73" s="53">
        <f t="shared" si="5"/>
        <v>0</v>
      </c>
      <c r="AA73" s="53">
        <f t="shared" si="5"/>
        <v>0</v>
      </c>
      <c r="AB73" s="53">
        <f t="shared" si="5"/>
        <v>0</v>
      </c>
      <c r="AC73" s="53">
        <f t="shared" si="7"/>
        <v>0</v>
      </c>
      <c r="AD73" s="53">
        <f t="shared" si="7"/>
        <v>0</v>
      </c>
      <c r="AE73" s="53">
        <f t="shared" si="7"/>
        <v>0</v>
      </c>
      <c r="AF73" s="53">
        <f t="shared" si="7"/>
        <v>0</v>
      </c>
      <c r="AG73" s="53">
        <f t="shared" si="7"/>
        <v>98</v>
      </c>
      <c r="AH73" s="53">
        <f t="shared" si="7"/>
        <v>0</v>
      </c>
      <c r="AI73" s="53">
        <f t="shared" si="7"/>
        <v>0</v>
      </c>
      <c r="AJ73" s="53">
        <f t="shared" si="7"/>
        <v>0</v>
      </c>
      <c r="AK73" s="53">
        <f t="shared" si="7"/>
        <v>0</v>
      </c>
      <c r="AL73" s="53">
        <f t="shared" si="7"/>
        <v>0</v>
      </c>
      <c r="AM73" s="53">
        <f t="shared" si="7"/>
        <v>0</v>
      </c>
      <c r="AN73" s="53">
        <f t="shared" si="7"/>
        <v>0</v>
      </c>
      <c r="AO73" s="53">
        <f t="shared" si="7"/>
        <v>0</v>
      </c>
      <c r="AP73" s="53">
        <f t="shared" si="7"/>
        <v>0</v>
      </c>
      <c r="AQ73" s="53">
        <f t="shared" si="7"/>
        <v>372528</v>
      </c>
      <c r="AR73" s="53">
        <f t="shared" si="6"/>
        <v>0</v>
      </c>
      <c r="AS73" s="53">
        <f t="shared" si="6"/>
        <v>0</v>
      </c>
      <c r="AT73" s="53">
        <f t="shared" si="6"/>
        <v>0</v>
      </c>
      <c r="AU73" s="53">
        <f t="shared" si="6"/>
        <v>0</v>
      </c>
      <c r="AV73" s="53">
        <f t="shared" si="6"/>
        <v>0</v>
      </c>
      <c r="AW73" s="53">
        <f t="shared" si="6"/>
        <v>0</v>
      </c>
      <c r="AX73" s="53">
        <f t="shared" si="6"/>
        <v>0</v>
      </c>
      <c r="AY73" s="53">
        <f t="shared" si="6"/>
        <v>0</v>
      </c>
      <c r="AZ73" s="53">
        <f t="shared" si="6"/>
        <v>0</v>
      </c>
      <c r="BA73" s="53">
        <f t="shared" si="6"/>
        <v>0</v>
      </c>
      <c r="BB73" s="53">
        <f t="shared" si="6"/>
        <v>0</v>
      </c>
      <c r="BC73" s="53">
        <f t="shared" si="6"/>
        <v>0</v>
      </c>
      <c r="BD73" s="53">
        <f t="shared" si="6"/>
        <v>0</v>
      </c>
      <c r="BE73" s="53">
        <f t="shared" si="6"/>
        <v>0</v>
      </c>
      <c r="BF73" s="53">
        <f t="shared" si="6"/>
        <v>0</v>
      </c>
      <c r="BG73" s="53">
        <f t="shared" si="3"/>
        <v>0</v>
      </c>
      <c r="BH73" s="53">
        <f t="shared" si="3"/>
        <v>0</v>
      </c>
      <c r="BI73" s="53">
        <f t="shared" si="3"/>
        <v>0</v>
      </c>
      <c r="BJ73" s="53">
        <f t="shared" si="3"/>
        <v>0</v>
      </c>
      <c r="BK73" s="53">
        <f t="shared" si="3"/>
        <v>0</v>
      </c>
      <c r="BL73" s="53">
        <f t="shared" si="3"/>
        <v>0</v>
      </c>
      <c r="BM73" s="53">
        <f t="shared" si="3"/>
        <v>0</v>
      </c>
      <c r="BN73" s="53">
        <f t="shared" si="3"/>
        <v>0</v>
      </c>
      <c r="BO73" s="53">
        <f t="shared" si="3"/>
        <v>0</v>
      </c>
      <c r="BP73" s="53">
        <f t="shared" si="3"/>
        <v>77</v>
      </c>
      <c r="BQ73" s="53">
        <f t="shared" si="3"/>
        <v>0</v>
      </c>
      <c r="BR73" s="53">
        <f t="shared" si="3"/>
        <v>0</v>
      </c>
      <c r="BS73" s="53">
        <f t="shared" si="3"/>
        <v>0</v>
      </c>
      <c r="BT73" s="53">
        <f t="shared" si="3"/>
        <v>0</v>
      </c>
      <c r="BU73" s="53">
        <f t="shared" si="3"/>
        <v>0</v>
      </c>
    </row>
    <row r="74" spans="13:73" hidden="1" x14ac:dyDescent="0.2">
      <c r="M74" s="53">
        <f t="shared" si="5"/>
        <v>0</v>
      </c>
      <c r="N74" s="53">
        <f t="shared" si="5"/>
        <v>0</v>
      </c>
      <c r="O74" s="53">
        <f t="shared" si="5"/>
        <v>0</v>
      </c>
      <c r="P74" s="53">
        <f t="shared" si="5"/>
        <v>0</v>
      </c>
      <c r="Q74" s="53">
        <f t="shared" si="5"/>
        <v>0</v>
      </c>
      <c r="R74" s="53">
        <f t="shared" si="5"/>
        <v>0</v>
      </c>
      <c r="S74" s="53">
        <f t="shared" si="5"/>
        <v>0</v>
      </c>
      <c r="T74" s="53">
        <f t="shared" si="5"/>
        <v>0</v>
      </c>
      <c r="U74" s="53">
        <f t="shared" si="5"/>
        <v>0</v>
      </c>
      <c r="V74" s="53">
        <f t="shared" si="5"/>
        <v>0</v>
      </c>
      <c r="W74" s="53">
        <f t="shared" si="5"/>
        <v>0</v>
      </c>
      <c r="X74" s="53">
        <f t="shared" si="5"/>
        <v>0</v>
      </c>
      <c r="Y74" s="53">
        <f t="shared" si="5"/>
        <v>0</v>
      </c>
      <c r="Z74" s="53">
        <f t="shared" si="5"/>
        <v>0</v>
      </c>
      <c r="AA74" s="53">
        <f t="shared" si="5"/>
        <v>0</v>
      </c>
      <c r="AB74" s="53">
        <f t="shared" si="5"/>
        <v>0</v>
      </c>
      <c r="AC74" s="53">
        <f t="shared" si="7"/>
        <v>0</v>
      </c>
      <c r="AD74" s="53">
        <f t="shared" si="7"/>
        <v>0</v>
      </c>
      <c r="AE74" s="53">
        <f t="shared" si="7"/>
        <v>0</v>
      </c>
      <c r="AF74" s="53">
        <f t="shared" si="7"/>
        <v>0</v>
      </c>
      <c r="AG74" s="53">
        <f t="shared" si="7"/>
        <v>98</v>
      </c>
      <c r="AH74" s="53">
        <f t="shared" si="7"/>
        <v>0</v>
      </c>
      <c r="AI74" s="53">
        <f t="shared" si="7"/>
        <v>0</v>
      </c>
      <c r="AJ74" s="53">
        <f t="shared" si="7"/>
        <v>0</v>
      </c>
      <c r="AK74" s="53">
        <f t="shared" si="7"/>
        <v>0</v>
      </c>
      <c r="AL74" s="53">
        <f t="shared" si="7"/>
        <v>0</v>
      </c>
      <c r="AM74" s="53">
        <f t="shared" si="7"/>
        <v>0</v>
      </c>
      <c r="AN74" s="53">
        <f t="shared" si="7"/>
        <v>0</v>
      </c>
      <c r="AO74" s="53">
        <f t="shared" si="7"/>
        <v>0</v>
      </c>
      <c r="AP74" s="53">
        <f t="shared" si="7"/>
        <v>0</v>
      </c>
      <c r="AQ74" s="53">
        <f t="shared" si="7"/>
        <v>372528</v>
      </c>
      <c r="AR74" s="53">
        <f t="shared" si="6"/>
        <v>0</v>
      </c>
      <c r="AS74" s="53">
        <f t="shared" si="6"/>
        <v>0</v>
      </c>
      <c r="AT74" s="53">
        <f t="shared" si="6"/>
        <v>0</v>
      </c>
      <c r="AU74" s="53">
        <f t="shared" si="6"/>
        <v>0</v>
      </c>
      <c r="AV74" s="53">
        <f t="shared" si="6"/>
        <v>0</v>
      </c>
      <c r="AW74" s="53">
        <f t="shared" si="6"/>
        <v>0</v>
      </c>
      <c r="AX74" s="53">
        <f t="shared" si="6"/>
        <v>0</v>
      </c>
      <c r="AY74" s="53">
        <f t="shared" si="6"/>
        <v>0</v>
      </c>
      <c r="AZ74" s="53">
        <f t="shared" si="6"/>
        <v>0</v>
      </c>
      <c r="BA74" s="53">
        <f t="shared" si="6"/>
        <v>0</v>
      </c>
      <c r="BB74" s="53">
        <f t="shared" si="6"/>
        <v>0</v>
      </c>
      <c r="BC74" s="53">
        <f t="shared" si="6"/>
        <v>0</v>
      </c>
      <c r="BD74" s="53">
        <f t="shared" si="6"/>
        <v>0</v>
      </c>
      <c r="BE74" s="53">
        <f t="shared" si="6"/>
        <v>0</v>
      </c>
      <c r="BF74" s="53">
        <f t="shared" si="6"/>
        <v>0</v>
      </c>
      <c r="BG74" s="53">
        <f t="shared" si="3"/>
        <v>0</v>
      </c>
      <c r="BH74" s="53">
        <f t="shared" si="3"/>
        <v>0</v>
      </c>
      <c r="BI74" s="53">
        <f t="shared" si="3"/>
        <v>0</v>
      </c>
      <c r="BJ74" s="53">
        <f t="shared" si="3"/>
        <v>0</v>
      </c>
      <c r="BK74" s="53">
        <f t="shared" si="3"/>
        <v>0</v>
      </c>
      <c r="BL74" s="53">
        <f t="shared" si="3"/>
        <v>0</v>
      </c>
      <c r="BM74" s="53">
        <f t="shared" si="3"/>
        <v>0</v>
      </c>
      <c r="BN74" s="53">
        <f t="shared" si="3"/>
        <v>0</v>
      </c>
      <c r="BO74" s="53">
        <f t="shared" si="3"/>
        <v>0</v>
      </c>
      <c r="BP74" s="53">
        <f t="shared" si="3"/>
        <v>77</v>
      </c>
      <c r="BQ74" s="53">
        <f t="shared" si="3"/>
        <v>0</v>
      </c>
      <c r="BR74" s="53">
        <f t="shared" si="3"/>
        <v>0</v>
      </c>
      <c r="BS74" s="53">
        <f t="shared" si="3"/>
        <v>0</v>
      </c>
      <c r="BT74" s="53">
        <f t="shared" si="3"/>
        <v>0</v>
      </c>
      <c r="BU74" s="53">
        <f t="shared" si="3"/>
        <v>0</v>
      </c>
    </row>
    <row r="75" spans="13:73" hidden="1" x14ac:dyDescent="0.2">
      <c r="M75" s="53">
        <f t="shared" si="5"/>
        <v>0</v>
      </c>
      <c r="N75" s="53">
        <f t="shared" si="5"/>
        <v>0</v>
      </c>
      <c r="O75" s="53">
        <f t="shared" si="5"/>
        <v>0</v>
      </c>
      <c r="P75" s="53">
        <f t="shared" si="5"/>
        <v>0</v>
      </c>
      <c r="Q75" s="53">
        <f t="shared" si="5"/>
        <v>0</v>
      </c>
      <c r="R75" s="53">
        <f t="shared" si="5"/>
        <v>0</v>
      </c>
      <c r="S75" s="53">
        <f t="shared" si="5"/>
        <v>0</v>
      </c>
      <c r="T75" s="53">
        <f t="shared" si="5"/>
        <v>0</v>
      </c>
      <c r="U75" s="53">
        <f t="shared" si="5"/>
        <v>0</v>
      </c>
      <c r="V75" s="53">
        <f t="shared" si="5"/>
        <v>0</v>
      </c>
      <c r="W75" s="53">
        <f t="shared" si="5"/>
        <v>0</v>
      </c>
      <c r="X75" s="53">
        <f t="shared" si="5"/>
        <v>0</v>
      </c>
      <c r="Y75" s="53">
        <f t="shared" si="5"/>
        <v>0</v>
      </c>
      <c r="Z75" s="53">
        <f t="shared" si="5"/>
        <v>0</v>
      </c>
      <c r="AA75" s="53">
        <f t="shared" si="5"/>
        <v>0</v>
      </c>
      <c r="AB75" s="53">
        <f t="shared" si="5"/>
        <v>0</v>
      </c>
      <c r="AC75" s="53">
        <f t="shared" si="7"/>
        <v>0</v>
      </c>
      <c r="AD75" s="53">
        <f t="shared" si="7"/>
        <v>0</v>
      </c>
      <c r="AE75" s="53">
        <f t="shared" si="7"/>
        <v>0</v>
      </c>
      <c r="AF75" s="53">
        <f t="shared" si="7"/>
        <v>0</v>
      </c>
      <c r="AG75" s="53">
        <f t="shared" si="7"/>
        <v>0</v>
      </c>
      <c r="AH75" s="53">
        <f t="shared" si="7"/>
        <v>0</v>
      </c>
      <c r="AI75" s="53">
        <f t="shared" si="7"/>
        <v>0</v>
      </c>
      <c r="AJ75" s="53">
        <f t="shared" si="7"/>
        <v>0</v>
      </c>
      <c r="AK75" s="53">
        <f t="shared" si="7"/>
        <v>0</v>
      </c>
      <c r="AL75" s="53">
        <f t="shared" si="7"/>
        <v>0</v>
      </c>
      <c r="AM75" s="53">
        <f t="shared" si="7"/>
        <v>0</v>
      </c>
      <c r="AN75" s="53">
        <f t="shared" si="7"/>
        <v>0</v>
      </c>
      <c r="AO75" s="53">
        <f t="shared" si="7"/>
        <v>0</v>
      </c>
      <c r="AP75" s="53">
        <f t="shared" si="7"/>
        <v>0</v>
      </c>
      <c r="AQ75" s="53">
        <f t="shared" si="7"/>
        <v>0</v>
      </c>
      <c r="AR75" s="53">
        <f t="shared" si="6"/>
        <v>0</v>
      </c>
      <c r="AS75" s="53">
        <f t="shared" si="6"/>
        <v>0</v>
      </c>
      <c r="AT75" s="53">
        <f t="shared" si="6"/>
        <v>0</v>
      </c>
      <c r="AU75" s="53">
        <f t="shared" si="6"/>
        <v>0</v>
      </c>
      <c r="AV75" s="53">
        <f t="shared" si="6"/>
        <v>0</v>
      </c>
      <c r="AW75" s="53">
        <f t="shared" si="6"/>
        <v>0</v>
      </c>
      <c r="AX75" s="53">
        <f t="shared" si="6"/>
        <v>0</v>
      </c>
      <c r="AY75" s="53">
        <f t="shared" si="6"/>
        <v>0</v>
      </c>
      <c r="AZ75" s="53">
        <f t="shared" si="6"/>
        <v>0</v>
      </c>
      <c r="BA75" s="53">
        <f t="shared" si="6"/>
        <v>0</v>
      </c>
      <c r="BB75" s="53">
        <f t="shared" si="6"/>
        <v>0</v>
      </c>
      <c r="BC75" s="53">
        <f t="shared" si="6"/>
        <v>0</v>
      </c>
      <c r="BD75" s="53">
        <f t="shared" si="6"/>
        <v>0</v>
      </c>
      <c r="BE75" s="53">
        <f t="shared" si="6"/>
        <v>0</v>
      </c>
      <c r="BF75" s="53">
        <f t="shared" si="6"/>
        <v>0</v>
      </c>
      <c r="BG75" s="53">
        <f t="shared" si="3"/>
        <v>0</v>
      </c>
      <c r="BH75" s="53">
        <f t="shared" si="3"/>
        <v>0</v>
      </c>
      <c r="BI75" s="53">
        <f t="shared" si="3"/>
        <v>0</v>
      </c>
      <c r="BJ75" s="53">
        <f t="shared" si="3"/>
        <v>0</v>
      </c>
      <c r="BK75" s="53">
        <f t="shared" si="3"/>
        <v>0</v>
      </c>
      <c r="BL75" s="53">
        <f t="shared" si="3"/>
        <v>0</v>
      </c>
      <c r="BM75" s="53">
        <f t="shared" si="3"/>
        <v>0</v>
      </c>
      <c r="BN75" s="53">
        <f t="shared" si="3"/>
        <v>0</v>
      </c>
      <c r="BO75" s="53">
        <f t="shared" si="3"/>
        <v>0</v>
      </c>
      <c r="BP75" s="53">
        <f t="shared" si="3"/>
        <v>0</v>
      </c>
      <c r="BQ75" s="53">
        <f t="shared" si="3"/>
        <v>0</v>
      </c>
      <c r="BR75" s="53">
        <f t="shared" si="3"/>
        <v>0</v>
      </c>
      <c r="BS75" s="53">
        <f t="shared" si="3"/>
        <v>0</v>
      </c>
      <c r="BT75" s="53">
        <f t="shared" si="3"/>
        <v>0</v>
      </c>
      <c r="BU75" s="53">
        <f t="shared" si="3"/>
        <v>0</v>
      </c>
    </row>
    <row r="76" spans="13:73" hidden="1" x14ac:dyDescent="0.2">
      <c r="M76" s="53">
        <f t="shared" si="5"/>
        <v>0</v>
      </c>
      <c r="N76" s="53">
        <f t="shared" si="5"/>
        <v>0</v>
      </c>
      <c r="O76" s="53">
        <f t="shared" si="5"/>
        <v>0</v>
      </c>
      <c r="P76" s="53">
        <f t="shared" si="5"/>
        <v>0</v>
      </c>
      <c r="Q76" s="53">
        <f t="shared" si="5"/>
        <v>0</v>
      </c>
      <c r="R76" s="53">
        <f t="shared" si="5"/>
        <v>0</v>
      </c>
      <c r="S76" s="53">
        <f t="shared" si="5"/>
        <v>0</v>
      </c>
      <c r="T76" s="53">
        <f t="shared" si="5"/>
        <v>0</v>
      </c>
      <c r="U76" s="53">
        <f t="shared" si="5"/>
        <v>0</v>
      </c>
      <c r="V76" s="53">
        <f t="shared" si="5"/>
        <v>0</v>
      </c>
      <c r="W76" s="53">
        <f t="shared" si="5"/>
        <v>0</v>
      </c>
      <c r="X76" s="53">
        <f t="shared" si="5"/>
        <v>0</v>
      </c>
      <c r="Y76" s="53">
        <f t="shared" si="5"/>
        <v>0</v>
      </c>
      <c r="Z76" s="53">
        <f t="shared" si="5"/>
        <v>0</v>
      </c>
      <c r="AA76" s="53">
        <f t="shared" si="5"/>
        <v>0</v>
      </c>
      <c r="AB76" s="53">
        <f t="shared" si="5"/>
        <v>0</v>
      </c>
      <c r="AC76" s="53">
        <f t="shared" si="7"/>
        <v>0</v>
      </c>
      <c r="AD76" s="53">
        <f t="shared" si="7"/>
        <v>0</v>
      </c>
      <c r="AE76" s="53">
        <f t="shared" si="7"/>
        <v>0</v>
      </c>
      <c r="AF76" s="53">
        <f t="shared" si="7"/>
        <v>0</v>
      </c>
      <c r="AG76" s="53">
        <f t="shared" si="7"/>
        <v>0</v>
      </c>
      <c r="AH76" s="53">
        <f t="shared" si="7"/>
        <v>0</v>
      </c>
      <c r="AI76" s="53">
        <f t="shared" si="7"/>
        <v>0</v>
      </c>
      <c r="AJ76" s="53">
        <f t="shared" si="7"/>
        <v>0</v>
      </c>
      <c r="AK76" s="53">
        <f t="shared" si="7"/>
        <v>0</v>
      </c>
      <c r="AL76" s="53">
        <f t="shared" si="7"/>
        <v>0</v>
      </c>
      <c r="AM76" s="53">
        <f t="shared" si="7"/>
        <v>0</v>
      </c>
      <c r="AN76" s="53">
        <f t="shared" si="7"/>
        <v>0</v>
      </c>
      <c r="AO76" s="53">
        <f t="shared" si="7"/>
        <v>0</v>
      </c>
      <c r="AP76" s="53">
        <f t="shared" si="7"/>
        <v>0</v>
      </c>
      <c r="AQ76" s="53">
        <f t="shared" si="7"/>
        <v>0</v>
      </c>
      <c r="AR76" s="53">
        <f t="shared" si="6"/>
        <v>0</v>
      </c>
      <c r="AS76" s="53">
        <f t="shared" si="6"/>
        <v>0</v>
      </c>
      <c r="AT76" s="53">
        <f t="shared" si="6"/>
        <v>0</v>
      </c>
      <c r="AU76" s="53">
        <f t="shared" si="6"/>
        <v>0</v>
      </c>
      <c r="AV76" s="53">
        <f t="shared" si="6"/>
        <v>0</v>
      </c>
      <c r="AW76" s="53">
        <f t="shared" si="6"/>
        <v>0</v>
      </c>
      <c r="AX76" s="53">
        <f t="shared" si="6"/>
        <v>0</v>
      </c>
      <c r="AY76" s="53">
        <f t="shared" si="6"/>
        <v>0</v>
      </c>
      <c r="AZ76" s="53">
        <f t="shared" si="6"/>
        <v>0</v>
      </c>
      <c r="BA76" s="53">
        <f t="shared" si="6"/>
        <v>0</v>
      </c>
      <c r="BB76" s="53">
        <f t="shared" si="6"/>
        <v>0</v>
      </c>
      <c r="BC76" s="53">
        <f t="shared" si="6"/>
        <v>0</v>
      </c>
      <c r="BD76" s="53">
        <f t="shared" si="6"/>
        <v>0</v>
      </c>
      <c r="BE76" s="53">
        <f t="shared" si="6"/>
        <v>0</v>
      </c>
      <c r="BF76" s="53">
        <f t="shared" si="6"/>
        <v>0</v>
      </c>
      <c r="BG76" s="53">
        <f t="shared" si="3"/>
        <v>0</v>
      </c>
      <c r="BH76" s="53">
        <f t="shared" si="3"/>
        <v>0</v>
      </c>
      <c r="BI76" s="53">
        <f t="shared" si="3"/>
        <v>0</v>
      </c>
      <c r="BJ76" s="53">
        <f t="shared" si="3"/>
        <v>0</v>
      </c>
      <c r="BK76" s="53">
        <f t="shared" si="3"/>
        <v>0</v>
      </c>
      <c r="BL76" s="53">
        <f t="shared" si="3"/>
        <v>0</v>
      </c>
      <c r="BM76" s="53">
        <f t="shared" si="3"/>
        <v>0</v>
      </c>
      <c r="BN76" s="53">
        <f t="shared" si="3"/>
        <v>0</v>
      </c>
      <c r="BO76" s="53">
        <f t="shared" si="3"/>
        <v>0</v>
      </c>
      <c r="BP76" s="53">
        <f t="shared" si="3"/>
        <v>0</v>
      </c>
      <c r="BQ76" s="53">
        <f t="shared" si="3"/>
        <v>0</v>
      </c>
      <c r="BR76" s="53">
        <f t="shared" si="3"/>
        <v>0</v>
      </c>
      <c r="BS76" s="53">
        <f t="shared" si="3"/>
        <v>0</v>
      </c>
      <c r="BT76" s="53">
        <f t="shared" si="3"/>
        <v>0</v>
      </c>
      <c r="BU76" s="53">
        <f t="shared" si="3"/>
        <v>0</v>
      </c>
    </row>
    <row r="77" spans="13:73" hidden="1" x14ac:dyDescent="0.2">
      <c r="M77" s="53">
        <f t="shared" si="5"/>
        <v>0</v>
      </c>
      <c r="N77" s="53">
        <f t="shared" si="5"/>
        <v>0</v>
      </c>
      <c r="O77" s="53">
        <f t="shared" si="5"/>
        <v>0</v>
      </c>
      <c r="P77" s="53">
        <f t="shared" si="5"/>
        <v>0</v>
      </c>
      <c r="Q77" s="53">
        <f t="shared" si="5"/>
        <v>0</v>
      </c>
      <c r="R77" s="53">
        <f t="shared" si="5"/>
        <v>0</v>
      </c>
      <c r="S77" s="53">
        <f t="shared" si="5"/>
        <v>0</v>
      </c>
      <c r="T77" s="53">
        <f t="shared" si="5"/>
        <v>0</v>
      </c>
      <c r="U77" s="53">
        <f t="shared" si="5"/>
        <v>0</v>
      </c>
      <c r="V77" s="53">
        <f t="shared" si="5"/>
        <v>0</v>
      </c>
      <c r="W77" s="53">
        <f t="shared" si="5"/>
        <v>0</v>
      </c>
      <c r="X77" s="53">
        <f t="shared" si="5"/>
        <v>0</v>
      </c>
      <c r="Y77" s="53">
        <f t="shared" si="5"/>
        <v>0</v>
      </c>
      <c r="Z77" s="53">
        <f t="shared" si="5"/>
        <v>0</v>
      </c>
      <c r="AA77" s="53">
        <f t="shared" si="5"/>
        <v>0</v>
      </c>
      <c r="AB77" s="53">
        <f t="shared" si="5"/>
        <v>0</v>
      </c>
      <c r="AC77" s="53">
        <f t="shared" si="7"/>
        <v>0</v>
      </c>
      <c r="AD77" s="53">
        <f t="shared" si="7"/>
        <v>0</v>
      </c>
      <c r="AE77" s="53">
        <f t="shared" si="7"/>
        <v>0</v>
      </c>
      <c r="AF77" s="53">
        <f t="shared" si="7"/>
        <v>0</v>
      </c>
      <c r="AG77" s="53">
        <f t="shared" si="7"/>
        <v>0</v>
      </c>
      <c r="AH77" s="53">
        <f t="shared" si="7"/>
        <v>0</v>
      </c>
      <c r="AI77" s="53">
        <f t="shared" si="7"/>
        <v>0</v>
      </c>
      <c r="AJ77" s="53">
        <f t="shared" si="7"/>
        <v>0</v>
      </c>
      <c r="AK77" s="53">
        <f t="shared" si="7"/>
        <v>0</v>
      </c>
      <c r="AL77" s="53">
        <f t="shared" si="7"/>
        <v>0</v>
      </c>
      <c r="AM77" s="53">
        <f t="shared" si="7"/>
        <v>0</v>
      </c>
      <c r="AN77" s="53">
        <f t="shared" si="7"/>
        <v>0</v>
      </c>
      <c r="AO77" s="53">
        <f t="shared" si="7"/>
        <v>0</v>
      </c>
      <c r="AP77" s="53">
        <f t="shared" si="7"/>
        <v>0</v>
      </c>
      <c r="AQ77" s="53">
        <f t="shared" si="7"/>
        <v>0</v>
      </c>
      <c r="AR77" s="53">
        <f t="shared" si="6"/>
        <v>0</v>
      </c>
      <c r="AS77" s="53">
        <f t="shared" si="6"/>
        <v>0</v>
      </c>
      <c r="AT77" s="53">
        <f t="shared" si="6"/>
        <v>0</v>
      </c>
      <c r="AU77" s="53">
        <f t="shared" si="6"/>
        <v>0</v>
      </c>
      <c r="AV77" s="53">
        <f t="shared" si="6"/>
        <v>0</v>
      </c>
      <c r="AW77" s="53">
        <f t="shared" si="6"/>
        <v>0</v>
      </c>
      <c r="AX77" s="53">
        <f t="shared" si="6"/>
        <v>0</v>
      </c>
      <c r="AY77" s="53">
        <f t="shared" si="6"/>
        <v>0</v>
      </c>
      <c r="AZ77" s="53">
        <f t="shared" si="6"/>
        <v>0</v>
      </c>
      <c r="BA77" s="53">
        <f t="shared" si="6"/>
        <v>0</v>
      </c>
      <c r="BB77" s="53">
        <f t="shared" si="6"/>
        <v>0</v>
      </c>
      <c r="BC77" s="53">
        <f t="shared" si="6"/>
        <v>0</v>
      </c>
      <c r="BD77" s="53">
        <f t="shared" si="6"/>
        <v>0</v>
      </c>
      <c r="BE77" s="53">
        <f t="shared" si="6"/>
        <v>0</v>
      </c>
      <c r="BF77" s="53">
        <f t="shared" si="6"/>
        <v>0</v>
      </c>
      <c r="BG77" s="53">
        <f t="shared" si="3"/>
        <v>0</v>
      </c>
      <c r="BH77" s="53">
        <f t="shared" si="3"/>
        <v>0</v>
      </c>
      <c r="BI77" s="53">
        <f t="shared" si="3"/>
        <v>0</v>
      </c>
      <c r="BJ77" s="53">
        <f t="shared" si="3"/>
        <v>0</v>
      </c>
      <c r="BK77" s="53">
        <f t="shared" si="3"/>
        <v>0</v>
      </c>
      <c r="BL77" s="53">
        <f t="shared" si="3"/>
        <v>0</v>
      </c>
      <c r="BM77" s="53">
        <f t="shared" si="3"/>
        <v>0</v>
      </c>
      <c r="BN77" s="53">
        <f t="shared" si="3"/>
        <v>0</v>
      </c>
      <c r="BO77" s="53">
        <f t="shared" si="3"/>
        <v>0</v>
      </c>
      <c r="BP77" s="53">
        <f t="shared" si="3"/>
        <v>0</v>
      </c>
      <c r="BQ77" s="53">
        <f t="shared" si="3"/>
        <v>0</v>
      </c>
      <c r="BR77" s="53">
        <f t="shared" si="3"/>
        <v>0</v>
      </c>
      <c r="BS77" s="53">
        <f t="shared" si="3"/>
        <v>0</v>
      </c>
      <c r="BT77" s="53">
        <f t="shared" si="3"/>
        <v>0</v>
      </c>
      <c r="BU77" s="53">
        <f t="shared" si="3"/>
        <v>0</v>
      </c>
    </row>
    <row r="78" spans="13:73" hidden="1" x14ac:dyDescent="0.2">
      <c r="M78" s="53">
        <f t="shared" si="5"/>
        <v>0</v>
      </c>
      <c r="N78" s="53">
        <f t="shared" si="5"/>
        <v>0</v>
      </c>
      <c r="O78" s="53">
        <f t="shared" si="5"/>
        <v>0</v>
      </c>
      <c r="P78" s="53">
        <f t="shared" si="5"/>
        <v>0</v>
      </c>
      <c r="Q78" s="53">
        <f t="shared" si="5"/>
        <v>0</v>
      </c>
      <c r="R78" s="53">
        <f t="shared" si="5"/>
        <v>0</v>
      </c>
      <c r="S78" s="53">
        <f t="shared" si="5"/>
        <v>0</v>
      </c>
      <c r="T78" s="53">
        <f t="shared" si="5"/>
        <v>0</v>
      </c>
      <c r="U78" s="53">
        <f t="shared" si="5"/>
        <v>0</v>
      </c>
      <c r="V78" s="53">
        <f t="shared" si="5"/>
        <v>0</v>
      </c>
      <c r="W78" s="53">
        <f t="shared" si="5"/>
        <v>0</v>
      </c>
      <c r="X78" s="53">
        <f t="shared" si="5"/>
        <v>0</v>
      </c>
      <c r="Y78" s="53">
        <f t="shared" si="5"/>
        <v>0</v>
      </c>
      <c r="Z78" s="53">
        <f t="shared" si="5"/>
        <v>0</v>
      </c>
      <c r="AA78" s="53">
        <f t="shared" si="5"/>
        <v>0</v>
      </c>
      <c r="AB78" s="53">
        <f t="shared" si="5"/>
        <v>0</v>
      </c>
      <c r="AC78" s="53">
        <f t="shared" si="7"/>
        <v>0</v>
      </c>
      <c r="AD78" s="53">
        <f t="shared" si="7"/>
        <v>0</v>
      </c>
      <c r="AE78" s="53">
        <f t="shared" si="7"/>
        <v>0</v>
      </c>
      <c r="AF78" s="53">
        <f t="shared" si="7"/>
        <v>0</v>
      </c>
      <c r="AG78" s="53">
        <f t="shared" si="7"/>
        <v>0</v>
      </c>
      <c r="AH78" s="53">
        <f t="shared" si="7"/>
        <v>0</v>
      </c>
      <c r="AI78" s="53">
        <f t="shared" si="7"/>
        <v>0</v>
      </c>
      <c r="AJ78" s="53">
        <f t="shared" si="7"/>
        <v>0</v>
      </c>
      <c r="AK78" s="53">
        <f t="shared" si="7"/>
        <v>0</v>
      </c>
      <c r="AL78" s="53">
        <f t="shared" si="7"/>
        <v>0</v>
      </c>
      <c r="AM78" s="53">
        <f t="shared" si="7"/>
        <v>0</v>
      </c>
      <c r="AN78" s="53">
        <f t="shared" si="7"/>
        <v>0</v>
      </c>
      <c r="AO78" s="53">
        <f t="shared" si="7"/>
        <v>0</v>
      </c>
      <c r="AP78" s="53">
        <f t="shared" si="7"/>
        <v>0</v>
      </c>
      <c r="AQ78" s="53">
        <f t="shared" si="7"/>
        <v>0</v>
      </c>
      <c r="AR78" s="53">
        <f t="shared" si="6"/>
        <v>0</v>
      </c>
      <c r="AS78" s="53">
        <f t="shared" si="6"/>
        <v>0</v>
      </c>
      <c r="AT78" s="53">
        <f t="shared" si="6"/>
        <v>0</v>
      </c>
      <c r="AU78" s="53">
        <f t="shared" si="6"/>
        <v>0</v>
      </c>
      <c r="AV78" s="53">
        <f t="shared" si="6"/>
        <v>0</v>
      </c>
      <c r="AW78" s="53">
        <f t="shared" si="6"/>
        <v>0</v>
      </c>
      <c r="AX78" s="53">
        <f t="shared" si="6"/>
        <v>0</v>
      </c>
      <c r="AY78" s="53">
        <f t="shared" si="6"/>
        <v>0</v>
      </c>
      <c r="AZ78" s="53">
        <f t="shared" si="6"/>
        <v>0</v>
      </c>
      <c r="BA78" s="53">
        <f t="shared" si="6"/>
        <v>0</v>
      </c>
      <c r="BB78" s="53">
        <f t="shared" si="6"/>
        <v>0</v>
      </c>
      <c r="BC78" s="53">
        <f t="shared" si="6"/>
        <v>0</v>
      </c>
      <c r="BD78" s="53">
        <f t="shared" si="6"/>
        <v>0</v>
      </c>
      <c r="BE78" s="53">
        <f t="shared" si="6"/>
        <v>0</v>
      </c>
      <c r="BF78" s="53">
        <f t="shared" si="6"/>
        <v>0</v>
      </c>
      <c r="BG78" s="53">
        <f t="shared" si="6"/>
        <v>0</v>
      </c>
      <c r="BH78" s="53">
        <f t="shared" ref="BH78:BU81" si="8">BH37-DZ37</f>
        <v>0</v>
      </c>
      <c r="BI78" s="53">
        <f t="shared" si="8"/>
        <v>0</v>
      </c>
      <c r="BJ78" s="53">
        <f t="shared" si="8"/>
        <v>0</v>
      </c>
      <c r="BK78" s="53">
        <f t="shared" si="8"/>
        <v>0</v>
      </c>
      <c r="BL78" s="53">
        <f t="shared" si="8"/>
        <v>0</v>
      </c>
      <c r="BM78" s="53">
        <f t="shared" si="8"/>
        <v>0</v>
      </c>
      <c r="BN78" s="53">
        <f t="shared" si="8"/>
        <v>0</v>
      </c>
      <c r="BO78" s="53">
        <f t="shared" si="8"/>
        <v>0</v>
      </c>
      <c r="BP78" s="53">
        <f t="shared" si="8"/>
        <v>0</v>
      </c>
      <c r="BQ78" s="53">
        <f t="shared" si="8"/>
        <v>0</v>
      </c>
      <c r="BR78" s="53">
        <f t="shared" si="8"/>
        <v>0</v>
      </c>
      <c r="BS78" s="53">
        <f t="shared" si="8"/>
        <v>0</v>
      </c>
      <c r="BT78" s="53">
        <f t="shared" si="8"/>
        <v>0</v>
      </c>
      <c r="BU78" s="53">
        <f t="shared" si="8"/>
        <v>0</v>
      </c>
    </row>
    <row r="79" spans="13:73" hidden="1" x14ac:dyDescent="0.2">
      <c r="M79" s="53">
        <f t="shared" si="5"/>
        <v>-24541720.868039966</v>
      </c>
      <c r="N79" s="53">
        <f t="shared" si="5"/>
        <v>0</v>
      </c>
      <c r="O79" s="53">
        <f t="shared" si="5"/>
        <v>0</v>
      </c>
      <c r="P79" s="53">
        <f t="shared" si="5"/>
        <v>0</v>
      </c>
      <c r="Q79" s="53">
        <f t="shared" si="5"/>
        <v>0</v>
      </c>
      <c r="R79" s="53">
        <f t="shared" si="5"/>
        <v>-992232.82340999972</v>
      </c>
      <c r="S79" s="53">
        <f t="shared" si="5"/>
        <v>0</v>
      </c>
      <c r="T79" s="53">
        <f t="shared" si="5"/>
        <v>0</v>
      </c>
      <c r="U79" s="53">
        <f t="shared" si="5"/>
        <v>0</v>
      </c>
      <c r="V79" s="53">
        <f t="shared" si="5"/>
        <v>0</v>
      </c>
      <c r="W79" s="53">
        <f t="shared" si="5"/>
        <v>-13980252.002719998</v>
      </c>
      <c r="X79" s="53">
        <f t="shared" si="5"/>
        <v>0</v>
      </c>
      <c r="Y79" s="53">
        <f t="shared" si="5"/>
        <v>0</v>
      </c>
      <c r="Z79" s="53">
        <f t="shared" si="5"/>
        <v>0</v>
      </c>
      <c r="AA79" s="53">
        <f t="shared" si="5"/>
        <v>0</v>
      </c>
      <c r="AB79" s="53">
        <f t="shared" si="5"/>
        <v>8777405.5292999893</v>
      </c>
      <c r="AC79" s="53">
        <f t="shared" si="7"/>
        <v>0</v>
      </c>
      <c r="AD79" s="53">
        <f t="shared" si="7"/>
        <v>0</v>
      </c>
      <c r="AE79" s="53">
        <f t="shared" si="7"/>
        <v>0</v>
      </c>
      <c r="AF79" s="53">
        <f t="shared" si="7"/>
        <v>0</v>
      </c>
      <c r="AG79" s="53">
        <f t="shared" si="7"/>
        <v>9967884.6452499926</v>
      </c>
      <c r="AH79" s="53">
        <f t="shared" si="7"/>
        <v>0</v>
      </c>
      <c r="AI79" s="53">
        <f t="shared" si="7"/>
        <v>0</v>
      </c>
      <c r="AJ79" s="53">
        <f t="shared" si="7"/>
        <v>0</v>
      </c>
      <c r="AK79" s="53">
        <f t="shared" si="7"/>
        <v>0</v>
      </c>
      <c r="AL79" s="53">
        <f t="shared" si="7"/>
        <v>4315544.2743200064</v>
      </c>
      <c r="AM79" s="53">
        <f t="shared" si="7"/>
        <v>0</v>
      </c>
      <c r="AN79" s="53">
        <f t="shared" si="7"/>
        <v>0</v>
      </c>
      <c r="AO79" s="53">
        <f t="shared" si="7"/>
        <v>0</v>
      </c>
      <c r="AP79" s="53">
        <f t="shared" si="7"/>
        <v>0</v>
      </c>
      <c r="AQ79" s="53">
        <f t="shared" si="7"/>
        <v>395955.73492997885</v>
      </c>
      <c r="AR79" s="53">
        <f t="shared" si="6"/>
        <v>0</v>
      </c>
      <c r="AS79" s="53">
        <f t="shared" si="6"/>
        <v>0</v>
      </c>
      <c r="AT79" s="53">
        <f t="shared" si="6"/>
        <v>0</v>
      </c>
      <c r="AU79" s="53">
        <f t="shared" si="6"/>
        <v>0</v>
      </c>
      <c r="AV79" s="53">
        <f t="shared" si="6"/>
        <v>18897629.034100011</v>
      </c>
      <c r="AW79" s="53">
        <f t="shared" si="6"/>
        <v>0</v>
      </c>
      <c r="AX79" s="53">
        <f t="shared" si="6"/>
        <v>0</v>
      </c>
      <c r="AY79" s="53">
        <f t="shared" si="6"/>
        <v>0</v>
      </c>
      <c r="AZ79" s="53">
        <f t="shared" si="6"/>
        <v>0</v>
      </c>
      <c r="BA79" s="53">
        <f t="shared" si="6"/>
        <v>1291051.425060004</v>
      </c>
      <c r="BB79" s="53">
        <f t="shared" si="6"/>
        <v>0</v>
      </c>
      <c r="BC79" s="53">
        <f t="shared" si="6"/>
        <v>0</v>
      </c>
      <c r="BD79" s="53">
        <f t="shared" si="6"/>
        <v>0</v>
      </c>
      <c r="BE79" s="53">
        <f t="shared" si="6"/>
        <v>0</v>
      </c>
      <c r="BF79" s="53">
        <f t="shared" si="6"/>
        <v>2746121.6662400216</v>
      </c>
      <c r="BG79" s="53">
        <f t="shared" si="6"/>
        <v>0</v>
      </c>
      <c r="BH79" s="53">
        <f t="shared" si="8"/>
        <v>0</v>
      </c>
      <c r="BI79" s="53">
        <f t="shared" si="8"/>
        <v>0</v>
      </c>
      <c r="BJ79" s="53">
        <f t="shared" si="8"/>
        <v>0</v>
      </c>
      <c r="BK79" s="53">
        <f t="shared" si="8"/>
        <v>5785998.0916399956</v>
      </c>
      <c r="BL79" s="53">
        <f t="shared" si="8"/>
        <v>0</v>
      </c>
      <c r="BM79" s="53">
        <f t="shared" si="8"/>
        <v>0</v>
      </c>
      <c r="BN79" s="53">
        <f t="shared" si="8"/>
        <v>0</v>
      </c>
      <c r="BO79" s="53">
        <f t="shared" si="8"/>
        <v>0</v>
      </c>
      <c r="BP79" s="53">
        <f t="shared" si="8"/>
        <v>-48587728.50752002</v>
      </c>
      <c r="BQ79" s="53">
        <f t="shared" si="8"/>
        <v>0</v>
      </c>
      <c r="BR79" s="53">
        <f t="shared" si="8"/>
        <v>0</v>
      </c>
      <c r="BS79" s="53">
        <f t="shared" si="8"/>
        <v>0</v>
      </c>
      <c r="BT79" s="53">
        <f t="shared" si="8"/>
        <v>0</v>
      </c>
      <c r="BU79" s="53">
        <f t="shared" si="8"/>
        <v>-25533953.691449966</v>
      </c>
    </row>
    <row r="80" spans="13:73" hidden="1" x14ac:dyDescent="0.2">
      <c r="M80" s="53">
        <f t="shared" si="5"/>
        <v>0</v>
      </c>
      <c r="N80" s="53">
        <f t="shared" si="5"/>
        <v>0</v>
      </c>
      <c r="O80" s="53">
        <f t="shared" si="5"/>
        <v>0</v>
      </c>
      <c r="P80" s="53">
        <f t="shared" si="5"/>
        <v>0</v>
      </c>
      <c r="Q80" s="53">
        <f t="shared" si="5"/>
        <v>0</v>
      </c>
      <c r="R80" s="53">
        <f t="shared" si="5"/>
        <v>0</v>
      </c>
      <c r="S80" s="53">
        <f t="shared" si="5"/>
        <v>0</v>
      </c>
      <c r="T80" s="53">
        <f t="shared" si="5"/>
        <v>0</v>
      </c>
      <c r="U80" s="53">
        <f t="shared" si="5"/>
        <v>0</v>
      </c>
      <c r="V80" s="53">
        <f t="shared" si="5"/>
        <v>0</v>
      </c>
      <c r="W80" s="53">
        <f t="shared" si="5"/>
        <v>0</v>
      </c>
      <c r="X80" s="53">
        <f t="shared" si="5"/>
        <v>0</v>
      </c>
      <c r="Y80" s="53">
        <f t="shared" si="5"/>
        <v>0</v>
      </c>
      <c r="Z80" s="53">
        <f t="shared" si="5"/>
        <v>0</v>
      </c>
      <c r="AA80" s="53">
        <f t="shared" si="5"/>
        <v>0</v>
      </c>
      <c r="AB80" s="53">
        <f t="shared" si="5"/>
        <v>0</v>
      </c>
      <c r="AC80" s="53">
        <f t="shared" si="7"/>
        <v>0</v>
      </c>
      <c r="AD80" s="53">
        <f t="shared" si="7"/>
        <v>0</v>
      </c>
      <c r="AE80" s="53">
        <f t="shared" si="7"/>
        <v>0</v>
      </c>
      <c r="AF80" s="53">
        <f t="shared" si="7"/>
        <v>0</v>
      </c>
      <c r="AG80" s="53">
        <f t="shared" si="7"/>
        <v>0</v>
      </c>
      <c r="AH80" s="53">
        <f t="shared" si="7"/>
        <v>0</v>
      </c>
      <c r="AI80" s="53">
        <f t="shared" si="7"/>
        <v>0</v>
      </c>
      <c r="AJ80" s="53">
        <f t="shared" si="7"/>
        <v>0</v>
      </c>
      <c r="AK80" s="53">
        <f t="shared" si="7"/>
        <v>0</v>
      </c>
      <c r="AL80" s="53">
        <f t="shared" si="7"/>
        <v>0</v>
      </c>
      <c r="AM80" s="53">
        <f t="shared" si="7"/>
        <v>0</v>
      </c>
      <c r="AN80" s="53">
        <f t="shared" si="7"/>
        <v>0</v>
      </c>
      <c r="AO80" s="53">
        <f t="shared" si="7"/>
        <v>0</v>
      </c>
      <c r="AP80" s="53">
        <f t="shared" si="7"/>
        <v>0</v>
      </c>
      <c r="AQ80" s="53">
        <f t="shared" si="7"/>
        <v>0</v>
      </c>
      <c r="AR80" s="53">
        <f t="shared" si="6"/>
        <v>0</v>
      </c>
      <c r="AS80" s="53">
        <f t="shared" si="6"/>
        <v>0</v>
      </c>
      <c r="AT80" s="53">
        <f t="shared" si="6"/>
        <v>0</v>
      </c>
      <c r="AU80" s="53">
        <f t="shared" si="6"/>
        <v>0</v>
      </c>
      <c r="AV80" s="53">
        <f t="shared" si="6"/>
        <v>0</v>
      </c>
      <c r="AW80" s="53">
        <f t="shared" si="6"/>
        <v>0</v>
      </c>
      <c r="AX80" s="53">
        <f t="shared" si="6"/>
        <v>0</v>
      </c>
      <c r="AY80" s="53">
        <f t="shared" si="6"/>
        <v>0</v>
      </c>
      <c r="AZ80" s="53">
        <f t="shared" si="6"/>
        <v>0</v>
      </c>
      <c r="BA80" s="53">
        <f t="shared" si="6"/>
        <v>0</v>
      </c>
      <c r="BB80" s="53">
        <f t="shared" si="6"/>
        <v>0</v>
      </c>
      <c r="BC80" s="53">
        <f t="shared" si="6"/>
        <v>0</v>
      </c>
      <c r="BD80" s="53">
        <f t="shared" si="6"/>
        <v>0</v>
      </c>
      <c r="BE80" s="53">
        <f t="shared" si="6"/>
        <v>0</v>
      </c>
      <c r="BF80" s="53">
        <f t="shared" si="6"/>
        <v>0</v>
      </c>
      <c r="BG80" s="53">
        <f t="shared" si="6"/>
        <v>0</v>
      </c>
      <c r="BH80" s="53">
        <f t="shared" si="8"/>
        <v>0</v>
      </c>
      <c r="BI80" s="53">
        <f t="shared" si="8"/>
        <v>0</v>
      </c>
      <c r="BJ80" s="53">
        <f t="shared" si="8"/>
        <v>0</v>
      </c>
      <c r="BK80" s="53">
        <f t="shared" si="8"/>
        <v>0</v>
      </c>
      <c r="BL80" s="53">
        <f t="shared" si="8"/>
        <v>0</v>
      </c>
      <c r="BM80" s="53">
        <f t="shared" si="8"/>
        <v>0</v>
      </c>
      <c r="BN80" s="53">
        <f t="shared" si="8"/>
        <v>0</v>
      </c>
      <c r="BO80" s="53">
        <f t="shared" si="8"/>
        <v>0</v>
      </c>
      <c r="BP80" s="53">
        <f t="shared" si="8"/>
        <v>0</v>
      </c>
      <c r="BQ80" s="53">
        <f t="shared" si="8"/>
        <v>0</v>
      </c>
      <c r="BR80" s="53">
        <f t="shared" si="8"/>
        <v>0</v>
      </c>
      <c r="BS80" s="53">
        <f t="shared" si="8"/>
        <v>0</v>
      </c>
      <c r="BT80" s="53">
        <f t="shared" si="8"/>
        <v>0</v>
      </c>
      <c r="BU80" s="53">
        <f t="shared" si="8"/>
        <v>0</v>
      </c>
    </row>
    <row r="81" spans="13:73" hidden="1" x14ac:dyDescent="0.2">
      <c r="M81" s="53">
        <f t="shared" si="5"/>
        <v>-31434347.868039966</v>
      </c>
      <c r="N81" s="53">
        <f t="shared" si="5"/>
        <v>0</v>
      </c>
      <c r="O81" s="53">
        <f t="shared" si="5"/>
        <v>0</v>
      </c>
      <c r="P81" s="53">
        <f t="shared" si="5"/>
        <v>0</v>
      </c>
      <c r="Q81" s="53">
        <f t="shared" si="5"/>
        <v>0</v>
      </c>
      <c r="R81" s="53">
        <f t="shared" si="5"/>
        <v>-5491404.5674099997</v>
      </c>
      <c r="S81" s="53">
        <f t="shared" si="5"/>
        <v>0</v>
      </c>
      <c r="T81" s="53">
        <f t="shared" si="5"/>
        <v>0</v>
      </c>
      <c r="U81" s="53">
        <f t="shared" si="5"/>
        <v>0</v>
      </c>
      <c r="V81" s="53">
        <f t="shared" si="5"/>
        <v>0</v>
      </c>
      <c r="W81" s="53">
        <f t="shared" si="5"/>
        <v>315252236.99728</v>
      </c>
      <c r="X81" s="53">
        <f t="shared" si="5"/>
        <v>0</v>
      </c>
      <c r="Y81" s="53">
        <f t="shared" si="5"/>
        <v>0</v>
      </c>
      <c r="Z81" s="53">
        <f t="shared" si="5"/>
        <v>0</v>
      </c>
      <c r="AA81" s="53">
        <f t="shared" si="5"/>
        <v>0</v>
      </c>
      <c r="AB81" s="53">
        <f t="shared" si="5"/>
        <v>-71916201.470700011</v>
      </c>
      <c r="AC81" s="53">
        <f t="shared" si="7"/>
        <v>0</v>
      </c>
      <c r="AD81" s="53">
        <f t="shared" si="7"/>
        <v>0</v>
      </c>
      <c r="AE81" s="53">
        <f t="shared" si="7"/>
        <v>0</v>
      </c>
      <c r="AF81" s="53">
        <f t="shared" si="7"/>
        <v>0</v>
      </c>
      <c r="AG81" s="53">
        <f t="shared" si="7"/>
        <v>5938593.6452499926</v>
      </c>
      <c r="AH81" s="53">
        <f t="shared" si="7"/>
        <v>0</v>
      </c>
      <c r="AI81" s="53">
        <f t="shared" si="7"/>
        <v>0</v>
      </c>
      <c r="AJ81" s="53">
        <f t="shared" si="7"/>
        <v>0</v>
      </c>
      <c r="AK81" s="53">
        <f t="shared" si="7"/>
        <v>0</v>
      </c>
      <c r="AL81" s="53">
        <f t="shared" si="7"/>
        <v>87185842.274320006</v>
      </c>
      <c r="AM81" s="53">
        <f t="shared" si="7"/>
        <v>0</v>
      </c>
      <c r="AN81" s="53">
        <f t="shared" si="7"/>
        <v>0</v>
      </c>
      <c r="AO81" s="53">
        <f t="shared" si="7"/>
        <v>0</v>
      </c>
      <c r="AP81" s="53">
        <f t="shared" si="7"/>
        <v>0</v>
      </c>
      <c r="AQ81" s="53">
        <f t="shared" si="7"/>
        <v>-4292248.2650700212</v>
      </c>
      <c r="AR81" s="53">
        <f t="shared" si="6"/>
        <v>0</v>
      </c>
      <c r="AS81" s="53">
        <f t="shared" si="6"/>
        <v>0</v>
      </c>
      <c r="AT81" s="53">
        <f t="shared" si="6"/>
        <v>0</v>
      </c>
      <c r="AU81" s="53">
        <f t="shared" si="6"/>
        <v>0</v>
      </c>
      <c r="AV81" s="53">
        <f t="shared" si="6"/>
        <v>21698105.034100011</v>
      </c>
      <c r="AW81" s="53">
        <f t="shared" si="6"/>
        <v>0</v>
      </c>
      <c r="AX81" s="53">
        <f t="shared" si="6"/>
        <v>0</v>
      </c>
      <c r="AY81" s="53">
        <f t="shared" si="6"/>
        <v>0</v>
      </c>
      <c r="AZ81" s="53">
        <f t="shared" si="6"/>
        <v>0</v>
      </c>
      <c r="BA81" s="53">
        <f t="shared" si="6"/>
        <v>5176181.425060004</v>
      </c>
      <c r="BB81" s="53">
        <f t="shared" si="6"/>
        <v>0</v>
      </c>
      <c r="BC81" s="53">
        <f t="shared" si="6"/>
        <v>0</v>
      </c>
      <c r="BD81" s="53">
        <f t="shared" si="6"/>
        <v>0</v>
      </c>
      <c r="BE81" s="53">
        <f t="shared" si="6"/>
        <v>0</v>
      </c>
      <c r="BF81" s="53">
        <f t="shared" si="6"/>
        <v>-31144738.333759978</v>
      </c>
      <c r="BG81" s="53">
        <f t="shared" si="6"/>
        <v>0</v>
      </c>
      <c r="BH81" s="53">
        <f t="shared" si="8"/>
        <v>0</v>
      </c>
      <c r="BI81" s="53">
        <f t="shared" si="8"/>
        <v>0</v>
      </c>
      <c r="BJ81" s="53">
        <f t="shared" si="8"/>
        <v>0</v>
      </c>
      <c r="BK81" s="53">
        <f t="shared" si="8"/>
        <v>28811986.091639996</v>
      </c>
      <c r="BL81" s="53">
        <f t="shared" si="8"/>
        <v>0</v>
      </c>
      <c r="BM81" s="53">
        <f t="shared" si="8"/>
        <v>0</v>
      </c>
      <c r="BN81" s="53">
        <f t="shared" si="8"/>
        <v>0</v>
      </c>
      <c r="BO81" s="53">
        <f t="shared" si="8"/>
        <v>0</v>
      </c>
      <c r="BP81" s="53">
        <f t="shared" si="8"/>
        <v>-86300995.50752002</v>
      </c>
      <c r="BQ81" s="53">
        <f t="shared" si="8"/>
        <v>0</v>
      </c>
      <c r="BR81" s="53">
        <f t="shared" si="8"/>
        <v>0</v>
      </c>
      <c r="BS81" s="53">
        <f t="shared" si="8"/>
        <v>0</v>
      </c>
      <c r="BT81" s="53">
        <f t="shared" si="8"/>
        <v>0</v>
      </c>
      <c r="BU81" s="53">
        <f t="shared" si="8"/>
        <v>-36925752.435449965</v>
      </c>
    </row>
    <row r="82" spans="13:73" hidden="1" x14ac:dyDescent="0.2"/>
    <row r="83" spans="13:73" hidden="1" x14ac:dyDescent="0.2"/>
    <row r="84" spans="13:73" hidden="1" x14ac:dyDescent="0.2"/>
    <row r="85" spans="13:73" hidden="1" x14ac:dyDescent="0.2"/>
    <row r="86" spans="13:73" hidden="1" x14ac:dyDescent="0.2"/>
    <row r="87" spans="13:73" hidden="1" x14ac:dyDescent="0.2"/>
    <row r="88" spans="13:73" hidden="1" x14ac:dyDescent="0.2"/>
    <row r="89" spans="13:73" hidden="1" x14ac:dyDescent="0.2"/>
    <row r="90" spans="13:73" hidden="1" x14ac:dyDescent="0.2"/>
    <row r="91" spans="13:73" hidden="1" x14ac:dyDescent="0.2"/>
    <row r="92" spans="13:73" hidden="1" x14ac:dyDescent="0.2"/>
    <row r="93" spans="13:73" hidden="1" x14ac:dyDescent="0.2"/>
    <row r="94" spans="13:73" hidden="1" x14ac:dyDescent="0.2"/>
    <row r="95" spans="13:73" hidden="1" x14ac:dyDescent="0.2"/>
    <row r="96" spans="13:73" hidden="1" x14ac:dyDescent="0.2"/>
    <row r="97" spans="13:13" hidden="1" x14ac:dyDescent="0.2"/>
    <row r="98" spans="13:13" hidden="1" x14ac:dyDescent="0.2"/>
    <row r="99" spans="13:13" hidden="1" x14ac:dyDescent="0.2"/>
    <row r="100" spans="13:13" hidden="1" x14ac:dyDescent="0.2"/>
    <row r="101" spans="13:13" hidden="1" x14ac:dyDescent="0.2"/>
    <row r="102" spans="13:13" hidden="1" x14ac:dyDescent="0.2"/>
    <row r="103" spans="13:13" hidden="1" x14ac:dyDescent="0.2"/>
    <row r="104" spans="13:13" hidden="1" x14ac:dyDescent="0.2"/>
    <row r="106" spans="13:13" x14ac:dyDescent="0.2">
      <c r="M106" s="562"/>
    </row>
  </sheetData>
  <mergeCells count="3">
    <mergeCell ref="H8:BU8"/>
    <mergeCell ref="BZ8:EM8"/>
    <mergeCell ref="D41:BU41"/>
  </mergeCells>
  <pageMargins left="0.7" right="0.7" top="0.75" bottom="0.75" header="0.3" footer="0.3"/>
  <pageSetup scale="46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Table1</vt:lpstr>
      <vt:lpstr>Table2 Pg1</vt:lpstr>
      <vt:lpstr>Table2 Pg2</vt:lpstr>
      <vt:lpstr>Table Summary</vt:lpstr>
      <vt:lpstr>Table 3,1</vt:lpstr>
      <vt:lpstr>Table 3,2</vt:lpstr>
      <vt:lpstr>Table 3,3</vt:lpstr>
      <vt:lpstr>Table 3,4</vt:lpstr>
      <vt:lpstr>Table 4</vt:lpstr>
      <vt:lpstr>Table5</vt:lpstr>
      <vt:lpstr>Summary!Print_Area</vt:lpstr>
      <vt:lpstr>'Table 3,1'!Print_Area</vt:lpstr>
      <vt:lpstr>'Table 3,3'!Print_Area</vt:lpstr>
      <vt:lpstr>'Table 3,4'!Print_Area</vt:lpstr>
      <vt:lpstr>'Table 4'!Print_Area</vt:lpstr>
      <vt:lpstr>Table1!Print_Area</vt:lpstr>
      <vt:lpstr>'Table2 Pg1'!Print_Area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2020-06-29T15:20:37Z</cp:lastPrinted>
  <dcterms:created xsi:type="dcterms:W3CDTF">2020-06-29T12:30:32Z</dcterms:created>
  <dcterms:modified xsi:type="dcterms:W3CDTF">2020-06-29T15:21:43Z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iteId">
    <vt:lpwstr>1a45348f-02b4-4f9a-a7a8-7786f6dd3245</vt:lpwstr>
  </property>
  <property fmtid="{D5CDD505-2E9C-101B-9397-08002B2CF9AE}" pid="4" name="MSIP_Label_93c4247e-447d-4732-af29-2e529a4288f1_Owner">
    <vt:lpwstr>Phindile.Dhlame@Treasury.gov.za</vt:lpwstr>
  </property>
  <property fmtid="{D5CDD505-2E9C-101B-9397-08002B2CF9AE}" pid="5" name="MSIP_Label_93c4247e-447d-4732-af29-2e529a4288f1_SetDate">
    <vt:lpwstr>2020-06-29T12:59:04.8300619Z</vt:lpwstr>
  </property>
  <property fmtid="{D5CDD505-2E9C-101B-9397-08002B2CF9AE}" pid="6" name="MSIP_Label_93c4247e-447d-4732-af29-2e529a4288f1_Name">
    <vt:lpwstr>Personal</vt:lpwstr>
  </property>
  <property fmtid="{D5CDD505-2E9C-101B-9397-08002B2CF9AE}" pid="7" name="MSIP_Label_93c4247e-447d-4732-af29-2e529a4288f1_Application">
    <vt:lpwstr>Microsoft Azure Information Protection</vt:lpwstr>
  </property>
  <property fmtid="{D5CDD505-2E9C-101B-9397-08002B2CF9AE}" pid="8" name="MSIP_Label_93c4247e-447d-4732-af29-2e529a4288f1_ActionId">
    <vt:lpwstr>8c2c07bf-27eb-4ea7-8d35-5a1e96421bef</vt:lpwstr>
  </property>
  <property fmtid="{D5CDD505-2E9C-101B-9397-08002B2CF9AE}" pid="9" name="MSIP_Label_93c4247e-447d-4732-af29-2e529a4288f1_Extended_MSFT_Method">
    <vt:lpwstr>Automatic</vt:lpwstr>
  </property>
  <property fmtid="{D5CDD505-2E9C-101B-9397-08002B2CF9AE}" pid="10" name="Sensitivity">
    <vt:lpwstr>Personal</vt:lpwstr>
  </property>
</Properties>
</file>